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8380" tabRatio="600" firstSheet="0" activeTab="1" autoFilterDateGrouping="1"/>
  </bookViews>
  <sheets>
    <sheet xmlns:r="http://schemas.openxmlformats.org/officeDocument/2006/relationships" name="Summary" sheetId="1" state="visible" r:id="rId1"/>
    <sheet xmlns:r="http://schemas.openxmlformats.org/officeDocument/2006/relationships" name="Report figures" sheetId="2" state="visible" r:id="rId2"/>
    <sheet xmlns:r="http://schemas.openxmlformats.org/officeDocument/2006/relationships" name="Inputs" sheetId="3" state="visible" r:id="rId3"/>
    <sheet xmlns:r="http://schemas.openxmlformats.org/officeDocument/2006/relationships" name="Forecast" sheetId="4" state="visible" r:id="rId4"/>
    <sheet xmlns:r="http://schemas.openxmlformats.org/officeDocument/2006/relationships" name="Risk" sheetId="5" state="visible" r:id="rId5"/>
    <sheet xmlns:r="http://schemas.openxmlformats.org/officeDocument/2006/relationships" name="Portfolio" sheetId="6" state="visible" r:id="rId6"/>
    <sheet xmlns:r="http://schemas.openxmlformats.org/officeDocument/2006/relationships" name="Methods" sheetId="7" state="visible" r:id="rId7"/>
    <sheet xmlns:r="http://schemas.openxmlformats.org/officeDocument/2006/relationships" name="Bootstrap" sheetId="8" state="visible" r:id="rId8"/>
    <sheet xmlns:r="http://schemas.openxmlformats.org/officeDocument/2006/relationships" name="Stress" sheetId="9" state="visible" r:id="rId9"/>
    <sheet xmlns:r="http://schemas.openxmlformats.org/officeDocument/2006/relationships" name="Oil" sheetId="10" state="visible" r:id="rId10"/>
    <sheet xmlns:r="http://schemas.openxmlformats.org/officeDocument/2006/relationships" name="Validation" sheetId="11" state="visible" r:id="rId11"/>
    <sheet xmlns:r="http://schemas.openxmlformats.org/officeDocument/2006/relationships" name="Track record" sheetId="12" state="visible" r:id="rId12"/>
    <sheet xmlns:r="http://schemas.openxmlformats.org/officeDocument/2006/relationships" name="Performance" sheetId="13" state="visible" r:id="rId13"/>
    <sheet xmlns:r="http://schemas.openxmlformats.org/officeDocument/2006/relationships" name="Checks" sheetId="14" state="visible" r:id="rId14"/>
    <sheet xmlns:r="http://schemas.openxmlformats.org/officeDocument/2006/relationships" name="Quarterly returns" sheetId="15" state="visible" r:id="rId15"/>
    <sheet xmlns:r="http://schemas.openxmlformats.org/officeDocument/2006/relationships" name="RBA 5Y yield" sheetId="16" state="visible" r:id="rId16"/>
    <sheet xmlns:r="http://schemas.openxmlformats.org/officeDocument/2006/relationships" name="Data notice" sheetId="17" state="visible" r:id="rId17"/>
    <sheet xmlns:r="http://schemas.openxmlformats.org/officeDocument/2006/relationships" name="Data" sheetId="18" state="visible" r:id="rId18"/>
    <sheet xmlns:r="http://schemas.openxmlformats.org/officeDocument/2006/relationships" name="Fund balance sheet" sheetId="19" state="visible" r:id="rId19"/>
    <sheet xmlns:r="http://schemas.openxmlformats.org/officeDocument/2006/relationships" name="Fee schedule" sheetId="20" state="visible" r:id="rId20"/>
    <sheet xmlns:r="http://schemas.openxmlformats.org/officeDocument/2006/relationships" name="Additional data" sheetId="21" state="visible" r:id="rId21"/>
  </sheets>
  <definedNames/>
  <calcPr calcId="191029" fullCalcOnLoad="1"/>
</workbook>
</file>

<file path=xl/styles.xml><?xml version="1.0" encoding="utf-8"?>
<styleSheet xmlns="http://schemas.openxmlformats.org/spreadsheetml/2006/main">
  <numFmts count="7">
    <numFmt numFmtId="164" formatCode="0.0%"/>
    <numFmt numFmtId="165" formatCode="0.0"/>
    <numFmt numFmtId="166" formatCode="#,##0.0"/>
    <numFmt numFmtId="167" formatCode="0.000"/>
    <numFmt numFmtId="168" formatCode="dd\-mmm\-yy"/>
    <numFmt numFmtId="169" formatCode="0.0000"/>
    <numFmt numFmtId="170" formatCode="0.00&quot; pp&quot;"/>
  </numFmts>
  <fonts count="57">
    <font>
      <name val="Aptos Narrow"/>
      <family val="2"/>
      <color theme="1"/>
      <sz val="11"/>
      <scheme val="minor"/>
    </font>
    <font>
      <name val="Aptos Narrow"/>
      <family val="2"/>
      <color theme="1"/>
      <sz val="11"/>
      <scheme val="minor"/>
    </font>
    <font>
      <name val="Aptos Narrow"/>
      <family val="2"/>
      <b val="1"/>
      <color theme="1"/>
      <sz val="11"/>
      <scheme val="minor"/>
    </font>
    <font>
      <name val="Arial"/>
      <family val="2"/>
      <color theme="1"/>
      <sz val="10"/>
    </font>
    <font>
      <name val="Arial"/>
      <family val="2"/>
      <b val="1"/>
      <color theme="1"/>
      <sz val="13"/>
    </font>
    <font>
      <name val="Arial"/>
      <family val="2"/>
      <color theme="1"/>
      <sz val="11"/>
    </font>
    <font>
      <name val="Arial"/>
      <family val="2"/>
      <b val="1"/>
      <color theme="1"/>
      <sz val="11"/>
      <u val="single"/>
    </font>
    <font>
      <name val="Arial"/>
      <family val="2"/>
      <b val="1"/>
      <color theme="1"/>
      <sz val="10.5"/>
      <u val="single"/>
    </font>
    <font>
      <name val="Arial"/>
      <family val="2"/>
      <b val="1"/>
      <color theme="1"/>
      <sz val="10.5"/>
    </font>
    <font>
      <name val="Arial"/>
      <family val="2"/>
      <color theme="1"/>
      <sz val="10.5"/>
    </font>
    <font>
      <name val="Arial"/>
      <family val="2"/>
      <i val="1"/>
      <color theme="1"/>
      <sz val="10.5"/>
    </font>
    <font>
      <name val="Arial"/>
      <family val="2"/>
      <sz val="10.5"/>
    </font>
    <font>
      <name val="Arial"/>
      <family val="2"/>
      <b val="1"/>
      <color theme="1"/>
      <sz val="11"/>
    </font>
    <font>
      <name val="Arial"/>
      <family val="2"/>
      <b val="1"/>
      <i val="1"/>
      <color theme="1"/>
      <sz val="11"/>
    </font>
    <font>
      <name val="Arial"/>
      <family val="2"/>
      <i val="1"/>
      <color theme="1"/>
      <sz val="11"/>
    </font>
    <font>
      <name val="Arial"/>
      <family val="2"/>
      <b val="1"/>
      <color rgb="FF1F3864"/>
      <sz val="15"/>
    </font>
    <font>
      <name val="Arial"/>
      <family val="2"/>
      <b val="1"/>
      <color rgb="FFFFFFFF"/>
      <sz val="10"/>
    </font>
    <font>
      <name val="Arial"/>
      <family val="2"/>
      <b val="1"/>
      <color rgb="FF1F4E79"/>
      <sz val="10"/>
    </font>
    <font>
      <name val="Arial"/>
      <family val="2"/>
      <sz val="10"/>
    </font>
    <font>
      <name val="Arial"/>
      <family val="2"/>
      <color rgb="FF0000FF"/>
      <sz val="10"/>
    </font>
    <font>
      <name val="Arial"/>
      <family val="2"/>
      <b val="1"/>
      <sz val="10"/>
    </font>
    <font>
      <name val="Arial"/>
      <family val="2"/>
      <b val="1"/>
      <color rgb="FF806000"/>
      <sz val="10"/>
    </font>
    <font>
      <name val="Arial"/>
      <family val="2"/>
      <color rgb="FF7F7F7F"/>
      <sz val="9"/>
    </font>
    <font>
      <name val="Arial"/>
      <family val="2"/>
      <b val="1"/>
      <color rgb="FF5B2C83"/>
      <sz val="10"/>
    </font>
    <font>
      <name val="Arial"/>
      <family val="2"/>
      <b val="1"/>
      <color rgb="FF595959"/>
      <sz val="10"/>
    </font>
    <font>
      <name val="Arial"/>
      <family val="2"/>
      <b val="1"/>
      <color rgb="FF1B6B73"/>
      <sz val="10"/>
    </font>
    <font>
      <name val="Arial"/>
      <family val="2"/>
      <b val="1"/>
      <color rgb="FF375623"/>
      <sz val="10"/>
    </font>
    <font>
      <name val="Arial"/>
      <family val="2"/>
      <b val="1"/>
      <color rgb="FF4F6228"/>
      <sz val="10"/>
    </font>
    <font>
      <name val="Arial"/>
      <family val="2"/>
      <b val="1"/>
      <color rgb="FF203864"/>
      <sz val="10"/>
    </font>
    <font>
      <name val="Arial"/>
      <family val="2"/>
      <b val="1"/>
      <color rgb="FF5B2C83"/>
      <sz val="11"/>
    </font>
    <font>
      <name val="Arial"/>
      <family val="2"/>
      <b val="1"/>
      <color rgb="FFC55A11"/>
      <sz val="10"/>
    </font>
    <font>
      <name val="Arial"/>
      <family val="2"/>
      <b val="1"/>
      <color rgb="FF843C0C"/>
      <sz val="10"/>
    </font>
    <font>
      <name val="Arial"/>
      <family val="2"/>
      <b val="1"/>
      <color rgb="FFA50021"/>
      <sz val="10"/>
    </font>
    <font>
      <name val="Arial"/>
      <family val="2"/>
      <b val="1"/>
      <i val="1"/>
      <color rgb="FF595959"/>
      <sz val="9"/>
    </font>
    <font>
      <name val="Arial"/>
      <family val="2"/>
      <color theme="1"/>
      <sz val="9"/>
    </font>
    <font>
      <name val="Arial"/>
      <b val="1"/>
      <color rgb="FF1F3864"/>
      <sz val="15"/>
    </font>
    <font>
      <name val="Arial"/>
      <b val="1"/>
      <color rgb="FFFFFFFF"/>
      <sz val="10"/>
    </font>
    <font>
      <name val="Arial"/>
      <b val="1"/>
      <color rgb="FF595959"/>
      <sz val="10"/>
    </font>
    <font>
      <name val="Arial"/>
      <sz val="10"/>
    </font>
    <font>
      <name val="Arial"/>
      <b val="1"/>
      <color rgb="FF806000"/>
      <sz val="10"/>
    </font>
    <font>
      <name val="Arial"/>
      <b val="1"/>
      <color rgb="FF4F6228"/>
      <sz val="10"/>
    </font>
    <font>
      <name val="Arial"/>
      <b val="1"/>
      <color rgb="FF5B2C83"/>
      <sz val="10"/>
    </font>
    <font>
      <name val="Arial"/>
      <b val="1"/>
      <color rgb="FF1B6B73"/>
      <sz val="10"/>
    </font>
    <font>
      <name val="Arial"/>
      <b val="1"/>
      <sz val="10"/>
    </font>
    <font>
      <name val="Arial"/>
      <b val="1"/>
      <color rgb="FF843C0C"/>
      <sz val="10"/>
    </font>
    <font>
      <name val="Arial"/>
      <b val="1"/>
      <color rgb="FFA50021"/>
      <sz val="10"/>
    </font>
    <font>
      <name val="Arial"/>
      <color rgb="FF0000FF"/>
      <sz val="10"/>
    </font>
    <font>
      <name val="Arial"/>
      <b val="1"/>
      <color rgb="FFC55A11"/>
      <sz val="10"/>
    </font>
    <font>
      <name val="Arial"/>
      <b val="1"/>
      <color rgb="FF203864"/>
      <sz val="10"/>
    </font>
    <font>
      <name val="Arial"/>
      <family val="2"/>
      <i val="1"/>
      <color rgb="FF595959"/>
      <sz val="9"/>
      <scheme val="minor"/>
    </font>
    <font>
      <name val="Arial"/>
      <b val="1"/>
      <color rgb="FF375623"/>
      <sz val="10"/>
    </font>
    <font>
      <name val="Arial"/>
      <family val="2"/>
      <b val="1"/>
      <color rgb="FF806000"/>
      <sz val="9"/>
      <scheme val="minor"/>
    </font>
    <font>
      <name val="Arial"/>
      <b val="1"/>
      <color rgb="FF1F4E79"/>
      <sz val="10"/>
    </font>
    <font>
      <name val="Arial"/>
      <sz val="9"/>
    </font>
    <font>
      <name val="Arial"/>
      <b val="1"/>
      <color rgb="FF1F4E79"/>
      <sz val="9"/>
    </font>
    <font>
      <name val="Arial"/>
      <i val="1"/>
      <color rgb="FF595959"/>
      <sz val="9"/>
    </font>
    <font>
      <name val="Arial"/>
      <b val="1"/>
      <color rgb="FF806000"/>
      <sz val="9"/>
    </font>
  </fonts>
  <fills count="27">
    <fill>
      <patternFill/>
    </fill>
    <fill>
      <patternFill patternType="gray125"/>
    </fill>
    <fill>
      <patternFill patternType="solid">
        <fgColor theme="0"/>
        <bgColor indexed="64"/>
      </patternFill>
    </fill>
    <fill>
      <patternFill patternType="solid">
        <fgColor rgb="FF1F4E79"/>
      </patternFill>
    </fill>
    <fill>
      <patternFill patternType="solid">
        <fgColor rgb="FFDDEBF7"/>
      </patternFill>
    </fill>
    <fill>
      <patternFill patternType="solid">
        <fgColor rgb="FF806000"/>
      </patternFill>
    </fill>
    <fill>
      <patternFill patternType="solid">
        <fgColor rgb="FFFFF2CC"/>
      </patternFill>
    </fill>
    <fill>
      <patternFill patternType="solid">
        <fgColor rgb="FF5B2C83"/>
      </patternFill>
    </fill>
    <fill>
      <patternFill patternType="solid">
        <fgColor rgb="FFE4DFEC"/>
      </patternFill>
    </fill>
    <fill>
      <patternFill patternType="solid">
        <fgColor rgb="FF595959"/>
      </patternFill>
    </fill>
    <fill>
      <patternFill patternType="solid">
        <fgColor rgb="FF1B6B73"/>
      </patternFill>
    </fill>
    <fill>
      <patternFill patternType="solid">
        <fgColor rgb="FFEDEDED"/>
      </patternFill>
    </fill>
    <fill>
      <patternFill patternType="solid">
        <fgColor rgb="FFDAEEF3"/>
      </patternFill>
    </fill>
    <fill>
      <patternFill patternType="solid">
        <fgColor rgb="FF375623"/>
      </patternFill>
    </fill>
    <fill>
      <patternFill patternType="solid">
        <fgColor rgb="FFE2EFDA"/>
      </patternFill>
    </fill>
    <fill>
      <patternFill patternType="solid">
        <fgColor rgb="FF4F6228"/>
      </patternFill>
    </fill>
    <fill>
      <patternFill patternType="solid">
        <fgColor rgb="FFEBF1DE"/>
      </patternFill>
    </fill>
    <fill>
      <patternFill patternType="solid">
        <fgColor rgb="FF203864"/>
      </patternFill>
    </fill>
    <fill>
      <patternFill patternType="solid">
        <fgColor rgb="FFD9E1F2"/>
      </patternFill>
    </fill>
    <fill>
      <patternFill patternType="solid">
        <fgColor rgb="FFC55A11"/>
      </patternFill>
    </fill>
    <fill>
      <patternFill patternType="solid">
        <fgColor rgb="FFFCE4D6"/>
      </patternFill>
    </fill>
    <fill>
      <patternFill patternType="solid">
        <fgColor rgb="FF843C0C"/>
      </patternFill>
    </fill>
    <fill>
      <patternFill patternType="solid">
        <fgColor rgb="FFF4E1D2"/>
      </patternFill>
    </fill>
    <fill>
      <patternFill patternType="solid">
        <fgColor rgb="FFA50021"/>
      </patternFill>
    </fill>
    <fill>
      <patternFill patternType="solid">
        <fgColor rgb="FFFBE2D5"/>
      </patternFill>
    </fill>
    <fill>
      <patternFill patternType="solid">
        <fgColor theme="9" tint="0.5999938962981048"/>
        <bgColor indexed="64"/>
      </patternFill>
    </fill>
    <fill>
      <patternFill patternType="solid">
        <fgColor theme="5" tint="0.5999938962981048"/>
        <bgColor indexed="64"/>
      </patternFill>
    </fill>
  </fills>
  <borders count="279">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thin">
        <color rgb="FF595959"/>
      </bottom>
      <diagonal/>
    </border>
    <border>
      <left style="medium">
        <color rgb="FF1F4E79"/>
      </left>
      <right style="thin">
        <color rgb="FFD0D0D0"/>
      </right>
      <top style="medium">
        <color rgb="FF1F4E79"/>
      </top>
      <bottom style="thin">
        <color rgb="FFD0D0D0"/>
      </bottom>
      <diagonal/>
    </border>
    <border>
      <left style="thin">
        <color rgb="FFD0D0D0"/>
      </left>
      <right style="thin">
        <color rgb="FFD0D0D0"/>
      </right>
      <top style="medium">
        <color rgb="FF1F4E79"/>
      </top>
      <bottom style="thin">
        <color rgb="FFD0D0D0"/>
      </bottom>
      <diagonal/>
    </border>
    <border>
      <left style="thin">
        <color rgb="FFD0D0D0"/>
      </left>
      <right style="medium">
        <color rgb="FF1F4E79"/>
      </right>
      <top style="medium">
        <color rgb="FF1F4E79"/>
      </top>
      <bottom style="thin">
        <color rgb="FFD0D0D0"/>
      </bottom>
      <diagonal/>
    </border>
    <border>
      <left style="medium">
        <color rgb="FF1F4E79"/>
      </left>
      <right style="thin">
        <color rgb="FFD0D0D0"/>
      </right>
      <top style="thin">
        <color rgb="FFD0D0D0"/>
      </top>
      <bottom style="thin">
        <color rgb="FF1F4E79"/>
      </bottom>
      <diagonal/>
    </border>
    <border>
      <left style="thin">
        <color rgb="FFD0D0D0"/>
      </left>
      <right style="thin">
        <color rgb="FFD0D0D0"/>
      </right>
      <top style="thin">
        <color rgb="FFD0D0D0"/>
      </top>
      <bottom style="thin">
        <color rgb="FF1F4E79"/>
      </bottom>
      <diagonal/>
    </border>
    <border>
      <left style="thin">
        <color rgb="FFD0D0D0"/>
      </left>
      <right style="medium">
        <color rgb="FF1F4E79"/>
      </right>
      <top style="thin">
        <color rgb="FFD0D0D0"/>
      </top>
      <bottom style="thin">
        <color rgb="FF1F4E79"/>
      </bottom>
      <diagonal/>
    </border>
    <border>
      <left style="medium">
        <color rgb="FF1F4E79"/>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1F4E79"/>
      </right>
      <top style="thin">
        <color rgb="FFD0D0D0"/>
      </top>
      <bottom style="thin">
        <color rgb="FFD0D0D0"/>
      </bottom>
      <diagonal/>
    </border>
    <border>
      <left style="medium">
        <color rgb="FF1F4E79"/>
      </left>
      <right style="thin">
        <color rgb="FFD0D0D0"/>
      </right>
      <top style="thin">
        <color rgb="FFD0D0D0"/>
      </top>
      <bottom style="medium">
        <color rgb="FF1F4E79"/>
      </bottom>
      <diagonal/>
    </border>
    <border>
      <left style="thin">
        <color rgb="FFD0D0D0"/>
      </left>
      <right style="thin">
        <color rgb="FFD0D0D0"/>
      </right>
      <top style="thin">
        <color rgb="FFD0D0D0"/>
      </top>
      <bottom style="medium">
        <color rgb="FF1F4E79"/>
      </bottom>
      <diagonal/>
    </border>
    <border>
      <left style="thin">
        <color rgb="FFD0D0D0"/>
      </left>
      <right style="medium">
        <color rgb="FF1F4E79"/>
      </right>
      <top style="thin">
        <color rgb="FFD0D0D0"/>
      </top>
      <bottom style="medium">
        <color rgb="FF1F4E79"/>
      </bottom>
      <diagonal/>
    </border>
    <border>
      <left style="medium">
        <color rgb="FF806000"/>
      </left>
      <right style="thin">
        <color rgb="FFD0D0D0"/>
      </right>
      <top style="medium">
        <color rgb="FF806000"/>
      </top>
      <bottom style="thin">
        <color rgb="FFD0D0D0"/>
      </bottom>
      <diagonal/>
    </border>
    <border>
      <left style="thin">
        <color rgb="FFD0D0D0"/>
      </left>
      <right style="thin">
        <color rgb="FFD0D0D0"/>
      </right>
      <top style="medium">
        <color rgb="FF806000"/>
      </top>
      <bottom style="thin">
        <color rgb="FFD0D0D0"/>
      </bottom>
      <diagonal/>
    </border>
    <border>
      <left style="thin">
        <color rgb="FFD0D0D0"/>
      </left>
      <right style="medium">
        <color rgb="FF806000"/>
      </right>
      <top style="medium">
        <color rgb="FF806000"/>
      </top>
      <bottom style="thin">
        <color rgb="FFD0D0D0"/>
      </bottom>
      <diagonal/>
    </border>
    <border>
      <left style="medium">
        <color rgb="FF806000"/>
      </left>
      <right style="thin">
        <color rgb="FFD0D0D0"/>
      </right>
      <top style="thin">
        <color rgb="FFD0D0D0"/>
      </top>
      <bottom style="thin">
        <color rgb="FF806000"/>
      </bottom>
      <diagonal/>
    </border>
    <border>
      <left style="thin">
        <color rgb="FFD0D0D0"/>
      </left>
      <right style="thin">
        <color rgb="FFD0D0D0"/>
      </right>
      <top style="thin">
        <color rgb="FFD0D0D0"/>
      </top>
      <bottom style="thin">
        <color rgb="FF806000"/>
      </bottom>
      <diagonal/>
    </border>
    <border>
      <left style="thin">
        <color rgb="FFD0D0D0"/>
      </left>
      <right style="medium">
        <color rgb="FF806000"/>
      </right>
      <top style="thin">
        <color rgb="FFD0D0D0"/>
      </top>
      <bottom style="thin">
        <color rgb="FF806000"/>
      </bottom>
      <diagonal/>
    </border>
    <border>
      <left style="medium">
        <color rgb="FF806000"/>
      </left>
      <right style="thin">
        <color rgb="FFD0D0D0"/>
      </right>
      <top style="thin">
        <color rgb="FFD0D0D0"/>
      </top>
      <bottom style="thin">
        <color rgb="FFD0D0D0"/>
      </bottom>
      <diagonal/>
    </border>
    <border>
      <left style="thin">
        <color rgb="FFD0D0D0"/>
      </left>
      <right style="medium">
        <color rgb="FF806000"/>
      </right>
      <top style="thin">
        <color rgb="FFD0D0D0"/>
      </top>
      <bottom style="thin">
        <color rgb="FFD0D0D0"/>
      </bottom>
      <diagonal/>
    </border>
    <border>
      <left style="medium">
        <color rgb="FF806000"/>
      </left>
      <right style="thin">
        <color rgb="FFD0D0D0"/>
      </right>
      <top style="thin">
        <color rgb="FFD0D0D0"/>
      </top>
      <bottom style="medium">
        <color rgb="FF806000"/>
      </bottom>
      <diagonal/>
    </border>
    <border>
      <left style="thin">
        <color rgb="FFD0D0D0"/>
      </left>
      <right style="thin">
        <color rgb="FFD0D0D0"/>
      </right>
      <top style="thin">
        <color rgb="FFD0D0D0"/>
      </top>
      <bottom style="medium">
        <color rgb="FF806000"/>
      </bottom>
      <diagonal/>
    </border>
    <border>
      <left style="thin">
        <color rgb="FFD0D0D0"/>
      </left>
      <right style="medium">
        <color rgb="FF806000"/>
      </right>
      <top style="thin">
        <color rgb="FFD0D0D0"/>
      </top>
      <bottom style="medium">
        <color rgb="FF806000"/>
      </bottom>
      <diagonal/>
    </border>
    <border>
      <left style="medium">
        <color rgb="FF5B2C83"/>
      </left>
      <right style="thin">
        <color rgb="FFD0D0D0"/>
      </right>
      <top style="medium">
        <color rgb="FF5B2C83"/>
      </top>
      <bottom style="thin">
        <color rgb="FFD0D0D0"/>
      </bottom>
      <diagonal/>
    </border>
    <border>
      <left style="thin">
        <color rgb="FFD0D0D0"/>
      </left>
      <right style="thin">
        <color rgb="FFD0D0D0"/>
      </right>
      <top style="medium">
        <color rgb="FF5B2C83"/>
      </top>
      <bottom style="thin">
        <color rgb="FFD0D0D0"/>
      </bottom>
      <diagonal/>
    </border>
    <border>
      <left style="thin">
        <color rgb="FFD0D0D0"/>
      </left>
      <right style="medium">
        <color rgb="FF5B2C83"/>
      </right>
      <top style="medium">
        <color rgb="FF5B2C83"/>
      </top>
      <bottom style="thin">
        <color rgb="FFD0D0D0"/>
      </bottom>
      <diagonal/>
    </border>
    <border>
      <left style="medium">
        <color rgb="FF5B2C83"/>
      </left>
      <right style="thin">
        <color rgb="FFD0D0D0"/>
      </right>
      <top style="thin">
        <color rgb="FFD0D0D0"/>
      </top>
      <bottom style="thin">
        <color rgb="FF5B2C83"/>
      </bottom>
      <diagonal/>
    </border>
    <border>
      <left style="thin">
        <color rgb="FFD0D0D0"/>
      </left>
      <right style="thin">
        <color rgb="FFD0D0D0"/>
      </right>
      <top style="thin">
        <color rgb="FFD0D0D0"/>
      </top>
      <bottom style="thin">
        <color rgb="FF5B2C83"/>
      </bottom>
      <diagonal/>
    </border>
    <border>
      <left style="thin">
        <color rgb="FFD0D0D0"/>
      </left>
      <right style="medium">
        <color rgb="FF5B2C83"/>
      </right>
      <top style="thin">
        <color rgb="FFD0D0D0"/>
      </top>
      <bottom style="thin">
        <color rgb="FF5B2C83"/>
      </bottom>
      <diagonal/>
    </border>
    <border>
      <left style="medium">
        <color rgb="FF5B2C83"/>
      </left>
      <right style="thin">
        <color rgb="FFD0D0D0"/>
      </right>
      <top style="thin">
        <color rgb="FFD0D0D0"/>
      </top>
      <bottom style="thin">
        <color rgb="FFD0D0D0"/>
      </bottom>
      <diagonal/>
    </border>
    <border>
      <left style="thin">
        <color rgb="FFD0D0D0"/>
      </left>
      <right style="medium">
        <color rgb="FF5B2C83"/>
      </right>
      <top style="thin">
        <color rgb="FFD0D0D0"/>
      </top>
      <bottom style="thin">
        <color rgb="FFD0D0D0"/>
      </bottom>
      <diagonal/>
    </border>
    <border>
      <left style="medium">
        <color rgb="FF5B2C83"/>
      </left>
      <right style="thin">
        <color rgb="FFD0D0D0"/>
      </right>
      <top style="thin">
        <color rgb="FFD0D0D0"/>
      </top>
      <bottom style="medium">
        <color rgb="FF5B2C83"/>
      </bottom>
      <diagonal/>
    </border>
    <border>
      <left style="thin">
        <color rgb="FFD0D0D0"/>
      </left>
      <right style="thin">
        <color rgb="FFD0D0D0"/>
      </right>
      <top style="thin">
        <color rgb="FFD0D0D0"/>
      </top>
      <bottom style="medium">
        <color rgb="FF5B2C83"/>
      </bottom>
      <diagonal/>
    </border>
    <border>
      <left style="thin">
        <color rgb="FFD0D0D0"/>
      </left>
      <right style="medium">
        <color rgb="FF5B2C83"/>
      </right>
      <top style="thin">
        <color rgb="FFD0D0D0"/>
      </top>
      <bottom style="medium">
        <color rgb="FF5B2C83"/>
      </bottom>
      <diagonal/>
    </border>
    <border>
      <left style="medium">
        <color rgb="FF595959"/>
      </left>
      <right style="thin">
        <color rgb="FFD0D0D0"/>
      </right>
      <top style="medium">
        <color rgb="FF595959"/>
      </top>
      <bottom style="thin">
        <color rgb="FFD0D0D0"/>
      </bottom>
      <diagonal/>
    </border>
    <border>
      <left style="thin">
        <color rgb="FFD0D0D0"/>
      </left>
      <right style="thin">
        <color rgb="FFD0D0D0"/>
      </right>
      <top style="medium">
        <color rgb="FF595959"/>
      </top>
      <bottom style="thin">
        <color rgb="FFD0D0D0"/>
      </bottom>
      <diagonal/>
    </border>
    <border>
      <left style="thin">
        <color rgb="FFD0D0D0"/>
      </left>
      <right style="medium">
        <color rgb="FF595959"/>
      </right>
      <top style="medium">
        <color rgb="FF595959"/>
      </top>
      <bottom style="thin">
        <color rgb="FFD0D0D0"/>
      </bottom>
      <diagonal/>
    </border>
    <border>
      <left style="medium">
        <color rgb="FF595959"/>
      </left>
      <right style="thin">
        <color rgb="FFD0D0D0"/>
      </right>
      <top style="thin">
        <color rgb="FFD0D0D0"/>
      </top>
      <bottom style="thin">
        <color rgb="FF595959"/>
      </bottom>
      <diagonal/>
    </border>
    <border>
      <left style="thin">
        <color rgb="FFD0D0D0"/>
      </left>
      <right style="thin">
        <color rgb="FFD0D0D0"/>
      </right>
      <top style="thin">
        <color rgb="FFD0D0D0"/>
      </top>
      <bottom style="thin">
        <color rgb="FF595959"/>
      </bottom>
      <diagonal/>
    </border>
    <border>
      <left style="thin">
        <color rgb="FFD0D0D0"/>
      </left>
      <right style="medium">
        <color rgb="FF595959"/>
      </right>
      <top style="thin">
        <color rgb="FFD0D0D0"/>
      </top>
      <bottom style="thin">
        <color rgb="FF595959"/>
      </bottom>
      <diagonal/>
    </border>
    <border>
      <left style="medium">
        <color rgb="FF595959"/>
      </left>
      <right style="thin">
        <color rgb="FFD0D0D0"/>
      </right>
      <top style="thin">
        <color rgb="FFD0D0D0"/>
      </top>
      <bottom style="thin">
        <color rgb="FFD0D0D0"/>
      </bottom>
      <diagonal/>
    </border>
    <border>
      <left style="thin">
        <color rgb="FFD0D0D0"/>
      </left>
      <right style="medium">
        <color rgb="FF595959"/>
      </right>
      <top style="thin">
        <color rgb="FFD0D0D0"/>
      </top>
      <bottom style="thin">
        <color rgb="FFD0D0D0"/>
      </bottom>
      <diagonal/>
    </border>
    <border>
      <left style="medium">
        <color rgb="FF595959"/>
      </left>
      <right style="thin">
        <color rgb="FFD0D0D0"/>
      </right>
      <top style="thin">
        <color rgb="FFD0D0D0"/>
      </top>
      <bottom style="medium">
        <color rgb="FF595959"/>
      </bottom>
      <diagonal/>
    </border>
    <border>
      <left style="thin">
        <color rgb="FFD0D0D0"/>
      </left>
      <right style="thin">
        <color rgb="FFD0D0D0"/>
      </right>
      <top style="thin">
        <color rgb="FFD0D0D0"/>
      </top>
      <bottom style="medium">
        <color rgb="FF595959"/>
      </bottom>
      <diagonal/>
    </border>
    <border>
      <left style="thin">
        <color rgb="FFD0D0D0"/>
      </left>
      <right style="medium">
        <color rgb="FF595959"/>
      </right>
      <top style="thin">
        <color rgb="FFD0D0D0"/>
      </top>
      <bottom style="medium">
        <color rgb="FF595959"/>
      </bottom>
      <diagonal/>
    </border>
    <border>
      <left style="medium">
        <color rgb="FF1B6B73"/>
      </left>
      <right style="thin">
        <color rgb="FFD0D0D0"/>
      </right>
      <top style="medium">
        <color rgb="FF1B6B73"/>
      </top>
      <bottom style="thin">
        <color rgb="FFD0D0D0"/>
      </bottom>
      <diagonal/>
    </border>
    <border>
      <left style="thin">
        <color rgb="FFD0D0D0"/>
      </left>
      <right style="thin">
        <color rgb="FFD0D0D0"/>
      </right>
      <top style="medium">
        <color rgb="FF1B6B73"/>
      </top>
      <bottom style="thin">
        <color rgb="FFD0D0D0"/>
      </bottom>
      <diagonal/>
    </border>
    <border>
      <left style="thin">
        <color rgb="FFD0D0D0"/>
      </left>
      <right style="medium">
        <color rgb="FF1B6B73"/>
      </right>
      <top style="medium">
        <color rgb="FF1B6B73"/>
      </top>
      <bottom style="thin">
        <color rgb="FFD0D0D0"/>
      </bottom>
      <diagonal/>
    </border>
    <border>
      <left style="medium">
        <color rgb="FF1B6B73"/>
      </left>
      <right style="thin">
        <color rgb="FFD0D0D0"/>
      </right>
      <top style="thin">
        <color rgb="FFD0D0D0"/>
      </top>
      <bottom style="thin">
        <color rgb="FF1B6B73"/>
      </bottom>
      <diagonal/>
    </border>
    <border>
      <left style="thin">
        <color rgb="FFD0D0D0"/>
      </left>
      <right style="thin">
        <color rgb="FFD0D0D0"/>
      </right>
      <top style="thin">
        <color rgb="FFD0D0D0"/>
      </top>
      <bottom style="thin">
        <color rgb="FF1B6B73"/>
      </bottom>
      <diagonal/>
    </border>
    <border>
      <left style="thin">
        <color rgb="FFD0D0D0"/>
      </left>
      <right style="medium">
        <color rgb="FF1B6B73"/>
      </right>
      <top style="thin">
        <color rgb="FFD0D0D0"/>
      </top>
      <bottom style="thin">
        <color rgb="FF1B6B73"/>
      </bottom>
      <diagonal/>
    </border>
    <border>
      <left style="medium">
        <color rgb="FF1B6B73"/>
      </left>
      <right style="thin">
        <color rgb="FFD0D0D0"/>
      </right>
      <top style="thin">
        <color rgb="FFD0D0D0"/>
      </top>
      <bottom style="thin">
        <color rgb="FFD0D0D0"/>
      </bottom>
      <diagonal/>
    </border>
    <border>
      <left style="thin">
        <color rgb="FFD0D0D0"/>
      </left>
      <right style="medium">
        <color rgb="FF1B6B73"/>
      </right>
      <top style="thin">
        <color rgb="FFD0D0D0"/>
      </top>
      <bottom style="thin">
        <color rgb="FFD0D0D0"/>
      </bottom>
      <diagonal/>
    </border>
    <border>
      <left style="medium">
        <color rgb="FF1B6B73"/>
      </left>
      <right style="thin">
        <color rgb="FFD0D0D0"/>
      </right>
      <top style="thin">
        <color rgb="FFD0D0D0"/>
      </top>
      <bottom style="medium">
        <color rgb="FF1B6B73"/>
      </bottom>
      <diagonal/>
    </border>
    <border>
      <left style="thin">
        <color rgb="FFD0D0D0"/>
      </left>
      <right style="thin">
        <color rgb="FFD0D0D0"/>
      </right>
      <top style="thin">
        <color rgb="FFD0D0D0"/>
      </top>
      <bottom style="medium">
        <color rgb="FF1B6B73"/>
      </bottom>
      <diagonal/>
    </border>
    <border>
      <left style="thin">
        <color rgb="FFD0D0D0"/>
      </left>
      <right style="medium">
        <color rgb="FF1B6B73"/>
      </right>
      <top style="thin">
        <color rgb="FFD0D0D0"/>
      </top>
      <bottom style="medium">
        <color rgb="FF1B6B73"/>
      </bottom>
      <diagonal/>
    </border>
    <border>
      <left style="medium">
        <color rgb="FF375623"/>
      </left>
      <right style="thin">
        <color rgb="FFD0D0D0"/>
      </right>
      <top style="medium">
        <color rgb="FF375623"/>
      </top>
      <bottom style="thin">
        <color rgb="FFD0D0D0"/>
      </bottom>
      <diagonal/>
    </border>
    <border>
      <left style="thin">
        <color rgb="FFD0D0D0"/>
      </left>
      <right style="thin">
        <color rgb="FFD0D0D0"/>
      </right>
      <top style="medium">
        <color rgb="FF375623"/>
      </top>
      <bottom style="thin">
        <color rgb="FFD0D0D0"/>
      </bottom>
      <diagonal/>
    </border>
    <border>
      <left style="thin">
        <color rgb="FFD0D0D0"/>
      </left>
      <right style="medium">
        <color rgb="FF375623"/>
      </right>
      <top style="medium">
        <color rgb="FF375623"/>
      </top>
      <bottom style="thin">
        <color rgb="FFD0D0D0"/>
      </bottom>
      <diagonal/>
    </border>
    <border>
      <left style="medium">
        <color rgb="FF375623"/>
      </left>
      <right style="thin">
        <color rgb="FFD0D0D0"/>
      </right>
      <top style="thin">
        <color rgb="FFD0D0D0"/>
      </top>
      <bottom style="thin">
        <color rgb="FFD0D0D0"/>
      </bottom>
      <diagonal/>
    </border>
    <border>
      <left style="thin">
        <color rgb="FFD0D0D0"/>
      </left>
      <right style="medium">
        <color rgb="FF375623"/>
      </right>
      <top style="thin">
        <color rgb="FFD0D0D0"/>
      </top>
      <bottom style="thin">
        <color rgb="FFD0D0D0"/>
      </bottom>
      <diagonal/>
    </border>
    <border>
      <left style="medium">
        <color rgb="FF375623"/>
      </left>
      <right style="thin">
        <color rgb="FFD0D0D0"/>
      </right>
      <top style="thin">
        <color rgb="FFD0D0D0"/>
      </top>
      <bottom style="thin">
        <color rgb="FF375623"/>
      </bottom>
      <diagonal/>
    </border>
    <border>
      <left style="thin">
        <color rgb="FFD0D0D0"/>
      </left>
      <right style="thin">
        <color rgb="FFD0D0D0"/>
      </right>
      <top style="thin">
        <color rgb="FFD0D0D0"/>
      </top>
      <bottom style="thin">
        <color rgb="FF375623"/>
      </bottom>
      <diagonal/>
    </border>
    <border>
      <left style="thin">
        <color rgb="FFD0D0D0"/>
      </left>
      <right style="medium">
        <color rgb="FF375623"/>
      </right>
      <top style="thin">
        <color rgb="FFD0D0D0"/>
      </top>
      <bottom style="thin">
        <color rgb="FF375623"/>
      </bottom>
      <diagonal/>
    </border>
    <border>
      <left style="medium">
        <color rgb="FF375623"/>
      </left>
      <right style="thin">
        <color rgb="FFD0D0D0"/>
      </right>
      <top style="thin">
        <color rgb="FFD0D0D0"/>
      </top>
      <bottom style="medium">
        <color rgb="FF375623"/>
      </bottom>
      <diagonal/>
    </border>
    <border>
      <left style="thin">
        <color rgb="FFD0D0D0"/>
      </left>
      <right style="thin">
        <color rgb="FFD0D0D0"/>
      </right>
      <top style="thin">
        <color rgb="FFD0D0D0"/>
      </top>
      <bottom style="medium">
        <color rgb="FF375623"/>
      </bottom>
      <diagonal/>
    </border>
    <border>
      <left style="thin">
        <color rgb="FFD0D0D0"/>
      </left>
      <right style="medium">
        <color rgb="FF375623"/>
      </right>
      <top style="thin">
        <color rgb="FFD0D0D0"/>
      </top>
      <bottom style="medium">
        <color rgb="FF375623"/>
      </bottom>
      <diagonal/>
    </border>
    <border>
      <left style="medium">
        <color rgb="FF4F6228"/>
      </left>
      <right style="thin">
        <color rgb="FFD0D0D0"/>
      </right>
      <top style="medium">
        <color rgb="FF4F6228"/>
      </top>
      <bottom style="thin">
        <color rgb="FFD0D0D0"/>
      </bottom>
      <diagonal/>
    </border>
    <border>
      <left style="thin">
        <color rgb="FFD0D0D0"/>
      </left>
      <right style="thin">
        <color rgb="FFD0D0D0"/>
      </right>
      <top style="medium">
        <color rgb="FF4F6228"/>
      </top>
      <bottom style="thin">
        <color rgb="FFD0D0D0"/>
      </bottom>
      <diagonal/>
    </border>
    <border>
      <left style="thin">
        <color rgb="FFD0D0D0"/>
      </left>
      <right style="medium">
        <color rgb="FF4F6228"/>
      </right>
      <top style="medium">
        <color rgb="FF4F6228"/>
      </top>
      <bottom style="thin">
        <color rgb="FFD0D0D0"/>
      </bottom>
      <diagonal/>
    </border>
    <border>
      <left style="medium">
        <color rgb="FF4F6228"/>
      </left>
      <right style="thin">
        <color rgb="FFD0D0D0"/>
      </right>
      <top style="thin">
        <color rgb="FFD0D0D0"/>
      </top>
      <bottom style="thin">
        <color rgb="FF4F6228"/>
      </bottom>
      <diagonal/>
    </border>
    <border>
      <left style="thin">
        <color rgb="FFD0D0D0"/>
      </left>
      <right style="thin">
        <color rgb="FFD0D0D0"/>
      </right>
      <top style="thin">
        <color rgb="FFD0D0D0"/>
      </top>
      <bottom style="thin">
        <color rgb="FF4F6228"/>
      </bottom>
      <diagonal/>
    </border>
    <border>
      <left style="thin">
        <color rgb="FFD0D0D0"/>
      </left>
      <right style="medium">
        <color rgb="FF4F6228"/>
      </right>
      <top style="thin">
        <color rgb="FFD0D0D0"/>
      </top>
      <bottom style="thin">
        <color rgb="FF4F6228"/>
      </bottom>
      <diagonal/>
    </border>
    <border>
      <left style="medium">
        <color rgb="FF4F6228"/>
      </left>
      <right style="thin">
        <color rgb="FFD0D0D0"/>
      </right>
      <top style="thin">
        <color rgb="FFD0D0D0"/>
      </top>
      <bottom style="thin">
        <color rgb="FFD0D0D0"/>
      </bottom>
      <diagonal/>
    </border>
    <border>
      <left style="thin">
        <color rgb="FFD0D0D0"/>
      </left>
      <right style="medium">
        <color rgb="FF4F6228"/>
      </right>
      <top style="thin">
        <color rgb="FFD0D0D0"/>
      </top>
      <bottom style="thin">
        <color rgb="FFD0D0D0"/>
      </bottom>
      <diagonal/>
    </border>
    <border>
      <left style="medium">
        <color rgb="FF4F6228"/>
      </left>
      <right style="thin">
        <color rgb="FFD0D0D0"/>
      </right>
      <top style="thin">
        <color rgb="FFD0D0D0"/>
      </top>
      <bottom style="medium">
        <color rgb="FF4F6228"/>
      </bottom>
      <diagonal/>
    </border>
    <border>
      <left style="thin">
        <color rgb="FFD0D0D0"/>
      </left>
      <right style="thin">
        <color rgb="FFD0D0D0"/>
      </right>
      <top style="thin">
        <color rgb="FFD0D0D0"/>
      </top>
      <bottom style="medium">
        <color rgb="FF4F6228"/>
      </bottom>
      <diagonal/>
    </border>
    <border>
      <left style="thin">
        <color rgb="FFD0D0D0"/>
      </left>
      <right style="medium">
        <color rgb="FF4F6228"/>
      </right>
      <top style="thin">
        <color rgb="FFD0D0D0"/>
      </top>
      <bottom style="medium">
        <color rgb="FF4F6228"/>
      </bottom>
      <diagonal/>
    </border>
    <border>
      <left style="medium">
        <color rgb="FF203864"/>
      </left>
      <right style="thin">
        <color rgb="FFD0D0D0"/>
      </right>
      <top style="medium">
        <color rgb="FF203864"/>
      </top>
      <bottom style="thin">
        <color rgb="FFD0D0D0"/>
      </bottom>
      <diagonal/>
    </border>
    <border>
      <left style="thin">
        <color rgb="FFD0D0D0"/>
      </left>
      <right style="thin">
        <color rgb="FFD0D0D0"/>
      </right>
      <top style="medium">
        <color rgb="FF203864"/>
      </top>
      <bottom style="thin">
        <color rgb="FFD0D0D0"/>
      </bottom>
      <diagonal/>
    </border>
    <border>
      <left style="thin">
        <color rgb="FFD0D0D0"/>
      </left>
      <right style="medium">
        <color rgb="FF203864"/>
      </right>
      <top style="medium">
        <color rgb="FF203864"/>
      </top>
      <bottom style="thin">
        <color rgb="FFD0D0D0"/>
      </bottom>
      <diagonal/>
    </border>
    <border>
      <left style="medium">
        <color rgb="FF203864"/>
      </left>
      <right style="thin">
        <color rgb="FFD0D0D0"/>
      </right>
      <top style="thin">
        <color rgb="FFD0D0D0"/>
      </top>
      <bottom style="thin">
        <color rgb="FF203864"/>
      </bottom>
      <diagonal/>
    </border>
    <border>
      <left style="thin">
        <color rgb="FFD0D0D0"/>
      </left>
      <right style="thin">
        <color rgb="FFD0D0D0"/>
      </right>
      <top style="thin">
        <color rgb="FFD0D0D0"/>
      </top>
      <bottom style="thin">
        <color rgb="FF203864"/>
      </bottom>
      <diagonal/>
    </border>
    <border>
      <left style="thin">
        <color rgb="FFD0D0D0"/>
      </left>
      <right style="medium">
        <color rgb="FF203864"/>
      </right>
      <top style="thin">
        <color rgb="FFD0D0D0"/>
      </top>
      <bottom style="thin">
        <color rgb="FF203864"/>
      </bottom>
      <diagonal/>
    </border>
    <border>
      <left style="medium">
        <color rgb="FF203864"/>
      </left>
      <right style="thin">
        <color rgb="FFD0D0D0"/>
      </right>
      <top style="thin">
        <color rgb="FFD0D0D0"/>
      </top>
      <bottom style="thin">
        <color rgb="FFD0D0D0"/>
      </bottom>
      <diagonal/>
    </border>
    <border>
      <left style="thin">
        <color rgb="FFD0D0D0"/>
      </left>
      <right style="medium">
        <color rgb="FF203864"/>
      </right>
      <top style="thin">
        <color rgb="FFD0D0D0"/>
      </top>
      <bottom style="thin">
        <color rgb="FFD0D0D0"/>
      </bottom>
      <diagonal/>
    </border>
    <border>
      <left style="medium">
        <color rgb="FF203864"/>
      </left>
      <right style="thin">
        <color rgb="FFD0D0D0"/>
      </right>
      <top style="thin">
        <color rgb="FFD0D0D0"/>
      </top>
      <bottom style="medium">
        <color rgb="FF203864"/>
      </bottom>
      <diagonal/>
    </border>
    <border>
      <left style="thin">
        <color rgb="FFD0D0D0"/>
      </left>
      <right style="thin">
        <color rgb="FFD0D0D0"/>
      </right>
      <top style="thin">
        <color rgb="FFD0D0D0"/>
      </top>
      <bottom style="medium">
        <color rgb="FF203864"/>
      </bottom>
      <diagonal/>
    </border>
    <border>
      <left style="thin">
        <color rgb="FFD0D0D0"/>
      </left>
      <right style="medium">
        <color rgb="FF203864"/>
      </right>
      <top style="thin">
        <color rgb="FFD0D0D0"/>
      </top>
      <bottom style="medium">
        <color rgb="FF203864"/>
      </bottom>
      <diagonal/>
    </border>
    <border>
      <left style="medium">
        <color rgb="FFA50021"/>
      </left>
      <right style="thin">
        <color rgb="FFD0D0D0"/>
      </right>
      <top style="medium">
        <color rgb="FFA50021"/>
      </top>
      <bottom style="thin">
        <color rgb="FFD0D0D0"/>
      </bottom>
      <diagonal/>
    </border>
    <border>
      <left style="thin">
        <color rgb="FFD0D0D0"/>
      </left>
      <right style="thin">
        <color rgb="FFD0D0D0"/>
      </right>
      <top style="medium">
        <color rgb="FFA50021"/>
      </top>
      <bottom style="thin">
        <color rgb="FFD0D0D0"/>
      </bottom>
      <diagonal/>
    </border>
    <border>
      <left style="thin">
        <color rgb="FFD0D0D0"/>
      </left>
      <right style="medium">
        <color rgb="FFA50021"/>
      </right>
      <top style="medium">
        <color rgb="FFA50021"/>
      </top>
      <bottom style="thin">
        <color rgb="FFD0D0D0"/>
      </bottom>
      <diagonal/>
    </border>
    <border>
      <left style="medium">
        <color rgb="FFA50021"/>
      </left>
      <right style="thin">
        <color rgb="FFD0D0D0"/>
      </right>
      <top style="thin">
        <color rgb="FFD0D0D0"/>
      </top>
      <bottom style="thin">
        <color rgb="FFA50021"/>
      </bottom>
      <diagonal/>
    </border>
    <border>
      <left style="thin">
        <color rgb="FFD0D0D0"/>
      </left>
      <right style="thin">
        <color rgb="FFD0D0D0"/>
      </right>
      <top style="thin">
        <color rgb="FFD0D0D0"/>
      </top>
      <bottom style="thin">
        <color rgb="FFA50021"/>
      </bottom>
      <diagonal/>
    </border>
    <border>
      <left style="thin">
        <color rgb="FFD0D0D0"/>
      </left>
      <right style="medium">
        <color rgb="FFA50021"/>
      </right>
      <top style="thin">
        <color rgb="FFD0D0D0"/>
      </top>
      <bottom style="thin">
        <color rgb="FFA50021"/>
      </bottom>
      <diagonal/>
    </border>
    <border>
      <left style="medium">
        <color rgb="FFA50021"/>
      </left>
      <right style="thin">
        <color rgb="FFD0D0D0"/>
      </right>
      <top style="thin">
        <color rgb="FFD0D0D0"/>
      </top>
      <bottom style="thin">
        <color rgb="FFD0D0D0"/>
      </bottom>
      <diagonal/>
    </border>
    <border>
      <left style="thin">
        <color rgb="FFD0D0D0"/>
      </left>
      <right style="medium">
        <color rgb="FFA50021"/>
      </right>
      <top style="thin">
        <color rgb="FFD0D0D0"/>
      </top>
      <bottom style="thin">
        <color rgb="FFD0D0D0"/>
      </bottom>
      <diagonal/>
    </border>
    <border>
      <left style="medium">
        <color rgb="FFA50021"/>
      </left>
      <right style="thin">
        <color rgb="FFD0D0D0"/>
      </right>
      <top style="thin">
        <color rgb="FFD0D0D0"/>
      </top>
      <bottom style="medium">
        <color rgb="FFA50021"/>
      </bottom>
      <diagonal/>
    </border>
    <border>
      <left style="thin">
        <color rgb="FFD0D0D0"/>
      </left>
      <right style="thin">
        <color rgb="FFD0D0D0"/>
      </right>
      <top style="thin">
        <color rgb="FFD0D0D0"/>
      </top>
      <bottom style="medium">
        <color rgb="FFA50021"/>
      </bottom>
      <diagonal/>
    </border>
    <border>
      <left style="thin">
        <color rgb="FFD0D0D0"/>
      </left>
      <right style="medium">
        <color rgb="FFA50021"/>
      </right>
      <top style="thin">
        <color rgb="FFD0D0D0"/>
      </top>
      <bottom style="medium">
        <color rgb="FFA50021"/>
      </bottom>
      <diagonal/>
    </border>
    <border>
      <left style="medium">
        <color rgb="FFC55A11"/>
      </left>
      <right style="thin">
        <color rgb="FFD0D0D0"/>
      </right>
      <top style="medium">
        <color rgb="FFC55A11"/>
      </top>
      <bottom style="thin">
        <color rgb="FFD0D0D0"/>
      </bottom>
      <diagonal/>
    </border>
    <border>
      <left style="thin">
        <color rgb="FFD0D0D0"/>
      </left>
      <right style="thin">
        <color rgb="FFD0D0D0"/>
      </right>
      <top style="medium">
        <color rgb="FFC55A11"/>
      </top>
      <bottom style="thin">
        <color rgb="FFD0D0D0"/>
      </bottom>
      <diagonal/>
    </border>
    <border>
      <left style="thin">
        <color rgb="FFD0D0D0"/>
      </left>
      <right style="medium">
        <color rgb="FFC55A11"/>
      </right>
      <top style="medium">
        <color rgb="FFC55A11"/>
      </top>
      <bottom style="thin">
        <color rgb="FFD0D0D0"/>
      </bottom>
      <diagonal/>
    </border>
    <border>
      <left style="medium">
        <color rgb="FFC55A11"/>
      </left>
      <right style="thin">
        <color rgb="FFD0D0D0"/>
      </right>
      <top style="thin">
        <color rgb="FFD0D0D0"/>
      </top>
      <bottom style="thin">
        <color rgb="FFC55A11"/>
      </bottom>
      <diagonal/>
    </border>
    <border>
      <left style="thin">
        <color rgb="FFD0D0D0"/>
      </left>
      <right style="thin">
        <color rgb="FFD0D0D0"/>
      </right>
      <top style="thin">
        <color rgb="FFD0D0D0"/>
      </top>
      <bottom style="thin">
        <color rgb="FFC55A11"/>
      </bottom>
      <diagonal/>
    </border>
    <border>
      <left style="thin">
        <color rgb="FFD0D0D0"/>
      </left>
      <right style="medium">
        <color rgb="FFC55A11"/>
      </right>
      <top style="thin">
        <color rgb="FFD0D0D0"/>
      </top>
      <bottom style="thin">
        <color rgb="FFC55A11"/>
      </bottom>
      <diagonal/>
    </border>
    <border>
      <left style="medium">
        <color rgb="FFC55A11"/>
      </left>
      <right style="thin">
        <color rgb="FFD0D0D0"/>
      </right>
      <top style="thin">
        <color rgb="FFD0D0D0"/>
      </top>
      <bottom style="thin">
        <color rgb="FFD0D0D0"/>
      </bottom>
      <diagonal/>
    </border>
    <border>
      <left style="thin">
        <color rgb="FFD0D0D0"/>
      </left>
      <right style="medium">
        <color rgb="FFC55A11"/>
      </right>
      <top style="thin">
        <color rgb="FFD0D0D0"/>
      </top>
      <bottom style="thin">
        <color rgb="FFD0D0D0"/>
      </bottom>
      <diagonal/>
    </border>
    <border>
      <left style="medium">
        <color rgb="FFC55A11"/>
      </left>
      <right style="thin">
        <color rgb="FFD0D0D0"/>
      </right>
      <top style="thin">
        <color rgb="FFD0D0D0"/>
      </top>
      <bottom style="medium">
        <color rgb="FFC55A11"/>
      </bottom>
      <diagonal/>
    </border>
    <border>
      <left style="thin">
        <color rgb="FFD0D0D0"/>
      </left>
      <right style="thin">
        <color rgb="FFD0D0D0"/>
      </right>
      <top style="thin">
        <color rgb="FFD0D0D0"/>
      </top>
      <bottom style="medium">
        <color rgb="FFC55A11"/>
      </bottom>
      <diagonal/>
    </border>
    <border>
      <left style="thin">
        <color rgb="FFD0D0D0"/>
      </left>
      <right style="medium">
        <color rgb="FFC55A11"/>
      </right>
      <top style="thin">
        <color rgb="FFD0D0D0"/>
      </top>
      <bottom style="medium">
        <color rgb="FFC55A11"/>
      </bottom>
      <diagonal/>
    </border>
    <border>
      <left style="thin">
        <color rgb="FFD0D0D0"/>
      </left>
      <right style="medium">
        <color rgb="FF595959"/>
      </right>
      <top style="thin">
        <color rgb="FFD0D0D0"/>
      </top>
      <bottom style="thin">
        <color rgb="FFC55A11"/>
      </bottom>
      <diagonal/>
    </border>
    <border>
      <left style="medium">
        <color rgb="FF843C0C"/>
      </left>
      <right style="thin">
        <color rgb="FFD0D0D0"/>
      </right>
      <top style="medium">
        <color rgb="FF843C0C"/>
      </top>
      <bottom style="thin">
        <color rgb="FFD0D0D0"/>
      </bottom>
      <diagonal/>
    </border>
    <border>
      <left style="thin">
        <color rgb="FFD0D0D0"/>
      </left>
      <right style="thin">
        <color rgb="FFD0D0D0"/>
      </right>
      <top style="medium">
        <color rgb="FF843C0C"/>
      </top>
      <bottom style="thin">
        <color rgb="FFD0D0D0"/>
      </bottom>
      <diagonal/>
    </border>
    <border>
      <left style="thin">
        <color rgb="FFD0D0D0"/>
      </left>
      <right style="medium">
        <color rgb="FF843C0C"/>
      </right>
      <top style="medium">
        <color rgb="FF843C0C"/>
      </top>
      <bottom style="thin">
        <color rgb="FFD0D0D0"/>
      </bottom>
      <diagonal/>
    </border>
    <border>
      <left style="medium">
        <color rgb="FF843C0C"/>
      </left>
      <right style="thin">
        <color rgb="FFD0D0D0"/>
      </right>
      <top style="thin">
        <color rgb="FFD0D0D0"/>
      </top>
      <bottom style="thin">
        <color rgb="FFD0D0D0"/>
      </bottom>
      <diagonal/>
    </border>
    <border>
      <left style="thin">
        <color rgb="FFD0D0D0"/>
      </left>
      <right style="medium">
        <color rgb="FF843C0C"/>
      </right>
      <top style="thin">
        <color rgb="FFD0D0D0"/>
      </top>
      <bottom style="thin">
        <color rgb="FFD0D0D0"/>
      </bottom>
      <diagonal/>
    </border>
    <border>
      <left style="medium">
        <color rgb="FF843C0C"/>
      </left>
      <right style="thin">
        <color rgb="FFD0D0D0"/>
      </right>
      <top style="thin">
        <color rgb="FFD0D0D0"/>
      </top>
      <bottom style="medium">
        <color rgb="FF843C0C"/>
      </bottom>
      <diagonal/>
    </border>
    <border>
      <left style="thin">
        <color rgb="FFD0D0D0"/>
      </left>
      <right style="thin">
        <color rgb="FFD0D0D0"/>
      </right>
      <top style="thin">
        <color rgb="FFD0D0D0"/>
      </top>
      <bottom style="medium">
        <color rgb="FF843C0C"/>
      </bottom>
      <diagonal/>
    </border>
    <border>
      <left style="thin">
        <color rgb="FFD0D0D0"/>
      </left>
      <right style="medium">
        <color rgb="FF843C0C"/>
      </right>
      <top style="thin">
        <color rgb="FFD0D0D0"/>
      </top>
      <bottom style="medium">
        <color rgb="FF843C0C"/>
      </bottom>
      <diagonal/>
    </border>
    <border>
      <left style="thin">
        <color rgb="FFD0D0D0"/>
      </left>
      <right style="thin">
        <color rgb="FFD0D0D0"/>
      </right>
      <top style="thin">
        <color rgb="FFD0D0D0"/>
      </top>
      <bottom style="thin">
        <color rgb="FF843C0C"/>
      </bottom>
      <diagonal/>
    </border>
    <border>
      <left style="thin">
        <color rgb="FFD0D0D0"/>
      </left>
      <right style="medium">
        <color rgb="FF595959"/>
      </right>
      <top style="thin">
        <color rgb="FFD0D0D0"/>
      </top>
      <bottom style="thin">
        <color rgb="FF843C0C"/>
      </bottom>
      <diagonal/>
    </border>
    <border>
      <left style="medium">
        <color rgb="FF843C0C"/>
      </left>
      <right style="thin">
        <color rgb="FFD0D0D0"/>
      </right>
      <top style="thin">
        <color rgb="FFD0D0D0"/>
      </top>
      <bottom style="thin">
        <color rgb="FF843C0C"/>
      </bottom>
      <diagonal/>
    </border>
    <border>
      <left style="thin">
        <color rgb="FFD0D0D0"/>
      </left>
      <right style="medium">
        <color rgb="FF843C0C"/>
      </right>
      <top style="thin">
        <color rgb="FFD0D0D0"/>
      </top>
      <bottom style="thin">
        <color rgb="FF843C0C"/>
      </bottom>
      <diagonal/>
    </border>
    <border>
      <left style="medium">
        <color rgb="FF203864"/>
      </left>
      <right style="thin">
        <color rgb="FFD0D0D0"/>
      </right>
      <top style="medium">
        <color rgb="FF203864"/>
      </top>
      <bottom style="medium">
        <color rgb="FF203864"/>
      </bottom>
      <diagonal/>
    </border>
    <border>
      <left style="thin">
        <color rgb="FFD0D0D0"/>
      </left>
      <right style="thin">
        <color rgb="FFD0D0D0"/>
      </right>
      <top style="medium">
        <color rgb="FF203864"/>
      </top>
      <bottom style="medium">
        <color rgb="FF203864"/>
      </bottom>
      <diagonal/>
    </border>
    <border>
      <left style="thin">
        <color rgb="FFD0D0D0"/>
      </left>
      <right style="medium">
        <color rgb="FF203864"/>
      </right>
      <top style="medium">
        <color rgb="FF203864"/>
      </top>
      <bottom style="medium">
        <color rgb="FF203864"/>
      </bottom>
      <diagonal/>
    </border>
    <border>
      <left style="medium">
        <color rgb="FF595959"/>
      </left>
      <right style="thin">
        <color rgb="FFD0D0D0"/>
      </right>
      <top style="medium">
        <color rgb="FF595959"/>
      </top>
      <bottom style="thin">
        <color rgb="FFD0D0D0"/>
      </bottom>
    </border>
    <border>
      <left style="thin">
        <color rgb="FFD0D0D0"/>
      </left>
      <right style="thin">
        <color rgb="FFD0D0D0"/>
      </right>
      <top style="medium">
        <color rgb="FF595959"/>
      </top>
      <bottom style="thin">
        <color rgb="FFD0D0D0"/>
      </bottom>
    </border>
    <border>
      <left style="thin">
        <color rgb="FFD0D0D0"/>
      </left>
      <right style="medium">
        <color rgb="FF595959"/>
      </right>
      <top style="medium">
        <color rgb="FF595959"/>
      </top>
      <bottom style="thin">
        <color rgb="FFD0D0D0"/>
      </bottom>
    </border>
    <border>
      <left style="medium">
        <color rgb="FF595959"/>
      </left>
      <right style="thin">
        <color rgb="FFD0D0D0"/>
      </right>
      <top style="thin">
        <color rgb="FFD0D0D0"/>
      </top>
      <bottom style="thin">
        <color rgb="FF595959"/>
      </bottom>
    </border>
    <border>
      <left style="thin">
        <color rgb="FFD0D0D0"/>
      </left>
      <right style="thin">
        <color rgb="FFD0D0D0"/>
      </right>
      <top style="thin">
        <color rgb="FFD0D0D0"/>
      </top>
      <bottom style="thin">
        <color rgb="FF595959"/>
      </bottom>
    </border>
    <border>
      <left style="thin">
        <color rgb="FFD0D0D0"/>
      </left>
      <right style="medium">
        <color rgb="FF595959"/>
      </right>
      <top style="thin">
        <color rgb="FFD0D0D0"/>
      </top>
      <bottom style="thin">
        <color rgb="FF595959"/>
      </bottom>
    </border>
    <border>
      <left style="medium">
        <color rgb="FF595959"/>
      </left>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right style="medium">
        <color rgb="FF595959"/>
      </right>
      <top style="thin">
        <color rgb="FFD0D0D0"/>
      </top>
      <bottom style="thin">
        <color rgb="FFD0D0D0"/>
      </bottom>
    </border>
    <border>
      <left style="medium">
        <color rgb="FF595959"/>
      </left>
      <right style="thin">
        <color rgb="FFD0D0D0"/>
      </right>
      <top style="thin">
        <color rgb="FFD0D0D0"/>
      </top>
      <bottom style="medium">
        <color rgb="FF595959"/>
      </bottom>
    </border>
    <border>
      <left style="thin">
        <color rgb="FFD0D0D0"/>
      </left>
      <right style="thin">
        <color rgb="FFD0D0D0"/>
      </right>
      <top style="thin">
        <color rgb="FFD0D0D0"/>
      </top>
      <bottom style="medium">
        <color rgb="FF595959"/>
      </bottom>
    </border>
    <border>
      <left style="thin">
        <color rgb="FFD0D0D0"/>
      </left>
      <right style="medium">
        <color rgb="FF595959"/>
      </right>
      <top style="thin">
        <color rgb="FFD0D0D0"/>
      </top>
      <bottom style="medium">
        <color rgb="FF595959"/>
      </bottom>
    </border>
    <border>
      <left style="medium">
        <color rgb="FF806000"/>
      </left>
      <right style="thin">
        <color rgb="FFD0D0D0"/>
      </right>
      <top style="medium">
        <color rgb="FF806000"/>
      </top>
      <bottom style="thin">
        <color rgb="FFD0D0D0"/>
      </bottom>
    </border>
    <border>
      <left style="thin">
        <color rgb="FFD0D0D0"/>
      </left>
      <right style="thin">
        <color rgb="FFD0D0D0"/>
      </right>
      <top style="medium">
        <color rgb="FF806000"/>
      </top>
      <bottom style="thin">
        <color rgb="FFD0D0D0"/>
      </bottom>
    </border>
    <border>
      <left style="thin">
        <color rgb="FFD0D0D0"/>
      </left>
      <right style="medium">
        <color rgb="FF806000"/>
      </right>
      <top style="medium">
        <color rgb="FF806000"/>
      </top>
      <bottom style="thin">
        <color rgb="FFD0D0D0"/>
      </bottom>
    </border>
    <border>
      <left style="medium">
        <color rgb="FF806000"/>
      </left>
      <right style="thin">
        <color rgb="FFD0D0D0"/>
      </right>
      <top style="thin">
        <color rgb="FFD0D0D0"/>
      </top>
      <bottom style="thin">
        <color rgb="FF806000"/>
      </bottom>
    </border>
    <border>
      <left style="thin">
        <color rgb="FFD0D0D0"/>
      </left>
      <right style="thin">
        <color rgb="FFD0D0D0"/>
      </right>
      <top style="thin">
        <color rgb="FFD0D0D0"/>
      </top>
      <bottom style="thin">
        <color rgb="FF806000"/>
      </bottom>
    </border>
    <border>
      <left style="thin">
        <color rgb="FFD0D0D0"/>
      </left>
      <right style="medium">
        <color rgb="FF806000"/>
      </right>
      <top style="thin">
        <color rgb="FFD0D0D0"/>
      </top>
      <bottom style="thin">
        <color rgb="FF806000"/>
      </bottom>
    </border>
    <border>
      <left style="medium">
        <color rgb="FF806000"/>
      </left>
      <right style="thin">
        <color rgb="FFD0D0D0"/>
      </right>
      <top style="thin">
        <color rgb="FFD0D0D0"/>
      </top>
      <bottom style="thin">
        <color rgb="FFD0D0D0"/>
      </bottom>
    </border>
    <border>
      <left style="thin">
        <color rgb="FFD0D0D0"/>
      </left>
      <right style="medium">
        <color rgb="FF806000"/>
      </right>
      <top style="thin">
        <color rgb="FFD0D0D0"/>
      </top>
      <bottom style="thin">
        <color rgb="FFD0D0D0"/>
      </bottom>
    </border>
    <border>
      <left style="medium">
        <color rgb="FF806000"/>
      </left>
      <right style="thin">
        <color rgb="FFD0D0D0"/>
      </right>
      <top style="thin">
        <color rgb="FFD0D0D0"/>
      </top>
      <bottom style="medium">
        <color rgb="FF806000"/>
      </bottom>
    </border>
    <border>
      <left style="thin">
        <color rgb="FFD0D0D0"/>
      </left>
      <right style="thin">
        <color rgb="FFD0D0D0"/>
      </right>
      <top style="thin">
        <color rgb="FFD0D0D0"/>
      </top>
      <bottom style="medium">
        <color rgb="FF806000"/>
      </bottom>
    </border>
    <border>
      <left style="thin">
        <color rgb="FFD0D0D0"/>
      </left>
      <right style="medium">
        <color rgb="FF806000"/>
      </right>
      <top style="thin">
        <color rgb="FFD0D0D0"/>
      </top>
      <bottom style="medium">
        <color rgb="FF806000"/>
      </bottom>
    </border>
    <border>
      <left style="medium">
        <color rgb="FF4F6228"/>
      </left>
      <right style="thin">
        <color rgb="FFD0D0D0"/>
      </right>
      <top style="medium">
        <color rgb="FF4F6228"/>
      </top>
      <bottom style="thin">
        <color rgb="FFD0D0D0"/>
      </bottom>
    </border>
    <border>
      <left style="thin">
        <color rgb="FFD0D0D0"/>
      </left>
      <right style="thin">
        <color rgb="FFD0D0D0"/>
      </right>
      <top style="medium">
        <color rgb="FF4F6228"/>
      </top>
      <bottom style="thin">
        <color rgb="FFD0D0D0"/>
      </bottom>
    </border>
    <border>
      <left style="thin">
        <color rgb="FFD0D0D0"/>
      </left>
      <right style="medium">
        <color rgb="FF4F6228"/>
      </right>
      <top style="medium">
        <color rgb="FF4F6228"/>
      </top>
      <bottom style="thin">
        <color rgb="FFD0D0D0"/>
      </bottom>
    </border>
    <border>
      <left style="medium">
        <color rgb="FF4F6228"/>
      </left>
      <right style="thin">
        <color rgb="FFD0D0D0"/>
      </right>
      <top style="thin">
        <color rgb="FFD0D0D0"/>
      </top>
      <bottom style="thin">
        <color rgb="FF4F6228"/>
      </bottom>
    </border>
    <border>
      <left style="thin">
        <color rgb="FFD0D0D0"/>
      </left>
      <right style="thin">
        <color rgb="FFD0D0D0"/>
      </right>
      <top style="thin">
        <color rgb="FFD0D0D0"/>
      </top>
      <bottom style="thin">
        <color rgb="FF4F6228"/>
      </bottom>
    </border>
    <border>
      <left style="thin">
        <color rgb="FFD0D0D0"/>
      </left>
      <right style="medium">
        <color rgb="FF4F6228"/>
      </right>
      <top style="thin">
        <color rgb="FFD0D0D0"/>
      </top>
      <bottom style="thin">
        <color rgb="FF4F6228"/>
      </bottom>
    </border>
    <border>
      <left style="medium">
        <color rgb="FF4F6228"/>
      </left>
      <right style="thin">
        <color rgb="FFD0D0D0"/>
      </right>
      <top style="thin">
        <color rgb="FFD0D0D0"/>
      </top>
      <bottom style="thin">
        <color rgb="FFD0D0D0"/>
      </bottom>
    </border>
    <border>
      <left style="thin">
        <color rgb="FFD0D0D0"/>
      </left>
      <right style="medium">
        <color rgb="FF4F6228"/>
      </right>
      <top style="thin">
        <color rgb="FFD0D0D0"/>
      </top>
      <bottom style="thin">
        <color rgb="FFD0D0D0"/>
      </bottom>
    </border>
    <border>
      <left style="medium">
        <color rgb="FF4F6228"/>
      </left>
      <right style="thin">
        <color rgb="FFD0D0D0"/>
      </right>
      <top style="thin">
        <color rgb="FFD0D0D0"/>
      </top>
      <bottom style="medium">
        <color rgb="FF4F6228"/>
      </bottom>
    </border>
    <border>
      <left style="thin">
        <color rgb="FFD0D0D0"/>
      </left>
      <right style="thin">
        <color rgb="FFD0D0D0"/>
      </right>
      <top style="thin">
        <color rgb="FFD0D0D0"/>
      </top>
      <bottom style="medium">
        <color rgb="FF4F6228"/>
      </bottom>
    </border>
    <border>
      <left style="thin">
        <color rgb="FFD0D0D0"/>
      </left>
      <right style="medium">
        <color rgb="FF4F6228"/>
      </right>
      <top style="thin">
        <color rgb="FFD0D0D0"/>
      </top>
      <bottom style="medium">
        <color rgb="FF4F6228"/>
      </bottom>
    </border>
    <border>
      <left style="medium">
        <color rgb="FF5B2C83"/>
      </left>
      <right style="thin">
        <color rgb="FFD0D0D0"/>
      </right>
      <top style="medium">
        <color rgb="FF5B2C83"/>
      </top>
      <bottom style="thin">
        <color rgb="FFD0D0D0"/>
      </bottom>
    </border>
    <border>
      <left style="thin">
        <color rgb="FFD0D0D0"/>
      </left>
      <right style="thin">
        <color rgb="FFD0D0D0"/>
      </right>
      <top style="medium">
        <color rgb="FF5B2C83"/>
      </top>
      <bottom style="thin">
        <color rgb="FFD0D0D0"/>
      </bottom>
    </border>
    <border>
      <left style="thin">
        <color rgb="FFD0D0D0"/>
      </left>
      <right style="medium">
        <color rgb="FF5B2C83"/>
      </right>
      <top style="medium">
        <color rgb="FF5B2C83"/>
      </top>
      <bottom style="thin">
        <color rgb="FFD0D0D0"/>
      </bottom>
    </border>
    <border>
      <left style="medium">
        <color rgb="FF5B2C83"/>
      </left>
      <right style="thin">
        <color rgb="FFD0D0D0"/>
      </right>
      <top style="thin">
        <color rgb="FFD0D0D0"/>
      </top>
      <bottom style="thin">
        <color rgb="FF5B2C83"/>
      </bottom>
    </border>
    <border>
      <left style="thin">
        <color rgb="FFD0D0D0"/>
      </left>
      <right style="thin">
        <color rgb="FFD0D0D0"/>
      </right>
      <top style="thin">
        <color rgb="FFD0D0D0"/>
      </top>
      <bottom style="thin">
        <color rgb="FF5B2C83"/>
      </bottom>
    </border>
    <border>
      <left style="thin">
        <color rgb="FFD0D0D0"/>
      </left>
      <right style="medium">
        <color rgb="FF5B2C83"/>
      </right>
      <top style="thin">
        <color rgb="FFD0D0D0"/>
      </top>
      <bottom style="thin">
        <color rgb="FF5B2C83"/>
      </bottom>
    </border>
    <border>
      <left style="medium">
        <color rgb="FF5B2C83"/>
      </left>
      <right style="thin">
        <color rgb="FFD0D0D0"/>
      </right>
      <top style="thin">
        <color rgb="FFD0D0D0"/>
      </top>
      <bottom style="thin">
        <color rgb="FFD0D0D0"/>
      </bottom>
    </border>
    <border>
      <left style="thin">
        <color rgb="FFD0D0D0"/>
      </left>
      <right style="medium">
        <color rgb="FF5B2C83"/>
      </right>
      <top style="thin">
        <color rgb="FFD0D0D0"/>
      </top>
      <bottom style="thin">
        <color rgb="FFD0D0D0"/>
      </bottom>
    </border>
    <border>
      <left style="medium">
        <color rgb="FF5B2C83"/>
      </left>
      <right style="thin">
        <color rgb="FFD0D0D0"/>
      </right>
      <top style="thin">
        <color rgb="FFD0D0D0"/>
      </top>
      <bottom style="medium">
        <color rgb="FF5B2C83"/>
      </bottom>
    </border>
    <border>
      <left style="thin">
        <color rgb="FFD0D0D0"/>
      </left>
      <right style="thin">
        <color rgb="FFD0D0D0"/>
      </right>
      <top style="thin">
        <color rgb="FFD0D0D0"/>
      </top>
      <bottom style="medium">
        <color rgb="FF5B2C83"/>
      </bottom>
    </border>
    <border>
      <left style="thin">
        <color rgb="FFD0D0D0"/>
      </left>
      <right style="medium">
        <color rgb="FF5B2C83"/>
      </right>
      <top style="thin">
        <color rgb="FFD0D0D0"/>
      </top>
      <bottom style="medium">
        <color rgb="FF5B2C83"/>
      </bottom>
    </border>
    <border>
      <left style="medium">
        <color rgb="FF1B6B73"/>
      </left>
      <right style="thin">
        <color rgb="FFD0D0D0"/>
      </right>
      <top style="medium">
        <color rgb="FF1B6B73"/>
      </top>
      <bottom style="thin">
        <color rgb="FFD0D0D0"/>
      </bottom>
    </border>
    <border>
      <left style="thin">
        <color rgb="FFD0D0D0"/>
      </left>
      <right style="thin">
        <color rgb="FFD0D0D0"/>
      </right>
      <top style="medium">
        <color rgb="FF1B6B73"/>
      </top>
      <bottom style="thin">
        <color rgb="FFD0D0D0"/>
      </bottom>
    </border>
    <border>
      <left style="thin">
        <color rgb="FFD0D0D0"/>
      </left>
      <right style="medium">
        <color rgb="FF1B6B73"/>
      </right>
      <top style="medium">
        <color rgb="FF1B6B73"/>
      </top>
      <bottom style="thin">
        <color rgb="FFD0D0D0"/>
      </bottom>
    </border>
    <border>
      <left style="medium">
        <color rgb="FF1B6B73"/>
      </left>
      <right style="thin">
        <color rgb="FFD0D0D0"/>
      </right>
      <top style="thin">
        <color rgb="FFD0D0D0"/>
      </top>
      <bottom style="thin">
        <color rgb="FF1B6B73"/>
      </bottom>
    </border>
    <border>
      <left style="thin">
        <color rgb="FFD0D0D0"/>
      </left>
      <right style="thin">
        <color rgb="FFD0D0D0"/>
      </right>
      <top style="thin">
        <color rgb="FFD0D0D0"/>
      </top>
      <bottom style="thin">
        <color rgb="FF1B6B73"/>
      </bottom>
    </border>
    <border>
      <left style="thin">
        <color rgb="FFD0D0D0"/>
      </left>
      <right style="medium">
        <color rgb="FF1B6B73"/>
      </right>
      <top style="thin">
        <color rgb="FFD0D0D0"/>
      </top>
      <bottom style="thin">
        <color rgb="FF1B6B73"/>
      </bottom>
    </border>
    <border>
      <left style="medium">
        <color rgb="FF1B6B73"/>
      </left>
      <right style="thin">
        <color rgb="FFD0D0D0"/>
      </right>
      <top style="thin">
        <color rgb="FFD0D0D0"/>
      </top>
      <bottom style="thin">
        <color rgb="FFD0D0D0"/>
      </bottom>
    </border>
    <border>
      <left style="thin">
        <color rgb="FFD0D0D0"/>
      </left>
      <right style="medium">
        <color rgb="FF1B6B73"/>
      </right>
      <top style="thin">
        <color rgb="FFD0D0D0"/>
      </top>
      <bottom style="thin">
        <color rgb="FFD0D0D0"/>
      </bottom>
    </border>
    <border>
      <left style="medium">
        <color rgb="FF1B6B73"/>
      </left>
      <right style="thin">
        <color rgb="FFD0D0D0"/>
      </right>
      <top style="thin">
        <color rgb="FFD0D0D0"/>
      </top>
      <bottom style="medium">
        <color rgb="FF1B6B73"/>
      </bottom>
    </border>
    <border>
      <left style="thin">
        <color rgb="FFD0D0D0"/>
      </left>
      <right style="thin">
        <color rgb="FFD0D0D0"/>
      </right>
      <top style="thin">
        <color rgb="FFD0D0D0"/>
      </top>
      <bottom style="medium">
        <color rgb="FF1B6B73"/>
      </bottom>
    </border>
    <border>
      <left style="thin">
        <color rgb="FFD0D0D0"/>
      </left>
      <right style="medium">
        <color rgb="FF1B6B73"/>
      </right>
      <top style="thin">
        <color rgb="FFD0D0D0"/>
      </top>
      <bottom style="medium">
        <color rgb="FF1B6B73"/>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595959"/>
      </bottom>
      <diagonal/>
    </border>
    <border>
      <left/>
      <right style="thin">
        <color rgb="FFD0D0D0"/>
      </right>
      <top style="thin">
        <color rgb="FFD0D0D0"/>
      </top>
      <bottom style="thin">
        <color rgb="FF595959"/>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right/>
      <top style="thin">
        <color rgb="FFD0D0D0"/>
      </top>
      <bottom style="medium">
        <color rgb="FF595959"/>
      </bottom>
      <diagonal/>
    </border>
    <border>
      <left/>
      <right style="thin">
        <color rgb="FFD0D0D0"/>
      </right>
      <top style="thin">
        <color rgb="FFD0D0D0"/>
      </top>
      <bottom style="medium">
        <color rgb="FF595959"/>
      </bottom>
      <diagonal/>
    </border>
    <border>
      <left style="medium">
        <color rgb="FF843C0C"/>
      </left>
      <right style="thin">
        <color rgb="FFD0D0D0"/>
      </right>
      <top style="medium">
        <color rgb="FF843C0C"/>
      </top>
      <bottom style="thin">
        <color rgb="FFD0D0D0"/>
      </bottom>
    </border>
    <border>
      <left style="thin">
        <color rgb="FFD0D0D0"/>
      </left>
      <right style="thin">
        <color rgb="FFD0D0D0"/>
      </right>
      <top style="medium">
        <color rgb="FF843C0C"/>
      </top>
      <bottom style="thin">
        <color rgb="FFD0D0D0"/>
      </bottom>
    </border>
    <border>
      <left style="thin">
        <color rgb="FFD0D0D0"/>
      </left>
      <right style="medium">
        <color rgb="FF843C0C"/>
      </right>
      <top style="medium">
        <color rgb="FF843C0C"/>
      </top>
      <bottom style="thin">
        <color rgb="FFD0D0D0"/>
      </bottom>
    </border>
    <border>
      <left style="medium">
        <color rgb="FF843C0C"/>
      </left>
      <right style="thin">
        <color rgb="FFD0D0D0"/>
      </right>
      <top style="thin">
        <color rgb="FFD0D0D0"/>
      </top>
      <bottom style="thin">
        <color rgb="FF843C0C"/>
      </bottom>
    </border>
    <border>
      <left style="thin">
        <color rgb="FFD0D0D0"/>
      </left>
      <right style="thin">
        <color rgb="FFD0D0D0"/>
      </right>
      <top style="thin">
        <color rgb="FFD0D0D0"/>
      </top>
      <bottom style="thin">
        <color rgb="FF843C0C"/>
      </bottom>
    </border>
    <border>
      <left style="thin">
        <color rgb="FFD0D0D0"/>
      </left>
      <right style="medium">
        <color rgb="FF843C0C"/>
      </right>
      <top style="thin">
        <color rgb="FFD0D0D0"/>
      </top>
      <bottom style="thin">
        <color rgb="FF843C0C"/>
      </bottom>
    </border>
    <border>
      <left style="medium">
        <color rgb="FF843C0C"/>
      </left>
      <right style="thin">
        <color rgb="FFD0D0D0"/>
      </right>
      <top style="thin">
        <color rgb="FFD0D0D0"/>
      </top>
      <bottom style="thin">
        <color rgb="FFD0D0D0"/>
      </bottom>
    </border>
    <border>
      <left style="thin">
        <color rgb="FFD0D0D0"/>
      </left>
      <right style="medium">
        <color rgb="FF843C0C"/>
      </right>
      <top style="thin">
        <color rgb="FFD0D0D0"/>
      </top>
      <bottom style="thin">
        <color rgb="FFD0D0D0"/>
      </bottom>
    </border>
    <border>
      <left style="medium">
        <color rgb="FF843C0C"/>
      </left>
      <right style="thin">
        <color rgb="FFD0D0D0"/>
      </right>
      <top style="thin">
        <color rgb="FFD0D0D0"/>
      </top>
      <bottom style="medium">
        <color rgb="FF843C0C"/>
      </bottom>
    </border>
    <border>
      <left style="thin">
        <color rgb="FFD0D0D0"/>
      </left>
      <right style="thin">
        <color rgb="FFD0D0D0"/>
      </right>
      <top style="thin">
        <color rgb="FFD0D0D0"/>
      </top>
      <bottom style="medium">
        <color rgb="FF843C0C"/>
      </bottom>
    </border>
    <border>
      <left style="thin">
        <color rgb="FFD0D0D0"/>
      </left>
      <right style="medium">
        <color rgb="FF843C0C"/>
      </right>
      <top style="thin">
        <color rgb="FFD0D0D0"/>
      </top>
      <bottom style="medium">
        <color rgb="FF843C0C"/>
      </bottom>
    </border>
    <border>
      <left style="medium">
        <color rgb="FFA50021"/>
      </left>
      <right style="thin">
        <color rgb="FFD0D0D0"/>
      </right>
      <top style="medium">
        <color rgb="FFA50021"/>
      </top>
      <bottom style="thin">
        <color rgb="FFD0D0D0"/>
      </bottom>
    </border>
    <border>
      <left style="thin">
        <color rgb="FFD0D0D0"/>
      </left>
      <right style="thin">
        <color rgb="FFD0D0D0"/>
      </right>
      <top style="medium">
        <color rgb="FFA50021"/>
      </top>
      <bottom style="thin">
        <color rgb="FFD0D0D0"/>
      </bottom>
    </border>
    <border>
      <left style="thin">
        <color rgb="FFD0D0D0"/>
      </left>
      <right style="medium">
        <color rgb="FFA50021"/>
      </right>
      <top style="medium">
        <color rgb="FFA50021"/>
      </top>
      <bottom style="thin">
        <color rgb="FFD0D0D0"/>
      </bottom>
    </border>
    <border>
      <left style="medium">
        <color rgb="FFA50021"/>
      </left>
      <right style="thin">
        <color rgb="FFD0D0D0"/>
      </right>
      <top style="thin">
        <color rgb="FFD0D0D0"/>
      </top>
      <bottom style="thin">
        <color rgb="FFA50021"/>
      </bottom>
    </border>
    <border>
      <left style="thin">
        <color rgb="FFD0D0D0"/>
      </left>
      <right style="thin">
        <color rgb="FFD0D0D0"/>
      </right>
      <top style="thin">
        <color rgb="FFD0D0D0"/>
      </top>
      <bottom style="thin">
        <color rgb="FFA50021"/>
      </bottom>
    </border>
    <border>
      <left style="thin">
        <color rgb="FFD0D0D0"/>
      </left>
      <right style="medium">
        <color rgb="FFA50021"/>
      </right>
      <top style="thin">
        <color rgb="FFD0D0D0"/>
      </top>
      <bottom style="thin">
        <color rgb="FFA50021"/>
      </bottom>
    </border>
    <border>
      <left style="medium">
        <color rgb="FFA50021"/>
      </left>
      <right style="thin">
        <color rgb="FFD0D0D0"/>
      </right>
      <top style="thin">
        <color rgb="FFD0D0D0"/>
      </top>
      <bottom style="thin">
        <color rgb="FFD0D0D0"/>
      </bottom>
    </border>
    <border>
      <left style="thin">
        <color rgb="FFD0D0D0"/>
      </left>
      <right style="medium">
        <color rgb="FFA50021"/>
      </right>
      <top style="thin">
        <color rgb="FFD0D0D0"/>
      </top>
      <bottom style="thin">
        <color rgb="FFD0D0D0"/>
      </bottom>
    </border>
    <border>
      <left style="medium">
        <color rgb="FFA50021"/>
      </left>
      <right style="thin">
        <color rgb="FFD0D0D0"/>
      </right>
      <top style="thin">
        <color rgb="FFD0D0D0"/>
      </top>
      <bottom style="medium">
        <color rgb="FFA50021"/>
      </bottom>
    </border>
    <border>
      <left style="thin">
        <color rgb="FFD0D0D0"/>
      </left>
      <right style="thin">
        <color rgb="FFD0D0D0"/>
      </right>
      <top style="thin">
        <color rgb="FFD0D0D0"/>
      </top>
      <bottom style="medium">
        <color rgb="FFA50021"/>
      </bottom>
    </border>
    <border>
      <left style="thin">
        <color rgb="FFD0D0D0"/>
      </left>
      <right style="medium">
        <color rgb="FFA50021"/>
      </right>
      <top style="thin">
        <color rgb="FFD0D0D0"/>
      </top>
      <bottom style="medium">
        <color rgb="FFA50021"/>
      </bottom>
    </border>
    <border>
      <left/>
      <right/>
      <top style="thin">
        <color rgb="FFD0D0D0"/>
      </top>
      <bottom style="thin">
        <color rgb="FF806000"/>
      </bottom>
      <diagonal/>
    </border>
    <border>
      <left/>
      <right style="thin">
        <color rgb="FFD0D0D0"/>
      </right>
      <top style="thin">
        <color rgb="FFD0D0D0"/>
      </top>
      <bottom style="thin">
        <color rgb="FF806000"/>
      </bottom>
      <diagonal/>
    </border>
    <border>
      <left/>
      <right/>
      <top style="thin">
        <color rgb="FFD0D0D0"/>
      </top>
      <bottom style="medium">
        <color rgb="FF806000"/>
      </bottom>
      <diagonal/>
    </border>
    <border>
      <left/>
      <right style="thin">
        <color rgb="FFD0D0D0"/>
      </right>
      <top style="thin">
        <color rgb="FFD0D0D0"/>
      </top>
      <bottom style="medium">
        <color rgb="FF806000"/>
      </bottom>
      <diagonal/>
    </border>
    <border>
      <left style="medium">
        <color rgb="FFC55A11"/>
      </left>
      <right style="thin">
        <color rgb="FFD0D0D0"/>
      </right>
      <top style="medium">
        <color rgb="FFC55A11"/>
      </top>
      <bottom style="thin">
        <color rgb="FFD0D0D0"/>
      </bottom>
    </border>
    <border>
      <left style="thin">
        <color rgb="FFD0D0D0"/>
      </left>
      <right style="thin">
        <color rgb="FFD0D0D0"/>
      </right>
      <top style="medium">
        <color rgb="FFC55A11"/>
      </top>
      <bottom style="thin">
        <color rgb="FFD0D0D0"/>
      </bottom>
    </border>
    <border>
      <left style="thin">
        <color rgb="FFD0D0D0"/>
      </left>
      <right style="medium">
        <color rgb="FFC55A11"/>
      </right>
      <top style="medium">
        <color rgb="FFC55A11"/>
      </top>
      <bottom style="thin">
        <color rgb="FFD0D0D0"/>
      </bottom>
    </border>
    <border>
      <left style="medium">
        <color rgb="FFC55A11"/>
      </left>
      <right style="thin">
        <color rgb="FFD0D0D0"/>
      </right>
      <top style="thin">
        <color rgb="FFD0D0D0"/>
      </top>
      <bottom style="thin">
        <color rgb="FFC55A11"/>
      </bottom>
    </border>
    <border>
      <left style="thin">
        <color rgb="FFD0D0D0"/>
      </left>
      <right style="thin">
        <color rgb="FFD0D0D0"/>
      </right>
      <top style="thin">
        <color rgb="FFD0D0D0"/>
      </top>
      <bottom style="thin">
        <color rgb="FFC55A11"/>
      </bottom>
    </border>
    <border>
      <left style="thin">
        <color rgb="FFD0D0D0"/>
      </left>
      <right style="medium">
        <color rgb="FFC55A11"/>
      </right>
      <top style="thin">
        <color rgb="FFD0D0D0"/>
      </top>
      <bottom style="thin">
        <color rgb="FFC55A11"/>
      </bottom>
    </border>
    <border>
      <left style="medium">
        <color rgb="FFC55A11"/>
      </left>
      <right style="thin">
        <color rgb="FFD0D0D0"/>
      </right>
      <top style="thin">
        <color rgb="FFD0D0D0"/>
      </top>
      <bottom style="thin">
        <color rgb="FFD0D0D0"/>
      </bottom>
    </border>
    <border>
      <left style="thin">
        <color rgb="FFD0D0D0"/>
      </left>
      <right style="medium">
        <color rgb="FFC55A11"/>
      </right>
      <top style="thin">
        <color rgb="FFD0D0D0"/>
      </top>
      <bottom style="thin">
        <color rgb="FFD0D0D0"/>
      </bottom>
    </border>
    <border>
      <left style="medium">
        <color rgb="FFC55A11"/>
      </left>
      <right style="thin">
        <color rgb="FFD0D0D0"/>
      </right>
      <top style="thin">
        <color rgb="FFD0D0D0"/>
      </top>
      <bottom style="medium">
        <color rgb="FFC55A11"/>
      </bottom>
    </border>
    <border>
      <left style="thin">
        <color rgb="FFD0D0D0"/>
      </left>
      <right style="thin">
        <color rgb="FFD0D0D0"/>
      </right>
      <top style="thin">
        <color rgb="FFD0D0D0"/>
      </top>
      <bottom style="medium">
        <color rgb="FFC55A11"/>
      </bottom>
    </border>
    <border>
      <left style="thin">
        <color rgb="FFD0D0D0"/>
      </left>
      <right style="medium">
        <color rgb="FFC55A11"/>
      </right>
      <top style="thin">
        <color rgb="FFD0D0D0"/>
      </top>
      <bottom style="medium">
        <color rgb="FFC55A11"/>
      </bottom>
    </border>
    <border>
      <left style="medium">
        <color rgb="FF203864"/>
      </left>
      <right style="thin">
        <color rgb="FFD0D0D0"/>
      </right>
      <top style="medium">
        <color rgb="FF203864"/>
      </top>
      <bottom style="thin">
        <color rgb="FFD0D0D0"/>
      </bottom>
    </border>
    <border>
      <left style="thin">
        <color rgb="FFD0D0D0"/>
      </left>
      <right style="thin">
        <color rgb="FFD0D0D0"/>
      </right>
      <top style="medium">
        <color rgb="FF203864"/>
      </top>
      <bottom style="thin">
        <color rgb="FFD0D0D0"/>
      </bottom>
    </border>
    <border>
      <left style="thin">
        <color rgb="FFD0D0D0"/>
      </left>
      <right style="medium">
        <color rgb="FF203864"/>
      </right>
      <top style="medium">
        <color rgb="FF203864"/>
      </top>
      <bottom style="thin">
        <color rgb="FFD0D0D0"/>
      </bottom>
    </border>
    <border>
      <left style="medium">
        <color rgb="FF203864"/>
      </left>
      <right style="thin">
        <color rgb="FFD0D0D0"/>
      </right>
      <top style="thin">
        <color rgb="FFD0D0D0"/>
      </top>
      <bottom style="thin">
        <color rgb="FF203864"/>
      </bottom>
    </border>
    <border>
      <left style="thin">
        <color rgb="FFD0D0D0"/>
      </left>
      <right style="thin">
        <color rgb="FFD0D0D0"/>
      </right>
      <top style="thin">
        <color rgb="FFD0D0D0"/>
      </top>
      <bottom style="thin">
        <color rgb="FF203864"/>
      </bottom>
    </border>
    <border>
      <left style="thin">
        <color rgb="FFD0D0D0"/>
      </left>
      <right style="medium">
        <color rgb="FF203864"/>
      </right>
      <top style="thin">
        <color rgb="FFD0D0D0"/>
      </top>
      <bottom style="thin">
        <color rgb="FF203864"/>
      </bottom>
    </border>
    <border>
      <left style="medium">
        <color rgb="FF203864"/>
      </left>
      <right style="thin">
        <color rgb="FFD0D0D0"/>
      </right>
      <top style="thin">
        <color rgb="FFD0D0D0"/>
      </top>
      <bottom style="thin">
        <color rgb="FFD0D0D0"/>
      </bottom>
    </border>
    <border>
      <left style="thin">
        <color rgb="FFD0D0D0"/>
      </left>
      <right style="medium">
        <color rgb="FF203864"/>
      </right>
      <top style="thin">
        <color rgb="FFD0D0D0"/>
      </top>
      <bottom style="thin">
        <color rgb="FFD0D0D0"/>
      </bottom>
    </border>
    <border>
      <left style="medium">
        <color rgb="FF203864"/>
      </left>
      <right style="thin">
        <color rgb="FFD0D0D0"/>
      </right>
      <top style="thin">
        <color rgb="FFD0D0D0"/>
      </top>
      <bottom style="medium">
        <color rgb="FF203864"/>
      </bottom>
    </border>
    <border>
      <left style="thin">
        <color rgb="FFD0D0D0"/>
      </left>
      <right style="thin">
        <color rgb="FFD0D0D0"/>
      </right>
      <top style="thin">
        <color rgb="FFD0D0D0"/>
      </top>
      <bottom style="medium">
        <color rgb="FF203864"/>
      </bottom>
    </border>
    <border>
      <left style="thin">
        <color rgb="FFD0D0D0"/>
      </left>
      <right style="medium">
        <color rgb="FF203864"/>
      </right>
      <top style="thin">
        <color rgb="FFD0D0D0"/>
      </top>
      <bottom style="medium">
        <color rgb="FF203864"/>
      </bottom>
    </border>
    <border>
      <left style="medium">
        <color rgb="FF375623"/>
      </left>
      <right style="thin">
        <color rgb="FFD0D0D0"/>
      </right>
      <top style="medium">
        <color rgb="FF375623"/>
      </top>
      <bottom style="thin">
        <color rgb="FFD0D0D0"/>
      </bottom>
    </border>
    <border>
      <left style="thin">
        <color rgb="FFD0D0D0"/>
      </left>
      <right style="thin">
        <color rgb="FFD0D0D0"/>
      </right>
      <top style="medium">
        <color rgb="FF375623"/>
      </top>
      <bottom style="thin">
        <color rgb="FFD0D0D0"/>
      </bottom>
    </border>
    <border>
      <left style="thin">
        <color rgb="FFD0D0D0"/>
      </left>
      <right style="medium">
        <color rgb="FF375623"/>
      </right>
      <top style="medium">
        <color rgb="FF375623"/>
      </top>
      <bottom style="thin">
        <color rgb="FFD0D0D0"/>
      </bottom>
    </border>
    <border>
      <left style="medium">
        <color rgb="FF375623"/>
      </left>
      <right style="thin">
        <color rgb="FFD0D0D0"/>
      </right>
      <top style="thin">
        <color rgb="FFD0D0D0"/>
      </top>
      <bottom style="thin">
        <color rgb="FF375623"/>
      </bottom>
    </border>
    <border>
      <left style="thin">
        <color rgb="FFD0D0D0"/>
      </left>
      <right style="thin">
        <color rgb="FFD0D0D0"/>
      </right>
      <top style="thin">
        <color rgb="FFD0D0D0"/>
      </top>
      <bottom style="thin">
        <color rgb="FF375623"/>
      </bottom>
    </border>
    <border>
      <left style="thin">
        <color rgb="FFD0D0D0"/>
      </left>
      <right style="medium">
        <color rgb="FF375623"/>
      </right>
      <top style="thin">
        <color rgb="FFD0D0D0"/>
      </top>
      <bottom style="thin">
        <color rgb="FF375623"/>
      </bottom>
    </border>
    <border>
      <left style="medium">
        <color rgb="FF375623"/>
      </left>
      <right style="thin">
        <color rgb="FFD0D0D0"/>
      </right>
      <top style="thin">
        <color rgb="FFD0D0D0"/>
      </top>
      <bottom style="thin">
        <color rgb="FFD0D0D0"/>
      </bottom>
    </border>
    <border>
      <left style="thin">
        <color rgb="FFD0D0D0"/>
      </left>
      <right style="medium">
        <color rgb="FF375623"/>
      </right>
      <top style="thin">
        <color rgb="FFD0D0D0"/>
      </top>
      <bottom style="thin">
        <color rgb="FFD0D0D0"/>
      </bottom>
    </border>
    <border>
      <left style="medium">
        <color rgb="FF375623"/>
      </left>
      <right style="thin">
        <color rgb="FFD0D0D0"/>
      </right>
      <top style="thin">
        <color rgb="FFD0D0D0"/>
      </top>
      <bottom style="medium">
        <color rgb="FF375623"/>
      </bottom>
    </border>
    <border>
      <left style="thin">
        <color rgb="FFD0D0D0"/>
      </left>
      <right style="thin">
        <color rgb="FFD0D0D0"/>
      </right>
      <top style="thin">
        <color rgb="FFD0D0D0"/>
      </top>
      <bottom style="medium">
        <color rgb="FF375623"/>
      </bottom>
    </border>
    <border>
      <left style="thin">
        <color rgb="FFD0D0D0"/>
      </left>
      <right style="medium">
        <color rgb="FF375623"/>
      </right>
      <top style="thin">
        <color rgb="FFD0D0D0"/>
      </top>
      <bottom style="medium">
        <color rgb="FF375623"/>
      </bottom>
    </border>
    <border/>
    <border>
      <left style="medium">
        <color rgb="FF1F4E79"/>
      </left>
      <right style="thin">
        <color rgb="FFD0D0D0"/>
      </right>
      <top style="medium">
        <color rgb="FF1F4E79"/>
      </top>
      <bottom style="thin">
        <color rgb="FFD0D0D0"/>
      </bottom>
    </border>
    <border>
      <left style="thin">
        <color rgb="FFD0D0D0"/>
      </left>
      <right style="thin">
        <color rgb="FFD0D0D0"/>
      </right>
      <top style="medium">
        <color rgb="FF1F4E79"/>
      </top>
      <bottom style="thin">
        <color rgb="FFD0D0D0"/>
      </bottom>
    </border>
    <border>
      <left style="thin">
        <color rgb="FFD0D0D0"/>
      </left>
      <right style="medium">
        <color rgb="FF1F4E79"/>
      </right>
      <top style="medium">
        <color rgb="FF1F4E79"/>
      </top>
      <bottom style="thin">
        <color rgb="FFD0D0D0"/>
      </bottom>
    </border>
    <border>
      <left style="medium">
        <color rgb="FF1F4E79"/>
      </left>
      <right style="thin">
        <color rgb="FFD0D0D0"/>
      </right>
      <top style="thin">
        <color rgb="FFD0D0D0"/>
      </top>
      <bottom style="thin">
        <color rgb="FF1F4E79"/>
      </bottom>
    </border>
    <border>
      <left style="thin">
        <color rgb="FFD0D0D0"/>
      </left>
      <right style="thin">
        <color rgb="FFD0D0D0"/>
      </right>
      <top style="thin">
        <color rgb="FFD0D0D0"/>
      </top>
      <bottom style="thin">
        <color rgb="FF1F4E79"/>
      </bottom>
    </border>
    <border>
      <left style="thin">
        <color rgb="FFD0D0D0"/>
      </left>
      <right style="medium">
        <color rgb="FF1F4E79"/>
      </right>
      <top style="thin">
        <color rgb="FFD0D0D0"/>
      </top>
      <bottom style="thin">
        <color rgb="FF1F4E79"/>
      </bottom>
    </border>
    <border>
      <left style="medium">
        <color rgb="FF1F4E79"/>
      </left>
      <right style="thin">
        <color rgb="FFD0D0D0"/>
      </right>
      <top style="thin">
        <color rgb="FFD0D0D0"/>
      </top>
      <bottom style="thin">
        <color rgb="FFD0D0D0"/>
      </bottom>
    </border>
    <border>
      <left style="thin">
        <color rgb="FFD0D0D0"/>
      </left>
      <right style="medium">
        <color rgb="FF1F4E79"/>
      </right>
      <top style="thin">
        <color rgb="FFD0D0D0"/>
      </top>
      <bottom style="thin">
        <color rgb="FFD0D0D0"/>
      </bottom>
    </border>
    <border>
      <left style="medium">
        <color rgb="FF1F4E79"/>
      </left>
      <right style="thin">
        <color rgb="FFD0D0D0"/>
      </right>
      <top style="thin">
        <color rgb="FFD0D0D0"/>
      </top>
      <bottom style="medium">
        <color rgb="FF1F4E79"/>
      </bottom>
    </border>
    <border>
      <left style="thin">
        <color rgb="FFD0D0D0"/>
      </left>
      <right style="thin">
        <color rgb="FFD0D0D0"/>
      </right>
      <top style="thin">
        <color rgb="FFD0D0D0"/>
      </top>
      <bottom style="medium">
        <color rgb="FF1F4E79"/>
      </bottom>
    </border>
    <border>
      <left style="thin">
        <color rgb="FFD0D0D0"/>
      </left>
      <right style="medium">
        <color rgb="FF1F4E79"/>
      </right>
      <top style="thin">
        <color rgb="FFD0D0D0"/>
      </top>
      <bottom style="medium">
        <color rgb="FF1F4E79"/>
      </bottom>
    </border>
    <border>
      <left/>
      <right/>
      <top style="thin">
        <color rgb="FFD0D0D0"/>
      </top>
      <bottom style="thin">
        <color rgb="FF1F4E79"/>
      </bottom>
      <diagonal/>
    </border>
    <border>
      <left/>
      <right style="thin">
        <color rgb="FFD0D0D0"/>
      </right>
      <top style="thin">
        <color rgb="FFD0D0D0"/>
      </top>
      <bottom style="thin">
        <color rgb="FF1F4E79"/>
      </bottom>
      <diagonal/>
    </border>
    <border>
      <left/>
      <right/>
      <top style="thin">
        <color rgb="FFD0D0D0"/>
      </top>
      <bottom style="medium">
        <color rgb="FF1F4E79"/>
      </bottom>
      <diagonal/>
    </border>
    <border>
      <left/>
      <right style="thin">
        <color rgb="FFD0D0D0"/>
      </right>
      <top style="thin">
        <color rgb="FFD0D0D0"/>
      </top>
      <bottom style="medium">
        <color rgb="FF1F4E79"/>
      </bottom>
      <diagonal/>
    </border>
    <border>
      <left/>
      <right/>
      <top style="thin">
        <color rgb="FFD0D0D0"/>
      </top>
      <bottom style="thin">
        <color rgb="FF4F6228"/>
      </bottom>
      <diagonal/>
    </border>
    <border>
      <left/>
      <right style="thin">
        <color rgb="FFD0D0D0"/>
      </right>
      <top style="thin">
        <color rgb="FFD0D0D0"/>
      </top>
      <bottom style="thin">
        <color rgb="FF4F6228"/>
      </bottom>
      <diagonal/>
    </border>
    <border>
      <left/>
      <right/>
      <top style="thin">
        <color rgb="FFD0D0D0"/>
      </top>
      <bottom style="medium">
        <color rgb="FF4F6228"/>
      </bottom>
      <diagonal/>
    </border>
    <border>
      <left/>
      <right style="thin">
        <color rgb="FFD0D0D0"/>
      </right>
      <top style="thin">
        <color rgb="FFD0D0D0"/>
      </top>
      <bottom style="medium">
        <color rgb="FF4F6228"/>
      </bottom>
      <diagonal/>
    </border>
    <border>
      <left/>
      <right/>
      <top style="thin">
        <color rgb="FFD0D0D0"/>
      </top>
      <bottom style="thin">
        <color rgb="FF1B6B73"/>
      </bottom>
      <diagonal/>
    </border>
    <border>
      <left/>
      <right style="thin">
        <color rgb="FFD0D0D0"/>
      </right>
      <top style="thin">
        <color rgb="FFD0D0D0"/>
      </top>
      <bottom style="thin">
        <color rgb="FF1B6B73"/>
      </bottom>
      <diagonal/>
    </border>
    <border>
      <left/>
      <right/>
      <top style="thin">
        <color rgb="FFD0D0D0"/>
      </top>
      <bottom style="medium">
        <color rgb="FF1B6B73"/>
      </bottom>
      <diagonal/>
    </border>
    <border>
      <left/>
      <right style="thin">
        <color rgb="FFD0D0D0"/>
      </right>
      <top style="thin">
        <color rgb="FFD0D0D0"/>
      </top>
      <bottom style="medium">
        <color rgb="FF1B6B73"/>
      </bottom>
      <diagonal/>
    </border>
  </borders>
  <cellStyleXfs count="3">
    <xf numFmtId="0" fontId="1" fillId="0" borderId="0"/>
    <xf numFmtId="0" fontId="3" fillId="0" borderId="0"/>
    <xf numFmtId="9" fontId="1" fillId="0" borderId="0"/>
  </cellStyleXfs>
  <cellXfs count="740">
    <xf numFmtId="0" fontId="0" fillId="0" borderId="0" pivotButton="0" quotePrefix="0" xfId="0"/>
    <xf numFmtId="2" fontId="0" fillId="0" borderId="0" pivotButton="0" quotePrefix="0" xfId="0"/>
    <xf numFmtId="14" fontId="0" fillId="0" borderId="0" pivotButton="0" quotePrefix="0" xfId="0"/>
    <xf numFmtId="0" fontId="0" fillId="0" borderId="0" applyAlignment="1" pivotButton="0" quotePrefix="0" xfId="0">
      <alignment wrapText="1"/>
    </xf>
    <xf numFmtId="0" fontId="2" fillId="0" borderId="0" pivotButton="0" quotePrefix="0" xfId="0"/>
    <xf numFmtId="0" fontId="4" fillId="2" borderId="0" applyAlignment="1" pivotButton="0" quotePrefix="0" xfId="0">
      <alignment vertical="center"/>
    </xf>
    <xf numFmtId="0" fontId="5" fillId="2" borderId="0" applyAlignment="1" pivotButton="0" quotePrefix="0" xfId="0">
      <alignment vertical="center"/>
    </xf>
    <xf numFmtId="0" fontId="5" fillId="2" borderId="0" applyAlignment="1" pivotButton="0" quotePrefix="0" xfId="0">
      <alignment horizontal="center" vertical="center"/>
    </xf>
    <xf numFmtId="0" fontId="5" fillId="0" borderId="0" applyAlignment="1" pivotButton="0" quotePrefix="0" xfId="0">
      <alignment vertical="center"/>
    </xf>
    <xf numFmtId="0" fontId="5" fillId="2" borderId="0" applyAlignment="1" pivotButton="0" quotePrefix="0" xfId="0">
      <alignment horizontal="center" vertical="center" wrapText="1"/>
    </xf>
    <xf numFmtId="0" fontId="6" fillId="2" borderId="1" applyAlignment="1" pivotButton="0" quotePrefix="0" xfId="0">
      <alignment vertical="center"/>
    </xf>
    <xf numFmtId="0" fontId="7" fillId="2" borderId="1" applyAlignment="1" pivotButton="0" quotePrefix="0" xfId="0">
      <alignment horizontal="center" vertical="center"/>
    </xf>
    <xf numFmtId="0" fontId="6" fillId="2" borderId="0" applyAlignment="1" pivotButton="0" quotePrefix="0" xfId="0">
      <alignment vertical="center"/>
    </xf>
    <xf numFmtId="0" fontId="8" fillId="2" borderId="0" applyAlignment="1" pivotButton="0" quotePrefix="0" xfId="0">
      <alignment horizontal="center" vertical="center" wrapText="1"/>
    </xf>
    <xf numFmtId="0" fontId="8" fillId="2" borderId="0" applyAlignment="1" pivotButton="0" quotePrefix="0" xfId="0">
      <alignment vertical="center"/>
    </xf>
    <xf numFmtId="0" fontId="9" fillId="2" borderId="0" applyAlignment="1" pivotButton="0" quotePrefix="0" xfId="0">
      <alignment vertical="center"/>
    </xf>
    <xf numFmtId="164" fontId="9" fillId="2" borderId="0" applyAlignment="1" pivotButton="0" quotePrefix="0" xfId="0">
      <alignment horizontal="center" vertical="center"/>
    </xf>
    <xf numFmtId="3" fontId="9" fillId="2" borderId="0" applyAlignment="1" pivotButton="0" quotePrefix="0" xfId="0">
      <alignment horizontal="center" vertical="center"/>
    </xf>
    <xf numFmtId="9" fontId="9" fillId="2" borderId="0" applyAlignment="1" pivotButton="0" quotePrefix="0" xfId="0">
      <alignment horizontal="center" vertical="center"/>
    </xf>
    <xf numFmtId="9" fontId="9" fillId="2" borderId="0" applyAlignment="1" pivotButton="0" quotePrefix="0" xfId="2">
      <alignment horizontal="center" vertical="center"/>
    </xf>
    <xf numFmtId="3" fontId="9" fillId="2" borderId="2" applyAlignment="1" pivotButton="0" quotePrefix="0" xfId="0">
      <alignment horizontal="center" vertical="center"/>
    </xf>
    <xf numFmtId="9" fontId="9" fillId="2" borderId="2" applyAlignment="1" pivotButton="0" quotePrefix="0" xfId="2">
      <alignment horizontal="center" vertical="center"/>
    </xf>
    <xf numFmtId="0" fontId="10" fillId="2" borderId="0" applyAlignment="1" pivotButton="0" quotePrefix="0" xfId="0">
      <alignment vertical="center"/>
    </xf>
    <xf numFmtId="3" fontId="10" fillId="2" borderId="0" applyAlignment="1" pivotButton="0" quotePrefix="0" xfId="0">
      <alignment horizontal="center" vertical="center"/>
    </xf>
    <xf numFmtId="9" fontId="10" fillId="2" borderId="0" applyAlignment="1" pivotButton="0" quotePrefix="0" xfId="2">
      <alignment horizontal="center" vertical="center"/>
    </xf>
    <xf numFmtId="9" fontId="11" fillId="2" borderId="0" applyAlignment="1" pivotButton="0" quotePrefix="0" xfId="0">
      <alignment vertical="center"/>
    </xf>
    <xf numFmtId="9" fontId="9" fillId="2" borderId="0" applyAlignment="1" pivotButton="0" quotePrefix="0" xfId="0">
      <alignment vertical="center"/>
    </xf>
    <xf numFmtId="9" fontId="9" fillId="2" borderId="2" applyAlignment="1" pivotButton="0" quotePrefix="0" xfId="0">
      <alignment horizontal="center" vertical="center"/>
    </xf>
    <xf numFmtId="0" fontId="9" fillId="2" borderId="0" applyAlignment="1" pivotButton="0" quotePrefix="0" xfId="0">
      <alignment horizontal="center" vertical="center"/>
    </xf>
    <xf numFmtId="165" fontId="9" fillId="2" borderId="0" applyAlignment="1" pivotButton="0" quotePrefix="0" xfId="0">
      <alignment horizontal="center" vertical="center"/>
    </xf>
    <xf numFmtId="165" fontId="9" fillId="2" borderId="2" applyAlignment="1" pivotButton="0" quotePrefix="0" xfId="0">
      <alignment horizontal="center" vertical="center"/>
    </xf>
    <xf numFmtId="9" fontId="9" fillId="2" borderId="2" applyAlignment="1" pivotButton="0" quotePrefix="0" xfId="0">
      <alignment vertical="center"/>
    </xf>
    <xf numFmtId="165" fontId="10" fillId="2" borderId="0" applyAlignment="1" pivotButton="0" quotePrefix="0" xfId="2">
      <alignment vertical="center"/>
    </xf>
    <xf numFmtId="165" fontId="9" fillId="2" borderId="0" applyAlignment="1" pivotButton="0" quotePrefix="0" xfId="2">
      <alignment vertical="center"/>
    </xf>
    <xf numFmtId="0" fontId="9" fillId="2" borderId="3" applyAlignment="1" pivotButton="0" quotePrefix="0" xfId="0">
      <alignment vertical="center"/>
    </xf>
    <xf numFmtId="3" fontId="9" fillId="2" borderId="3" applyAlignment="1" pivotButton="0" quotePrefix="0" xfId="2">
      <alignment horizontal="center" vertical="center"/>
    </xf>
    <xf numFmtId="9" fontId="9" fillId="2" borderId="3" applyAlignment="1" pivotButton="0" quotePrefix="0" xfId="2">
      <alignment horizontal="center" vertical="center"/>
    </xf>
    <xf numFmtId="0" fontId="9" fillId="0" borderId="0" applyAlignment="1" pivotButton="0" quotePrefix="0" xfId="0">
      <alignment vertical="center"/>
    </xf>
    <xf numFmtId="0" fontId="9" fillId="0" borderId="0" applyAlignment="1" pivotButton="0" quotePrefix="0" xfId="0">
      <alignment horizontal="center" vertical="center"/>
    </xf>
    <xf numFmtId="0" fontId="5" fillId="0" borderId="0" applyAlignment="1" pivotButton="0" quotePrefix="0" xfId="0">
      <alignment horizontal="center" vertical="center"/>
    </xf>
    <xf numFmtId="0" fontId="4" fillId="0" borderId="0" applyAlignment="1" pivotButton="0" quotePrefix="0" xfId="0">
      <alignment vertical="center"/>
    </xf>
    <xf numFmtId="0" fontId="12" fillId="0" borderId="0" applyAlignment="1" pivotButton="0" quotePrefix="0" xfId="0">
      <alignment vertical="center"/>
    </xf>
    <xf numFmtId="0" fontId="12" fillId="0" borderId="1" applyAlignment="1" pivotButton="0" quotePrefix="0" xfId="0">
      <alignment vertical="center"/>
    </xf>
    <xf numFmtId="0" fontId="13" fillId="0" borderId="0" applyAlignment="1" pivotButton="0" quotePrefix="0" xfId="0">
      <alignment horizontal="left" vertical="center"/>
    </xf>
    <xf numFmtId="0" fontId="13" fillId="0" borderId="0" applyAlignment="1" pivotButton="0" quotePrefix="0" xfId="0">
      <alignment horizontal="center" vertical="center"/>
    </xf>
    <xf numFmtId="0" fontId="5" fillId="0" borderId="0" applyAlignment="1" pivotButton="0" quotePrefix="0" xfId="0">
      <alignment horizontal="left" vertical="center"/>
    </xf>
    <xf numFmtId="10" fontId="5" fillId="0" borderId="0" applyAlignment="1" pivotButton="0" quotePrefix="0" xfId="2">
      <alignment horizontal="center" vertical="center"/>
    </xf>
    <xf numFmtId="10" fontId="5" fillId="0" borderId="0" applyAlignment="1" pivotButton="0" quotePrefix="0" xfId="0">
      <alignment horizontal="center" vertical="center"/>
    </xf>
    <xf numFmtId="0" fontId="14" fillId="0" borderId="0"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5" fillId="0" borderId="2" applyAlignment="1" pivotButton="0" quotePrefix="0" xfId="0">
      <alignment horizontal="left" vertical="center"/>
    </xf>
    <xf numFmtId="10" fontId="5" fillId="0" borderId="2" applyAlignment="1" pivotButton="0" quotePrefix="0" xfId="2">
      <alignment horizontal="center" vertical="center"/>
    </xf>
    <xf numFmtId="0" fontId="15" fillId="0" borderId="0" pivotButton="0" quotePrefix="0" xfId="0"/>
    <xf numFmtId="0" fontId="20" fillId="0" borderId="0" pivotButton="0" quotePrefix="0" xfId="0"/>
    <xf numFmtId="0" fontId="16" fillId="17" borderId="83" pivotButton="0" quotePrefix="0" xfId="0"/>
    <xf numFmtId="0" fontId="0" fillId="17" borderId="84" pivotButton="0" quotePrefix="0" xfId="0"/>
    <xf numFmtId="0" fontId="0" fillId="17" borderId="85" pivotButton="0" quotePrefix="0" xfId="0"/>
    <xf numFmtId="0" fontId="16" fillId="13" borderId="61" pivotButton="0" quotePrefix="0" xfId="0"/>
    <xf numFmtId="0" fontId="0" fillId="13" borderId="62" pivotButton="0" quotePrefix="0" xfId="0"/>
    <xf numFmtId="0" fontId="0" fillId="13" borderId="63" pivotButton="0" quotePrefix="0" xfId="0"/>
    <xf numFmtId="0" fontId="28" fillId="18" borderId="86" applyAlignment="1" pivotButton="0" quotePrefix="0" xfId="0">
      <alignment horizontal="left" vertical="center" wrapText="1"/>
    </xf>
    <xf numFmtId="0" fontId="28" fillId="18" borderId="87" applyAlignment="1" pivotButton="0" quotePrefix="0" xfId="0">
      <alignment horizontal="center" vertical="center" wrapText="1"/>
    </xf>
    <xf numFmtId="0" fontId="28" fillId="18" borderId="88" applyAlignment="1" pivotButton="0" quotePrefix="0" xfId="0">
      <alignment horizontal="center" vertical="center" wrapText="1"/>
    </xf>
    <xf numFmtId="0" fontId="26" fillId="14" borderId="66" applyAlignment="1" pivotButton="0" quotePrefix="0" xfId="0">
      <alignment horizontal="left" vertical="center" wrapText="1"/>
    </xf>
    <xf numFmtId="0" fontId="26" fillId="14" borderId="67" applyAlignment="1" pivotButton="0" quotePrefix="0" xfId="0">
      <alignment horizontal="center" vertical="center" wrapText="1"/>
    </xf>
    <xf numFmtId="0" fontId="26" fillId="14" borderId="68" applyAlignment="1" pivotButton="0" quotePrefix="0" xfId="0">
      <alignment horizontal="center" vertical="center" wrapText="1"/>
    </xf>
    <xf numFmtId="0" fontId="18" fillId="0" borderId="89" pivotButton="0" quotePrefix="0" xfId="0"/>
    <xf numFmtId="164" fontId="18" fillId="0" borderId="12" pivotButton="0" quotePrefix="0" xfId="0"/>
    <xf numFmtId="164" fontId="20" fillId="0" borderId="12" pivotButton="0" quotePrefix="0" xfId="0"/>
    <xf numFmtId="3" fontId="18" fillId="0" borderId="90" pivotButton="0" quotePrefix="0" xfId="0"/>
    <xf numFmtId="0" fontId="18" fillId="0" borderId="64" pivotButton="0" quotePrefix="0" xfId="0"/>
    <xf numFmtId="10" fontId="18" fillId="0" borderId="12" pivotButton="0" quotePrefix="0" xfId="0"/>
    <xf numFmtId="0" fontId="18" fillId="0" borderId="69" pivotButton="0" quotePrefix="0" xfId="0"/>
    <xf numFmtId="164" fontId="18" fillId="0" borderId="70" pivotButton="0" quotePrefix="0" xfId="0"/>
    <xf numFmtId="0" fontId="20" fillId="0" borderId="89" pivotButton="0" quotePrefix="0" xfId="0"/>
    <xf numFmtId="3" fontId="20" fillId="0" borderId="90" pivotButton="0" quotePrefix="0" xfId="0"/>
    <xf numFmtId="0" fontId="0" fillId="0" borderId="12" pivotButton="0" quotePrefix="0" xfId="0"/>
    <xf numFmtId="0" fontId="0" fillId="0" borderId="90" pivotButton="0" quotePrefix="0" xfId="0"/>
    <xf numFmtId="0" fontId="18" fillId="0" borderId="91" pivotButton="0" quotePrefix="0" xfId="0"/>
    <xf numFmtId="0" fontId="0" fillId="0" borderId="92" pivotButton="0" quotePrefix="0" xfId="0"/>
    <xf numFmtId="166" fontId="18" fillId="0" borderId="92" pivotButton="0" quotePrefix="0" xfId="0"/>
    <xf numFmtId="0" fontId="0" fillId="0" borderId="93" pivotButton="0" quotePrefix="0" xfId="0"/>
    <xf numFmtId="0" fontId="16" fillId="19" borderId="105" pivotButton="0" quotePrefix="0" xfId="0"/>
    <xf numFmtId="0" fontId="0" fillId="19" borderId="106" pivotButton="0" quotePrefix="0" xfId="0"/>
    <xf numFmtId="0" fontId="0" fillId="19" borderId="107" pivotButton="0" quotePrefix="0" xfId="0"/>
    <xf numFmtId="0" fontId="16" fillId="23" borderId="94" pivotButton="0" quotePrefix="0" xfId="0"/>
    <xf numFmtId="0" fontId="0" fillId="23" borderId="95" pivotButton="0" quotePrefix="0" xfId="0"/>
    <xf numFmtId="0" fontId="0" fillId="23" borderId="96" pivotButton="0" quotePrefix="0" xfId="0"/>
    <xf numFmtId="0" fontId="30" fillId="20" borderId="108" applyAlignment="1" pivotButton="0" quotePrefix="0" xfId="0">
      <alignment horizontal="left" vertical="center" wrapText="1"/>
    </xf>
    <xf numFmtId="0" fontId="30" fillId="20" borderId="109" applyAlignment="1" pivotButton="0" quotePrefix="0" xfId="0">
      <alignment horizontal="center" vertical="center" wrapText="1"/>
    </xf>
    <xf numFmtId="0" fontId="30" fillId="20" borderId="110" applyAlignment="1" pivotButton="0" quotePrefix="0" xfId="0">
      <alignment horizontal="center" vertical="center" wrapText="1"/>
    </xf>
    <xf numFmtId="0" fontId="32" fillId="24" borderId="97" applyAlignment="1" pivotButton="0" quotePrefix="0" xfId="0">
      <alignment horizontal="left" vertical="center" wrapText="1"/>
    </xf>
    <xf numFmtId="0" fontId="32" fillId="24" borderId="98" applyAlignment="1" pivotButton="0" quotePrefix="0" xfId="0">
      <alignment horizontal="center" vertical="center" wrapText="1"/>
    </xf>
    <xf numFmtId="0" fontId="32" fillId="24" borderId="99" applyAlignment="1" pivotButton="0" quotePrefix="0" xfId="0">
      <alignment horizontal="center" vertical="center" wrapText="1"/>
    </xf>
    <xf numFmtId="0" fontId="18" fillId="0" borderId="111" pivotButton="0" quotePrefix="0" xfId="0"/>
    <xf numFmtId="10" fontId="20" fillId="0" borderId="12" pivotButton="0" quotePrefix="0" xfId="0"/>
    <xf numFmtId="10" fontId="18" fillId="0" borderId="112" pivotButton="0" quotePrefix="0" xfId="0"/>
    <xf numFmtId="0" fontId="18" fillId="0" borderId="100" pivotButton="0" quotePrefix="0" xfId="0"/>
    <xf numFmtId="164" fontId="18" fillId="0" borderId="101" pivotButton="0" quotePrefix="0" xfId="0"/>
    <xf numFmtId="0" fontId="18" fillId="0" borderId="102" pivotButton="0" quotePrefix="0" xfId="0"/>
    <xf numFmtId="164" fontId="18" fillId="0" borderId="103" pivotButton="0" quotePrefix="0" xfId="0"/>
    <xf numFmtId="164" fontId="18" fillId="0" borderId="104" pivotButton="0" quotePrefix="0" xfId="0"/>
    <xf numFmtId="164" fontId="18" fillId="0" borderId="112" pivotButton="0" quotePrefix="0" xfId="0"/>
    <xf numFmtId="0" fontId="16" fillId="21" borderId="117" pivotButton="0" quotePrefix="0" xfId="0"/>
    <xf numFmtId="0" fontId="0" fillId="21" borderId="118" pivotButton="0" quotePrefix="0" xfId="0"/>
    <xf numFmtId="0" fontId="0" fillId="21" borderId="119" pivotButton="0" quotePrefix="0" xfId="0"/>
    <xf numFmtId="0" fontId="18" fillId="0" borderId="113" pivotButton="0" quotePrefix="0" xfId="0"/>
    <xf numFmtId="10" fontId="18" fillId="0" borderId="114" pivotButton="0" quotePrefix="0" xfId="0"/>
    <xf numFmtId="10" fontId="20" fillId="0" borderId="114" pivotButton="0" quotePrefix="0" xfId="0"/>
    <xf numFmtId="10" fontId="18" fillId="0" borderId="115" pivotButton="0" quotePrefix="0" xfId="0"/>
    <xf numFmtId="0" fontId="31" fillId="22" borderId="127" applyAlignment="1" pivotButton="0" quotePrefix="0" xfId="0">
      <alignment horizontal="left" vertical="center" wrapText="1"/>
    </xf>
    <xf numFmtId="0" fontId="31" fillId="22" borderId="125" applyAlignment="1" pivotButton="0" quotePrefix="0" xfId="0">
      <alignment horizontal="center" vertical="center" wrapText="1"/>
    </xf>
    <xf numFmtId="0" fontId="31" fillId="22" borderId="128" applyAlignment="1" pivotButton="0" quotePrefix="0" xfId="0">
      <alignment horizontal="center" vertical="center" wrapText="1"/>
    </xf>
    <xf numFmtId="0" fontId="18" fillId="0" borderId="120" pivotButton="0" quotePrefix="0" xfId="0"/>
    <xf numFmtId="167" fontId="18" fillId="0" borderId="12" pivotButton="0" quotePrefix="0" xfId="0"/>
    <xf numFmtId="2" fontId="18" fillId="0" borderId="12" pivotButton="0" quotePrefix="0" xfId="0"/>
    <xf numFmtId="2" fontId="18" fillId="0" borderId="121" pivotButton="0" quotePrefix="0" xfId="0"/>
    <xf numFmtId="0" fontId="18" fillId="0" borderId="122" pivotButton="0" quotePrefix="0" xfId="0"/>
    <xf numFmtId="0" fontId="0" fillId="0" borderId="123" pivotButton="0" quotePrefix="0" xfId="0"/>
    <xf numFmtId="164" fontId="18" fillId="0" borderId="124" pivotButton="0" quotePrefix="0" xfId="0"/>
    <xf numFmtId="0" fontId="16" fillId="15" borderId="72" pivotButton="0" quotePrefix="0" xfId="0"/>
    <xf numFmtId="0" fontId="0" fillId="15" borderId="73" pivotButton="0" quotePrefix="0" xfId="0"/>
    <xf numFmtId="0" fontId="0" fillId="15" borderId="74" pivotButton="0" quotePrefix="0" xfId="0"/>
    <xf numFmtId="0" fontId="27" fillId="16" borderId="75" applyAlignment="1" pivotButton="0" quotePrefix="0" xfId="0">
      <alignment horizontal="left" vertical="center" wrapText="1"/>
    </xf>
    <xf numFmtId="0" fontId="27" fillId="16" borderId="76" applyAlignment="1" pivotButton="0" quotePrefix="0" xfId="0">
      <alignment horizontal="center" vertical="center" wrapText="1"/>
    </xf>
    <xf numFmtId="0" fontId="27" fillId="16" borderId="77" applyAlignment="1" pivotButton="0" quotePrefix="0" xfId="0">
      <alignment horizontal="center" vertical="center" wrapText="1"/>
    </xf>
    <xf numFmtId="0" fontId="18" fillId="0" borderId="78" pivotButton="0" quotePrefix="0" xfId="0"/>
    <xf numFmtId="10" fontId="18" fillId="0" borderId="79" pivotButton="0" quotePrefix="0" xfId="0"/>
    <xf numFmtId="2" fontId="18" fillId="0" borderId="79" pivotButton="0" quotePrefix="0" xfId="0"/>
    <xf numFmtId="0" fontId="18" fillId="0" borderId="80" pivotButton="0" quotePrefix="0" xfId="0"/>
    <xf numFmtId="0" fontId="0" fillId="0" borderId="81" pivotButton="0" quotePrefix="0" xfId="0"/>
    <xf numFmtId="164" fontId="18" fillId="0" borderId="82" pivotButton="0" quotePrefix="0" xfId="0"/>
    <xf numFmtId="164" fontId="18" fillId="0" borderId="79" pivotButton="0" quotePrefix="0" xfId="0"/>
    <xf numFmtId="10" fontId="18" fillId="0" borderId="81" pivotButton="0" quotePrefix="0" xfId="0"/>
    <xf numFmtId="10" fontId="18" fillId="0" borderId="82" pivotButton="0" quotePrefix="0" xfId="0"/>
    <xf numFmtId="0" fontId="16" fillId="7" borderId="28" pivotButton="0" quotePrefix="0" xfId="0"/>
    <xf numFmtId="0" fontId="0" fillId="7" borderId="29" pivotButton="0" quotePrefix="0" xfId="0"/>
    <xf numFmtId="0" fontId="0" fillId="7" borderId="30" pivotButton="0" quotePrefix="0" xfId="0"/>
    <xf numFmtId="0" fontId="23" fillId="8" borderId="31" applyAlignment="1" pivotButton="0" quotePrefix="0" xfId="0">
      <alignment horizontal="left" vertical="center" wrapText="1"/>
    </xf>
    <xf numFmtId="0" fontId="23" fillId="8" borderId="32" applyAlignment="1" pivotButton="0" quotePrefix="0" xfId="0">
      <alignment horizontal="center" vertical="center" wrapText="1"/>
    </xf>
    <xf numFmtId="0" fontId="23" fillId="8" borderId="33" applyAlignment="1" pivotButton="0" quotePrefix="0" xfId="0">
      <alignment horizontal="center" vertical="center" wrapText="1"/>
    </xf>
    <xf numFmtId="0" fontId="18" fillId="0" borderId="34" pivotButton="0" quotePrefix="0" xfId="0"/>
    <xf numFmtId="0" fontId="18" fillId="0" borderId="35" pivotButton="0" quotePrefix="0" xfId="0"/>
    <xf numFmtId="164" fontId="18" fillId="0" borderId="35" pivotButton="0" quotePrefix="0" xfId="0"/>
    <xf numFmtId="10" fontId="18" fillId="0" borderId="35" pivotButton="0" quotePrefix="0" xfId="0"/>
    <xf numFmtId="0" fontId="18" fillId="0" borderId="36" pivotButton="0" quotePrefix="0" xfId="0"/>
    <xf numFmtId="0" fontId="0" fillId="0" borderId="37" pivotButton="0" quotePrefix="0" xfId="0"/>
    <xf numFmtId="10" fontId="18" fillId="0" borderId="38" pivotButton="0" quotePrefix="0" xfId="0"/>
    <xf numFmtId="0" fontId="18" fillId="0" borderId="12" pivotButton="0" quotePrefix="0" xfId="0"/>
    <xf numFmtId="0" fontId="20" fillId="0" borderId="91" pivotButton="0" quotePrefix="0" xfId="0"/>
    <xf numFmtId="0" fontId="18" fillId="0" borderId="92" pivotButton="0" quotePrefix="0" xfId="0"/>
    <xf numFmtId="0" fontId="16" fillId="17" borderId="129" pivotButton="0" quotePrefix="0" xfId="0"/>
    <xf numFmtId="0" fontId="0" fillId="17" borderId="130" pivotButton="0" quotePrefix="0" xfId="0"/>
    <xf numFmtId="0" fontId="0" fillId="17" borderId="131" pivotButton="0" quotePrefix="0" xfId="0"/>
    <xf numFmtId="0" fontId="33" fillId="0" borderId="0" pivotButton="0" quotePrefix="0" xfId="0"/>
    <xf numFmtId="0" fontId="24" fillId="11" borderId="4" applyAlignment="1" pivotButton="0" quotePrefix="0" xfId="0">
      <alignment horizontal="left" vertical="center" wrapText="1"/>
    </xf>
    <xf numFmtId="0" fontId="24" fillId="11" borderId="4" applyAlignment="1" pivotButton="0" quotePrefix="0" xfId="0">
      <alignment horizontal="center" vertical="center" wrapText="1"/>
    </xf>
    <xf numFmtId="0" fontId="18" fillId="0" borderId="0" pivotButton="0" quotePrefix="0" xfId="0"/>
    <xf numFmtId="10" fontId="18" fillId="0" borderId="0" pivotButton="0" quotePrefix="0" xfId="0"/>
    <xf numFmtId="164" fontId="18" fillId="0" borderId="0" pivotButton="0" quotePrefix="0" xfId="0"/>
    <xf numFmtId="17" fontId="18" fillId="0" borderId="0" pivotButton="0" quotePrefix="0" xfId="0"/>
    <xf numFmtId="2" fontId="18" fillId="0" borderId="0" pivotButton="0" quotePrefix="0" xfId="0"/>
    <xf numFmtId="1" fontId="18" fillId="0" borderId="0" pivotButton="0" quotePrefix="0" xfId="0"/>
    <xf numFmtId="167" fontId="18" fillId="0" borderId="0" pivotButton="0" quotePrefix="0" xfId="0"/>
    <xf numFmtId="0" fontId="16" fillId="3" borderId="5" pivotButton="0" quotePrefix="0" xfId="0"/>
    <xf numFmtId="0" fontId="0" fillId="3" borderId="6" pivotButton="0" quotePrefix="0" xfId="0"/>
    <xf numFmtId="0" fontId="0" fillId="3" borderId="7" pivotButton="0" quotePrefix="0" xfId="0"/>
    <xf numFmtId="0" fontId="17" fillId="4" borderId="8" applyAlignment="1" pivotButton="0" quotePrefix="0" xfId="0">
      <alignment horizontal="left" vertical="center" wrapText="1"/>
    </xf>
    <xf numFmtId="0" fontId="17" fillId="4" borderId="9" applyAlignment="1" pivotButton="0" quotePrefix="0" xfId="0">
      <alignment horizontal="center" vertical="center" wrapText="1"/>
    </xf>
    <xf numFmtId="0" fontId="17" fillId="4" borderId="10" applyAlignment="1" pivotButton="0" quotePrefix="0" xfId="0">
      <alignment horizontal="center" vertical="center" wrapText="1"/>
    </xf>
    <xf numFmtId="0" fontId="19" fillId="0" borderId="0" pivotButton="0" quotePrefix="0" xfId="0"/>
    <xf numFmtId="0" fontId="18" fillId="0" borderId="11" pivotButton="0" quotePrefix="0" xfId="0"/>
    <xf numFmtId="164" fontId="19" fillId="0" borderId="12" pivotButton="0" quotePrefix="0" xfId="0"/>
    <xf numFmtId="1" fontId="19" fillId="0" borderId="12" pivotButton="0" quotePrefix="0" xfId="0"/>
    <xf numFmtId="1" fontId="19" fillId="0" borderId="13" pivotButton="0" quotePrefix="0" xfId="0"/>
    <xf numFmtId="0" fontId="18" fillId="6" borderId="0" pivotButton="0" quotePrefix="0" xfId="0"/>
    <xf numFmtId="0" fontId="20" fillId="0" borderId="14" pivotButton="0" quotePrefix="0" xfId="0"/>
    <xf numFmtId="164" fontId="20" fillId="0" borderId="15" pivotButton="0" quotePrefix="0" xfId="0"/>
    <xf numFmtId="0" fontId="0" fillId="0" borderId="15" pivotButton="0" quotePrefix="0" xfId="0"/>
    <xf numFmtId="0" fontId="0" fillId="0" borderId="16" pivotButton="0" quotePrefix="0" xfId="0"/>
    <xf numFmtId="0" fontId="16" fillId="5" borderId="17" pivotButton="0" quotePrefix="0" xfId="0"/>
    <xf numFmtId="0" fontId="0" fillId="5" borderId="18" pivotButton="0" quotePrefix="0" xfId="0"/>
    <xf numFmtId="0" fontId="0" fillId="5" borderId="19" pivotButton="0" quotePrefix="0" xfId="0"/>
    <xf numFmtId="0" fontId="21" fillId="6" borderId="20" applyAlignment="1" pivotButton="0" quotePrefix="0" xfId="0">
      <alignment horizontal="left" vertical="center" wrapText="1"/>
    </xf>
    <xf numFmtId="0" fontId="21" fillId="6" borderId="21" applyAlignment="1" pivotButton="0" quotePrefix="0" xfId="0">
      <alignment horizontal="center" vertical="center" wrapText="1"/>
    </xf>
    <xf numFmtId="0" fontId="21" fillId="6" borderId="22" applyAlignment="1" pivotButton="0" quotePrefix="0" xfId="0">
      <alignment horizontal="center" vertical="center" wrapText="1"/>
    </xf>
    <xf numFmtId="0" fontId="18" fillId="0" borderId="23" pivotButton="0" quotePrefix="0" xfId="0"/>
    <xf numFmtId="3" fontId="18" fillId="0" borderId="12" pivotButton="0" quotePrefix="0" xfId="0"/>
    <xf numFmtId="10" fontId="19" fillId="0" borderId="12" pivotButton="0" quotePrefix="0" xfId="0"/>
    <xf numFmtId="0" fontId="18" fillId="0" borderId="25" pivotButton="0" quotePrefix="0" xfId="0"/>
    <xf numFmtId="164" fontId="19" fillId="0" borderId="26" pivotButton="0" quotePrefix="0" xfId="0"/>
    <xf numFmtId="2" fontId="19" fillId="0" borderId="12" pivotButton="0" quotePrefix="0" xfId="0"/>
    <xf numFmtId="165" fontId="19" fillId="0" borderId="12" pivotButton="0" quotePrefix="0" xfId="0"/>
    <xf numFmtId="1" fontId="19" fillId="0" borderId="37" pivotButton="0" quotePrefix="0" xfId="0"/>
    <xf numFmtId="0" fontId="0" fillId="0" borderId="64" pivotButton="0" quotePrefix="0" xfId="0"/>
    <xf numFmtId="0" fontId="0" fillId="0" borderId="65" pivotButton="0" quotePrefix="0" xfId="0"/>
    <xf numFmtId="10" fontId="18" fillId="0" borderId="65" pivotButton="0" quotePrefix="0" xfId="0"/>
    <xf numFmtId="0" fontId="20" fillId="0" borderId="64" pivotButton="0" quotePrefix="0" xfId="0"/>
    <xf numFmtId="0" fontId="20" fillId="0" borderId="69" pivotButton="0" quotePrefix="0" xfId="0"/>
    <xf numFmtId="0" fontId="0" fillId="0" borderId="70" pivotButton="0" quotePrefix="0" xfId="0"/>
    <xf numFmtId="0" fontId="20" fillId="0" borderId="70" pivotButton="0" quotePrefix="0" xfId="0"/>
    <xf numFmtId="0" fontId="0" fillId="0" borderId="71" pivotButton="0" quotePrefix="0" xfId="0"/>
    <xf numFmtId="0" fontId="16" fillId="9" borderId="39" pivotButton="0" quotePrefix="0" xfId="0"/>
    <xf numFmtId="0" fontId="0" fillId="9" borderId="40" pivotButton="0" quotePrefix="0" xfId="0"/>
    <xf numFmtId="0" fontId="0" fillId="9" borderId="41" pivotButton="0" quotePrefix="0" xfId="0"/>
    <xf numFmtId="0" fontId="24" fillId="11" borderId="42" applyAlignment="1" pivotButton="0" quotePrefix="0" xfId="0">
      <alignment horizontal="left" vertical="center" wrapText="1"/>
    </xf>
    <xf numFmtId="0" fontId="24" fillId="11" borderId="43" applyAlignment="1" pivotButton="0" quotePrefix="0" xfId="0">
      <alignment horizontal="center" vertical="center" wrapText="1"/>
    </xf>
    <xf numFmtId="0" fontId="24" fillId="11" borderId="44" applyAlignment="1" pivotButton="0" quotePrefix="0" xfId="0">
      <alignment horizontal="center" vertical="center" wrapText="1"/>
    </xf>
    <xf numFmtId="164" fontId="19" fillId="0" borderId="24" pivotButton="0" quotePrefix="0" xfId="0"/>
    <xf numFmtId="0" fontId="18" fillId="0" borderId="45" pivotButton="0" quotePrefix="0" xfId="0"/>
    <xf numFmtId="10" fontId="18" fillId="0" borderId="46" pivotButton="0" quotePrefix="0" xfId="0"/>
    <xf numFmtId="10" fontId="19" fillId="0" borderId="24" pivotButton="0" quotePrefix="0" xfId="0"/>
    <xf numFmtId="0" fontId="18" fillId="0" borderId="47" pivotButton="0" quotePrefix="0" xfId="0"/>
    <xf numFmtId="10" fontId="18" fillId="0" borderId="48" pivotButton="0" quotePrefix="0" xfId="0"/>
    <xf numFmtId="10" fontId="18" fillId="0" borderId="49" pivotButton="0" quotePrefix="0" xfId="0"/>
    <xf numFmtId="168" fontId="19" fillId="0" borderId="12" pivotButton="0" quotePrefix="0" xfId="0"/>
    <xf numFmtId="0" fontId="0" fillId="0" borderId="13" pivotButton="0" quotePrefix="0" xfId="0"/>
    <xf numFmtId="0" fontId="22" fillId="0" borderId="13" pivotButton="0" quotePrefix="0" xfId="0"/>
    <xf numFmtId="164" fontId="19" fillId="0" borderId="27" pivotButton="0" quotePrefix="0" xfId="0"/>
    <xf numFmtId="10" fontId="20" fillId="0" borderId="15" pivotButton="0" quotePrefix="0" xfId="0"/>
    <xf numFmtId="0" fontId="20" fillId="0" borderId="78" pivotButton="0" quotePrefix="0" xfId="0"/>
    <xf numFmtId="0" fontId="0" fillId="0" borderId="79" pivotButton="0" quotePrefix="0" xfId="0"/>
    <xf numFmtId="0" fontId="20" fillId="16" borderId="78" pivotButton="0" quotePrefix="0" xfId="0"/>
    <xf numFmtId="0" fontId="18" fillId="16" borderId="12" pivotButton="0" quotePrefix="0" xfId="0"/>
    <xf numFmtId="164" fontId="20" fillId="16" borderId="12" pivotButton="0" quotePrefix="0" xfId="0"/>
    <xf numFmtId="10" fontId="20" fillId="16" borderId="79" pivotButton="0" quotePrefix="0" xfId="0"/>
    <xf numFmtId="0" fontId="0" fillId="0" borderId="78" pivotButton="0" quotePrefix="0" xfId="0"/>
    <xf numFmtId="0" fontId="20" fillId="16" borderId="80" pivotButton="0" quotePrefix="0" xfId="0"/>
    <xf numFmtId="0" fontId="18" fillId="16" borderId="81" pivotButton="0" quotePrefix="0" xfId="0"/>
    <xf numFmtId="164" fontId="20" fillId="16" borderId="81" pivotButton="0" quotePrefix="0" xfId="0"/>
    <xf numFmtId="10" fontId="20" fillId="16" borderId="82" pivotButton="0" quotePrefix="0" xfId="0"/>
    <xf numFmtId="169" fontId="18" fillId="0" borderId="12" pivotButton="0" quotePrefix="0" xfId="0"/>
    <xf numFmtId="169" fontId="18" fillId="0" borderId="37" pivotButton="0" quotePrefix="0" xfId="0"/>
    <xf numFmtId="164" fontId="18" fillId="0" borderId="38" pivotButton="0" quotePrefix="0" xfId="0"/>
    <xf numFmtId="2" fontId="18" fillId="0" borderId="46" pivotButton="0" quotePrefix="0" xfId="0"/>
    <xf numFmtId="0" fontId="0" fillId="0" borderId="45" pivotButton="0" quotePrefix="0" xfId="0"/>
    <xf numFmtId="0" fontId="0" fillId="0" borderId="46" pivotButton="0" quotePrefix="0" xfId="0"/>
    <xf numFmtId="0" fontId="20" fillId="0" borderId="47" pivotButton="0" quotePrefix="0" xfId="0"/>
    <xf numFmtId="167" fontId="20" fillId="0" borderId="48" pivotButton="0" quotePrefix="0" xfId="0"/>
    <xf numFmtId="0" fontId="0" fillId="0" borderId="48" pivotButton="0" quotePrefix="0" xfId="0"/>
    <xf numFmtId="0" fontId="0" fillId="0" borderId="49" pivotButton="0" quotePrefix="0" xfId="0"/>
    <xf numFmtId="0" fontId="0" fillId="0" borderId="11" pivotButton="0" quotePrefix="0" xfId="0"/>
    <xf numFmtId="164" fontId="18" fillId="0" borderId="13" pivotButton="0" quotePrefix="0" xfId="0"/>
    <xf numFmtId="0" fontId="18" fillId="0" borderId="14" pivotButton="0" quotePrefix="0" xfId="0"/>
    <xf numFmtId="169" fontId="18" fillId="0" borderId="15" pivotButton="0" quotePrefix="0" xfId="0"/>
    <xf numFmtId="164" fontId="18" fillId="0" borderId="16" pivotButton="0" quotePrefix="0" xfId="0"/>
    <xf numFmtId="0" fontId="16" fillId="10" borderId="50" pivotButton="0" quotePrefix="0" xfId="0"/>
    <xf numFmtId="0" fontId="0" fillId="10" borderId="51" pivotButton="0" quotePrefix="0" xfId="0"/>
    <xf numFmtId="0" fontId="0" fillId="10" borderId="52" pivotButton="0" quotePrefix="0" xfId="0"/>
    <xf numFmtId="0" fontId="20" fillId="0" borderId="56" pivotButton="0" quotePrefix="0" xfId="0"/>
    <xf numFmtId="0" fontId="0" fillId="0" borderId="57" pivotButton="0" quotePrefix="0" xfId="0"/>
    <xf numFmtId="0" fontId="25" fillId="12" borderId="53" applyAlignment="1" pivotButton="0" quotePrefix="0" xfId="0">
      <alignment horizontal="left" vertical="center" wrapText="1"/>
    </xf>
    <xf numFmtId="0" fontId="25" fillId="12" borderId="54" applyAlignment="1" pivotButton="0" quotePrefix="0" xfId="0">
      <alignment horizontal="center" vertical="center" wrapText="1"/>
    </xf>
    <xf numFmtId="0" fontId="25" fillId="12" borderId="55" applyAlignment="1" pivotButton="0" quotePrefix="0" xfId="0">
      <alignment horizontal="center" vertical="center" wrapText="1"/>
    </xf>
    <xf numFmtId="0" fontId="18" fillId="0" borderId="56" pivotButton="0" quotePrefix="0" xfId="0"/>
    <xf numFmtId="164" fontId="18" fillId="0" borderId="57" pivotButton="0" quotePrefix="0" xfId="0"/>
    <xf numFmtId="0" fontId="0" fillId="0" borderId="56" pivotButton="0" quotePrefix="0" xfId="0"/>
    <xf numFmtId="0" fontId="18" fillId="0" borderId="58" pivotButton="0" quotePrefix="0" xfId="0"/>
    <xf numFmtId="164" fontId="18" fillId="0" borderId="59" pivotButton="0" quotePrefix="0" xfId="0"/>
    <xf numFmtId="0" fontId="0" fillId="0" borderId="59" pivotButton="0" quotePrefix="0" xfId="0"/>
    <xf numFmtId="0" fontId="0" fillId="0" borderId="60" pivotButton="0" quotePrefix="0" xfId="0"/>
    <xf numFmtId="166" fontId="18" fillId="0" borderId="12" pivotButton="0" quotePrefix="0" xfId="0"/>
    <xf numFmtId="10" fontId="18" fillId="0" borderId="57" pivotButton="0" quotePrefix="0" xfId="0"/>
    <xf numFmtId="0" fontId="20" fillId="0" borderId="58" pivotButton="0" quotePrefix="0" xfId="0"/>
    <xf numFmtId="164" fontId="20" fillId="0" borderId="59" pivotButton="0" quotePrefix="0" xfId="0"/>
    <xf numFmtId="166" fontId="20" fillId="0" borderId="59" pivotButton="0" quotePrefix="0" xfId="0"/>
    <xf numFmtId="10" fontId="20" fillId="0" borderId="60" pivotButton="0" quotePrefix="0" xfId="0"/>
    <xf numFmtId="0" fontId="0" fillId="0" borderId="23" pivotButton="0" quotePrefix="0" xfId="0"/>
    <xf numFmtId="0" fontId="0" fillId="0" borderId="24" pivotButton="0" quotePrefix="0" xfId="0"/>
    <xf numFmtId="165" fontId="18" fillId="0" borderId="12" pivotButton="0" quotePrefix="0" xfId="0"/>
    <xf numFmtId="164" fontId="19" fillId="6" borderId="12" pivotButton="0" quotePrefix="0" xfId="0"/>
    <xf numFmtId="164" fontId="18" fillId="0" borderId="24" pivotButton="0" quotePrefix="0" xfId="0"/>
    <xf numFmtId="0" fontId="20" fillId="0" borderId="25" pivotButton="0" quotePrefix="0" xfId="0"/>
    <xf numFmtId="0" fontId="0" fillId="0" borderId="26" pivotButton="0" quotePrefix="0" xfId="0"/>
    <xf numFmtId="164" fontId="20" fillId="0" borderId="26" pivotButton="0" quotePrefix="0" xfId="0"/>
    <xf numFmtId="164" fontId="20" fillId="0" borderId="27" pivotButton="0" quotePrefix="0" xfId="0"/>
    <xf numFmtId="0" fontId="18" fillId="0" borderId="90" pivotButton="0" quotePrefix="0" xfId="0"/>
    <xf numFmtId="164" fontId="18" fillId="0" borderId="92" pivotButton="0" quotePrefix="0" xfId="0"/>
    <xf numFmtId="0" fontId="18" fillId="0" borderId="93" pivotButton="0" quotePrefix="0" xfId="0"/>
    <xf numFmtId="164" fontId="19" fillId="0" borderId="101" pivotButton="0" quotePrefix="0" xfId="0"/>
    <xf numFmtId="0" fontId="0" fillId="0" borderId="100" pivotButton="0" quotePrefix="0" xfId="0"/>
    <xf numFmtId="0" fontId="0" fillId="0" borderId="101" pivotButton="0" quotePrefix="0" xfId="0"/>
    <xf numFmtId="0" fontId="20" fillId="0" borderId="100" pivotButton="0" quotePrefix="0" xfId="0"/>
    <xf numFmtId="10" fontId="18" fillId="0" borderId="101" pivotButton="0" quotePrefix="0" xfId="0"/>
    <xf numFmtId="0" fontId="18" fillId="0" borderId="103" pivotButton="0" quotePrefix="0" xfId="0"/>
    <xf numFmtId="0" fontId="18" fillId="0" borderId="104" pivotButton="0" quotePrefix="0" xfId="0"/>
    <xf numFmtId="0" fontId="29" fillId="0" borderId="0" pivotButton="0" quotePrefix="0" xfId="0"/>
    <xf numFmtId="0" fontId="0" fillId="0" borderId="34" pivotButton="0" quotePrefix="0" xfId="0"/>
    <xf numFmtId="0" fontId="0" fillId="0" borderId="35" pivotButton="0" quotePrefix="0" xfId="0"/>
    <xf numFmtId="10" fontId="19" fillId="6" borderId="12" pivotButton="0" quotePrefix="0" xfId="0"/>
    <xf numFmtId="10" fontId="20" fillId="0" borderId="35" pivotButton="0" quotePrefix="0" xfId="0"/>
    <xf numFmtId="0" fontId="20" fillId="0" borderId="36" pivotButton="0" quotePrefix="0" xfId="0"/>
    <xf numFmtId="164" fontId="20" fillId="0" borderId="37" pivotButton="0" quotePrefix="0" xfId="0"/>
    <xf numFmtId="164" fontId="20" fillId="0" borderId="38" pivotButton="0" quotePrefix="0" xfId="0"/>
    <xf numFmtId="0" fontId="20" fillId="0" borderId="57" pivotButton="0" quotePrefix="0" xfId="0"/>
    <xf numFmtId="10" fontId="18" fillId="0" borderId="59" pivotButton="0" quotePrefix="0" xfId="0"/>
    <xf numFmtId="2" fontId="18" fillId="0" borderId="59" pivotButton="0" quotePrefix="0" xfId="0"/>
    <xf numFmtId="165" fontId="18" fillId="0" borderId="59" pivotButton="0" quotePrefix="0" xfId="0"/>
    <xf numFmtId="0" fontId="20" fillId="0" borderId="60" pivotButton="0" quotePrefix="0" xfId="0"/>
    <xf numFmtId="0" fontId="18" fillId="0" borderId="112" pivotButton="0" quotePrefix="0" xfId="0"/>
    <xf numFmtId="0" fontId="0" fillId="0" borderId="112" pivotButton="0" quotePrefix="0" xfId="0"/>
    <xf numFmtId="0" fontId="18" fillId="0" borderId="114" pivotButton="0" quotePrefix="0" xfId="0"/>
    <xf numFmtId="0" fontId="0" fillId="0" borderId="114" pivotButton="0" quotePrefix="0" xfId="0"/>
    <xf numFmtId="0" fontId="0" fillId="0" borderId="115" pivotButton="0" quotePrefix="0" xfId="0"/>
    <xf numFmtId="0" fontId="18" fillId="0" borderId="24" pivotButton="0" quotePrefix="0" xfId="0"/>
    <xf numFmtId="164" fontId="18" fillId="0" borderId="26" pivotButton="0" quotePrefix="0" xfId="0"/>
    <xf numFmtId="0" fontId="18" fillId="0" borderId="27" pivotButton="0" quotePrefix="0" xfId="0"/>
    <xf numFmtId="0" fontId="20" fillId="0" borderId="113" pivotButton="0" quotePrefix="0" xfId="0"/>
    <xf numFmtId="0" fontId="20" fillId="0" borderId="114" pivotButton="0" quotePrefix="0" xfId="0"/>
    <xf numFmtId="0" fontId="30" fillId="20" borderId="109" applyAlignment="1" pivotButton="0" quotePrefix="0" xfId="0">
      <alignment horizontal="left" vertical="center" wrapText="1"/>
    </xf>
    <xf numFmtId="0" fontId="30" fillId="20" borderId="116" applyAlignment="1" pivotButton="0" quotePrefix="0" xfId="0">
      <alignment horizontal="center" vertical="center" wrapText="1"/>
    </xf>
    <xf numFmtId="1" fontId="18" fillId="0" borderId="45" pivotButton="0" quotePrefix="0" xfId="0"/>
    <xf numFmtId="17" fontId="18" fillId="0" borderId="12" pivotButton="0" quotePrefix="0" xfId="0"/>
    <xf numFmtId="164" fontId="18" fillId="0" borderId="46" pivotButton="0" quotePrefix="0" xfId="0"/>
    <xf numFmtId="1" fontId="18" fillId="0" borderId="47" pivotButton="0" quotePrefix="0" xfId="0"/>
    <xf numFmtId="17" fontId="18" fillId="0" borderId="48" pivotButton="0" quotePrefix="0" xfId="0"/>
    <xf numFmtId="164" fontId="18" fillId="0" borderId="48" pivotButton="0" quotePrefix="0" xfId="0"/>
    <xf numFmtId="164" fontId="18" fillId="0" borderId="49" pivotButton="0" quotePrefix="0" xfId="0"/>
    <xf numFmtId="0" fontId="0" fillId="0" borderId="111" pivotButton="0" quotePrefix="0" xfId="0"/>
    <xf numFmtId="1" fontId="18" fillId="0" borderId="111" pivotButton="0" quotePrefix="0" xfId="0"/>
    <xf numFmtId="169" fontId="18" fillId="0" borderId="112" pivotButton="0" quotePrefix="0" xfId="0"/>
    <xf numFmtId="1" fontId="18" fillId="0" borderId="113" pivotButton="0" quotePrefix="0" xfId="0"/>
    <xf numFmtId="1" fontId="19" fillId="0" borderId="114" pivotButton="0" quotePrefix="0" xfId="0"/>
    <xf numFmtId="164" fontId="18" fillId="0" borderId="114" pivotButton="0" quotePrefix="0" xfId="0"/>
    <xf numFmtId="169" fontId="18" fillId="0" borderId="114" pivotButton="0" quotePrefix="0" xfId="0"/>
    <xf numFmtId="169" fontId="18" fillId="0" borderId="115" pivotButton="0" quotePrefix="0" xfId="0"/>
    <xf numFmtId="168" fontId="19" fillId="0" borderId="101" pivotButton="0" quotePrefix="0" xfId="0"/>
    <xf numFmtId="168" fontId="19" fillId="0" borderId="103" pivotButton="0" quotePrefix="0" xfId="0"/>
    <xf numFmtId="168" fontId="19" fillId="0" borderId="104" pivotButton="0" quotePrefix="0" xfId="0"/>
    <xf numFmtId="164" fontId="18" fillId="0" borderId="115" pivotButton="0" quotePrefix="0" xfId="0"/>
    <xf numFmtId="164" fontId="20" fillId="0" borderId="101" pivotButton="0" quotePrefix="0" xfId="0"/>
    <xf numFmtId="0" fontId="20" fillId="0" borderId="102" pivotButton="0" quotePrefix="0" xfId="0"/>
    <xf numFmtId="164" fontId="20" fillId="0" borderId="103" pivotButton="0" quotePrefix="0" xfId="0"/>
    <xf numFmtId="164" fontId="20" fillId="0" borderId="104" pivotButton="0" quotePrefix="0" xfId="0"/>
    <xf numFmtId="0" fontId="31" fillId="22" borderId="125" applyAlignment="1" pivotButton="0" quotePrefix="0" xfId="0">
      <alignment horizontal="left" vertical="center" wrapText="1"/>
    </xf>
    <xf numFmtId="0" fontId="31" fillId="22" borderId="126" applyAlignment="1" pivotButton="0" quotePrefix="0" xfId="0">
      <alignment horizontal="center" vertical="center" wrapText="1"/>
    </xf>
    <xf numFmtId="17" fontId="18" fillId="0" borderId="45" pivotButton="0" quotePrefix="0" xfId="0"/>
    <xf numFmtId="0" fontId="0" fillId="0" borderId="121" pivotButton="0" quotePrefix="0" xfId="0"/>
    <xf numFmtId="0" fontId="20" fillId="0" borderId="122" pivotButton="0" quotePrefix="0" xfId="0"/>
    <xf numFmtId="167" fontId="20" fillId="0" borderId="123" pivotButton="0" quotePrefix="0" xfId="0"/>
    <xf numFmtId="0" fontId="0" fillId="0" borderId="124" pivotButton="0" quotePrefix="0" xfId="0"/>
    <xf numFmtId="1" fontId="18" fillId="0" borderId="12" pivotButton="0" quotePrefix="0" xfId="0"/>
    <xf numFmtId="164" fontId="18" fillId="0" borderId="121" pivotButton="0" quotePrefix="0" xfId="0"/>
    <xf numFmtId="170" fontId="18" fillId="0" borderId="121" pivotButton="0" quotePrefix="0" xfId="0"/>
    <xf numFmtId="1" fontId="18" fillId="0" borderId="123" pivotButton="0" quotePrefix="0" xfId="0"/>
    <xf numFmtId="167" fontId="18" fillId="0" borderId="123" pivotButton="0" quotePrefix="0" xfId="0"/>
    <xf numFmtId="2" fontId="18" fillId="0" borderId="123" pivotButton="0" quotePrefix="0" xfId="0"/>
    <xf numFmtId="170" fontId="18" fillId="0" borderId="124" pivotButton="0" quotePrefix="0" xfId="0"/>
    <xf numFmtId="17" fontId="19" fillId="0" borderId="12" pivotButton="0" quotePrefix="0" xfId="0"/>
    <xf numFmtId="2" fontId="18" fillId="0" borderId="101" pivotButton="0" quotePrefix="0" xfId="0"/>
    <xf numFmtId="0" fontId="22" fillId="0" borderId="101" pivotButton="0" quotePrefix="0" xfId="0"/>
    <xf numFmtId="0" fontId="22" fillId="0" borderId="104" pivotButton="0" quotePrefix="0" xfId="0"/>
    <xf numFmtId="0" fontId="20" fillId="0" borderId="120" pivotButton="0" quotePrefix="0" xfId="0"/>
    <xf numFmtId="164" fontId="20" fillId="0" borderId="121" pivotButton="0" quotePrefix="0" xfId="0"/>
    <xf numFmtId="164" fontId="20" fillId="0" borderId="123" pivotButton="0" quotePrefix="0" xfId="0"/>
    <xf numFmtId="164" fontId="20" fillId="0" borderId="124" pivotButton="0" quotePrefix="0" xfId="0"/>
    <xf numFmtId="0" fontId="0" fillId="0" borderId="27" pivotButton="0" quotePrefix="0" xfId="0"/>
    <xf numFmtId="164" fontId="18" fillId="0" borderId="81" pivotButton="0" quotePrefix="0" xfId="0"/>
    <xf numFmtId="17" fontId="18" fillId="0" borderId="47" pivotButton="0" quotePrefix="0" xfId="0"/>
    <xf numFmtId="2" fontId="18" fillId="0" borderId="48" pivotButton="0" quotePrefix="0" xfId="0"/>
    <xf numFmtId="169" fontId="18" fillId="0" borderId="48" pivotButton="0" quotePrefix="0" xfId="0"/>
    <xf numFmtId="167" fontId="18" fillId="0" borderId="48" pivotButton="0" quotePrefix="0" xfId="0"/>
    <xf numFmtId="2" fontId="18" fillId="0" borderId="49" pivotButton="0" quotePrefix="0" xfId="0"/>
    <xf numFmtId="1" fontId="18" fillId="0" borderId="78" pivotButton="0" quotePrefix="0" xfId="0"/>
    <xf numFmtId="0" fontId="20" fillId="0" borderId="80" pivotButton="0" quotePrefix="0" xfId="0"/>
    <xf numFmtId="164" fontId="20" fillId="0" borderId="81" pivotButton="0" quotePrefix="0" xfId="0"/>
    <xf numFmtId="0" fontId="0" fillId="0" borderId="82" pivotButton="0" quotePrefix="0" xfId="0"/>
    <xf numFmtId="164" fontId="19" fillId="0" borderId="59" pivotButton="0" quotePrefix="0" xfId="0"/>
    <xf numFmtId="164" fontId="18" fillId="0" borderId="60" pivotButton="0" quotePrefix="0" xfId="0"/>
    <xf numFmtId="2" fontId="18" fillId="0" borderId="60" pivotButton="0" quotePrefix="0" xfId="0"/>
    <xf numFmtId="0" fontId="20" fillId="0" borderId="23" pivotButton="0" quotePrefix="0" xfId="0"/>
    <xf numFmtId="10" fontId="18" fillId="0" borderId="26" pivotButton="0" quotePrefix="0" xfId="0"/>
    <xf numFmtId="164" fontId="18" fillId="0" borderId="27" pivotButton="0" quotePrefix="0" xfId="0"/>
    <xf numFmtId="10" fontId="22" fillId="0" borderId="0" pivotButton="0" quotePrefix="0" xfId="0"/>
    <xf numFmtId="10" fontId="20" fillId="0" borderId="101" pivotButton="0" quotePrefix="0" xfId="0"/>
    <xf numFmtId="10" fontId="18" fillId="0" borderId="103" pivotButton="0" quotePrefix="0" xfId="0"/>
    <xf numFmtId="0" fontId="0" fillId="0" borderId="103" pivotButton="0" quotePrefix="0" xfId="0"/>
    <xf numFmtId="0" fontId="0" fillId="0" borderId="104" pivotButton="0" quotePrefix="0" xfId="0"/>
    <xf numFmtId="164" fontId="19" fillId="0" borderId="90" pivotButton="0" quotePrefix="0" xfId="0"/>
    <xf numFmtId="10" fontId="18" fillId="0" borderId="90" pivotButton="0" quotePrefix="0" xfId="0"/>
    <xf numFmtId="10" fontId="18" fillId="0" borderId="92" pivotButton="0" quotePrefix="0" xfId="0"/>
    <xf numFmtId="10" fontId="18" fillId="0" borderId="93" pivotButton="0" quotePrefix="0" xfId="0"/>
    <xf numFmtId="164" fontId="19" fillId="0" borderId="57" pivotButton="0" quotePrefix="0" xfId="0"/>
    <xf numFmtId="10" fontId="18" fillId="0" borderId="60" pivotButton="0" quotePrefix="0" xfId="0"/>
    <xf numFmtId="17" fontId="18" fillId="0" borderId="78" pivotButton="0" quotePrefix="0" xfId="0"/>
    <xf numFmtId="1" fontId="18" fillId="0" borderId="23" pivotButton="0" quotePrefix="0" xfId="0"/>
    <xf numFmtId="1" fontId="18" fillId="0" borderId="25" pivotButton="0" quotePrefix="0" xfId="0"/>
    <xf numFmtId="0" fontId="18" fillId="0" borderId="26" pivotButton="0" quotePrefix="0" xfId="0"/>
    <xf numFmtId="17" fontId="18" fillId="0" borderId="80" pivotButton="0" quotePrefix="0" xfId="0"/>
    <xf numFmtId="17" fontId="18" fillId="0" borderId="81" pivotButton="0" quotePrefix="0" xfId="0"/>
    <xf numFmtId="1" fontId="18" fillId="0" borderId="81" pivotButton="0" quotePrefix="0" xfId="0"/>
    <xf numFmtId="10" fontId="18" fillId="0" borderId="70" pivotButton="0" quotePrefix="0" xfId="0"/>
    <xf numFmtId="168" fontId="18" fillId="0" borderId="45" pivotButton="0" quotePrefix="0" xfId="0"/>
    <xf numFmtId="10" fontId="18" fillId="0" borderId="34" pivotButton="0" quotePrefix="0" xfId="0"/>
    <xf numFmtId="10" fontId="18" fillId="0" borderId="56" pivotButton="0" quotePrefix="0" xfId="0"/>
    <xf numFmtId="168" fontId="18" fillId="0" borderId="47" pivotButton="0" quotePrefix="0" xfId="0"/>
    <xf numFmtId="10" fontId="18" fillId="0" borderId="36" pivotButton="0" quotePrefix="0" xfId="0"/>
    <xf numFmtId="10" fontId="18" fillId="0" borderId="37" pivotButton="0" quotePrefix="0" xfId="0"/>
    <xf numFmtId="10" fontId="18" fillId="0" borderId="58" pivotButton="0" quotePrefix="0" xfId="0"/>
    <xf numFmtId="17" fontId="19" fillId="0" borderId="45" pivotButton="0" quotePrefix="0" xfId="0"/>
    <xf numFmtId="0" fontId="22" fillId="0" borderId="46" pivotButton="0" quotePrefix="0" xfId="0"/>
    <xf numFmtId="17" fontId="19" fillId="0" borderId="47" pivotButton="0" quotePrefix="0" xfId="0"/>
    <xf numFmtId="10" fontId="19" fillId="0" borderId="48" pivotButton="0" quotePrefix="0" xfId="0"/>
    <xf numFmtId="0" fontId="22" fillId="0" borderId="49" pivotButton="0" quotePrefix="0" xfId="0"/>
    <xf numFmtId="0" fontId="7" fillId="2" borderId="1" applyAlignment="1" pivotButton="0" quotePrefix="0" xfId="0">
      <alignment horizontal="center" vertical="center"/>
    </xf>
    <xf numFmtId="0" fontId="0" fillId="0" borderId="1" pivotButton="0" quotePrefix="0" xfId="0"/>
    <xf numFmtId="0" fontId="6" fillId="2" borderId="1" applyAlignment="1" pivotButton="0" quotePrefix="0" xfId="0">
      <alignment horizontal="center" vertical="center" wrapText="1"/>
    </xf>
    <xf numFmtId="0" fontId="5" fillId="0" borderId="0" applyAlignment="1" pivotButton="0" quotePrefix="0" xfId="0">
      <alignment vertical="center"/>
    </xf>
    <xf numFmtId="0" fontId="20" fillId="25" borderId="0" pivotButton="0" quotePrefix="0" xfId="0"/>
    <xf numFmtId="0" fontId="0" fillId="25" borderId="0" pivotButton="0" quotePrefix="0" xfId="0"/>
    <xf numFmtId="0" fontId="18" fillId="25" borderId="65" applyAlignment="1" pivotButton="0" quotePrefix="0" xfId="0">
      <alignment horizontal="center"/>
    </xf>
    <xf numFmtId="0" fontId="18" fillId="25" borderId="71" applyAlignment="1" pivotButton="0" quotePrefix="0" xfId="0">
      <alignment horizontal="center"/>
    </xf>
    <xf numFmtId="0" fontId="0" fillId="25" borderId="0" applyAlignment="1" pivotButton="0" quotePrefix="0" xfId="0">
      <alignment horizontal="center"/>
    </xf>
    <xf numFmtId="0" fontId="18" fillId="26" borderId="65" applyAlignment="1" pivotButton="0" quotePrefix="0" xfId="0">
      <alignment horizontal="center"/>
    </xf>
    <xf numFmtId="0" fontId="0" fillId="26" borderId="0" applyAlignment="1" pivotButton="0" quotePrefix="0" xfId="0">
      <alignment horizontal="center"/>
    </xf>
    <xf numFmtId="0" fontId="34" fillId="0" borderId="24" pivotButton="0" quotePrefix="0" xfId="0"/>
    <xf numFmtId="0" fontId="34" fillId="0" borderId="27" pivotButton="0" quotePrefix="0" xfId="0"/>
    <xf numFmtId="0" fontId="34" fillId="0" borderId="35" pivotButton="0" quotePrefix="0" xfId="0"/>
    <xf numFmtId="0" fontId="34" fillId="0" borderId="38" pivotButton="0" quotePrefix="0" xfId="0"/>
    <xf numFmtId="0" fontId="34" fillId="0" borderId="121" pivotButton="0" quotePrefix="0" xfId="0"/>
    <xf numFmtId="0" fontId="20" fillId="25" borderId="70" applyAlignment="1" pivotButton="0" quotePrefix="0" xfId="0">
      <alignment horizontal="center"/>
    </xf>
    <xf numFmtId="0" fontId="34" fillId="0" borderId="90" pivotButton="0" quotePrefix="0" xfId="0"/>
    <xf numFmtId="0" fontId="34" fillId="0" borderId="93" pivotButton="0" quotePrefix="0" xfId="0"/>
    <xf numFmtId="166" fontId="18" fillId="0" borderId="92" pivotButton="0" quotePrefix="0" xfId="0"/>
    <xf numFmtId="167" fontId="18" fillId="0" borderId="12" pivotButton="0" quotePrefix="0" xfId="0"/>
    <xf numFmtId="0" fontId="36" fillId="15" borderId="155" pivotButton="0" quotePrefix="0" xfId="0"/>
    <xf numFmtId="0" fontId="36" fillId="15" borderId="156" pivotButton="0" quotePrefix="0" xfId="0"/>
    <xf numFmtId="0" fontId="36" fillId="15" borderId="157" pivotButton="0" quotePrefix="0" xfId="0"/>
    <xf numFmtId="0" fontId="40" fillId="16" borderId="158" applyAlignment="1" pivotButton="0" quotePrefix="0" xfId="0">
      <alignment horizontal="left" vertical="center" wrapText="1"/>
    </xf>
    <xf numFmtId="0" fontId="40" fillId="16" borderId="159" applyAlignment="1" pivotButton="0" quotePrefix="0" xfId="0">
      <alignment horizontal="center" vertical="center" wrapText="1"/>
    </xf>
    <xf numFmtId="0" fontId="40" fillId="16" borderId="160" applyAlignment="1" pivotButton="0" quotePrefix="0" xfId="0">
      <alignment horizontal="center" vertical="center" wrapText="1"/>
    </xf>
    <xf numFmtId="0" fontId="38" fillId="0" borderId="161" pivotButton="0" quotePrefix="0" xfId="0"/>
    <xf numFmtId="10" fontId="38" fillId="0" borderId="139" pivotButton="0" quotePrefix="0" xfId="0"/>
    <xf numFmtId="10" fontId="38" fillId="0" borderId="162" pivotButton="0" quotePrefix="0" xfId="0"/>
    <xf numFmtId="2" fontId="38" fillId="0" borderId="139" pivotButton="0" quotePrefix="0" xfId="0"/>
    <xf numFmtId="2" fontId="38" fillId="0" borderId="162" pivotButton="0" quotePrefix="0" xfId="0"/>
    <xf numFmtId="0" fontId="38" fillId="0" borderId="163" pivotButton="0" quotePrefix="0" xfId="0"/>
    <xf numFmtId="10" fontId="38" fillId="0" borderId="164" pivotButton="0" quotePrefix="0" xfId="0"/>
    <xf numFmtId="10" fontId="38" fillId="0" borderId="165" pivotButton="0" quotePrefix="0" xfId="0"/>
    <xf numFmtId="0" fontId="36" fillId="21" borderId="196" pivotButton="0" quotePrefix="0" xfId="0"/>
    <xf numFmtId="0" fontId="36" fillId="21" borderId="197" pivotButton="0" quotePrefix="0" xfId="0"/>
    <xf numFmtId="0" fontId="36" fillId="21" borderId="198" pivotButton="0" quotePrefix="0" xfId="0"/>
    <xf numFmtId="0" fontId="44" fillId="22" borderId="199" applyAlignment="1" pivotButton="0" quotePrefix="0" xfId="0">
      <alignment horizontal="left" vertical="center" wrapText="1"/>
    </xf>
    <xf numFmtId="0" fontId="44" fillId="22" borderId="200" applyAlignment="1" pivotButton="0" quotePrefix="0" xfId="0">
      <alignment horizontal="center" vertical="center" wrapText="1"/>
    </xf>
    <xf numFmtId="0" fontId="44" fillId="22" borderId="201" applyAlignment="1" pivotButton="0" quotePrefix="0" xfId="0">
      <alignment horizontal="center" vertical="center" wrapText="1"/>
    </xf>
    <xf numFmtId="0" fontId="38" fillId="0" borderId="202" pivotButton="0" quotePrefix="0" xfId="0"/>
    <xf numFmtId="0" fontId="38" fillId="0" borderId="139" pivotButton="0" quotePrefix="0" xfId="0"/>
    <xf numFmtId="167" fontId="38" fillId="0" borderId="203" pivotButton="0" quotePrefix="0" xfId="0"/>
    <xf numFmtId="0" fontId="36" fillId="19" borderId="222" pivotButton="0" quotePrefix="0" xfId="0"/>
    <xf numFmtId="0" fontId="36" fillId="19" borderId="223" pivotButton="0" quotePrefix="0" xfId="0"/>
    <xf numFmtId="0" fontId="36" fillId="19" borderId="224" pivotButton="0" quotePrefix="0" xfId="0"/>
    <xf numFmtId="2" fontId="38" fillId="0" borderId="203" pivotButton="0" quotePrefix="0" xfId="0"/>
    <xf numFmtId="0" fontId="47" fillId="20" borderId="225" applyAlignment="1" pivotButton="0" quotePrefix="0" xfId="0">
      <alignment horizontal="left" vertical="center" wrapText="1"/>
    </xf>
    <xf numFmtId="0" fontId="47" fillId="20" borderId="226" applyAlignment="1" pivotButton="0" quotePrefix="0" xfId="0">
      <alignment horizontal="center" vertical="center" wrapText="1"/>
    </xf>
    <xf numFmtId="0" fontId="47" fillId="20" borderId="227" applyAlignment="1" pivotButton="0" quotePrefix="0" xfId="0">
      <alignment horizontal="center" vertical="center" wrapText="1"/>
    </xf>
    <xf numFmtId="10" fontId="38" fillId="0" borderId="203" pivotButton="0" quotePrefix="0" xfId="0"/>
    <xf numFmtId="0" fontId="38" fillId="0" borderId="228" pivotButton="0" quotePrefix="0" xfId="0"/>
    <xf numFmtId="166" fontId="38" fillId="0" borderId="139" pivotButton="0" quotePrefix="0" xfId="0"/>
    <xf numFmtId="0" fontId="38" fillId="0" borderId="229" applyAlignment="1" pivotButton="0" quotePrefix="0" xfId="0">
      <alignment horizontal="center"/>
    </xf>
    <xf numFmtId="0" fontId="38" fillId="0" borderId="204" pivotButton="0" quotePrefix="0" xfId="0"/>
    <xf numFmtId="0" fontId="38" fillId="0" borderId="205" pivotButton="0" quotePrefix="0" xfId="0"/>
    <xf numFmtId="10" fontId="38" fillId="0" borderId="206" pivotButton="0" quotePrefix="0" xfId="0"/>
    <xf numFmtId="0" fontId="38" fillId="0" borderId="230" pivotButton="0" quotePrefix="0" xfId="0"/>
    <xf numFmtId="1" fontId="38" fillId="0" borderId="231" pivotButton="0" quotePrefix="0" xfId="0"/>
    <xf numFmtId="0" fontId="38" fillId="0" borderId="232" applyAlignment="1" pivotButton="0" quotePrefix="0" xfId="0">
      <alignment horizontal="center"/>
    </xf>
    <xf numFmtId="0" fontId="20" fillId="0" borderId="239" pivotButton="0" quotePrefix="0" xfId="0"/>
    <xf numFmtId="0" fontId="18" fillId="0" borderId="139" pivotButton="0" quotePrefix="0" xfId="0"/>
    <xf numFmtId="0" fontId="0" fillId="0" borderId="139" pivotButton="0" quotePrefix="0" xfId="0"/>
    <xf numFmtId="0" fontId="34" fillId="0" borderId="240" pivotButton="0" quotePrefix="0" xfId="0"/>
    <xf numFmtId="167" fontId="18" fillId="0" borderId="0" pivotButton="0" quotePrefix="0" xfId="0"/>
    <xf numFmtId="10" fontId="46" fillId="0" borderId="139" pivotButton="0" quotePrefix="0" xfId="0"/>
    <xf numFmtId="10" fontId="46" fillId="0" borderId="231" pivotButton="0" quotePrefix="0" xfId="0"/>
    <xf numFmtId="0" fontId="36" fillId="17" borderId="233" pivotButton="0" quotePrefix="0" xfId="0"/>
    <xf numFmtId="0" fontId="36" fillId="17" borderId="234" pivotButton="0" quotePrefix="0" xfId="0"/>
    <xf numFmtId="0" fontId="36" fillId="17" borderId="235" pivotButton="0" quotePrefix="0" xfId="0"/>
    <xf numFmtId="0" fontId="48" fillId="18" borderId="236" applyAlignment="1" pivotButton="0" quotePrefix="0" xfId="0">
      <alignment horizontal="left" vertical="center" wrapText="1"/>
    </xf>
    <xf numFmtId="0" fontId="48" fillId="18" borderId="237" applyAlignment="1" pivotButton="0" quotePrefix="0" xfId="0">
      <alignment horizontal="center" vertical="center" wrapText="1"/>
    </xf>
    <xf numFmtId="0" fontId="48" fillId="18" borderId="238" applyAlignment="1" pivotButton="0" quotePrefix="0" xfId="0">
      <alignment horizontal="center" vertical="center" wrapText="1"/>
    </xf>
    <xf numFmtId="0" fontId="38" fillId="0" borderId="239" pivotButton="0" quotePrefix="0" xfId="0"/>
    <xf numFmtId="1" fontId="46" fillId="0" borderId="139" pivotButton="0" quotePrefix="0" xfId="0"/>
    <xf numFmtId="0" fontId="38" fillId="0" borderId="240" applyAlignment="1" pivotButton="0" quotePrefix="0" xfId="0">
      <alignment horizontal="center"/>
    </xf>
    <xf numFmtId="164" fontId="46" fillId="0" borderId="139" pivotButton="0" quotePrefix="0" xfId="0"/>
    <xf numFmtId="164" fontId="38" fillId="0" borderId="139" pivotButton="0" quotePrefix="0" xfId="0"/>
    <xf numFmtId="0" fontId="38" fillId="0" borderId="139" applyAlignment="1" pivotButton="0" quotePrefix="0" xfId="0">
      <alignment horizontal="center"/>
    </xf>
    <xf numFmtId="0" fontId="38" fillId="0" borderId="241" pivotButton="0" quotePrefix="0" xfId="0"/>
    <xf numFmtId="164" fontId="46" fillId="0" borderId="242" pivotButton="0" quotePrefix="0" xfId="0"/>
    <xf numFmtId="0" fontId="38" fillId="0" borderId="243" applyAlignment="1" pivotButton="0" quotePrefix="0" xfId="0">
      <alignment horizontal="center"/>
    </xf>
    <xf numFmtId="168" fontId="19" fillId="0" borderId="12" pivotButton="0" quotePrefix="0" xfId="0"/>
    <xf numFmtId="169" fontId="18" fillId="0" borderId="12" pivotButton="0" quotePrefix="0" xfId="0"/>
    <xf numFmtId="169" fontId="18" fillId="0" borderId="37" pivotButton="0" quotePrefix="0" xfId="0"/>
    <xf numFmtId="167" fontId="20" fillId="0" borderId="48" pivotButton="0" quotePrefix="0" xfId="0"/>
    <xf numFmtId="169" fontId="18" fillId="0" borderId="15" pivotButton="0" quotePrefix="0" xfId="0"/>
    <xf numFmtId="166" fontId="18" fillId="0" borderId="12" pivotButton="0" quotePrefix="0" xfId="0"/>
    <xf numFmtId="166" fontId="20" fillId="0" borderId="59" pivotButton="0" quotePrefix="0" xfId="0"/>
    <xf numFmtId="4" fontId="38" fillId="0" borderId="229" pivotButton="0" quotePrefix="0" xfId="0"/>
    <xf numFmtId="0" fontId="43" fillId="0" borderId="228" pivotButton="0" quotePrefix="0" xfId="0"/>
    <xf numFmtId="166" fontId="43" fillId="0" borderId="139" pivotButton="0" quotePrefix="0" xfId="0"/>
    <xf numFmtId="10" fontId="43" fillId="0" borderId="139" pivotButton="0" quotePrefix="0" xfId="0"/>
    <xf numFmtId="4" fontId="43" fillId="0" borderId="229" pivotButton="0" quotePrefix="0" xfId="0"/>
    <xf numFmtId="10" fontId="38" fillId="0" borderId="229" pivotButton="0" quotePrefix="0" xfId="0"/>
    <xf numFmtId="166" fontId="38" fillId="0" borderId="231" pivotButton="0" quotePrefix="0" xfId="0"/>
    <xf numFmtId="10" fontId="38" fillId="0" borderId="231" pivotButton="0" quotePrefix="0" xfId="0"/>
    <xf numFmtId="10" fontId="38" fillId="0" borderId="232" applyAlignment="1" pivotButton="0" quotePrefix="0" xfId="0">
      <alignment horizontal="center"/>
    </xf>
    <xf numFmtId="0" fontId="36" fillId="10" borderId="177" pivotButton="0" quotePrefix="0" xfId="0"/>
    <xf numFmtId="0" fontId="36" fillId="10" borderId="178" pivotButton="0" quotePrefix="0" xfId="0"/>
    <xf numFmtId="0" fontId="36" fillId="10" borderId="179" pivotButton="0" quotePrefix="0" xfId="0"/>
    <xf numFmtId="0" fontId="42" fillId="12" borderId="180" applyAlignment="1" pivotButton="0" quotePrefix="0" xfId="0">
      <alignment horizontal="left" vertical="center" wrapText="1"/>
    </xf>
    <xf numFmtId="0" fontId="42" fillId="12" borderId="181" applyAlignment="1" pivotButton="0" quotePrefix="0" xfId="0">
      <alignment horizontal="center" vertical="center" wrapText="1"/>
    </xf>
    <xf numFmtId="0" fontId="42" fillId="12" borderId="182" applyAlignment="1" pivotButton="0" quotePrefix="0" xfId="0">
      <alignment horizontal="center" vertical="center" wrapText="1"/>
    </xf>
    <xf numFmtId="0" fontId="38" fillId="0" borderId="183" pivotButton="0" quotePrefix="0" xfId="0"/>
    <xf numFmtId="164" fontId="38" fillId="0" borderId="184" pivotButton="0" quotePrefix="0" xfId="0"/>
    <xf numFmtId="0" fontId="43" fillId="0" borderId="183" pivotButton="0" quotePrefix="0" xfId="0"/>
    <xf numFmtId="164" fontId="43" fillId="0" borderId="139" pivotButton="0" quotePrefix="0" xfId="0"/>
    <xf numFmtId="164" fontId="43" fillId="0" borderId="184" pivotButton="0" quotePrefix="0" xfId="0"/>
    <xf numFmtId="10" fontId="38" fillId="0" borderId="184" pivotButton="0" quotePrefix="0" xfId="0"/>
    <xf numFmtId="0" fontId="38" fillId="0" borderId="185" pivotButton="0" quotePrefix="0" xfId="0"/>
    <xf numFmtId="164" fontId="38" fillId="0" borderId="186" applyAlignment="1" pivotButton="0" quotePrefix="0" xfId="0">
      <alignment horizontal="center"/>
    </xf>
    <xf numFmtId="164" fontId="38" fillId="0" borderId="187" applyAlignment="1" pivotButton="0" quotePrefix="0" xfId="0">
      <alignment horizontal="center"/>
    </xf>
    <xf numFmtId="0" fontId="36" fillId="5" borderId="144" pivotButton="0" quotePrefix="0" xfId="0"/>
    <xf numFmtId="0" fontId="36" fillId="5" borderId="145" pivotButton="0" quotePrefix="0" xfId="0"/>
    <xf numFmtId="0" fontId="36" fillId="5" borderId="146" pivotButton="0" quotePrefix="0" xfId="0"/>
    <xf numFmtId="0" fontId="39" fillId="6" borderId="147" applyAlignment="1" pivotButton="0" quotePrefix="0" xfId="0">
      <alignment horizontal="left" vertical="center" wrapText="1"/>
    </xf>
    <xf numFmtId="0" fontId="39" fillId="6" borderId="148" applyAlignment="1" pivotButton="0" quotePrefix="0" xfId="0">
      <alignment horizontal="center" vertical="center" wrapText="1"/>
    </xf>
    <xf numFmtId="0" fontId="39" fillId="6" borderId="149" applyAlignment="1" pivotButton="0" quotePrefix="0" xfId="0">
      <alignment horizontal="center" vertical="center" wrapText="1"/>
    </xf>
    <xf numFmtId="0" fontId="38" fillId="0" borderId="150" pivotButton="0" quotePrefix="0" xfId="0"/>
    <xf numFmtId="10" fontId="38" fillId="0" borderId="151" pivotButton="0" quotePrefix="0" xfId="0"/>
    <xf numFmtId="0" fontId="38" fillId="0" borderId="152" pivotButton="0" quotePrefix="0" xfId="0"/>
    <xf numFmtId="164" fontId="38" fillId="0" borderId="153" pivotButton="0" quotePrefix="0" xfId="0"/>
    <xf numFmtId="10" fontId="38" fillId="0" borderId="153" pivotButton="0" quotePrefix="0" xfId="0"/>
    <xf numFmtId="10" fontId="38" fillId="0" borderId="154" applyAlignment="1" pivotButton="0" quotePrefix="0" xfId="0">
      <alignment horizontal="center"/>
    </xf>
    <xf numFmtId="0" fontId="36" fillId="7" borderId="166" pivotButton="0" quotePrefix="0" xfId="0"/>
    <xf numFmtId="0" fontId="36" fillId="7" borderId="167" pivotButton="0" quotePrefix="0" xfId="0"/>
    <xf numFmtId="0" fontId="36" fillId="7" borderId="168" pivotButton="0" quotePrefix="0" xfId="0"/>
    <xf numFmtId="0" fontId="41" fillId="8" borderId="169" applyAlignment="1" pivotButton="0" quotePrefix="0" xfId="0">
      <alignment horizontal="left" vertical="center" wrapText="1"/>
    </xf>
    <xf numFmtId="0" fontId="41" fillId="8" borderId="170" applyAlignment="1" pivotButton="0" quotePrefix="0" xfId="0">
      <alignment horizontal="center" vertical="center" wrapText="1"/>
    </xf>
    <xf numFmtId="0" fontId="41" fillId="8" borderId="171" applyAlignment="1" pivotButton="0" quotePrefix="0" xfId="0">
      <alignment horizontal="center" vertical="center" wrapText="1"/>
    </xf>
    <xf numFmtId="0" fontId="38" fillId="0" borderId="172" pivotButton="0" quotePrefix="0" xfId="0"/>
    <xf numFmtId="164" fontId="38" fillId="0" borderId="173" pivotButton="0" quotePrefix="0" xfId="0"/>
    <xf numFmtId="0" fontId="38" fillId="0" borderId="174" pivotButton="0" quotePrefix="0" xfId="0"/>
    <xf numFmtId="164" fontId="38" fillId="0" borderId="175" pivotButton="0" quotePrefix="0" xfId="0"/>
    <xf numFmtId="164" fontId="38" fillId="0" borderId="176" applyAlignment="1" pivotButton="0" quotePrefix="0" xfId="0">
      <alignment horizontal="center"/>
    </xf>
    <xf numFmtId="169" fontId="18" fillId="0" borderId="112" pivotButton="0" quotePrefix="0" xfId="0"/>
    <xf numFmtId="169" fontId="18" fillId="0" borderId="114" pivotButton="0" quotePrefix="0" xfId="0"/>
    <xf numFmtId="169" fontId="18" fillId="0" borderId="115" pivotButton="0" quotePrefix="0" xfId="0"/>
    <xf numFmtId="168" fontId="19" fillId="0" borderId="101" pivotButton="0" quotePrefix="0" xfId="0"/>
    <xf numFmtId="168" fontId="19" fillId="0" borderId="103" pivotButton="0" quotePrefix="0" xfId="0"/>
    <xf numFmtId="168" fontId="19" fillId="0" borderId="104" pivotButton="0" quotePrefix="0" xfId="0"/>
    <xf numFmtId="0" fontId="36" fillId="9" borderId="132" pivotButton="0" quotePrefix="0" xfId="0"/>
    <xf numFmtId="0" fontId="36" fillId="9" borderId="133" pivotButton="0" quotePrefix="0" xfId="0"/>
    <xf numFmtId="0" fontId="36" fillId="9" borderId="134" pivotButton="0" quotePrefix="0" xfId="0"/>
    <xf numFmtId="0" fontId="37" fillId="11" borderId="135" applyAlignment="1" pivotButton="0" quotePrefix="0" xfId="0">
      <alignment horizontal="left" vertical="center" wrapText="1"/>
    </xf>
    <xf numFmtId="0" fontId="37" fillId="11" borderId="136" applyAlignment="1" pivotButton="0" quotePrefix="0" xfId="0">
      <alignment horizontal="center" vertical="center" wrapText="1"/>
    </xf>
    <xf numFmtId="0" fontId="37" fillId="11" borderId="137" applyAlignment="1" pivotButton="0" quotePrefix="0" xfId="0">
      <alignment horizontal="center" vertical="center" wrapText="1"/>
    </xf>
    <xf numFmtId="17" fontId="38" fillId="0" borderId="138" pivotButton="0" quotePrefix="0" xfId="0"/>
    <xf numFmtId="2" fontId="38" fillId="0" borderId="139" applyAlignment="1" pivotButton="0" quotePrefix="0" xfId="0">
      <alignment horizontal="center"/>
    </xf>
    <xf numFmtId="167" fontId="38" fillId="0" borderId="139" applyAlignment="1" pivotButton="0" quotePrefix="0" xfId="0">
      <alignment horizontal="center"/>
    </xf>
    <xf numFmtId="167" fontId="38" fillId="0" borderId="140" applyAlignment="1" pivotButton="0" quotePrefix="0" xfId="0">
      <alignment horizontal="center"/>
    </xf>
    <xf numFmtId="167" fontId="20" fillId="0" borderId="123" pivotButton="0" quotePrefix="0" xfId="0"/>
    <xf numFmtId="170" fontId="18" fillId="0" borderId="121" pivotButton="0" quotePrefix="0" xfId="0"/>
    <xf numFmtId="167" fontId="38" fillId="0" borderId="139" pivotButton="0" quotePrefix="0" xfId="0"/>
    <xf numFmtId="167" fontId="38" fillId="0" borderId="140" pivotButton="0" quotePrefix="0" xfId="0"/>
    <xf numFmtId="167" fontId="18" fillId="0" borderId="123" pivotButton="0" quotePrefix="0" xfId="0"/>
    <xf numFmtId="170" fontId="18" fillId="0" borderId="124" pivotButton="0" quotePrefix="0" xfId="0"/>
    <xf numFmtId="1" fontId="38" fillId="0" borderId="139" pivotButton="0" quotePrefix="0" xfId="0"/>
    <xf numFmtId="164" fontId="38" fillId="0" borderId="203" pivotButton="0" quotePrefix="0" xfId="0"/>
    <xf numFmtId="1" fontId="38" fillId="0" borderId="205" pivotButton="0" quotePrefix="0" xfId="0"/>
    <xf numFmtId="167" fontId="38" fillId="0" borderId="205" pivotButton="0" quotePrefix="0" xfId="0"/>
    <xf numFmtId="2" fontId="38" fillId="0" borderId="205" pivotButton="0" quotePrefix="0" xfId="0"/>
    <xf numFmtId="2" fontId="38" fillId="0" borderId="206" pivotButton="0" quotePrefix="0" xfId="0"/>
    <xf numFmtId="167" fontId="38" fillId="0" borderId="175" pivotButton="0" quotePrefix="0" xfId="0"/>
    <xf numFmtId="2" fontId="38" fillId="0" borderId="175" pivotButton="0" quotePrefix="0" xfId="0"/>
    <xf numFmtId="1" fontId="38" fillId="0" borderId="175" pivotButton="0" quotePrefix="0" xfId="0"/>
    <xf numFmtId="164" fontId="38" fillId="0" borderId="176" pivotButton="0" quotePrefix="0" xfId="0"/>
    <xf numFmtId="164" fontId="38" fillId="0" borderId="205" pivotButton="0" quotePrefix="0" xfId="0"/>
    <xf numFmtId="164" fontId="38" fillId="0" borderId="206" pivotButton="0" quotePrefix="0" xfId="0"/>
    <xf numFmtId="0" fontId="36" fillId="23" borderId="207" pivotButton="0" quotePrefix="0" xfId="0"/>
    <xf numFmtId="0" fontId="36" fillId="23" borderId="208" pivotButton="0" quotePrefix="0" xfId="0"/>
    <xf numFmtId="0" fontId="36" fillId="23" borderId="209" pivotButton="0" quotePrefix="0" xfId="0"/>
    <xf numFmtId="0" fontId="45" fillId="24" borderId="210" applyAlignment="1" pivotButton="0" quotePrefix="0" xfId="0">
      <alignment horizontal="left" vertical="center" wrapText="1"/>
    </xf>
    <xf numFmtId="0" fontId="45" fillId="24" borderId="211" applyAlignment="1" pivotButton="0" quotePrefix="0" xfId="0">
      <alignment horizontal="center" vertical="center" wrapText="1"/>
    </xf>
    <xf numFmtId="0" fontId="45" fillId="24" borderId="212" applyAlignment="1" pivotButton="0" quotePrefix="0" xfId="0">
      <alignment horizontal="center" vertical="center" wrapText="1"/>
    </xf>
    <xf numFmtId="0" fontId="38" fillId="0" borderId="213" pivotButton="0" quotePrefix="0" xfId="0"/>
    <xf numFmtId="17" fontId="46" fillId="0" borderId="139" pivotButton="0" quotePrefix="0" xfId="0"/>
    <xf numFmtId="2" fontId="38" fillId="0" borderId="214" pivotButton="0" quotePrefix="0" xfId="0"/>
    <xf numFmtId="0" fontId="38" fillId="0" borderId="215" pivotButton="0" quotePrefix="0" xfId="0"/>
    <xf numFmtId="1" fontId="46" fillId="0" borderId="216" pivotButton="0" quotePrefix="0" xfId="0"/>
    <xf numFmtId="0" fontId="38" fillId="0" borderId="216" pivotButton="0" quotePrefix="0" xfId="0"/>
    <xf numFmtId="0" fontId="38" fillId="0" borderId="217" pivotButton="0" quotePrefix="0" xfId="0"/>
    <xf numFmtId="164" fontId="38" fillId="0" borderId="214" pivotButton="0" quotePrefix="0" xfId="0"/>
    <xf numFmtId="164" fontId="38" fillId="0" borderId="216" pivotButton="0" quotePrefix="0" xfId="0"/>
    <xf numFmtId="164" fontId="38" fillId="0" borderId="217" pivotButton="0" quotePrefix="0" xfId="0"/>
    <xf numFmtId="0" fontId="38" fillId="0" borderId="162" applyAlignment="1" pivotButton="0" quotePrefix="0" xfId="0">
      <alignment horizontal="center"/>
    </xf>
    <xf numFmtId="164" fontId="38" fillId="0" borderId="164" pivotButton="0" quotePrefix="0" xfId="0"/>
    <xf numFmtId="0" fontId="38" fillId="0" borderId="165" applyAlignment="1" pivotButton="0" quotePrefix="0" xfId="0">
      <alignment horizontal="center"/>
    </xf>
    <xf numFmtId="0" fontId="38" fillId="0" borderId="138" pivotButton="0" quotePrefix="0" xfId="0"/>
    <xf numFmtId="164" fontId="38" fillId="0" borderId="140" pivotButton="0" quotePrefix="0" xfId="0"/>
    <xf numFmtId="164" fontId="46" fillId="0" borderId="140" pivotButton="0" quotePrefix="0" xfId="0"/>
    <xf numFmtId="0" fontId="38" fillId="0" borderId="141" pivotButton="0" quotePrefix="0" xfId="0"/>
    <xf numFmtId="164" fontId="38" fillId="0" borderId="142" pivotButton="0" quotePrefix="0" xfId="0"/>
    <xf numFmtId="164" fontId="38" fillId="0" borderId="143" pivotButton="0" quotePrefix="0" xfId="0"/>
    <xf numFmtId="0" fontId="39" fillId="6" borderId="148" applyAlignment="1" pivotButton="0" quotePrefix="0" xfId="0">
      <alignment horizontal="left" vertical="center" wrapText="1"/>
    </xf>
    <xf numFmtId="0" fontId="0" fillId="0" borderId="218" pivotButton="0" quotePrefix="0" xfId="0"/>
    <xf numFmtId="0" fontId="0" fillId="0" borderId="219" pivotButton="0" quotePrefix="0" xfId="0"/>
    <xf numFmtId="0" fontId="38" fillId="0" borderId="150" applyAlignment="1" pivotButton="0" quotePrefix="0" xfId="0">
      <alignment horizontal="left" vertical="center" wrapText="1"/>
    </xf>
    <xf numFmtId="0" fontId="38" fillId="0" borderId="139" applyAlignment="1" pivotButton="0" quotePrefix="0" xfId="0">
      <alignment horizontal="left" vertical="center" wrapText="1"/>
    </xf>
    <xf numFmtId="0" fontId="0" fillId="0" borderId="192" pivotButton="0" quotePrefix="0" xfId="0"/>
    <xf numFmtId="0" fontId="0" fillId="0" borderId="193" pivotButton="0" quotePrefix="0" xfId="0"/>
    <xf numFmtId="0" fontId="38" fillId="0" borderId="152" applyAlignment="1" pivotButton="0" quotePrefix="0" xfId="0">
      <alignment horizontal="left" vertical="center" wrapText="1"/>
    </xf>
    <xf numFmtId="0" fontId="38" fillId="0" borderId="153" applyAlignment="1" pivotButton="0" quotePrefix="0" xfId="0">
      <alignment horizontal="left" vertical="center" wrapText="1"/>
    </xf>
    <xf numFmtId="0" fontId="0" fillId="0" borderId="220" pivotButton="0" quotePrefix="0" xfId="0"/>
    <xf numFmtId="0" fontId="0" fillId="0" borderId="221" pivotButton="0" quotePrefix="0" xfId="0"/>
    <xf numFmtId="169" fontId="18" fillId="0" borderId="48" pivotButton="0" quotePrefix="0" xfId="0"/>
    <xf numFmtId="167" fontId="18" fillId="0" borderId="48" pivotButton="0" quotePrefix="0" xfId="0"/>
    <xf numFmtId="17" fontId="38" fillId="0" borderId="141" pivotButton="0" quotePrefix="0" xfId="0"/>
    <xf numFmtId="2" fontId="38" fillId="0" borderId="142" pivotButton="0" quotePrefix="0" xfId="0"/>
    <xf numFmtId="167" fontId="38" fillId="0" borderId="142" pivotButton="0" quotePrefix="0" xfId="0"/>
    <xf numFmtId="167" fontId="38" fillId="0" borderId="143" pivotButton="0" quotePrefix="0" xfId="0"/>
    <xf numFmtId="169" fontId="38" fillId="0" borderId="139" pivotButton="0" quotePrefix="0" xfId="0"/>
    <xf numFmtId="0" fontId="38" fillId="0" borderId="173" applyAlignment="1" pivotButton="0" quotePrefix="0" xfId="0">
      <alignment horizontal="center"/>
    </xf>
    <xf numFmtId="10" fontId="38" fillId="0" borderId="139" applyAlignment="1" pivotButton="0" quotePrefix="0" xfId="0">
      <alignment horizontal="center"/>
    </xf>
    <xf numFmtId="169" fontId="38" fillId="0" borderId="175" pivotButton="0" quotePrefix="0" xfId="0"/>
    <xf numFmtId="10" fontId="38" fillId="0" borderId="175" pivotButton="0" quotePrefix="0" xfId="0"/>
    <xf numFmtId="0" fontId="38" fillId="0" borderId="176" applyAlignment="1" pivotButton="0" quotePrefix="0" xfId="0">
      <alignment horizontal="center"/>
    </xf>
    <xf numFmtId="0" fontId="49" fillId="0" borderId="0" pivotButton="0" quotePrefix="0" xfId="0"/>
    <xf numFmtId="0" fontId="35" fillId="0" borderId="0" pivotButton="0" quotePrefix="0" xfId="0"/>
    <xf numFmtId="17" fontId="38" fillId="0" borderId="139" pivotButton="0" quotePrefix="0" xfId="0"/>
    <xf numFmtId="0" fontId="38" fillId="0" borderId="151" applyAlignment="1" pivotButton="0" quotePrefix="0" xfId="0">
      <alignment horizontal="center"/>
    </xf>
    <xf numFmtId="2" fontId="38" fillId="0" borderId="140" pivotButton="0" quotePrefix="0" xfId="0"/>
    <xf numFmtId="2" fontId="38" fillId="0" borderId="140" applyAlignment="1" pivotButton="0" quotePrefix="0" xfId="0">
      <alignment horizontal="center"/>
    </xf>
    <xf numFmtId="10" fontId="38" fillId="0" borderId="153" applyAlignment="1" pivotButton="0" quotePrefix="0" xfId="0">
      <alignment horizontal="center"/>
    </xf>
    <xf numFmtId="0" fontId="38" fillId="0" borderId="154" applyAlignment="1" pivotButton="0" quotePrefix="0" xfId="0">
      <alignment horizontal="center"/>
    </xf>
    <xf numFmtId="10" fontId="38" fillId="0" borderId="164" applyAlignment="1" pivotButton="0" quotePrefix="0" xfId="0">
      <alignment horizontal="center"/>
    </xf>
    <xf numFmtId="0" fontId="38" fillId="0" borderId="173" pivotButton="0" quotePrefix="0" xfId="0"/>
    <xf numFmtId="0" fontId="38" fillId="0" borderId="176" pivotButton="0" quotePrefix="0" xfId="0"/>
    <xf numFmtId="10" fontId="43" fillId="0" borderId="184" pivotButton="0" quotePrefix="0" xfId="0"/>
    <xf numFmtId="164" fontId="38" fillId="0" borderId="186" pivotButton="0" quotePrefix="0" xfId="0"/>
    <xf numFmtId="10" fontId="38" fillId="0" borderId="186" pivotButton="0" quotePrefix="0" xfId="0"/>
    <xf numFmtId="10" fontId="38" fillId="0" borderId="187" pivotButton="0" quotePrefix="0" xfId="0"/>
    <xf numFmtId="0" fontId="37" fillId="11" borderId="136" applyAlignment="1" pivotButton="0" quotePrefix="0" xfId="0">
      <alignment horizontal="left" vertical="center" wrapText="1"/>
    </xf>
    <xf numFmtId="0" fontId="0" fillId="0" borderId="190" pivotButton="0" quotePrefix="0" xfId="0"/>
    <xf numFmtId="0" fontId="0" fillId="0" borderId="191" pivotButton="0" quotePrefix="0" xfId="0"/>
    <xf numFmtId="0" fontId="38" fillId="0" borderId="142" applyAlignment="1" pivotButton="0" quotePrefix="0" xfId="0">
      <alignment horizontal="left" vertical="center" wrapText="1"/>
    </xf>
    <xf numFmtId="0" fontId="0" fillId="0" borderId="194" pivotButton="0" quotePrefix="0" xfId="0"/>
    <xf numFmtId="0" fontId="0" fillId="0" borderId="195" pivotButton="0" quotePrefix="0" xfId="0"/>
    <xf numFmtId="10" fontId="38" fillId="0" borderId="142" pivotButton="0" quotePrefix="0" xfId="0"/>
    <xf numFmtId="2" fontId="38" fillId="0" borderId="143" pivotButton="0" quotePrefix="0" xfId="0"/>
    <xf numFmtId="0" fontId="36" fillId="13" borderId="244" pivotButton="0" quotePrefix="0" xfId="0"/>
    <xf numFmtId="0" fontId="36" fillId="13" borderId="245" pivotButton="0" quotePrefix="0" xfId="0"/>
    <xf numFmtId="0" fontId="36" fillId="13" borderId="246" pivotButton="0" quotePrefix="0" xfId="0"/>
    <xf numFmtId="0" fontId="50" fillId="14" borderId="247" applyAlignment="1" pivotButton="0" quotePrefix="0" xfId="0">
      <alignment horizontal="left" vertical="center" wrapText="1"/>
    </xf>
    <xf numFmtId="0" fontId="50" fillId="14" borderId="248" applyAlignment="1" pivotButton="0" quotePrefix="0" xfId="0">
      <alignment horizontal="center" vertical="center" wrapText="1"/>
    </xf>
    <xf numFmtId="0" fontId="50" fillId="14" borderId="249" applyAlignment="1" pivotButton="0" quotePrefix="0" xfId="0">
      <alignment horizontal="center" vertical="center" wrapText="1"/>
    </xf>
    <xf numFmtId="0" fontId="38" fillId="0" borderId="250" pivotButton="0" quotePrefix="0" xfId="0"/>
    <xf numFmtId="0" fontId="38" fillId="25" borderId="251" applyAlignment="1" pivotButton="0" quotePrefix="0" xfId="0">
      <alignment horizontal="center"/>
    </xf>
    <xf numFmtId="0" fontId="38" fillId="0" borderId="251" applyAlignment="1" pivotButton="0" quotePrefix="0" xfId="0">
      <alignment horizontal="center"/>
    </xf>
    <xf numFmtId="0" fontId="38" fillId="0" borderId="252" pivotButton="0" quotePrefix="0" xfId="0"/>
    <xf numFmtId="164" fontId="38" fillId="0" borderId="253" pivotButton="0" quotePrefix="0" xfId="0"/>
    <xf numFmtId="0" fontId="38" fillId="0" borderId="254" applyAlignment="1" pivotButton="0" quotePrefix="0" xfId="0">
      <alignment horizontal="center"/>
    </xf>
    <xf numFmtId="0" fontId="51" fillId="0" borderId="0" pivotButton="0" quotePrefix="0" xfId="0"/>
    <xf numFmtId="168" fontId="18" fillId="0" borderId="45" pivotButton="0" quotePrefix="0" xfId="0"/>
    <xf numFmtId="168" fontId="18" fillId="0" borderId="47" pivotButton="0" quotePrefix="0" xfId="0"/>
    <xf numFmtId="166" fontId="38" fillId="0" borderId="184" pivotButton="0" quotePrefix="0" xfId="0"/>
    <xf numFmtId="0" fontId="38" fillId="0" borderId="186" applyAlignment="1" pivotButton="0" quotePrefix="0" xfId="0">
      <alignment horizontal="center"/>
    </xf>
    <xf numFmtId="0" fontId="38" fillId="0" borderId="187" applyAlignment="1" pivotButton="0" quotePrefix="0" xfId="0">
      <alignment horizontal="center"/>
    </xf>
    <xf numFmtId="0" fontId="38" fillId="0" borderId="255" pivotButton="0" quotePrefix="0" xfId="0"/>
    <xf numFmtId="10" fontId="38" fillId="0" borderId="140" pivotButton="0" quotePrefix="0" xfId="0"/>
    <xf numFmtId="10" fontId="38" fillId="0" borderId="143" pivotButton="0" quotePrefix="0" xfId="0"/>
    <xf numFmtId="0" fontId="36" fillId="3" borderId="256" pivotButton="0" quotePrefix="0" xfId="0"/>
    <xf numFmtId="0" fontId="36" fillId="3" borderId="257" pivotButton="0" quotePrefix="0" xfId="0"/>
    <xf numFmtId="0" fontId="36" fillId="3" borderId="258" pivotButton="0" quotePrefix="0" xfId="0"/>
    <xf numFmtId="0" fontId="52" fillId="4" borderId="259" applyAlignment="1" pivotButton="0" quotePrefix="0" xfId="0">
      <alignment horizontal="left" vertical="center" wrapText="1"/>
    </xf>
    <xf numFmtId="0" fontId="52" fillId="4" borderId="260" applyAlignment="1" pivotButton="0" quotePrefix="0" xfId="0">
      <alignment horizontal="center" vertical="center" wrapText="1"/>
    </xf>
    <xf numFmtId="0" fontId="54" fillId="4" borderId="260" applyAlignment="1" pivotButton="0" quotePrefix="0" xfId="0">
      <alignment horizontal="left" vertical="center" wrapText="1"/>
    </xf>
    <xf numFmtId="0" fontId="0" fillId="0" borderId="267" pivotButton="0" quotePrefix="0" xfId="0"/>
    <xf numFmtId="0" fontId="0" fillId="0" borderId="268" pivotButton="0" quotePrefix="0" xfId="0"/>
    <xf numFmtId="0" fontId="38" fillId="0" borderId="262" pivotButton="0" quotePrefix="0" xfId="0"/>
    <xf numFmtId="0" fontId="53" fillId="0" borderId="139" applyAlignment="1" pivotButton="0" quotePrefix="0" xfId="0">
      <alignment horizontal="left" vertical="center" wrapText="1"/>
    </xf>
    <xf numFmtId="9" fontId="46" fillId="0" borderId="139" pivotButton="0" quotePrefix="0" xfId="0"/>
    <xf numFmtId="165" fontId="38" fillId="0" borderId="139" pivotButton="0" quotePrefix="0" xfId="0"/>
    <xf numFmtId="165" fontId="46" fillId="0" borderId="139" pivotButton="0" quotePrefix="0" xfId="0"/>
    <xf numFmtId="2" fontId="46" fillId="0" borderId="139" pivotButton="0" quotePrefix="0" xfId="0"/>
    <xf numFmtId="0" fontId="38" fillId="0" borderId="264" pivotButton="0" quotePrefix="0" xfId="0"/>
    <xf numFmtId="10" fontId="46" fillId="0" borderId="265" pivotButton="0" quotePrefix="0" xfId="0"/>
    <xf numFmtId="0" fontId="53" fillId="0" borderId="265" applyAlignment="1" pivotButton="0" quotePrefix="0" xfId="0">
      <alignment horizontal="left" vertical="center" wrapText="1"/>
    </xf>
    <xf numFmtId="0" fontId="0" fillId="0" borderId="269" pivotButton="0" quotePrefix="0" xfId="0"/>
    <xf numFmtId="0" fontId="0" fillId="0" borderId="270" pivotButton="0" quotePrefix="0" xfId="0"/>
    <xf numFmtId="0" fontId="53" fillId="0" borderId="184" applyAlignment="1" pivotButton="0" quotePrefix="0" xfId="0">
      <alignment horizontal="left" vertical="center" wrapText="1"/>
    </xf>
    <xf numFmtId="0" fontId="53" fillId="0" borderId="187" applyAlignment="1" pivotButton="0" quotePrefix="0" xfId="0">
      <alignment horizontal="left" vertical="center" wrapText="1"/>
    </xf>
    <xf numFmtId="10" fontId="38" fillId="0" borderId="240" pivotButton="0" quotePrefix="0" xfId="0"/>
    <xf numFmtId="10" fontId="38" fillId="0" borderId="242" pivotButton="0" quotePrefix="0" xfId="0"/>
    <xf numFmtId="2" fontId="38" fillId="0" borderId="242" pivotButton="0" quotePrefix="0" xfId="0"/>
    <xf numFmtId="10" fontId="38" fillId="0" borderId="243" pivotButton="0" quotePrefix="0" xfId="0"/>
    <xf numFmtId="1" fontId="38" fillId="0" borderId="142" pivotButton="0" quotePrefix="0" xfId="0"/>
    <xf numFmtId="0" fontId="38" fillId="0" borderId="142" applyAlignment="1" pivotButton="0" quotePrefix="0" xfId="0">
      <alignment horizontal="center"/>
    </xf>
    <xf numFmtId="10" fontId="38" fillId="0" borderId="173" pivotButton="0" quotePrefix="0" xfId="0"/>
    <xf numFmtId="10" fontId="46" fillId="0" borderId="175" pivotButton="0" quotePrefix="0" xfId="0"/>
    <xf numFmtId="10" fontId="38" fillId="0" borderId="176" pivotButton="0" quotePrefix="0" xfId="0"/>
    <xf numFmtId="164" fontId="38" fillId="0" borderId="229" pivotButton="0" quotePrefix="0" xfId="0"/>
    <xf numFmtId="164" fontId="38" fillId="0" borderId="231" pivotButton="0" quotePrefix="0" xfId="0"/>
    <xf numFmtId="164" fontId="38" fillId="0" borderId="232" pivotButton="0" quotePrefix="0" xfId="0"/>
    <xf numFmtId="0" fontId="53" fillId="0" borderId="153" applyAlignment="1" pivotButton="0" quotePrefix="0" xfId="0">
      <alignment horizontal="left" vertical="center" wrapText="1"/>
    </xf>
    <xf numFmtId="0" fontId="40" fillId="16" borderId="158" applyAlignment="1" pivotButton="0" quotePrefix="0" xfId="0">
      <alignment vertical="center"/>
    </xf>
    <xf numFmtId="0" fontId="40" fillId="16" borderId="159" applyAlignment="1" pivotButton="0" quotePrefix="0" xfId="0">
      <alignment horizontal="left" vertical="center" wrapText="1"/>
    </xf>
    <xf numFmtId="0" fontId="0" fillId="0" borderId="271" pivotButton="0" quotePrefix="0" xfId="0"/>
    <xf numFmtId="0" fontId="0" fillId="0" borderId="272" pivotButton="0" quotePrefix="0" xfId="0"/>
    <xf numFmtId="0" fontId="38" fillId="0" borderId="161" applyAlignment="1" pivotButton="0" quotePrefix="0" xfId="0">
      <alignment vertical="center"/>
    </xf>
    <xf numFmtId="0" fontId="38" fillId="0" borderId="163" applyAlignment="1" pivotButton="0" quotePrefix="0" xfId="0">
      <alignment vertical="center"/>
    </xf>
    <xf numFmtId="0" fontId="38" fillId="0" borderId="164" applyAlignment="1" pivotButton="0" quotePrefix="0" xfId="0">
      <alignment horizontal="left" vertical="center" wrapText="1"/>
    </xf>
    <xf numFmtId="0" fontId="0" fillId="0" borderId="273" pivotButton="0" quotePrefix="0" xfId="0"/>
    <xf numFmtId="0" fontId="0" fillId="0" borderId="274" pivotButton="0" quotePrefix="0" xfId="0"/>
    <xf numFmtId="164" fontId="46" fillId="0" borderId="240" pivotButton="0" quotePrefix="0" xfId="0"/>
    <xf numFmtId="0" fontId="43" fillId="0" borderId="241" pivotButton="0" quotePrefix="0" xfId="0"/>
    <xf numFmtId="164" fontId="43" fillId="0" borderId="242" pivotButton="0" quotePrefix="0" xfId="0"/>
    <xf numFmtId="164" fontId="43" fillId="0" borderId="243" pivotButton="0" quotePrefix="0" xfId="0"/>
    <xf numFmtId="0" fontId="42" fillId="12" borderId="180" applyAlignment="1" pivotButton="0" quotePrefix="0" xfId="0">
      <alignment vertical="center"/>
    </xf>
    <xf numFmtId="0" fontId="42" fillId="12" borderId="181" applyAlignment="1" pivotButton="0" quotePrefix="0" xfId="0">
      <alignment horizontal="left" vertical="center" wrapText="1"/>
    </xf>
    <xf numFmtId="0" fontId="0" fillId="0" borderId="275" pivotButton="0" quotePrefix="0" xfId="0"/>
    <xf numFmtId="0" fontId="0" fillId="0" borderId="276" pivotButton="0" quotePrefix="0" xfId="0"/>
    <xf numFmtId="0" fontId="38" fillId="0" borderId="183" applyAlignment="1" pivotButton="0" quotePrefix="0" xfId="0">
      <alignment vertical="center"/>
    </xf>
    <xf numFmtId="0" fontId="38" fillId="0" borderId="185" applyAlignment="1" pivotButton="0" quotePrefix="0" xfId="0">
      <alignment vertical="center"/>
    </xf>
    <xf numFmtId="0" fontId="38" fillId="0" borderId="186" applyAlignment="1" pivotButton="0" quotePrefix="0" xfId="0">
      <alignment horizontal="left" vertical="center" wrapText="1"/>
    </xf>
    <xf numFmtId="0" fontId="0" fillId="0" borderId="277" pivotButton="0" quotePrefix="0" xfId="0"/>
    <xf numFmtId="0" fontId="0" fillId="0" borderId="278" pivotButton="0" quotePrefix="0" xfId="0"/>
    <xf numFmtId="10" fontId="38" fillId="0" borderId="251" pivotButton="0" quotePrefix="0" xfId="0"/>
    <xf numFmtId="2" fontId="38" fillId="0" borderId="251" pivotButton="0" quotePrefix="0" xfId="0"/>
    <xf numFmtId="164" fontId="38" fillId="0" borderId="251" pivotButton="0" quotePrefix="0" xfId="0"/>
    <xf numFmtId="166" fontId="38" fillId="0" borderId="251" pivotButton="0" quotePrefix="0" xfId="0"/>
    <xf numFmtId="0" fontId="38" fillId="0" borderId="252" applyAlignment="1" pivotButton="0" quotePrefix="0" xfId="0">
      <alignment vertical="center" wrapText="1"/>
    </xf>
    <xf numFmtId="10" fontId="38" fillId="0" borderId="253" applyAlignment="1" pivotButton="0" quotePrefix="0" xfId="0">
      <alignment horizontal="center"/>
    </xf>
    <xf numFmtId="10" fontId="38" fillId="0" borderId="254" applyAlignment="1" pivotButton="0" quotePrefix="0" xfId="0">
      <alignment horizontal="center"/>
    </xf>
    <xf numFmtId="169" fontId="38" fillId="0" borderId="253" pivotButton="0" quotePrefix="0" xfId="0"/>
    <xf numFmtId="0" fontId="55" fillId="0" borderId="0" pivotButton="0" quotePrefix="0" xfId="0"/>
    <xf numFmtId="0" fontId="56" fillId="0" borderId="0" pivotButton="0" quotePrefix="0" xfId="0"/>
    <xf numFmtId="10" fontId="38" fillId="0" borderId="138" pivotButton="0" quotePrefix="0" xfId="0"/>
    <xf numFmtId="10" fontId="38" fillId="0" borderId="141" pivotButton="0" quotePrefix="0" xfId="0"/>
    <xf numFmtId="9" fontId="46" fillId="0" borderId="202" pivotButton="0" quotePrefix="0" xfId="0"/>
    <xf numFmtId="9" fontId="46" fillId="0" borderId="204" pivotButton="0" quotePrefix="0" xfId="0"/>
    <xf numFmtId="10" fontId="38" fillId="0" borderId="205" pivotButton="0" quotePrefix="0" xfId="0"/>
    <xf numFmtId="0" fontId="55" fillId="0" borderId="255" pivotButton="0" quotePrefix="0" xfId="0"/>
  </cellXfs>
  <cellStyles count="3">
    <cellStyle name="Normal" xfId="0" builtinId="0"/>
    <cellStyle name="Normal 2" xfId="1"/>
    <cellStyle name="Percent 3" xfId="2"/>
  </cellStyles>
  <dxfs count="34">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100" b="0">
                <a:solidFill>
                  <a:srgbClr val="595959"/>
                </a:solidFill>
                <a:latin typeface="Arial"/>
              </a:defRPr>
            </a:pPr>
            <a:r>
              <a:rPr lang="en-AU" sz="1100" b="0">
                <a:solidFill>
                  <a:srgbClr val="595959"/>
                </a:solidFill>
                <a:latin typeface="Arial"/>
              </a:rPr>
              <a:t>Asset allocation: current, benchmark and recommended</a:t>
            </a:r>
          </a:p>
        </c:rich>
      </c:tx>
      <c:overlay val="0"/>
    </c:title>
    <c:autoTitleDeleted val="0"/>
    <c:plotArea>
      <c:layout/>
      <c:barChart>
        <c:barDir val="bar"/>
        <c:grouping val="clustered"/>
        <c:varyColors val="0"/>
        <c:ser>
          <c:idx val="0"/>
          <c:order val="0"/>
          <c:tx>
            <c:strRef>
              <c:f>Summary!B5</c:f>
              <c:strCache>
                <c:ptCount val="1"/>
                <c:pt idx="0">
                  <c:v>Current</c:v>
                </c:pt>
              </c:strCache>
            </c:strRef>
          </c:tx>
          <c:spPr>
            <a:solidFill>
              <a:srgbClr val="D9641E"/>
            </a:solidFill>
            <a:ln w="9525">
              <a:solidFill>
                <a:srgbClr val="FFFFFF"/>
              </a:solidFill>
            </a:ln>
          </c:spPr>
          <c:invertIfNegative val="0"/>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Summary!$B$6:$B$16</c:f>
              <c:numCache>
                <c:formatCode>General</c:formatCode>
                <c:ptCount val="11"/>
                <c:pt idx="0">
                  <c:v>0.4</c:v>
                </c:pt>
                <c:pt idx="1">
                  <c:v>0.2</c:v>
                </c:pt>
                <c:pt idx="2">
                  <c:v>0</c:v>
                </c:pt>
                <c:pt idx="3">
                  <c:v>0.1</c:v>
                </c:pt>
                <c:pt idx="4">
                  <c:v>0</c:v>
                </c:pt>
                <c:pt idx="5">
                  <c:v>0</c:v>
                </c:pt>
                <c:pt idx="6">
                  <c:v>0</c:v>
                </c:pt>
                <c:pt idx="7">
                  <c:v>0</c:v>
                </c:pt>
                <c:pt idx="8">
                  <c:v>0.15</c:v>
                </c:pt>
                <c:pt idx="9">
                  <c:v>0.08</c:v>
                </c:pt>
                <c:pt idx="10">
                  <c:v>0.07</c:v>
                </c:pt>
              </c:numCache>
            </c:numRef>
          </c:val>
        </c:ser>
        <c:ser>
          <c:idx val="1"/>
          <c:order val="1"/>
          <c:tx>
            <c:strRef>
              <c:f>Summary!C5</c:f>
              <c:strCache>
                <c:ptCount val="1"/>
                <c:pt idx="0">
                  <c:v>Benchmark</c:v>
                </c:pt>
              </c:strCache>
            </c:strRef>
          </c:tx>
          <c:spPr>
            <a:solidFill>
              <a:srgbClr val="18998A"/>
            </a:solidFill>
            <a:ln w="9525">
              <a:solidFill>
                <a:srgbClr val="FFFFFF"/>
              </a:solidFill>
            </a:ln>
          </c:spPr>
          <c:invertIfNegative val="0"/>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Summary!$C$6:$C$16</c:f>
              <c:numCache>
                <c:formatCode>General</c:formatCode>
                <c:ptCount val="11"/>
                <c:pt idx="0">
                  <c:v>0.25</c:v>
                </c:pt>
                <c:pt idx="1">
                  <c:v>0.24</c:v>
                </c:pt>
                <c:pt idx="2">
                  <c:v>0.03</c:v>
                </c:pt>
                <c:pt idx="3">
                  <c:v>0.07</c:v>
                </c:pt>
                <c:pt idx="4">
                  <c:v>0.02</c:v>
                </c:pt>
                <c:pt idx="5">
                  <c:v>0.05</c:v>
                </c:pt>
                <c:pt idx="6">
                  <c:v>0.03</c:v>
                </c:pt>
                <c:pt idx="7">
                  <c:v>0.03</c:v>
                </c:pt>
                <c:pt idx="8">
                  <c:v>0.14</c:v>
                </c:pt>
                <c:pt idx="9">
                  <c:v>0.11</c:v>
                </c:pt>
                <c:pt idx="10">
                  <c:v>0.03</c:v>
                </c:pt>
              </c:numCache>
            </c:numRef>
          </c:val>
        </c:ser>
        <c:ser>
          <c:idx val="2"/>
          <c:order val="2"/>
          <c:tx>
            <c:strRef>
              <c:f>Summary!D5</c:f>
              <c:strCache>
                <c:ptCount val="1"/>
                <c:pt idx="0">
                  <c:v>Recommended</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Summary!$D$6:$D$16</c:f>
              <c:numCache>
                <c:formatCode>General</c:formatCode>
                <c:ptCount val="11"/>
                <c:pt idx="0">
                  <c:v>0.2738</c:v>
                </c:pt>
                <c:pt idx="1">
                  <c:v>0.279</c:v>
                </c:pt>
                <c:pt idx="2">
                  <c:v>0.0672</c:v>
                </c:pt>
                <c:pt idx="3">
                  <c:v>0.0867</c:v>
                </c:pt>
                <c:pt idx="4">
                  <c:v>0.0244</c:v>
                </c:pt>
                <c:pt idx="5">
                  <c:v>0</c:v>
                </c:pt>
                <c:pt idx="6">
                  <c:v>0</c:v>
                </c:pt>
                <c:pt idx="7">
                  <c:v>0</c:v>
                </c:pt>
                <c:pt idx="8">
                  <c:v>0.12</c:v>
                </c:pt>
                <c:pt idx="9">
                  <c:v>0.1289</c:v>
                </c:pt>
                <c:pt idx="10">
                  <c:v>0.02</c:v>
                </c:pt>
              </c:numCache>
            </c:numRef>
          </c:val>
        </c:ser>
        <c:gapWidth val="40"/>
        <c:overlap val="-8"/>
        <c:axId val="1001"/>
        <c:axId val="1002"/>
      </c:barChart>
      <c:catAx>
        <c:axId val="1001"/>
        <c:scaling>
          <c:orientation val="maxMin"/>
        </c:scaling>
        <c:delete val="0"/>
        <c:axPos val="l"/>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b"/>
        <c:majorGridlines>
          <c:spPr>
            <a:ln w="6350">
              <a:solidFill>
                <a:srgbClr val="E3E3E3"/>
              </a:solidFill>
            </a:ln>
          </c:spPr>
        </c:majorGridlines>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max"/>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2.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100" b="0">
                <a:solidFill>
                  <a:srgbClr val="595959"/>
                </a:solidFill>
                <a:latin typeface="Arial"/>
              </a:defRPr>
            </a:pPr>
            <a:r>
              <a:rPr lang="en-AU" sz="1100" b="0">
                <a:solidFill>
                  <a:srgbClr val="595959"/>
                </a:solidFill>
                <a:latin typeface="Arial"/>
              </a:rPr>
              <a:t>Risk and return: recommended portfolio on the frontier</a:t>
            </a:r>
          </a:p>
        </c:rich>
      </c:tx>
      <c:overlay val="0"/>
    </c:title>
    <c:autoTitleDeleted val="0"/>
    <c:plotArea>
      <c:layout/>
      <c:scatterChart>
        <c:scatterStyle val="lineMarker"/>
        <c:varyColors val="0"/>
        <c:ser>
          <c:idx val="0"/>
          <c:order val="0"/>
          <c:tx>
            <c:v>Frontier without the tracking-error limit</c:v>
          </c:tx>
          <c:spPr>
            <a:ln w="15875" cap="rnd">
              <a:solidFill>
                <a:srgbClr val="8C8C8C"/>
              </a:solidFill>
              <a:prstDash val="dash"/>
              <a:round/>
            </a:ln>
          </c:spPr>
          <c:marker>
            <c:symbol val="none"/>
          </c:marker>
          <c:xVal>
            <c:numRef>
              <c:f>'Report figures'!$O$22:$O$31</c:f>
              <c:numCache>
                <c:formatCode>General</c:formatCode>
                <c:ptCount val="10"/>
                <c:pt idx="0">
                  <c:v>0.0466820755244891</c:v>
                </c:pt>
                <c:pt idx="1">
                  <c:v>0.0475042706483331</c:v>
                </c:pt>
                <c:pt idx="2">
                  <c:v>0.0506864932327532</c:v>
                </c:pt>
                <c:pt idx="3">
                  <c:v>0.0549218071725918</c:v>
                </c:pt>
                <c:pt idx="4">
                  <c:v>0.0594495407118486</c:v>
                </c:pt>
                <c:pt idx="5">
                  <c:v>0.0642067186331825</c:v>
                </c:pt>
                <c:pt idx="6">
                  <c:v>0.0692155462830809</c:v>
                </c:pt>
                <c:pt idx="7">
                  <c:v>0.0748017878451787</c:v>
                </c:pt>
                <c:pt idx="8">
                  <c:v>0.080501525367439</c:v>
                </c:pt>
                <c:pt idx="9">
                  <c:v>0.0900591239554827</c:v>
                </c:pt>
              </c:numCache>
            </c:numRef>
          </c:xVal>
          <c:yVal>
            <c:numRef>
              <c:f>'Report figures'!$P$22:$P$31</c:f>
              <c:numCache>
                <c:formatCode>General</c:formatCode>
                <c:ptCount val="10"/>
                <c:pt idx="0">
                  <c:v>0.0604109924539374</c:v>
                </c:pt>
                <c:pt idx="1">
                  <c:v>0.0617138327762841</c:v>
                </c:pt>
                <c:pt idx="2">
                  <c:v>0.0630140195206193</c:v>
                </c:pt>
                <c:pt idx="3">
                  <c:v>0.0643168148070565</c:v>
                </c:pt>
                <c:pt idx="4">
                  <c:v>0.0656186978662209</c:v>
                </c:pt>
                <c:pt idx="5">
                  <c:v>0.0669223029518575</c:v>
                </c:pt>
                <c:pt idx="6">
                  <c:v>0.068223745897994</c:v>
                </c:pt>
                <c:pt idx="7">
                  <c:v>0.0695262020616433</c:v>
                </c:pt>
                <c:pt idx="8">
                  <c:v>0.0708290445714526</c:v>
                </c:pt>
                <c:pt idx="9">
                  <c:v>0.0721315176550505</c:v>
                </c:pt>
              </c:numCache>
            </c:numRef>
          </c:yVal>
          <c:smooth val="0"/>
        </c:ser>
        <c:ser>
          <c:idx val="1"/>
          <c:order val="1"/>
          <c:tx>
            <c:v>Efficient frontier, all mandate limits</c:v>
          </c:tx>
          <c:spPr>
            <a:ln w="25400" cap="rnd">
              <a:solidFill>
                <a:srgbClr val="2B5C9E"/>
              </a:solidFill>
              <a:prstDash val="solid"/>
              <a:round/>
            </a:ln>
          </c:spPr>
          <c:marker>
            <c:symbol val="none"/>
          </c:marker>
          <c:xVal>
            <c:numRef>
              <c:f>'Report figures'!$Q$22:$Q$31</c:f>
              <c:numCache>
                <c:formatCode>General</c:formatCode>
                <c:ptCount val="10"/>
                <c:pt idx="0">
                  <c:v>0.0595134073977176</c:v>
                </c:pt>
                <c:pt idx="1">
                  <c:v>0.0598158956305185</c:v>
                </c:pt>
                <c:pt idx="2">
                  <c:v>0.0605608335559351</c:v>
                </c:pt>
                <c:pt idx="3">
                  <c:v>0.0616843354349399</c:v>
                </c:pt>
                <c:pt idx="4">
                  <c:v>0.0632635500635464</c:v>
                </c:pt>
                <c:pt idx="5">
                  <c:v>0.0654273751600381</c:v>
                </c:pt>
                <c:pt idx="6">
                  <c:v>0.0680026697127463</c:v>
                </c:pt>
                <c:pt idx="7">
                  <c:v>0.0709525726329572</c:v>
                </c:pt>
                <c:pt idx="8">
                  <c:v>0.0741951415827985</c:v>
                </c:pt>
                <c:pt idx="9">
                  <c:v>0.0783891281769718</c:v>
                </c:pt>
              </c:numCache>
            </c:numRef>
          </c:xVal>
          <c:yVal>
            <c:numRef>
              <c:f>'Report figures'!$R$22:$R$31</c:f>
              <c:numCache>
                <c:formatCode>General</c:formatCode>
                <c:ptCount val="10"/>
                <c:pt idx="0">
                  <c:v>0.0634813665404129</c:v>
                </c:pt>
                <c:pt idx="1">
                  <c:v>0.0642098847873738</c:v>
                </c:pt>
                <c:pt idx="2">
                  <c:v>0.0649386093649641</c:v>
                </c:pt>
                <c:pt idx="3">
                  <c:v>0.0656644848845165</c:v>
                </c:pt>
                <c:pt idx="4">
                  <c:v>0.066392560990214</c:v>
                </c:pt>
                <c:pt idx="5">
                  <c:v>0.067119175033064</c:v>
                </c:pt>
                <c:pt idx="6">
                  <c:v>0.0678483862534227</c:v>
                </c:pt>
                <c:pt idx="7">
                  <c:v>0.0685747936523373</c:v>
                </c:pt>
                <c:pt idx="8">
                  <c:v>0.0693051396645462</c:v>
                </c:pt>
                <c:pt idx="9">
                  <c:v>0.0700321062587087</c:v>
                </c:pt>
              </c:numCache>
            </c:numRef>
          </c:yVal>
          <c:smooth val="0"/>
        </c:ser>
        <c:ser>
          <c:idx val="2"/>
          <c:order val="2"/>
          <c:tx>
            <c:strRef>
              <c:f>'Report figures'!$N$33</c:f>
              <c:strCache>
                <c:ptCount val="1"/>
                <c:pt idx="0">
                  <c:v>Current fund</c:v>
                </c:pt>
              </c:strCache>
            </c:strRef>
          </c:tx>
          <c:spPr>
            <a:ln w="19050">
              <a:noFill/>
            </a:ln>
          </c:spPr>
          <c:marker>
            <c:symbol val="circle"/>
            <c:size val="9"/>
            <c:spPr>
              <a:solidFill>
                <a:srgbClr val="D9641E"/>
              </a:solidFill>
              <a:ln w="12700">
                <a:solidFill>
                  <a:srgbClr val="FFFFFF"/>
                </a:solidFill>
              </a:ln>
            </c:spPr>
          </c:marker>
          <c:dLbls>
            <c:numFmt formatCode="0.0%" sourceLinked="0"/>
            <c:spPr>
              <a:noFill/>
              <a:ln>
                <a:noFill/>
              </a:ln>
            </c:spPr>
            <c:txPr>
              <a:bodyPr/>
              <a:lstStyle/>
              <a:p>
                <a:pPr>
                  <a:defRPr sz="800" b="0">
                    <a:solidFill>
                      <a:srgbClr val="262626"/>
                    </a:solidFill>
                    <a:latin typeface="Arial"/>
                    <a:cs typeface="Arial"/>
                  </a:defRPr>
                </a:pPr>
                <a:endParaRPr lang="en-AU"/>
              </a:p>
            </c:txPr>
            <c:dLblPos val="r"/>
            <c:showLegendKey val="0"/>
            <c:showVal val="0"/>
            <c:showCatName val="0"/>
            <c:showSerName val="1"/>
            <c:showPercent val="0"/>
            <c:showBubbleSize val="0"/>
          </c:dLbls>
          <c:xVal>
            <c:numRef>
              <c:f>'Report figures'!$O$33</c:f>
              <c:numCache>
                <c:formatCode>General</c:formatCode>
                <c:ptCount val="1"/>
                <c:pt idx="0">
                  <c:v>0.0838339641597338</c:v>
                </c:pt>
              </c:numCache>
            </c:numRef>
          </c:xVal>
          <c:yVal>
            <c:numRef>
              <c:f>'Report figures'!$P$33</c:f>
              <c:numCache>
                <c:formatCode>General</c:formatCode>
                <c:ptCount val="1"/>
                <c:pt idx="0">
                  <c:v>0.069624614709126</c:v>
                </c:pt>
              </c:numCache>
            </c:numRef>
          </c:yVal>
          <c:smooth val="0"/>
        </c:ser>
        <c:ser>
          <c:idx val="3"/>
          <c:order val="3"/>
          <c:tx>
            <c:strRef>
              <c:f>'Report figures'!$N$34</c:f>
              <c:strCache>
                <c:ptCount val="1"/>
                <c:pt idx="0">
                  <c:v>Benchmark</c:v>
                </c:pt>
              </c:strCache>
            </c:strRef>
          </c:tx>
          <c:spPr>
            <a:ln w="19050">
              <a:noFill/>
            </a:ln>
          </c:spPr>
          <c:marker>
            <c:symbol val="circle"/>
            <c:size val="9"/>
            <c:spPr>
              <a:solidFill>
                <a:srgbClr val="18998A"/>
              </a:solidFill>
              <a:ln w="12700">
                <a:solidFill>
                  <a:srgbClr val="FFFFFF"/>
                </a:solidFill>
              </a:ln>
            </c:spPr>
          </c:marker>
          <c:dLbls>
            <c:numFmt formatCode="0.0%" sourceLinked="0"/>
            <c:spPr>
              <a:noFill/>
              <a:ln>
                <a:noFill/>
              </a:ln>
            </c:spPr>
            <c:txPr>
              <a:bodyPr/>
              <a:lstStyle/>
              <a:p>
                <a:pPr>
                  <a:defRPr sz="800" b="0">
                    <a:solidFill>
                      <a:srgbClr val="262626"/>
                    </a:solidFill>
                    <a:latin typeface="Arial"/>
                    <a:cs typeface="Arial"/>
                  </a:defRPr>
                </a:pPr>
                <a:endParaRPr lang="en-AU"/>
              </a:p>
            </c:txPr>
            <c:dLblPos val="b"/>
            <c:showLegendKey val="0"/>
            <c:showVal val="0"/>
            <c:showCatName val="0"/>
            <c:showSerName val="1"/>
            <c:showPercent val="0"/>
            <c:showBubbleSize val="0"/>
          </c:dLbls>
          <c:xVal>
            <c:numRef>
              <c:f>'Report figures'!$O$34</c:f>
              <c:numCache>
                <c:formatCode>General</c:formatCode>
                <c:ptCount val="1"/>
                <c:pt idx="0">
                  <c:v>0.0701341120083923</c:v>
                </c:pt>
              </c:numCache>
            </c:numRef>
          </c:xVal>
          <c:yVal>
            <c:numRef>
              <c:f>'Report figures'!$P$34</c:f>
              <c:numCache>
                <c:formatCode>General</c:formatCode>
                <c:ptCount val="1"/>
                <c:pt idx="0">
                  <c:v>0.0662554639579687</c:v>
                </c:pt>
              </c:numCache>
            </c:numRef>
          </c:yVal>
          <c:smooth val="0"/>
        </c:ser>
        <c:ser>
          <c:idx val="4"/>
          <c:order val="4"/>
          <c:tx>
            <c:strRef>
              <c:f>'Report figures'!$N$35</c:f>
              <c:strCache>
                <c:ptCount val="1"/>
                <c:pt idx="0">
                  <c:v>Recommended</c:v>
                </c:pt>
              </c:strCache>
            </c:strRef>
          </c:tx>
          <c:spPr>
            <a:ln w="19050">
              <a:noFill/>
            </a:ln>
          </c:spPr>
          <c:marker>
            <c:symbol val="diamond"/>
            <c:size val="11"/>
            <c:spPr>
              <a:solidFill>
                <a:srgbClr val="2B5C9E"/>
              </a:solidFill>
              <a:ln w="12700">
                <a:solidFill>
                  <a:srgbClr val="FFFFFF"/>
                </a:solidFill>
              </a:ln>
            </c:spPr>
          </c:marker>
          <c:dLbls>
            <c:numFmt formatCode="0.0%" sourceLinked="0"/>
            <c:spPr>
              <a:noFill/>
              <a:ln>
                <a:noFill/>
              </a:ln>
            </c:spPr>
            <c:txPr>
              <a:bodyPr/>
              <a:lstStyle/>
              <a:p>
                <a:pPr>
                  <a:defRPr sz="800" b="0">
                    <a:solidFill>
                      <a:srgbClr val="262626"/>
                    </a:solidFill>
                    <a:latin typeface="Arial"/>
                    <a:cs typeface="Arial"/>
                  </a:defRPr>
                </a:pPr>
                <a:endParaRPr lang="en-AU"/>
              </a:p>
            </c:txPr>
            <c:dLblPos val="t"/>
            <c:showLegendKey val="0"/>
            <c:showVal val="0"/>
            <c:showCatName val="0"/>
            <c:showSerName val="1"/>
            <c:showPercent val="0"/>
            <c:showBubbleSize val="0"/>
          </c:dLbls>
          <c:xVal>
            <c:numRef>
              <c:f>'Report figures'!$O$35</c:f>
              <c:numCache>
                <c:formatCode>General</c:formatCode>
                <c:ptCount val="1"/>
                <c:pt idx="0">
                  <c:v>0.0783891281769718</c:v>
                </c:pt>
              </c:numCache>
            </c:numRef>
          </c:xVal>
          <c:yVal>
            <c:numRef>
              <c:f>'Report figures'!$P$35</c:f>
              <c:numCache>
                <c:formatCode>General</c:formatCode>
                <c:ptCount val="1"/>
                <c:pt idx="0">
                  <c:v>0.0700321062587087</c:v>
                </c:pt>
              </c:numCache>
            </c:numRef>
          </c:yVal>
          <c:smooth val="0"/>
        </c:ser>
        <c:axId val="1001"/>
        <c:axId val="1002"/>
      </c:scatterChart>
      <c:valAx>
        <c:axId val="1001"/>
        <c:scaling>
          <c:orientation val="minMax"/>
        </c:scaling>
        <c:delete val="0"/>
        <c:axPos val="b"/>
        <c:title>
          <c:tx>
            <c:rich>
              <a:bodyPr/>
              <a:lstStyle/>
              <a:p>
                <a:pPr>
                  <a:defRPr sz="900" b="0">
                    <a:solidFill>
                      <a:srgbClr val="595959"/>
                    </a:solidFill>
                    <a:latin typeface="Arial"/>
                  </a:defRPr>
                </a:pPr>
                <a:r>
                  <a:rPr lang="en-AU" sz="900" b="0">
                    <a:solidFill>
                      <a:srgbClr val="595959"/>
                    </a:solidFill>
                    <a:latin typeface="Arial"/>
                  </a:rPr>
                  <a:t>Volatility (p.a.)</a:t>
                </a:r>
              </a:p>
            </c:rich>
          </c:tx>
          <c:overlay val="0"/>
        </c:title>
        <c:numFmt formatCode="0.0%"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crossBetween val="midCat"/>
      </c:val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Expected return (arithmetic, net, p.a.)</a:t>
                </a:r>
              </a:p>
            </c:rich>
          </c:tx>
          <c:overlay val="0"/>
        </c:title>
        <c:numFmt formatCode="0.0%"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1"/>
        <c:crosses val="autoZero"/>
        <c:crossBetween val="midCat"/>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3.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scatterChart>
        <c:scatterStyle val="lineMarker"/>
        <c:varyColors val="0"/>
        <c:ser>
          <c:idx val="0"/>
          <c:order val="0"/>
          <c:tx>
            <c:v>Frontier without the tracking-error limit</c:v>
          </c:tx>
          <c:spPr>
            <a:ln w="15875" cap="rnd">
              <a:solidFill>
                <a:srgbClr val="8C8C8C"/>
              </a:solidFill>
              <a:prstDash val="dash"/>
              <a:round/>
            </a:ln>
          </c:spPr>
          <c:marker>
            <c:symbol val="none"/>
          </c:marker>
          <c:xVal>
            <c:numRef>
              <c:f>'Report figures'!$O$22:$O$31</c:f>
              <c:numCache>
                <c:formatCode>General</c:formatCode>
                <c:ptCount val="10"/>
                <c:pt idx="0">
                  <c:v>0.0466820755244891</c:v>
                </c:pt>
                <c:pt idx="1">
                  <c:v>0.0475042706483331</c:v>
                </c:pt>
                <c:pt idx="2">
                  <c:v>0.0506864932327532</c:v>
                </c:pt>
                <c:pt idx="3">
                  <c:v>0.0549218071725918</c:v>
                </c:pt>
                <c:pt idx="4">
                  <c:v>0.0594495407118486</c:v>
                </c:pt>
                <c:pt idx="5">
                  <c:v>0.0642067186331825</c:v>
                </c:pt>
                <c:pt idx="6">
                  <c:v>0.0692155462830809</c:v>
                </c:pt>
                <c:pt idx="7">
                  <c:v>0.0748017878451787</c:v>
                </c:pt>
                <c:pt idx="8">
                  <c:v>0.080501525367439</c:v>
                </c:pt>
                <c:pt idx="9">
                  <c:v>0.0900591239554827</c:v>
                </c:pt>
              </c:numCache>
            </c:numRef>
          </c:xVal>
          <c:yVal>
            <c:numRef>
              <c:f>'Report figures'!$P$22:$P$31</c:f>
              <c:numCache>
                <c:formatCode>General</c:formatCode>
                <c:ptCount val="10"/>
                <c:pt idx="0">
                  <c:v>0.0604109924539374</c:v>
                </c:pt>
                <c:pt idx="1">
                  <c:v>0.0617138327762841</c:v>
                </c:pt>
                <c:pt idx="2">
                  <c:v>0.0630140195206193</c:v>
                </c:pt>
                <c:pt idx="3">
                  <c:v>0.0643168148070565</c:v>
                </c:pt>
                <c:pt idx="4">
                  <c:v>0.0656186978662209</c:v>
                </c:pt>
                <c:pt idx="5">
                  <c:v>0.0669223029518575</c:v>
                </c:pt>
                <c:pt idx="6">
                  <c:v>0.068223745897994</c:v>
                </c:pt>
                <c:pt idx="7">
                  <c:v>0.0695262020616433</c:v>
                </c:pt>
                <c:pt idx="8">
                  <c:v>0.0708290445714526</c:v>
                </c:pt>
                <c:pt idx="9">
                  <c:v>0.0721315176550505</c:v>
                </c:pt>
              </c:numCache>
            </c:numRef>
          </c:yVal>
          <c:smooth val="0"/>
        </c:ser>
        <c:ser>
          <c:idx val="1"/>
          <c:order val="1"/>
          <c:tx>
            <c:v>Efficient frontier, all mandate limits</c:v>
          </c:tx>
          <c:spPr>
            <a:ln w="25400" cap="rnd">
              <a:solidFill>
                <a:srgbClr val="2B5C9E"/>
              </a:solidFill>
              <a:prstDash val="solid"/>
              <a:round/>
            </a:ln>
          </c:spPr>
          <c:marker>
            <c:symbol val="none"/>
          </c:marker>
          <c:xVal>
            <c:numRef>
              <c:f>'Report figures'!$Q$22:$Q$31</c:f>
              <c:numCache>
                <c:formatCode>General</c:formatCode>
                <c:ptCount val="10"/>
                <c:pt idx="0">
                  <c:v>0.0595134073977176</c:v>
                </c:pt>
                <c:pt idx="1">
                  <c:v>0.0598158956305185</c:v>
                </c:pt>
                <c:pt idx="2">
                  <c:v>0.0605608335559351</c:v>
                </c:pt>
                <c:pt idx="3">
                  <c:v>0.0616843354349399</c:v>
                </c:pt>
                <c:pt idx="4">
                  <c:v>0.0632635500635464</c:v>
                </c:pt>
                <c:pt idx="5">
                  <c:v>0.0654273751600381</c:v>
                </c:pt>
                <c:pt idx="6">
                  <c:v>0.0680026697127463</c:v>
                </c:pt>
                <c:pt idx="7">
                  <c:v>0.0709525726329572</c:v>
                </c:pt>
                <c:pt idx="8">
                  <c:v>0.0741951415827985</c:v>
                </c:pt>
                <c:pt idx="9">
                  <c:v>0.0783891281769718</c:v>
                </c:pt>
              </c:numCache>
            </c:numRef>
          </c:xVal>
          <c:yVal>
            <c:numRef>
              <c:f>'Report figures'!$R$22:$R$31</c:f>
              <c:numCache>
                <c:formatCode>General</c:formatCode>
                <c:ptCount val="10"/>
                <c:pt idx="0">
                  <c:v>0.0634813665404129</c:v>
                </c:pt>
                <c:pt idx="1">
                  <c:v>0.0642098847873738</c:v>
                </c:pt>
                <c:pt idx="2">
                  <c:v>0.0649386093649641</c:v>
                </c:pt>
                <c:pt idx="3">
                  <c:v>0.0656644848845165</c:v>
                </c:pt>
                <c:pt idx="4">
                  <c:v>0.066392560990214</c:v>
                </c:pt>
                <c:pt idx="5">
                  <c:v>0.067119175033064</c:v>
                </c:pt>
                <c:pt idx="6">
                  <c:v>0.0678483862534227</c:v>
                </c:pt>
                <c:pt idx="7">
                  <c:v>0.0685747936523373</c:v>
                </c:pt>
                <c:pt idx="8">
                  <c:v>0.0693051396645462</c:v>
                </c:pt>
                <c:pt idx="9">
                  <c:v>0.0700321062587087</c:v>
                </c:pt>
              </c:numCache>
            </c:numRef>
          </c:yVal>
          <c:smooth val="0"/>
        </c:ser>
        <c:ser>
          <c:idx val="2"/>
          <c:order val="2"/>
          <c:tx>
            <c:strRef>
              <c:f>'Report figures'!$N$33</c:f>
              <c:strCache>
                <c:ptCount val="1"/>
                <c:pt idx="0">
                  <c:v>Current fund</c:v>
                </c:pt>
              </c:strCache>
            </c:strRef>
          </c:tx>
          <c:spPr>
            <a:ln w="19050">
              <a:noFill/>
            </a:ln>
          </c:spPr>
          <c:marker>
            <c:symbol val="circle"/>
            <c:size val="9"/>
            <c:spPr>
              <a:solidFill>
                <a:srgbClr val="D9641E"/>
              </a:solidFill>
              <a:ln w="12700">
                <a:solidFill>
                  <a:srgbClr val="FFFFFF"/>
                </a:solidFill>
              </a:ln>
            </c:spPr>
          </c:marker>
          <c:dLbls>
            <c:numFmt formatCode="0.0%" sourceLinked="0"/>
            <c:spPr>
              <a:noFill/>
              <a:ln>
                <a:noFill/>
              </a:ln>
            </c:spPr>
            <c:txPr>
              <a:bodyPr/>
              <a:lstStyle/>
              <a:p>
                <a:pPr>
                  <a:defRPr sz="800" b="0">
                    <a:solidFill>
                      <a:srgbClr val="262626"/>
                    </a:solidFill>
                    <a:latin typeface="Arial"/>
                    <a:cs typeface="Arial"/>
                  </a:defRPr>
                </a:pPr>
                <a:endParaRPr lang="en-AU"/>
              </a:p>
            </c:txPr>
            <c:dLblPos val="r"/>
            <c:showLegendKey val="0"/>
            <c:showVal val="0"/>
            <c:showCatName val="0"/>
            <c:showSerName val="1"/>
            <c:showPercent val="0"/>
            <c:showBubbleSize val="0"/>
          </c:dLbls>
          <c:xVal>
            <c:numRef>
              <c:f>'Report figures'!$O$33</c:f>
              <c:numCache>
                <c:formatCode>General</c:formatCode>
                <c:ptCount val="1"/>
                <c:pt idx="0">
                  <c:v>0.0838339641597338</c:v>
                </c:pt>
              </c:numCache>
            </c:numRef>
          </c:xVal>
          <c:yVal>
            <c:numRef>
              <c:f>'Report figures'!$P$33</c:f>
              <c:numCache>
                <c:formatCode>General</c:formatCode>
                <c:ptCount val="1"/>
                <c:pt idx="0">
                  <c:v>0.069624614709126</c:v>
                </c:pt>
              </c:numCache>
            </c:numRef>
          </c:yVal>
          <c:smooth val="0"/>
        </c:ser>
        <c:ser>
          <c:idx val="3"/>
          <c:order val="3"/>
          <c:tx>
            <c:strRef>
              <c:f>'Report figures'!$N$34</c:f>
              <c:strCache>
                <c:ptCount val="1"/>
                <c:pt idx="0">
                  <c:v>Benchmark</c:v>
                </c:pt>
              </c:strCache>
            </c:strRef>
          </c:tx>
          <c:spPr>
            <a:ln w="19050">
              <a:noFill/>
            </a:ln>
          </c:spPr>
          <c:marker>
            <c:symbol val="circle"/>
            <c:size val="9"/>
            <c:spPr>
              <a:solidFill>
                <a:srgbClr val="18998A"/>
              </a:solidFill>
              <a:ln w="12700">
                <a:solidFill>
                  <a:srgbClr val="FFFFFF"/>
                </a:solidFill>
              </a:ln>
            </c:spPr>
          </c:marker>
          <c:dLbls>
            <c:numFmt formatCode="0.0%" sourceLinked="0"/>
            <c:spPr>
              <a:noFill/>
              <a:ln>
                <a:noFill/>
              </a:ln>
            </c:spPr>
            <c:txPr>
              <a:bodyPr/>
              <a:lstStyle/>
              <a:p>
                <a:pPr>
                  <a:defRPr sz="800" b="0">
                    <a:solidFill>
                      <a:srgbClr val="262626"/>
                    </a:solidFill>
                    <a:latin typeface="Arial"/>
                    <a:cs typeface="Arial"/>
                  </a:defRPr>
                </a:pPr>
                <a:endParaRPr lang="en-AU"/>
              </a:p>
            </c:txPr>
            <c:dLblPos val="b"/>
            <c:showLegendKey val="0"/>
            <c:showVal val="0"/>
            <c:showCatName val="0"/>
            <c:showSerName val="1"/>
            <c:showPercent val="0"/>
            <c:showBubbleSize val="0"/>
          </c:dLbls>
          <c:xVal>
            <c:numRef>
              <c:f>'Report figures'!$O$34</c:f>
              <c:numCache>
                <c:formatCode>General</c:formatCode>
                <c:ptCount val="1"/>
                <c:pt idx="0">
                  <c:v>0.0701341120083923</c:v>
                </c:pt>
              </c:numCache>
            </c:numRef>
          </c:xVal>
          <c:yVal>
            <c:numRef>
              <c:f>'Report figures'!$P$34</c:f>
              <c:numCache>
                <c:formatCode>General</c:formatCode>
                <c:ptCount val="1"/>
                <c:pt idx="0">
                  <c:v>0.0662554639579687</c:v>
                </c:pt>
              </c:numCache>
            </c:numRef>
          </c:yVal>
          <c:smooth val="0"/>
        </c:ser>
        <c:ser>
          <c:idx val="4"/>
          <c:order val="4"/>
          <c:tx>
            <c:strRef>
              <c:f>'Report figures'!$N$35</c:f>
              <c:strCache>
                <c:ptCount val="1"/>
                <c:pt idx="0">
                  <c:v>Recommended</c:v>
                </c:pt>
              </c:strCache>
            </c:strRef>
          </c:tx>
          <c:spPr>
            <a:ln w="19050">
              <a:noFill/>
            </a:ln>
          </c:spPr>
          <c:marker>
            <c:symbol val="diamond"/>
            <c:size val="11"/>
            <c:spPr>
              <a:solidFill>
                <a:srgbClr val="2B5C9E"/>
              </a:solidFill>
              <a:ln w="12700">
                <a:solidFill>
                  <a:srgbClr val="FFFFFF"/>
                </a:solidFill>
              </a:ln>
            </c:spPr>
          </c:marker>
          <c:dLbls>
            <c:numFmt formatCode="0.0%" sourceLinked="0"/>
            <c:spPr>
              <a:noFill/>
              <a:ln>
                <a:noFill/>
              </a:ln>
            </c:spPr>
            <c:txPr>
              <a:bodyPr/>
              <a:lstStyle/>
              <a:p>
                <a:pPr>
                  <a:defRPr sz="800" b="0">
                    <a:solidFill>
                      <a:srgbClr val="262626"/>
                    </a:solidFill>
                    <a:latin typeface="Arial"/>
                    <a:cs typeface="Arial"/>
                  </a:defRPr>
                </a:pPr>
                <a:endParaRPr lang="en-AU"/>
              </a:p>
            </c:txPr>
            <c:dLblPos val="t"/>
            <c:showLegendKey val="0"/>
            <c:showVal val="0"/>
            <c:showCatName val="0"/>
            <c:showSerName val="1"/>
            <c:showPercent val="0"/>
            <c:showBubbleSize val="0"/>
          </c:dLbls>
          <c:xVal>
            <c:numRef>
              <c:f>'Report figures'!$O$35</c:f>
              <c:numCache>
                <c:formatCode>General</c:formatCode>
                <c:ptCount val="1"/>
                <c:pt idx="0">
                  <c:v>0.0783891281769718</c:v>
                </c:pt>
              </c:numCache>
            </c:numRef>
          </c:xVal>
          <c:yVal>
            <c:numRef>
              <c:f>'Report figures'!$P$35</c:f>
              <c:numCache>
                <c:formatCode>General</c:formatCode>
                <c:ptCount val="1"/>
                <c:pt idx="0">
                  <c:v>0.0700321062587087</c:v>
                </c:pt>
              </c:numCache>
            </c:numRef>
          </c:yVal>
          <c:smooth val="0"/>
        </c:ser>
        <c:ser>
          <c:idx val="5"/>
          <c:order val="5"/>
          <c:tx>
            <c:strRef>
              <c:f>'Report figures'!$N$36</c:f>
              <c:strCache>
                <c:ptCount val="1"/>
                <c:pt idx="0">
                  <c:v>Sample MVO</c:v>
                </c:pt>
              </c:strCache>
            </c:strRef>
          </c:tx>
          <c:spPr>
            <a:ln w="19050">
              <a:noFill/>
            </a:ln>
          </c:spPr>
          <c:marker>
            <c:symbol val="triangle"/>
            <c:size val="7"/>
            <c:spPr>
              <a:solidFill>
                <a:srgbClr val="6B5CA5"/>
              </a:solidFill>
              <a:ln w="12700">
                <a:solidFill>
                  <a:srgbClr val="FFFFFF"/>
                </a:solidFill>
              </a:ln>
            </c:spPr>
          </c:marker>
          <c:dLbls>
            <c:showLegendKey val="0"/>
            <c:showVal val="0"/>
            <c:showCatName val="0"/>
            <c:showSerName val="0"/>
            <c:showPercent val="0"/>
            <c:showBubbleSize val="0"/>
          </c:dLbls>
          <c:xVal>
            <c:numRef>
              <c:f>'Report figures'!$O$36</c:f>
              <c:numCache>
                <c:formatCode>General</c:formatCode>
                <c:ptCount val="1"/>
                <c:pt idx="0">
                  <c:v>0.078033812785194</c:v>
                </c:pt>
              </c:numCache>
            </c:numRef>
          </c:xVal>
          <c:yVal>
            <c:numRef>
              <c:f>'Report figures'!$P$36</c:f>
              <c:numCache>
                <c:formatCode>General</c:formatCode>
                <c:ptCount val="1"/>
                <c:pt idx="0">
                  <c:v>0.0699118836330803</c:v>
                </c:pt>
              </c:numCache>
            </c:numRef>
          </c:yVal>
          <c:smooth val="0"/>
        </c:ser>
        <c:ser>
          <c:idx val="6"/>
          <c:order val="6"/>
          <c:tx>
            <c:strRef>
              <c:f>'Report figures'!$N$37</c:f>
              <c:strCache>
                <c:ptCount val="1"/>
                <c:pt idx="0">
                  <c:v>Resampled MVO</c:v>
                </c:pt>
              </c:strCache>
            </c:strRef>
          </c:tx>
          <c:spPr>
            <a:ln w="19050">
              <a:noFill/>
            </a:ln>
          </c:spPr>
          <c:marker>
            <c:symbol val="square"/>
            <c:size val="7"/>
            <c:spPr>
              <a:solidFill>
                <a:srgbClr val="6B5CA5"/>
              </a:solidFill>
              <a:ln w="12700">
                <a:solidFill>
                  <a:srgbClr val="FFFFFF"/>
                </a:solidFill>
              </a:ln>
            </c:spPr>
          </c:marker>
          <c:dLbls>
            <c:showLegendKey val="0"/>
            <c:showVal val="0"/>
            <c:showCatName val="0"/>
            <c:showSerName val="0"/>
            <c:showPercent val="0"/>
            <c:showBubbleSize val="0"/>
          </c:dLbls>
          <c:xVal>
            <c:numRef>
              <c:f>'Report figures'!$O$37</c:f>
              <c:numCache>
                <c:formatCode>General</c:formatCode>
                <c:ptCount val="1"/>
                <c:pt idx="0">
                  <c:v>0.0743193111754299</c:v>
                </c:pt>
              </c:numCache>
            </c:numRef>
          </c:xVal>
          <c:yVal>
            <c:numRef>
              <c:f>'Report figures'!$P$37</c:f>
              <c:numCache>
                <c:formatCode>General</c:formatCode>
                <c:ptCount val="1"/>
                <c:pt idx="0">
                  <c:v>0.0680775395926901</c:v>
                </c:pt>
              </c:numCache>
            </c:numRef>
          </c:yVal>
          <c:smooth val="0"/>
        </c:ser>
        <c:ser>
          <c:idx val="7"/>
          <c:order val="7"/>
          <c:tx>
            <c:strRef>
              <c:f>'Report figures'!$N$38</c:f>
              <c:strCache>
                <c:ptCount val="1"/>
                <c:pt idx="0">
                  <c:v>Minimum variance</c:v>
                </c:pt>
              </c:strCache>
            </c:strRef>
          </c:tx>
          <c:spPr>
            <a:ln w="19050">
              <a:noFill/>
            </a:ln>
          </c:spPr>
          <c:marker>
            <c:symbol val="triangle"/>
            <c:size val="7"/>
            <c:spPr>
              <a:solidFill>
                <a:srgbClr val="5C9BD6"/>
              </a:solidFill>
              <a:ln w="12700">
                <a:solidFill>
                  <a:srgbClr val="FFFFFF"/>
                </a:solidFill>
              </a:ln>
            </c:spPr>
          </c:marker>
          <c:dLbls>
            <c:showLegendKey val="0"/>
            <c:showVal val="0"/>
            <c:showCatName val="0"/>
            <c:showSerName val="0"/>
            <c:showPercent val="0"/>
            <c:showBubbleSize val="0"/>
          </c:dLbls>
          <c:xVal>
            <c:numRef>
              <c:f>'Report figures'!$O$38</c:f>
              <c:numCache>
                <c:formatCode>General</c:formatCode>
                <c:ptCount val="1"/>
                <c:pt idx="0">
                  <c:v>0.0595134073977176</c:v>
                </c:pt>
              </c:numCache>
            </c:numRef>
          </c:xVal>
          <c:yVal>
            <c:numRef>
              <c:f>'Report figures'!$P$38</c:f>
              <c:numCache>
                <c:formatCode>General</c:formatCode>
                <c:ptCount val="1"/>
                <c:pt idx="0">
                  <c:v>0.0634813665404129</c:v>
                </c:pt>
              </c:numCache>
            </c:numRef>
          </c:yVal>
          <c:smooth val="0"/>
        </c:ser>
        <c:ser>
          <c:idx val="8"/>
          <c:order val="8"/>
          <c:tx>
            <c:strRef>
              <c:f>'Report figures'!$N$39</c:f>
              <c:strCache>
                <c:ptCount val="1"/>
                <c:pt idx="0">
                  <c:v>Risk parity</c:v>
                </c:pt>
              </c:strCache>
            </c:strRef>
          </c:tx>
          <c:spPr>
            <a:ln w="19050">
              <a:noFill/>
            </a:ln>
          </c:spPr>
          <c:marker>
            <c:symbol val="square"/>
            <c:size val="7"/>
            <c:spPr>
              <a:solidFill>
                <a:srgbClr val="5C9BD6"/>
              </a:solidFill>
              <a:ln w="12700">
                <a:solidFill>
                  <a:srgbClr val="FFFFFF"/>
                </a:solidFill>
              </a:ln>
            </c:spPr>
          </c:marker>
          <c:dLbls>
            <c:showLegendKey val="0"/>
            <c:showVal val="0"/>
            <c:showCatName val="0"/>
            <c:showSerName val="0"/>
            <c:showPercent val="0"/>
            <c:showBubbleSize val="0"/>
          </c:dLbls>
          <c:xVal>
            <c:numRef>
              <c:f>'Report figures'!$O$39</c:f>
              <c:numCache>
                <c:formatCode>General</c:formatCode>
                <c:ptCount val="1"/>
                <c:pt idx="0">
                  <c:v>0.0665089375133541</c:v>
                </c:pt>
              </c:numCache>
            </c:numRef>
          </c:xVal>
          <c:yVal>
            <c:numRef>
              <c:f>'Report figures'!$P$39</c:f>
              <c:numCache>
                <c:formatCode>General</c:formatCode>
                <c:ptCount val="1"/>
                <c:pt idx="0">
                  <c:v>0.0665703239383462</c:v>
                </c:pt>
              </c:numCache>
            </c:numRef>
          </c:yVal>
          <c:smooth val="0"/>
        </c:ser>
        <c:axId val="1001"/>
        <c:axId val="1002"/>
      </c:scatterChart>
      <c:valAx>
        <c:axId val="1001"/>
        <c:scaling>
          <c:orientation val="minMax"/>
        </c:scaling>
        <c:delete val="0"/>
        <c:axPos val="b"/>
        <c:title>
          <c:tx>
            <c:rich>
              <a:bodyPr/>
              <a:lstStyle/>
              <a:p>
                <a:pPr>
                  <a:defRPr sz="900" b="0">
                    <a:solidFill>
                      <a:srgbClr val="595959"/>
                    </a:solidFill>
                    <a:latin typeface="Arial"/>
                  </a:defRPr>
                </a:pPr>
                <a:r>
                  <a:rPr lang="en-AU" sz="900" b="0">
                    <a:solidFill>
                      <a:srgbClr val="595959"/>
                    </a:solidFill>
                    <a:latin typeface="Arial"/>
                  </a:rPr>
                  <a:t>Volatility (p.a.)</a:t>
                </a:r>
              </a:p>
            </c:rich>
          </c:tx>
          <c:overlay val="0"/>
        </c:title>
        <c:numFmt formatCode="0.0%"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crossBetween val="midCat"/>
      </c:val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Expected return (arithmetic, net, p.a.)</a:t>
                </a:r>
              </a:p>
            </c:rich>
          </c:tx>
          <c:overlay val="0"/>
        </c:title>
        <c:numFmt formatCode="0.0%"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1"/>
        <c:crosses val="autoZero"/>
        <c:crossBetween val="midCat"/>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4.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bar"/>
        <c:grouping val="clustered"/>
        <c:varyColors val="0"/>
        <c:ser>
          <c:idx val="0"/>
          <c:order val="0"/>
          <c:tx>
            <c:strRef>
              <c:f>'Report figures'!O47</c:f>
              <c:strCache>
                <c:ptCount val="1"/>
                <c:pt idx="0">
                  <c:v>Current fund</c:v>
                </c:pt>
              </c:strCache>
            </c:strRef>
          </c:tx>
          <c:spPr>
            <a:solidFill>
              <a:srgbClr val="D9641E"/>
            </a:solidFill>
            <a:ln w="9525">
              <a:solidFill>
                <a:srgbClr val="FFFFFF"/>
              </a:solidFill>
            </a:ln>
          </c:spPr>
          <c:invertIfNegative val="0"/>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figures'!$O$48:$O$58</c:f>
              <c:numCache>
                <c:formatCode>General</c:formatCode>
                <c:ptCount val="11"/>
                <c:pt idx="0">
                  <c:v>0.4</c:v>
                </c:pt>
                <c:pt idx="1">
                  <c:v>0.2</c:v>
                </c:pt>
                <c:pt idx="2">
                  <c:v>0</c:v>
                </c:pt>
                <c:pt idx="3">
                  <c:v>0.1</c:v>
                </c:pt>
                <c:pt idx="4">
                  <c:v>0</c:v>
                </c:pt>
                <c:pt idx="5">
                  <c:v>0</c:v>
                </c:pt>
                <c:pt idx="6">
                  <c:v>0</c:v>
                </c:pt>
                <c:pt idx="7">
                  <c:v>0</c:v>
                </c:pt>
                <c:pt idx="8">
                  <c:v>0.15</c:v>
                </c:pt>
                <c:pt idx="9">
                  <c:v>0.08</c:v>
                </c:pt>
                <c:pt idx="10">
                  <c:v>0.07</c:v>
                </c:pt>
              </c:numCache>
            </c:numRef>
          </c:val>
        </c:ser>
        <c:ser>
          <c:idx val="1"/>
          <c:order val="1"/>
          <c:tx>
            <c:strRef>
              <c:f>'Report figures'!P47</c:f>
              <c:strCache>
                <c:ptCount val="1"/>
                <c:pt idx="0">
                  <c:v>Benchmark</c:v>
                </c:pt>
              </c:strCache>
            </c:strRef>
          </c:tx>
          <c:spPr>
            <a:solidFill>
              <a:srgbClr val="18998A"/>
            </a:solidFill>
            <a:ln w="9525">
              <a:solidFill>
                <a:srgbClr val="FFFFFF"/>
              </a:solidFill>
            </a:ln>
          </c:spPr>
          <c:invertIfNegative val="0"/>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figures'!$P$48:$P$58</c:f>
              <c:numCache>
                <c:formatCode>General</c:formatCode>
                <c:ptCount val="11"/>
                <c:pt idx="0">
                  <c:v>0.25</c:v>
                </c:pt>
                <c:pt idx="1">
                  <c:v>0.24</c:v>
                </c:pt>
                <c:pt idx="2">
                  <c:v>0.03</c:v>
                </c:pt>
                <c:pt idx="3">
                  <c:v>0.07</c:v>
                </c:pt>
                <c:pt idx="4">
                  <c:v>0.02</c:v>
                </c:pt>
                <c:pt idx="5">
                  <c:v>0.05</c:v>
                </c:pt>
                <c:pt idx="6">
                  <c:v>0.03</c:v>
                </c:pt>
                <c:pt idx="7">
                  <c:v>0.03</c:v>
                </c:pt>
                <c:pt idx="8">
                  <c:v>0.14</c:v>
                </c:pt>
                <c:pt idx="9">
                  <c:v>0.11</c:v>
                </c:pt>
                <c:pt idx="10">
                  <c:v>0.03</c:v>
                </c:pt>
              </c:numCache>
            </c:numRef>
          </c:val>
        </c:ser>
        <c:ser>
          <c:idx val="2"/>
          <c:order val="2"/>
          <c:tx>
            <c:strRef>
              <c:f>'Report figures'!Q47</c:f>
              <c:strCache>
                <c:ptCount val="1"/>
                <c:pt idx="0">
                  <c:v>Recommended</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figures'!$Q$48:$Q$58</c:f>
              <c:numCache>
                <c:formatCode>General</c:formatCode>
                <c:ptCount val="11"/>
                <c:pt idx="0">
                  <c:v>0.2738</c:v>
                </c:pt>
                <c:pt idx="1">
                  <c:v>0.279</c:v>
                </c:pt>
                <c:pt idx="2">
                  <c:v>0.0672</c:v>
                </c:pt>
                <c:pt idx="3">
                  <c:v>0.0867</c:v>
                </c:pt>
                <c:pt idx="4">
                  <c:v>0.0244</c:v>
                </c:pt>
                <c:pt idx="5">
                  <c:v>0</c:v>
                </c:pt>
                <c:pt idx="6">
                  <c:v>0</c:v>
                </c:pt>
                <c:pt idx="7">
                  <c:v>0</c:v>
                </c:pt>
                <c:pt idx="8">
                  <c:v>0.12</c:v>
                </c:pt>
                <c:pt idx="9">
                  <c:v>0.1289</c:v>
                </c:pt>
                <c:pt idx="10">
                  <c:v>0.02</c:v>
                </c:pt>
              </c:numCache>
            </c:numRef>
          </c:val>
        </c:ser>
        <c:gapWidth val="40"/>
        <c:overlap val="-8"/>
        <c:axId val="1001"/>
        <c:axId val="1002"/>
      </c:barChart>
      <c:catAx>
        <c:axId val="1001"/>
        <c:scaling>
          <c:orientation val="maxMin"/>
        </c:scaling>
        <c:delete val="0"/>
        <c:axPos val="l"/>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b"/>
        <c:majorGridlines>
          <c:spPr>
            <a:ln w="6350">
              <a:solidFill>
                <a:srgbClr val="E3E3E3"/>
              </a:solidFill>
            </a:ln>
          </c:spPr>
        </c:majorGridlines>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max"/>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5.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lineChart>
        <c:grouping val="standard"/>
        <c:varyColors val="0"/>
        <c:ser>
          <c:idx val="0"/>
          <c:order val="0"/>
          <c:tx>
            <c:strRef>
              <c:f>'Report figures'!$W$73</c:f>
              <c:strCache>
                <c:ptCount val="1"/>
                <c:pt idx="0">
                  <c:v>Current fund</c:v>
                </c:pt>
              </c:strCache>
            </c:strRef>
          </c:tx>
          <c:spPr>
            <a:ln w="22225" cap="rnd">
              <a:solidFill>
                <a:srgbClr val="D9641E"/>
              </a:solidFill>
              <a:prstDash val="solid"/>
              <a:round/>
            </a:ln>
          </c:spPr>
          <c:marker>
            <c:symbol val="none"/>
          </c:marker>
          <c:cat>
            <c:numRef>
              <c:f>'Report figures'!$V$74:$V$154</c:f>
              <c:numCache>
                <c:formatCode>General</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figures'!$W$74:$W$154</c:f>
              <c:numCache>
                <c:formatCode>General</c:formatCode>
                <c:ptCount val="81"/>
                <c:pt idx="0">
                  <c:v>1</c:v>
                </c:pt>
                <c:pt idx="1">
                  <c:v>0.981210646427863</c:v>
                </c:pt>
                <c:pt idx="2">
                  <c:v>1.01750071274158</c:v>
                </c:pt>
                <c:pt idx="3">
                  <c:v>1.07370061363704</c:v>
                </c:pt>
                <c:pt idx="4">
                  <c:v>1.11083507423662</c:v>
                </c:pt>
                <c:pt idx="5">
                  <c:v>1.12875167132635</c:v>
                </c:pt>
                <c:pt idx="6">
                  <c:v>1.1454580522082</c:v>
                </c:pt>
                <c:pt idx="7">
                  <c:v>1.12357020746653</c:v>
                </c:pt>
                <c:pt idx="8">
                  <c:v>1.02216822893307</c:v>
                </c:pt>
                <c:pt idx="9">
                  <c:v>0.995505577460178</c:v>
                </c:pt>
                <c:pt idx="10">
                  <c:v>0.996728188836835</c:v>
                </c:pt>
                <c:pt idx="11">
                  <c:v>0.885288859331316</c:v>
                </c:pt>
                <c:pt idx="12">
                  <c:v>0.842635109773408</c:v>
                </c:pt>
                <c:pt idx="13">
                  <c:v>0.890593460382391</c:v>
                </c:pt>
                <c:pt idx="14">
                  <c:v>0.998892728458262</c:v>
                </c:pt>
                <c:pt idx="15">
                  <c:v>1.02460766476901</c:v>
                </c:pt>
                <c:pt idx="16">
                  <c:v>1.04464769724009</c:v>
                </c:pt>
                <c:pt idx="17">
                  <c:v>1.00375332085206</c:v>
                </c:pt>
                <c:pt idx="18">
                  <c:v>1.03357523752504</c:v>
                </c:pt>
                <c:pt idx="19">
                  <c:v>1.06067483294557</c:v>
                </c:pt>
                <c:pt idx="20">
                  <c:v>1.08782208002687</c:v>
                </c:pt>
                <c:pt idx="21">
                  <c:v>1.06543317224578</c:v>
                </c:pt>
                <c:pt idx="22">
                  <c:v>1.01094324625658</c:v>
                </c:pt>
                <c:pt idx="23">
                  <c:v>1.03173948256851</c:v>
                </c:pt>
                <c:pt idx="24">
                  <c:v>1.10328116815706</c:v>
                </c:pt>
                <c:pt idx="25">
                  <c:v>1.0876006059464</c:v>
                </c:pt>
                <c:pt idx="26">
                  <c:v>1.13995602764972</c:v>
                </c:pt>
                <c:pt idx="27">
                  <c:v>1.18599712191009</c:v>
                </c:pt>
                <c:pt idx="28">
                  <c:v>1.25869185534323</c:v>
                </c:pt>
                <c:pt idx="29">
                  <c:v>1.29672694034334</c:v>
                </c:pt>
                <c:pt idx="30">
                  <c:v>1.36359945634361</c:v>
                </c:pt>
                <c:pt idx="31">
                  <c:v>1.42713764680964</c:v>
                </c:pt>
                <c:pt idx="32">
                  <c:v>1.44382006752968</c:v>
                </c:pt>
                <c:pt idx="33">
                  <c:v>1.47289663776721</c:v>
                </c:pt>
                <c:pt idx="34">
                  <c:v>1.51101706105307</c:v>
                </c:pt>
                <c:pt idx="35">
                  <c:v>1.60131171701191</c:v>
                </c:pt>
                <c:pt idx="36">
                  <c:v>1.73816358754755</c:v>
                </c:pt>
                <c:pt idx="37">
                  <c:v>1.66851873251956</c:v>
                </c:pt>
                <c:pt idx="38">
                  <c:v>1.65953008460675</c:v>
                </c:pt>
                <c:pt idx="39">
                  <c:v>1.71561777409975</c:v>
                </c:pt>
                <c:pt idx="40">
                  <c:v>1.68542270789861</c:v>
                </c:pt>
                <c:pt idx="41">
                  <c:v>1.75390232774021</c:v>
                </c:pt>
                <c:pt idx="42">
                  <c:v>1.79688784133782</c:v>
                </c:pt>
                <c:pt idx="43">
                  <c:v>1.86243565450716</c:v>
                </c:pt>
                <c:pt idx="44">
                  <c:v>1.89291152530034</c:v>
                </c:pt>
                <c:pt idx="45">
                  <c:v>1.89591959174495</c:v>
                </c:pt>
                <c:pt idx="46">
                  <c:v>1.90866935615463</c:v>
                </c:pt>
                <c:pt idx="47">
                  <c:v>2.00515773955984</c:v>
                </c:pt>
                <c:pt idx="48">
                  <c:v>1.96838024817565</c:v>
                </c:pt>
                <c:pt idx="49">
                  <c:v>2.08942316981588</c:v>
                </c:pt>
                <c:pt idx="50">
                  <c:v>2.14453127852612</c:v>
                </c:pt>
                <c:pt idx="51">
                  <c:v>2.02630081740714</c:v>
                </c:pt>
                <c:pt idx="52">
                  <c:v>2.20574699135251</c:v>
                </c:pt>
                <c:pt idx="53">
                  <c:v>2.31787296610077</c:v>
                </c:pt>
                <c:pt idx="54">
                  <c:v>2.40794464322401</c:v>
                </c:pt>
                <c:pt idx="55">
                  <c:v>2.41469223602288</c:v>
                </c:pt>
                <c:pt idx="56">
                  <c:v>2.12201457322884</c:v>
                </c:pt>
                <c:pt idx="57">
                  <c:v>2.29485981540387</c:v>
                </c:pt>
                <c:pt idx="58">
                  <c:v>2.31554552434496</c:v>
                </c:pt>
                <c:pt idx="59">
                  <c:v>2.47619733636901</c:v>
                </c:pt>
                <c:pt idx="60">
                  <c:v>2.55227819218163</c:v>
                </c:pt>
                <c:pt idx="61">
                  <c:v>2.72582844055857</c:v>
                </c:pt>
                <c:pt idx="62">
                  <c:v>2.78708984194693</c:v>
                </c:pt>
                <c:pt idx="63">
                  <c:v>2.88332385163386</c:v>
                </c:pt>
                <c:pt idx="64">
                  <c:v>2.80030234008614</c:v>
                </c:pt>
                <c:pt idx="65">
                  <c:v>2.57021611770191</c:v>
                </c:pt>
                <c:pt idx="66">
                  <c:v>2.57313986171307</c:v>
                </c:pt>
                <c:pt idx="67">
                  <c:v>2.67399037436046</c:v>
                </c:pt>
                <c:pt idx="68">
                  <c:v>2.79390139448099</c:v>
                </c:pt>
                <c:pt idx="69">
                  <c:v>2.8428884801798</c:v>
                </c:pt>
                <c:pt idx="70">
                  <c:v>2.82499265616996</c:v>
                </c:pt>
                <c:pt idx="71">
                  <c:v>2.99990584618504</c:v>
                </c:pt>
                <c:pt idx="72">
                  <c:v>3.17500227975215</c:v>
                </c:pt>
                <c:pt idx="73">
                  <c:v>3.15046881446324</c:v>
                </c:pt>
                <c:pt idx="74">
                  <c:v>3.31375590255882</c:v>
                </c:pt>
                <c:pt idx="75">
                  <c:v>3.40734483157993</c:v>
                </c:pt>
                <c:pt idx="76">
                  <c:v>3.35246226394807</c:v>
                </c:pt>
                <c:pt idx="77">
                  <c:v>3.51470703846782</c:v>
                </c:pt>
                <c:pt idx="78">
                  <c:v>3.65047315330014</c:v>
                </c:pt>
                <c:pt idx="79">
                  <c:v>3.65239855391926</c:v>
                </c:pt>
                <c:pt idx="80">
                  <c:v>3.56399687545207</c:v>
                </c:pt>
              </c:numCache>
            </c:numRef>
          </c:val>
          <c:smooth val="0"/>
        </c:ser>
        <c:ser>
          <c:idx val="1"/>
          <c:order val="1"/>
          <c:tx>
            <c:strRef>
              <c:f>'Report figures'!$X$73</c:f>
              <c:strCache>
                <c:ptCount val="1"/>
                <c:pt idx="0">
                  <c:v>Benchmark</c:v>
                </c:pt>
              </c:strCache>
            </c:strRef>
          </c:tx>
          <c:spPr>
            <a:ln w="22225" cap="rnd">
              <a:solidFill>
                <a:srgbClr val="18998A"/>
              </a:solidFill>
              <a:prstDash val="solid"/>
              <a:round/>
            </a:ln>
          </c:spPr>
          <c:marker>
            <c:symbol val="none"/>
          </c:marker>
          <c:cat>
            <c:numRef>
              <c:f>'Report figures'!$V$74:$V$154</c:f>
              <c:numCache>
                <c:formatCode>General</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figures'!$X$74:$X$154</c:f>
              <c:numCache>
                <c:formatCode>General</c:formatCode>
                <c:ptCount val="81"/>
                <c:pt idx="0">
                  <c:v>1</c:v>
                </c:pt>
                <c:pt idx="1">
                  <c:v>0.986082946177556</c:v>
                </c:pt>
                <c:pt idx="2">
                  <c:v>1.01663222892946</c:v>
                </c:pt>
                <c:pt idx="3">
                  <c:v>1.05871983993289</c:v>
                </c:pt>
                <c:pt idx="4">
                  <c:v>1.08398184773145</c:v>
                </c:pt>
                <c:pt idx="5">
                  <c:v>1.10680269304595</c:v>
                </c:pt>
                <c:pt idx="6">
                  <c:v>1.11808217307765</c:v>
                </c:pt>
                <c:pt idx="7">
                  <c:v>1.11111505237121</c:v>
                </c:pt>
                <c:pt idx="8">
                  <c:v>1.02339487008529</c:v>
                </c:pt>
                <c:pt idx="9">
                  <c:v>1.00000840674059</c:v>
                </c:pt>
                <c:pt idx="10">
                  <c:v>1.00840658323011</c:v>
                </c:pt>
                <c:pt idx="11">
                  <c:v>0.915872480692542</c:v>
                </c:pt>
                <c:pt idx="12">
                  <c:v>0.876735091336334</c:v>
                </c:pt>
                <c:pt idx="13">
                  <c:v>0.916750136952872</c:v>
                </c:pt>
                <c:pt idx="14">
                  <c:v>1.00067538778078</c:v>
                </c:pt>
                <c:pt idx="15">
                  <c:v>1.02807954825991</c:v>
                </c:pt>
                <c:pt idx="16">
                  <c:v>1.04130172123022</c:v>
                </c:pt>
                <c:pt idx="17">
                  <c:v>1.01599684036564</c:v>
                </c:pt>
                <c:pt idx="18">
                  <c:v>1.03133822405597</c:v>
                </c:pt>
                <c:pt idx="19">
                  <c:v>1.05468607794394</c:v>
                </c:pt>
                <c:pt idx="20">
                  <c:v>1.0775480120385</c:v>
                </c:pt>
                <c:pt idx="21">
                  <c:v>1.05930468421368</c:v>
                </c:pt>
                <c:pt idx="22">
                  <c:v>1.01689797864524</c:v>
                </c:pt>
                <c:pt idx="23">
                  <c:v>1.03808116753497</c:v>
                </c:pt>
                <c:pt idx="24">
                  <c:v>1.10364672061907</c:v>
                </c:pt>
                <c:pt idx="25">
                  <c:v>1.08991807915818</c:v>
                </c:pt>
                <c:pt idx="26">
                  <c:v>1.13367330215764</c:v>
                </c:pt>
                <c:pt idx="27">
                  <c:v>1.17218324636139</c:v>
                </c:pt>
                <c:pt idx="28">
                  <c:v>1.23195989733203</c:v>
                </c:pt>
                <c:pt idx="29">
                  <c:v>1.2885375390627</c:v>
                </c:pt>
                <c:pt idx="30">
                  <c:v>1.34238599578766</c:v>
                </c:pt>
                <c:pt idx="31">
                  <c:v>1.41744197406264</c:v>
                </c:pt>
                <c:pt idx="32">
                  <c:v>1.42379304622496</c:v>
                </c:pt>
                <c:pt idx="33">
                  <c:v>1.45655915073773</c:v>
                </c:pt>
                <c:pt idx="34">
                  <c:v>1.50335722078105</c:v>
                </c:pt>
                <c:pt idx="35">
                  <c:v>1.58696735442325</c:v>
                </c:pt>
                <c:pt idx="36">
                  <c:v>1.70939657006977</c:v>
                </c:pt>
                <c:pt idx="37">
                  <c:v>1.67221517545643</c:v>
                </c:pt>
                <c:pt idx="38">
                  <c:v>1.66684994671637</c:v>
                </c:pt>
                <c:pt idx="39">
                  <c:v>1.70122040395786</c:v>
                </c:pt>
                <c:pt idx="40">
                  <c:v>1.66596357007671</c:v>
                </c:pt>
                <c:pt idx="41">
                  <c:v>1.73725368593902</c:v>
                </c:pt>
                <c:pt idx="42">
                  <c:v>1.77020135407615</c:v>
                </c:pt>
                <c:pt idx="43">
                  <c:v>1.84488874569725</c:v>
                </c:pt>
                <c:pt idx="44">
                  <c:v>1.86285251033281</c:v>
                </c:pt>
                <c:pt idx="45">
                  <c:v>1.87612542547415</c:v>
                </c:pt>
                <c:pt idx="46">
                  <c:v>1.89094132001397</c:v>
                </c:pt>
                <c:pt idx="47">
                  <c:v>1.98023491922234</c:v>
                </c:pt>
                <c:pt idx="48">
                  <c:v>1.95871749785144</c:v>
                </c:pt>
                <c:pt idx="49">
                  <c:v>2.06047350947757</c:v>
                </c:pt>
                <c:pt idx="50">
                  <c:v>2.11392804634499</c:v>
                </c:pt>
                <c:pt idx="51">
                  <c:v>2.0014174662485</c:v>
                </c:pt>
                <c:pt idx="52">
                  <c:v>2.15522165705127</c:v>
                </c:pt>
                <c:pt idx="53">
                  <c:v>2.24975807530946</c:v>
                </c:pt>
                <c:pt idx="54">
                  <c:v>2.33819350461657</c:v>
                </c:pt>
                <c:pt idx="55">
                  <c:v>2.36253421236488</c:v>
                </c:pt>
                <c:pt idx="56">
                  <c:v>2.1436419103164</c:v>
                </c:pt>
                <c:pt idx="57">
                  <c:v>2.25745734467669</c:v>
                </c:pt>
                <c:pt idx="58">
                  <c:v>2.2961419410621</c:v>
                </c:pt>
                <c:pt idx="59">
                  <c:v>2.42744320207384</c:v>
                </c:pt>
                <c:pt idx="60">
                  <c:v>2.51568757888939</c:v>
                </c:pt>
                <c:pt idx="61">
                  <c:v>2.68972759014613</c:v>
                </c:pt>
                <c:pt idx="62">
                  <c:v>2.75996617882879</c:v>
                </c:pt>
                <c:pt idx="63">
                  <c:v>2.85220731816518</c:v>
                </c:pt>
                <c:pt idx="64">
                  <c:v>2.76036977590576</c:v>
                </c:pt>
                <c:pt idx="65">
                  <c:v>2.57533090834025</c:v>
                </c:pt>
                <c:pt idx="66">
                  <c:v>2.56070983302975</c:v>
                </c:pt>
                <c:pt idx="67">
                  <c:v>2.63950679515166</c:v>
                </c:pt>
                <c:pt idx="68">
                  <c:v>2.76156444852579</c:v>
                </c:pt>
                <c:pt idx="69">
                  <c:v>2.82452019555344</c:v>
                </c:pt>
                <c:pt idx="70">
                  <c:v>2.83569718529404</c:v>
                </c:pt>
                <c:pt idx="71">
                  <c:v>2.96789960136576</c:v>
                </c:pt>
                <c:pt idx="72">
                  <c:v>3.16382977545538</c:v>
                </c:pt>
                <c:pt idx="73">
                  <c:v>3.14424453744007</c:v>
                </c:pt>
                <c:pt idx="74">
                  <c:v>3.27321317934125</c:v>
                </c:pt>
                <c:pt idx="75">
                  <c:v>3.40169828581817</c:v>
                </c:pt>
                <c:pt idx="76">
                  <c:v>3.35484924721047</c:v>
                </c:pt>
                <c:pt idx="77">
                  <c:v>3.49144977459412</c:v>
                </c:pt>
                <c:pt idx="78">
                  <c:v>3.6274682710558</c:v>
                </c:pt>
                <c:pt idx="79">
                  <c:v>3.65051063488089</c:v>
                </c:pt>
                <c:pt idx="80">
                  <c:v>3.56471648421703</c:v>
                </c:pt>
              </c:numCache>
            </c:numRef>
          </c:val>
          <c:smooth val="0"/>
        </c:ser>
        <c:ser>
          <c:idx val="2"/>
          <c:order val="2"/>
          <c:tx>
            <c:strRef>
              <c:f>'Report figures'!$Y$73</c:f>
              <c:strCache>
                <c:ptCount val="1"/>
                <c:pt idx="0">
                  <c:v>Recommended</c:v>
                </c:pt>
              </c:strCache>
            </c:strRef>
          </c:tx>
          <c:spPr>
            <a:ln w="25400" cap="rnd">
              <a:solidFill>
                <a:srgbClr val="2B5C9E"/>
              </a:solidFill>
              <a:prstDash val="solid"/>
              <a:round/>
            </a:ln>
          </c:spPr>
          <c:marker>
            <c:symbol val="none"/>
          </c:marker>
          <c:cat>
            <c:numRef>
              <c:f>'Report figures'!$V$74:$V$154</c:f>
              <c:numCache>
                <c:formatCode>General</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figures'!$Y$74:$Y$154</c:f>
              <c:numCache>
                <c:formatCode>General</c:formatCode>
                <c:ptCount val="81"/>
                <c:pt idx="0">
                  <c:v>1</c:v>
                </c:pt>
                <c:pt idx="1">
                  <c:v>0.972176554399351</c:v>
                </c:pt>
                <c:pt idx="2">
                  <c:v>1.00676624344681</c:v>
                </c:pt>
                <c:pt idx="3">
                  <c:v>1.05152974611865</c:v>
                </c:pt>
                <c:pt idx="4">
                  <c:v>1.07786401638192</c:v>
                </c:pt>
                <c:pt idx="5">
                  <c:v>1.09243340744421</c:v>
                </c:pt>
                <c:pt idx="6">
                  <c:v>1.10578534260929</c:v>
                </c:pt>
                <c:pt idx="7">
                  <c:v>1.09328022915859</c:v>
                </c:pt>
                <c:pt idx="8">
                  <c:v>0.993577985247591</c:v>
                </c:pt>
                <c:pt idx="9">
                  <c:v>0.965608760620055</c:v>
                </c:pt>
                <c:pt idx="10">
                  <c:v>0.977468408442703</c:v>
                </c:pt>
                <c:pt idx="11">
                  <c:v>0.870913748574881</c:v>
                </c:pt>
                <c:pt idx="12">
                  <c:v>0.827159477564822</c:v>
                </c:pt>
                <c:pt idx="13">
                  <c:v>0.865922770844533</c:v>
                </c:pt>
                <c:pt idx="14">
                  <c:v>0.951982407615535</c:v>
                </c:pt>
                <c:pt idx="15">
                  <c:v>0.978232176626191</c:v>
                </c:pt>
                <c:pt idx="16">
                  <c:v>0.996403386094205</c:v>
                </c:pt>
                <c:pt idx="17">
                  <c:v>0.968828586947287</c:v>
                </c:pt>
                <c:pt idx="18">
                  <c:v>0.982470273408789</c:v>
                </c:pt>
                <c:pt idx="19">
                  <c:v>1.00429480312635</c:v>
                </c:pt>
                <c:pt idx="20">
                  <c:v>1.02963788328845</c:v>
                </c:pt>
                <c:pt idx="21">
                  <c:v>1.00475265292024</c:v>
                </c:pt>
                <c:pt idx="22">
                  <c:v>0.958651851816471</c:v>
                </c:pt>
                <c:pt idx="23">
                  <c:v>0.977589517963605</c:v>
                </c:pt>
                <c:pt idx="24">
                  <c:v>1.04858065969459</c:v>
                </c:pt>
                <c:pt idx="25">
                  <c:v>1.03136996607142</c:v>
                </c:pt>
                <c:pt idx="26">
                  <c:v>1.07955282574282</c:v>
                </c:pt>
                <c:pt idx="27">
                  <c:v>1.11948278418719</c:v>
                </c:pt>
                <c:pt idx="28">
                  <c:v>1.18338110619251</c:v>
                </c:pt>
                <c:pt idx="29">
                  <c:v>1.24523172059038</c:v>
                </c:pt>
                <c:pt idx="30">
                  <c:v>1.30094566043415</c:v>
                </c:pt>
                <c:pt idx="31">
                  <c:v>1.37684344608356</c:v>
                </c:pt>
                <c:pt idx="32">
                  <c:v>1.38281158887156</c:v>
                </c:pt>
                <c:pt idx="33">
                  <c:v>1.41510682736319</c:v>
                </c:pt>
                <c:pt idx="34">
                  <c:v>1.46753603281318</c:v>
                </c:pt>
                <c:pt idx="35">
                  <c:v>1.55733115528775</c:v>
                </c:pt>
                <c:pt idx="36">
                  <c:v>1.69539525133468</c:v>
                </c:pt>
                <c:pt idx="37">
                  <c:v>1.6439285244666</c:v>
                </c:pt>
                <c:pt idx="38">
                  <c:v>1.63739010370466</c:v>
                </c:pt>
                <c:pt idx="39">
                  <c:v>1.67217984181223</c:v>
                </c:pt>
                <c:pt idx="40">
                  <c:v>1.63343364837041</c:v>
                </c:pt>
                <c:pt idx="41">
                  <c:v>1.70749029455463</c:v>
                </c:pt>
                <c:pt idx="42">
                  <c:v>1.74378196970411</c:v>
                </c:pt>
                <c:pt idx="43">
                  <c:v>1.82108301887398</c:v>
                </c:pt>
                <c:pt idx="44">
                  <c:v>1.83983046615568</c:v>
                </c:pt>
                <c:pt idx="45">
                  <c:v>1.85434653816331</c:v>
                </c:pt>
                <c:pt idx="46">
                  <c:v>1.87644272006403</c:v>
                </c:pt>
                <c:pt idx="47">
                  <c:v>1.97144699019604</c:v>
                </c:pt>
                <c:pt idx="48">
                  <c:v>1.94964503366062</c:v>
                </c:pt>
                <c:pt idx="49">
                  <c:v>2.0636796995009</c:v>
                </c:pt>
                <c:pt idx="50">
                  <c:v>2.12871969682235</c:v>
                </c:pt>
                <c:pt idx="51">
                  <c:v>2.00042002028007</c:v>
                </c:pt>
                <c:pt idx="52">
                  <c:v>2.18348551660038</c:v>
                </c:pt>
                <c:pt idx="53">
                  <c:v>2.28339110073177</c:v>
                </c:pt>
                <c:pt idx="54">
                  <c:v>2.37476002399453</c:v>
                </c:pt>
                <c:pt idx="55">
                  <c:v>2.39668751576334</c:v>
                </c:pt>
                <c:pt idx="56">
                  <c:v>2.13828833528651</c:v>
                </c:pt>
                <c:pt idx="57">
                  <c:v>2.27950426790264</c:v>
                </c:pt>
                <c:pt idx="58">
                  <c:v>2.30905585338833</c:v>
                </c:pt>
                <c:pt idx="59">
                  <c:v>2.45000790256693</c:v>
                </c:pt>
                <c:pt idx="60">
                  <c:v>2.54276858825624</c:v>
                </c:pt>
                <c:pt idx="61">
                  <c:v>2.72162630300212</c:v>
                </c:pt>
                <c:pt idx="62">
                  <c:v>2.7848910675512</c:v>
                </c:pt>
                <c:pt idx="63">
                  <c:v>2.88311049457785</c:v>
                </c:pt>
                <c:pt idx="64">
                  <c:v>2.7806897728118</c:v>
                </c:pt>
                <c:pt idx="65">
                  <c:v>2.59218272096619</c:v>
                </c:pt>
                <c:pt idx="66">
                  <c:v>2.58834567179432</c:v>
                </c:pt>
                <c:pt idx="67">
                  <c:v>2.66484361284711</c:v>
                </c:pt>
                <c:pt idx="68">
                  <c:v>2.79464333419573</c:v>
                </c:pt>
                <c:pt idx="69">
                  <c:v>2.86052298923812</c:v>
                </c:pt>
                <c:pt idx="70">
                  <c:v>2.85908867901673</c:v>
                </c:pt>
                <c:pt idx="71">
                  <c:v>3.00230985211433</c:v>
                </c:pt>
                <c:pt idx="72">
                  <c:v>3.21746417930505</c:v>
                </c:pt>
                <c:pt idx="73">
                  <c:v>3.20589496127168</c:v>
                </c:pt>
                <c:pt idx="74">
                  <c:v>3.3381667141145</c:v>
                </c:pt>
                <c:pt idx="75">
                  <c:v>3.49750104568354</c:v>
                </c:pt>
                <c:pt idx="76">
                  <c:v>3.45260480239973</c:v>
                </c:pt>
                <c:pt idx="77">
                  <c:v>3.58880975888848</c:v>
                </c:pt>
                <c:pt idx="78">
                  <c:v>3.74892940734324</c:v>
                </c:pt>
                <c:pt idx="79">
                  <c:v>3.7760373517135</c:v>
                </c:pt>
                <c:pt idx="80">
                  <c:v>3.71090719745603</c:v>
                </c:pt>
              </c:numCache>
            </c:numRef>
          </c:val>
          <c:smooth val="0"/>
        </c:ser>
        <c:ser>
          <c:idx val="3"/>
          <c:order val="3"/>
          <c:tx>
            <c:strRef>
              <c:f>'Report figures'!$Z$73</c:f>
              <c:strCache>
                <c:ptCount val="1"/>
                <c:pt idx="0">
                  <c:v>Target: yield + 4%</c:v>
                </c:pt>
              </c:strCache>
            </c:strRef>
          </c:tx>
          <c:spPr>
            <a:ln w="19050" cap="rnd">
              <a:solidFill>
                <a:srgbClr val="D99E00"/>
              </a:solidFill>
              <a:prstDash val="dash"/>
              <a:round/>
            </a:ln>
          </c:spPr>
          <c:marker>
            <c:symbol val="none"/>
          </c:marker>
          <c:cat>
            <c:numRef>
              <c:f>'Report figures'!$V$74:$V$154</c:f>
              <c:numCache>
                <c:formatCode>General</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figures'!$Z$74:$Z$154</c:f>
              <c:numCache>
                <c:formatCode>General</c:formatCode>
                <c:ptCount val="81"/>
                <c:pt idx="0">
                  <c:v>1</c:v>
                </c:pt>
                <c:pt idx="1">
                  <c:v>1.02247490184411</c:v>
                </c:pt>
                <c:pt idx="2">
                  <c:v>1.04653102278061</c:v>
                </c:pt>
                <c:pt idx="3">
                  <c:v>1.07137728805493</c:v>
                </c:pt>
                <c:pt idx="4">
                  <c:v>1.096702336113</c:v>
                </c:pt>
                <c:pt idx="5">
                  <c:v>1.12305852329393</c:v>
                </c:pt>
                <c:pt idx="6">
                  <c:v>1.15032698203108</c:v>
                </c:pt>
                <c:pt idx="7">
                  <c:v>1.17841779996904</c:v>
                </c:pt>
                <c:pt idx="8">
                  <c:v>1.20810363307993</c:v>
                </c:pt>
                <c:pt idx="9">
                  <c:v>1.23751740553369</c:v>
                </c:pt>
                <c:pt idx="10">
                  <c:v>1.26934216614439</c:v>
                </c:pt>
                <c:pt idx="11">
                  <c:v>1.2985788431173</c:v>
                </c:pt>
                <c:pt idx="12">
                  <c:v>1.32295333589331</c:v>
                </c:pt>
                <c:pt idx="13">
                  <c:v>1.34780567208355</c:v>
                </c:pt>
                <c:pt idx="14">
                  <c:v>1.37748080968956</c:v>
                </c:pt>
                <c:pt idx="15">
                  <c:v>1.40792994891903</c:v>
                </c:pt>
                <c:pt idx="16">
                  <c:v>1.43908677526129</c:v>
                </c:pt>
                <c:pt idx="17">
                  <c:v>1.47157279210865</c:v>
                </c:pt>
                <c:pt idx="18">
                  <c:v>1.50352612307804</c:v>
                </c:pt>
                <c:pt idx="19">
                  <c:v>1.53559145282108</c:v>
                </c:pt>
                <c:pt idx="20">
                  <c:v>1.57022006680136</c:v>
                </c:pt>
                <c:pt idx="21">
                  <c:v>1.60517962875214</c:v>
                </c:pt>
                <c:pt idx="22">
                  <c:v>1.63970474468501</c:v>
                </c:pt>
                <c:pt idx="23">
                  <c:v>1.67073570188791</c:v>
                </c:pt>
                <c:pt idx="24">
                  <c:v>1.70150436899781</c:v>
                </c:pt>
                <c:pt idx="25">
                  <c:v>1.73303093687957</c:v>
                </c:pt>
                <c:pt idx="26">
                  <c:v>1.76156343264769</c:v>
                </c:pt>
                <c:pt idx="27">
                  <c:v>1.79084867021889</c:v>
                </c:pt>
                <c:pt idx="28">
                  <c:v>1.82065271938897</c:v>
                </c:pt>
                <c:pt idx="29">
                  <c:v>1.85179689177979</c:v>
                </c:pt>
                <c:pt idx="30">
                  <c:v>1.88245002588875</c:v>
                </c:pt>
                <c:pt idx="31">
                  <c:v>1.91604078632342</c:v>
                </c:pt>
                <c:pt idx="32">
                  <c:v>1.95082121108154</c:v>
                </c:pt>
                <c:pt idx="33">
                  <c:v>1.98600189685595</c:v>
                </c:pt>
                <c:pt idx="34">
                  <c:v>2.02043681256328</c:v>
                </c:pt>
                <c:pt idx="35">
                  <c:v>2.05509930430107</c:v>
                </c:pt>
                <c:pt idx="36">
                  <c:v>2.08739158505389</c:v>
                </c:pt>
                <c:pt idx="37">
                  <c:v>2.1179117421627</c:v>
                </c:pt>
                <c:pt idx="38">
                  <c:v>2.15044785947153</c:v>
                </c:pt>
                <c:pt idx="39">
                  <c:v>2.18252278456904</c:v>
                </c:pt>
                <c:pt idx="40">
                  <c:v>2.21603063001633</c:v>
                </c:pt>
                <c:pt idx="41">
                  <c:v>2.24925861207825</c:v>
                </c:pt>
                <c:pt idx="42">
                  <c:v>2.28076062967406</c:v>
                </c:pt>
                <c:pt idx="43">
                  <c:v>2.31256164502471</c:v>
                </c:pt>
                <c:pt idx="44">
                  <c:v>2.34658436085973</c:v>
                </c:pt>
                <c:pt idx="45">
                  <c:v>2.38266705312455</c:v>
                </c:pt>
                <c:pt idx="46">
                  <c:v>2.41755581407755</c:v>
                </c:pt>
                <c:pt idx="47">
                  <c:v>2.45410604246839</c:v>
                </c:pt>
                <c:pt idx="48">
                  <c:v>2.49112674482642</c:v>
                </c:pt>
                <c:pt idx="49">
                  <c:v>2.53015155901658</c:v>
                </c:pt>
                <c:pt idx="50">
                  <c:v>2.56978771750135</c:v>
                </c:pt>
                <c:pt idx="51">
                  <c:v>2.60896493764512</c:v>
                </c:pt>
                <c:pt idx="52">
                  <c:v>2.64785390061214</c:v>
                </c:pt>
                <c:pt idx="53">
                  <c:v>2.68507811874245</c:v>
                </c:pt>
                <c:pt idx="54">
                  <c:v>2.71991127936304</c:v>
                </c:pt>
                <c:pt idx="55">
                  <c:v>2.75204428587634</c:v>
                </c:pt>
                <c:pt idx="56">
                  <c:v>2.78498189675725</c:v>
                </c:pt>
                <c:pt idx="57">
                  <c:v>2.81579769498517</c:v>
                </c:pt>
                <c:pt idx="58">
                  <c:v>2.84629358273913</c:v>
                </c:pt>
                <c:pt idx="59">
                  <c:v>2.87705085256707</c:v>
                </c:pt>
                <c:pt idx="60">
                  <c:v>2.90779220503812</c:v>
                </c:pt>
                <c:pt idx="61">
                  <c:v>2.94142875749924</c:v>
                </c:pt>
                <c:pt idx="62">
                  <c:v>2.97562489395237</c:v>
                </c:pt>
                <c:pt idx="63">
                  <c:v>3.00972984918924</c:v>
                </c:pt>
                <c:pt idx="64">
                  <c:v>3.04901352990455</c:v>
                </c:pt>
                <c:pt idx="65">
                  <c:v>3.09528543231308</c:v>
                </c:pt>
                <c:pt idx="66">
                  <c:v>3.1517210313275</c:v>
                </c:pt>
                <c:pt idx="67">
                  <c:v>3.209252777138</c:v>
                </c:pt>
                <c:pt idx="68">
                  <c:v>3.26720378431287</c:v>
                </c:pt>
                <c:pt idx="69">
                  <c:v>3.32451240783542</c:v>
                </c:pt>
                <c:pt idx="70">
                  <c:v>3.38736895546439</c:v>
                </c:pt>
                <c:pt idx="71">
                  <c:v>3.45203820626077</c:v>
                </c:pt>
                <c:pt idx="72">
                  <c:v>3.52115853442302</c:v>
                </c:pt>
                <c:pt idx="73">
                  <c:v>3.58772474794801</c:v>
                </c:pt>
                <c:pt idx="74">
                  <c:v>3.65759116438627</c:v>
                </c:pt>
                <c:pt idx="75">
                  <c:v>3.72483336270832</c:v>
                </c:pt>
                <c:pt idx="76">
                  <c:v>3.79661375289827</c:v>
                </c:pt>
                <c:pt idx="77">
                  <c:v>3.869517444386</c:v>
                </c:pt>
                <c:pt idx="78">
                  <c:v>3.94032598004625</c:v>
                </c:pt>
                <c:pt idx="79">
                  <c:v>4.01365181750997</c:v>
                </c:pt>
                <c:pt idx="80">
                  <c:v>4.094026816916</c:v>
                </c:pt>
              </c:numCache>
            </c:numRef>
          </c:val>
          <c:smooth val="0"/>
        </c:ser>
        <c:marker val="1"/>
        <c:axId val="1001"/>
        <c:axId val="1002"/>
      </c:lineChart>
      <c:dateAx>
        <c:axId val="1001"/>
        <c:scaling>
          <c:orientation val="minMax"/>
        </c:scaling>
        <c:delete val="0"/>
        <c:axPos val="b"/>
        <c:numFmt formatCode="yyyy"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Offset val="100"/>
        <c:baseTimeUnit val="months"/>
        <c:majorUnit val="2"/>
        <c:majorTimeUnit val="years"/>
      </c:date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Value of A$1 (net of fees)</a:t>
                </a:r>
              </a:p>
            </c:rich>
          </c:tx>
          <c:overlay val="0"/>
        </c:title>
        <c:numFmt formatCode="0.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6.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figures'!O99</c:f>
              <c:strCache>
                <c:ptCount val="1"/>
                <c:pt idx="0">
                  <c:v>Current fund</c:v>
                </c:pt>
              </c:strCache>
            </c:strRef>
          </c:tx>
          <c:spPr>
            <a:solidFill>
              <a:srgbClr val="D9641E"/>
            </a:solidFill>
            <a:ln w="9525">
              <a:solidFill>
                <a:srgbClr val="FFFFFF"/>
              </a:solidFill>
            </a:ln>
          </c:spPr>
          <c:invertIfNegative val="0"/>
          <c:cat>
            <c:strRef>
              <c:f>'Report figures'!$N$100:$N$103</c:f>
              <c:strCache>
                <c:ptCount val="4"/>
                <c:pt idx="0">
                  <c:v>5 years</c:v>
                </c:pt>
                <c:pt idx="1">
                  <c:v>10 years</c:v>
                </c:pt>
                <c:pt idx="2">
                  <c:v>15 years</c:v>
                </c:pt>
                <c:pt idx="3">
                  <c:v>20 years</c:v>
                </c:pt>
              </c:strCache>
            </c:strRef>
          </c:cat>
          <c:val>
            <c:numRef>
              <c:f>'Report figures'!$O$100:$O$103</c:f>
              <c:numCache>
                <c:formatCode>General</c:formatCode>
                <c:ptCount val="4"/>
                <c:pt idx="0">
                  <c:v>0.0690594602203125</c:v>
                </c:pt>
                <c:pt idx="1">
                  <c:v>0.0777619511169776</c:v>
                </c:pt>
                <c:pt idx="2">
                  <c:v>0.0823273415849066</c:v>
                </c:pt>
                <c:pt idx="3">
                  <c:v>0.0656065117326772</c:v>
                </c:pt>
              </c:numCache>
            </c:numRef>
          </c:val>
        </c:ser>
        <c:ser>
          <c:idx val="1"/>
          <c:order val="1"/>
          <c:tx>
            <c:strRef>
              <c:f>'Report figures'!P99</c:f>
              <c:strCache>
                <c:ptCount val="1"/>
                <c:pt idx="0">
                  <c:v>Benchmark</c:v>
                </c:pt>
              </c:strCache>
            </c:strRef>
          </c:tx>
          <c:spPr>
            <a:solidFill>
              <a:srgbClr val="18998A"/>
            </a:solidFill>
            <a:ln w="9525">
              <a:solidFill>
                <a:srgbClr val="FFFFFF"/>
              </a:solidFill>
            </a:ln>
          </c:spPr>
          <c:invertIfNegative val="0"/>
          <c:cat>
            <c:strRef>
              <c:f>'Report figures'!$N$100:$N$103</c:f>
              <c:strCache>
                <c:ptCount val="4"/>
                <c:pt idx="0">
                  <c:v>5 years</c:v>
                </c:pt>
                <c:pt idx="1">
                  <c:v>10 years</c:v>
                </c:pt>
                <c:pt idx="2">
                  <c:v>15 years</c:v>
                </c:pt>
                <c:pt idx="3">
                  <c:v>20 years</c:v>
                </c:pt>
              </c:strCache>
            </c:strRef>
          </c:cat>
          <c:val>
            <c:numRef>
              <c:f>'Report figures'!$P$100:$P$103</c:f>
              <c:numCache>
                <c:formatCode>General</c:formatCode>
                <c:ptCount val="4"/>
                <c:pt idx="0">
                  <c:v>0.0721947041348132</c:v>
                </c:pt>
                <c:pt idx="1">
                  <c:v>0.0790360374289978</c:v>
                </c:pt>
                <c:pt idx="2">
                  <c:v>0.0830268516654036</c:v>
                </c:pt>
                <c:pt idx="3">
                  <c:v>0.0656172685638206</c:v>
                </c:pt>
              </c:numCache>
            </c:numRef>
          </c:val>
        </c:ser>
        <c:ser>
          <c:idx val="2"/>
          <c:order val="2"/>
          <c:tx>
            <c:strRef>
              <c:f>'Report figures'!Q99</c:f>
              <c:strCache>
                <c:ptCount val="1"/>
                <c:pt idx="0">
                  <c:v>Recommended</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figures'!$N$100:$N$103</c:f>
              <c:strCache>
                <c:ptCount val="4"/>
                <c:pt idx="0">
                  <c:v>5 years</c:v>
                </c:pt>
                <c:pt idx="1">
                  <c:v>10 years</c:v>
                </c:pt>
                <c:pt idx="2">
                  <c:v>15 years</c:v>
                </c:pt>
                <c:pt idx="3">
                  <c:v>20 years</c:v>
                </c:pt>
              </c:strCache>
            </c:strRef>
          </c:cat>
          <c:val>
            <c:numRef>
              <c:f>'Report figures'!$Q$100:$Q$103</c:f>
              <c:numCache>
                <c:formatCode>General</c:formatCode>
                <c:ptCount val="4"/>
                <c:pt idx="0">
                  <c:v>0.0785360132940838</c:v>
                </c:pt>
                <c:pt idx="1">
                  <c:v>0.0855200753194352</c:v>
                </c:pt>
                <c:pt idx="2">
                  <c:v>0.0892302784583055</c:v>
                </c:pt>
                <c:pt idx="3">
                  <c:v>0.0677608782686425</c:v>
                </c:pt>
              </c:numCache>
            </c:numRef>
          </c:val>
        </c:ser>
        <c:gapWidth val="60"/>
        <c:overlap val="-8"/>
        <c:axId val="1001"/>
        <c:axId val="1002"/>
      </c:barChart>
      <c:lineChart>
        <c:grouping val="standard"/>
        <c:varyColors val="0"/>
        <c:ser>
          <c:idx val="3"/>
          <c:order val="3"/>
          <c:tx>
            <c:strRef>
              <c:f>'Report figures'!$R$99</c:f>
              <c:strCache>
                <c:ptCount val="1"/>
                <c:pt idx="0">
                  <c:v>Target: yield + 4%</c:v>
                </c:pt>
              </c:strCache>
            </c:strRef>
          </c:tx>
          <c:spPr>
            <a:ln>
              <a:noFill/>
            </a:ln>
          </c:spPr>
          <c:marker>
            <c:symbol val="dash"/>
            <c:size val="20"/>
            <c:spPr>
              <a:solidFill>
                <a:srgbClr val="D99E00"/>
              </a:solidFill>
              <a:ln>
                <a:solidFill>
                  <a:srgbClr val="D99E00"/>
                </a:solidFill>
              </a:ln>
            </c:spPr>
          </c:marker>
          <c:cat>
            <c:strRef>
              <c:f>'Report figures'!$N$100:$N$103</c:f>
              <c:strCache>
                <c:ptCount val="4"/>
                <c:pt idx="0">
                  <c:v>5 years</c:v>
                </c:pt>
                <c:pt idx="1">
                  <c:v>10 years</c:v>
                </c:pt>
                <c:pt idx="2">
                  <c:v>15 years</c:v>
                </c:pt>
                <c:pt idx="3">
                  <c:v>20 years</c:v>
                </c:pt>
              </c:strCache>
            </c:strRef>
          </c:cat>
          <c:val>
            <c:numRef>
              <c:f>'Report figures'!$R$100:$R$103</c:f>
              <c:numCache>
                <c:formatCode>General</c:formatCode>
                <c:ptCount val="4"/>
                <c:pt idx="0">
                  <c:v>0.04708</c:v>
                </c:pt>
                <c:pt idx="1">
                  <c:v>0.06134</c:v>
                </c:pt>
                <c:pt idx="2">
                  <c:v>0.092075</c:v>
                </c:pt>
                <c:pt idx="3">
                  <c:v>0.092976</c:v>
                </c:pt>
              </c:numCache>
            </c:numRef>
          </c:val>
          <c:smooth val="0"/>
        </c:ser>
        <c:marker val="1"/>
        <c:axId val="1001"/>
        <c:axId val="1002"/>
      </c:line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Annualised return (net of fees)</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7.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figures'!O125</c:f>
              <c:strCache>
                <c:ptCount val="1"/>
                <c:pt idx="0">
                  <c:v>Current fund</c:v>
                </c:pt>
              </c:strCache>
            </c:strRef>
          </c:tx>
          <c:spPr>
            <a:solidFill>
              <a:srgbClr val="D9641E"/>
            </a:solidFill>
            <a:ln w="9525">
              <a:solidFill>
                <a:srgbClr val="FFFFFF"/>
              </a:solidFill>
            </a:ln>
          </c:spPr>
          <c:invertIfNegative val="0"/>
          <c:cat>
            <c:strRef>
              <c:f>'Report figures'!$N$126:$N$129</c:f>
              <c:strCache>
                <c:ptCount val="4"/>
                <c:pt idx="0">
                  <c:v>GFC 2007-09</c:v>
                </c:pt>
                <c:pt idx="1">
                  <c:v>COVID 2020</c:v>
                </c:pt>
                <c:pt idx="2">
                  <c:v>Inflation 2022</c:v>
                </c:pt>
                <c:pt idx="3">
                  <c:v>US$150 oil</c:v>
                </c:pt>
              </c:strCache>
            </c:strRef>
          </c:cat>
          <c:val>
            <c:numRef>
              <c:f>'Report figures'!$O$126:$O$129</c:f>
              <c:numCache>
                <c:formatCode>General</c:formatCode>
                <c:ptCount val="4"/>
                <c:pt idx="0">
                  <c:v>-0.241671707004935</c:v>
                </c:pt>
                <c:pt idx="1">
                  <c:v>-0.120927025238173</c:v>
                </c:pt>
                <c:pt idx="2">
                  <c:v>-0.0727544374814924</c:v>
                </c:pt>
                <c:pt idx="3">
                  <c:v>-0.0826093080046623</c:v>
                </c:pt>
              </c:numCache>
            </c:numRef>
          </c:val>
        </c:ser>
        <c:ser>
          <c:idx val="1"/>
          <c:order val="1"/>
          <c:tx>
            <c:strRef>
              <c:f>'Report figures'!P125</c:f>
              <c:strCache>
                <c:ptCount val="1"/>
                <c:pt idx="0">
                  <c:v>Benchmark</c:v>
                </c:pt>
              </c:strCache>
            </c:strRef>
          </c:tx>
          <c:spPr>
            <a:solidFill>
              <a:srgbClr val="18998A"/>
            </a:solidFill>
            <a:ln w="9525">
              <a:solidFill>
                <a:srgbClr val="FFFFFF"/>
              </a:solidFill>
            </a:ln>
          </c:spPr>
          <c:invertIfNegative val="0"/>
          <c:cat>
            <c:strRef>
              <c:f>'Report figures'!$N$126:$N$129</c:f>
              <c:strCache>
                <c:ptCount val="4"/>
                <c:pt idx="0">
                  <c:v>GFC 2007-09</c:v>
                </c:pt>
                <c:pt idx="1">
                  <c:v>COVID 2020</c:v>
                </c:pt>
                <c:pt idx="2">
                  <c:v>Inflation 2022</c:v>
                </c:pt>
                <c:pt idx="3">
                  <c:v>US$150 oil</c:v>
                </c:pt>
              </c:strCache>
            </c:strRef>
          </c:cat>
          <c:val>
            <c:numRef>
              <c:f>'Report figures'!$P$126:$P$129</c:f>
              <c:numCache>
                <c:formatCode>General</c:formatCode>
                <c:ptCount val="4"/>
                <c:pt idx="0">
                  <c:v>-0.193000886085511</c:v>
                </c:pt>
                <c:pt idx="1">
                  <c:v>-0.0918064845384451</c:v>
                </c:pt>
                <c:pt idx="2">
                  <c:v>-0.0726107979336922</c:v>
                </c:pt>
                <c:pt idx="3">
                  <c:v>-0.0739102470080081</c:v>
                </c:pt>
              </c:numCache>
            </c:numRef>
          </c:val>
        </c:ser>
        <c:ser>
          <c:idx val="2"/>
          <c:order val="2"/>
          <c:tx>
            <c:strRef>
              <c:f>'Report figures'!Q125</c:f>
              <c:strCache>
                <c:ptCount val="1"/>
                <c:pt idx="0">
                  <c:v>Recommended</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figures'!$N$126:$N$129</c:f>
              <c:strCache>
                <c:ptCount val="4"/>
                <c:pt idx="0">
                  <c:v>GFC 2007-09</c:v>
                </c:pt>
                <c:pt idx="1">
                  <c:v>COVID 2020</c:v>
                </c:pt>
                <c:pt idx="2">
                  <c:v>Inflation 2022</c:v>
                </c:pt>
                <c:pt idx="3">
                  <c:v>US$150 oil</c:v>
                </c:pt>
              </c:strCache>
            </c:strRef>
          </c:cat>
          <c:val>
            <c:numRef>
              <c:f>'Report figures'!$Q$126:$Q$129</c:f>
              <c:numCache>
                <c:formatCode>General</c:formatCode>
                <c:ptCount val="4"/>
                <c:pt idx="0">
                  <c:v>-0.235024797551683</c:v>
                </c:pt>
                <c:pt idx="1">
                  <c:v>-0.107482356833963</c:v>
                </c:pt>
                <c:pt idx="2">
                  <c:v>-0.0754055858935452</c:v>
                </c:pt>
                <c:pt idx="3">
                  <c:v>-0.0836389097568949</c:v>
                </c:pt>
              </c:numCache>
            </c:numRef>
          </c:val>
        </c:ser>
        <c:gapWidth val="60"/>
        <c:overlap val="-8"/>
        <c:axId val="1001"/>
        <c:axId val="1002"/>
      </c:bar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Portfolio return in scenario</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8.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figures'!$O$151</c:f>
              <c:strCache>
                <c:ptCount val="1"/>
                <c:pt idx="0">
                  <c:v>Current fund</c:v>
                </c:pt>
              </c:strCache>
            </c:strRef>
          </c:tx>
          <c:spPr>
            <a:solidFill>
              <a:srgbClr val="D9641E"/>
            </a:solidFill>
            <a:ln w="9525">
              <a:solidFill>
                <a:srgbClr val="FFFFFF"/>
              </a:solidFill>
            </a:ln>
          </c:spPr>
          <c:invertIfNegative val="0"/>
          <c:cat>
            <c:numRef>
              <c:f>'Report figures'!$Q$152:$Q$166</c:f>
              <c:numCache>
                <c:formatCode>General</c:formatCode>
                <c:ptCount val="15"/>
                <c:pt idx="0">
                  <c:v>-0.3</c:v>
                </c:pt>
                <c:pt idx="1">
                  <c:v>-0.2</c:v>
                </c:pt>
                <c:pt idx="2">
                  <c:v>-0.1</c:v>
                </c:pt>
                <c:pt idx="3">
                  <c:v>5.55111512312578e-17</c:v>
                </c:pt>
                <c:pt idx="4">
                  <c:v>0.1</c:v>
                </c:pt>
                <c:pt idx="5">
                  <c:v>0.2</c:v>
                </c:pt>
                <c:pt idx="6">
                  <c:v>0.3</c:v>
                </c:pt>
                <c:pt idx="7">
                  <c:v>0.4</c:v>
                </c:pt>
                <c:pt idx="8">
                  <c:v>0.5</c:v>
                </c:pt>
                <c:pt idx="9">
                  <c:v>0.6</c:v>
                </c:pt>
                <c:pt idx="10">
                  <c:v>0.7</c:v>
                </c:pt>
                <c:pt idx="11">
                  <c:v>0.8</c:v>
                </c:pt>
                <c:pt idx="12">
                  <c:v>0.9</c:v>
                </c:pt>
                <c:pt idx="13">
                  <c:v>1</c:v>
                </c:pt>
                <c:pt idx="14">
                  <c:v>1.1</c:v>
                </c:pt>
              </c:numCache>
            </c:numRef>
          </c:cat>
          <c:val>
            <c:numRef>
              <c:f>'Report figures'!$O$152:$O$166</c:f>
              <c:numCache>
                <c:formatCode>General</c:formatCode>
                <c:ptCount val="15"/>
                <c:pt idx="0">
                  <c:v>13</c:v>
                </c:pt>
                <c:pt idx="1">
                  <c:v>17</c:v>
                </c:pt>
                <c:pt idx="2">
                  <c:v>43</c:v>
                </c:pt>
                <c:pt idx="3">
                  <c:v>72</c:v>
                </c:pt>
                <c:pt idx="4">
                  <c:v>96</c:v>
                </c:pt>
                <c:pt idx="5">
                  <c:v>135</c:v>
                </c:pt>
                <c:pt idx="6">
                  <c:v>126</c:v>
                </c:pt>
                <c:pt idx="7">
                  <c:v>147</c:v>
                </c:pt>
                <c:pt idx="8">
                  <c:v>110</c:v>
                </c:pt>
                <c:pt idx="9">
                  <c:v>92</c:v>
                </c:pt>
                <c:pt idx="10">
                  <c:v>69</c:v>
                </c:pt>
                <c:pt idx="11">
                  <c:v>41</c:v>
                </c:pt>
                <c:pt idx="12">
                  <c:v>16</c:v>
                </c:pt>
                <c:pt idx="13">
                  <c:v>14</c:v>
                </c:pt>
                <c:pt idx="14">
                  <c:v>2</c:v>
                </c:pt>
              </c:numCache>
            </c:numRef>
          </c:val>
        </c:ser>
        <c:ser>
          <c:idx val="1"/>
          <c:order val="1"/>
          <c:tx>
            <c:strRef>
              <c:f>'Report figures'!$P$151</c:f>
              <c:strCache>
                <c:ptCount val="1"/>
                <c:pt idx="0">
                  <c:v>Recommended</c:v>
                </c:pt>
              </c:strCache>
            </c:strRef>
          </c:tx>
          <c:spPr>
            <a:solidFill>
              <a:srgbClr val="2B5C9E"/>
            </a:solidFill>
            <a:ln w="9525">
              <a:solidFill>
                <a:srgbClr val="FFFFFF"/>
              </a:solidFill>
            </a:ln>
          </c:spPr>
          <c:invertIfNegative val="0"/>
          <c:cat>
            <c:numRef>
              <c:f>'Report figures'!$Q$152:$Q$166</c:f>
              <c:numCache>
                <c:formatCode>General</c:formatCode>
                <c:ptCount val="15"/>
                <c:pt idx="0">
                  <c:v>-0.3</c:v>
                </c:pt>
                <c:pt idx="1">
                  <c:v>-0.2</c:v>
                </c:pt>
                <c:pt idx="2">
                  <c:v>-0.1</c:v>
                </c:pt>
                <c:pt idx="3">
                  <c:v>5.55111512312578e-17</c:v>
                </c:pt>
                <c:pt idx="4">
                  <c:v>0.1</c:v>
                </c:pt>
                <c:pt idx="5">
                  <c:v>0.2</c:v>
                </c:pt>
                <c:pt idx="6">
                  <c:v>0.3</c:v>
                </c:pt>
                <c:pt idx="7">
                  <c:v>0.4</c:v>
                </c:pt>
                <c:pt idx="8">
                  <c:v>0.5</c:v>
                </c:pt>
                <c:pt idx="9">
                  <c:v>0.6</c:v>
                </c:pt>
                <c:pt idx="10">
                  <c:v>0.7</c:v>
                </c:pt>
                <c:pt idx="11">
                  <c:v>0.8</c:v>
                </c:pt>
                <c:pt idx="12">
                  <c:v>0.9</c:v>
                </c:pt>
                <c:pt idx="13">
                  <c:v>1</c:v>
                </c:pt>
                <c:pt idx="14">
                  <c:v>1.1</c:v>
                </c:pt>
              </c:numCache>
            </c:numRef>
          </c:cat>
          <c:val>
            <c:numRef>
              <c:f>'Report figures'!$P$152:$P$166</c:f>
              <c:numCache>
                <c:formatCode>General</c:formatCode>
                <c:ptCount val="15"/>
                <c:pt idx="0">
                  <c:v>10</c:v>
                </c:pt>
                <c:pt idx="1">
                  <c:v>20</c:v>
                </c:pt>
                <c:pt idx="2">
                  <c:v>39</c:v>
                </c:pt>
                <c:pt idx="3">
                  <c:v>68</c:v>
                </c:pt>
                <c:pt idx="4">
                  <c:v>105</c:v>
                </c:pt>
                <c:pt idx="5">
                  <c:v>130</c:v>
                </c:pt>
                <c:pt idx="6">
                  <c:v>132</c:v>
                </c:pt>
                <c:pt idx="7">
                  <c:v>140</c:v>
                </c:pt>
                <c:pt idx="8">
                  <c:v>120</c:v>
                </c:pt>
                <c:pt idx="9">
                  <c:v>84</c:v>
                </c:pt>
                <c:pt idx="10">
                  <c:v>65</c:v>
                </c:pt>
                <c:pt idx="11">
                  <c:v>42</c:v>
                </c:pt>
                <c:pt idx="12">
                  <c:v>23</c:v>
                </c:pt>
                <c:pt idx="13">
                  <c:v>9</c:v>
                </c:pt>
                <c:pt idx="14">
                  <c:v>6</c:v>
                </c:pt>
              </c:numCache>
            </c:numRef>
          </c:val>
        </c:ser>
        <c:gapWidth val="30"/>
        <c:overlap val="-5"/>
        <c:axId val="1001"/>
        <c:axId val="1002"/>
      </c:barChart>
      <c:catAx>
        <c:axId val="1001"/>
        <c:scaling>
          <c:orientation val="minMax"/>
        </c:scaling>
        <c:delete val="0"/>
        <c:axPos val="b"/>
        <c:title>
          <c:tx>
            <c:rich>
              <a:bodyPr/>
              <a:lstStyle/>
              <a:p>
                <a:pPr>
                  <a:defRPr sz="900" b="0">
                    <a:solidFill>
                      <a:srgbClr val="595959"/>
                    </a:solidFill>
                    <a:latin typeface="Arial"/>
                  </a:defRPr>
                </a:pPr>
                <a:r>
                  <a:rPr lang="en-AU" sz="900" b="0">
                    <a:solidFill>
                      <a:srgbClr val="595959"/>
                    </a:solidFill>
                    <a:latin typeface="Arial"/>
                  </a:rPr>
                  <a:t>Cumulative 5-year return (lower edge of each 10-point bin)</a:t>
                </a:r>
              </a:p>
            </c:rich>
          </c:tx>
          <c:overlay val="0"/>
        </c:title>
        <c:numFmt formatCode="0%"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Number of paths (of 1,000)</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9.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figures'!$O$177</c:f>
              <c:strCache>
                <c:ptCount val="1"/>
                <c:pt idx="0">
                  <c:v>Expected return (compound)</c:v>
                </c:pt>
              </c:strCache>
            </c:strRef>
          </c:tx>
          <c:spPr>
            <a:solidFill>
              <a:srgbClr val="2B5C9E"/>
            </a:solidFill>
            <a:ln w="9525">
              <a:solidFill>
                <a:srgbClr val="FFFFFF"/>
              </a:solidFill>
            </a:ln>
          </c:spPr>
          <c:invertIfNegative val="0"/>
          <c:dLbls>
            <c:numFmt formatCode="0.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figures'!$N$178:$N$183</c:f>
              <c:strCache>
                <c:ptCount val="6"/>
                <c:pt idx="0">
                  <c:v>Base (recommended)</c:v>
                </c:pt>
                <c:pt idx="1">
                  <c:v>TE limit 1.5%</c:v>
                </c:pt>
                <c:pt idx="2">
                  <c:v>No TE limit</c:v>
                </c:pt>
                <c:pt idx="3">
                  <c:v>Equity max 72%</c:v>
                </c:pt>
                <c:pt idx="4">
                  <c:v>Alternatives fixed by scorecard</c:v>
                </c:pt>
                <c:pt idx="5">
                  <c:v>Long-only only</c:v>
                </c:pt>
              </c:strCache>
            </c:strRef>
          </c:cat>
          <c:val>
            <c:numRef>
              <c:f>'Report figures'!$O$178:$O$183</c:f>
              <c:numCache>
                <c:formatCode>General</c:formatCode>
                <c:ptCount val="6"/>
                <c:pt idx="0">
                  <c:v>0.0669596785505359</c:v>
                </c:pt>
                <c:pt idx="1">
                  <c:v>0.067558706213528</c:v>
                </c:pt>
                <c:pt idx="2">
                  <c:v>0.068076194751236</c:v>
                </c:pt>
                <c:pt idx="3">
                  <c:v>0.066960671175669</c:v>
                </c:pt>
                <c:pt idx="4">
                  <c:v>0.0662356533917832</c:v>
                </c:pt>
                <c:pt idx="5">
                  <c:v>0.0650007999796828</c:v>
                </c:pt>
              </c:numCache>
            </c:numRef>
          </c:val>
        </c:ser>
        <c:gapWidth val="60"/>
        <c:overlap val="-8"/>
        <c:axId val="1001"/>
        <c:axId val="1002"/>
      </c:barChart>
      <c:lineChart>
        <c:grouping val="standard"/>
        <c:varyColors val="0"/>
        <c:ser>
          <c:idx val="1"/>
          <c:order val="1"/>
          <c:tx>
            <c:strRef>
              <c:f>'Report figures'!$P$177</c:f>
              <c:strCache>
                <c:ptCount val="1"/>
                <c:pt idx="0">
                  <c:v>Return target</c:v>
                </c:pt>
              </c:strCache>
            </c:strRef>
          </c:tx>
          <c:spPr>
            <a:ln w="19050" cap="rnd">
              <a:solidFill>
                <a:srgbClr val="D99E00"/>
              </a:solidFill>
              <a:prstDash val="dash"/>
              <a:round/>
            </a:ln>
          </c:spPr>
          <c:marker>
            <c:symbol val="none"/>
          </c:marker>
          <c:cat>
            <c:strRef>
              <c:f>'Report figures'!$N$178:$N$183</c:f>
              <c:strCache>
                <c:ptCount val="6"/>
                <c:pt idx="0">
                  <c:v>Base (recommended)</c:v>
                </c:pt>
                <c:pt idx="1">
                  <c:v>TE limit 1.5%</c:v>
                </c:pt>
                <c:pt idx="2">
                  <c:v>No TE limit</c:v>
                </c:pt>
                <c:pt idx="3">
                  <c:v>Equity max 72%</c:v>
                </c:pt>
                <c:pt idx="4">
                  <c:v>Alternatives fixed by scorecard</c:v>
                </c:pt>
                <c:pt idx="5">
                  <c:v>Long-only only</c:v>
                </c:pt>
              </c:strCache>
            </c:strRef>
          </c:cat>
          <c:val>
            <c:numRef>
              <c:f>'Report figures'!$P$178:$P$183</c:f>
              <c:numCache>
                <c:formatCode>General</c:formatCode>
                <c:ptCount val="6"/>
                <c:pt idx="0">
                  <c:v>0.08988</c:v>
                </c:pt>
                <c:pt idx="1">
                  <c:v>0.08988</c:v>
                </c:pt>
                <c:pt idx="2">
                  <c:v>0.08988</c:v>
                </c:pt>
                <c:pt idx="3">
                  <c:v>0.08988</c:v>
                </c:pt>
                <c:pt idx="4">
                  <c:v>0.08988</c:v>
                </c:pt>
                <c:pt idx="5">
                  <c:v>0.08988</c:v>
                </c:pt>
              </c:numCache>
            </c:numRef>
          </c:val>
          <c:smooth val="0"/>
        </c:ser>
        <c:marker val="1"/>
        <c:axId val="1001"/>
        <c:axId val="1002"/>
      </c:line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min val="0"/>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Expected return (compound, net, p.a.)</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0.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figures'!O203</c:f>
              <c:strCache>
                <c:ptCount val="1"/>
                <c:pt idx="0">
                  <c:v>Current fund</c:v>
                </c:pt>
              </c:strCache>
            </c:strRef>
          </c:tx>
          <c:spPr>
            <a:solidFill>
              <a:srgbClr val="D9641E"/>
            </a:solidFill>
            <a:ln w="9525">
              <a:solidFill>
                <a:srgbClr val="FFFFFF"/>
              </a:solidFill>
            </a:ln>
          </c:spPr>
          <c:invertIfNegative val="0"/>
          <c:cat>
            <c:strRef>
              <c:f>'Report figures'!$N$204:$N$207</c:f>
              <c:strCache>
                <c:ptCount val="4"/>
                <c:pt idx="0">
                  <c:v>1990 Gulf War, scaled</c:v>
                </c:pt>
                <c:pt idx="1">
                  <c:v>2022 Ukraine, scaled</c:v>
                </c:pt>
                <c:pt idx="2">
                  <c:v>Central case</c:v>
                </c:pt>
                <c:pt idx="3">
                  <c:v>Central case + commodity tilt</c:v>
                </c:pt>
              </c:strCache>
            </c:strRef>
          </c:cat>
          <c:val>
            <c:numRef>
              <c:f>'Report figures'!$O$204:$O$207</c:f>
              <c:numCache>
                <c:formatCode>General</c:formatCode>
                <c:ptCount val="4"/>
                <c:pt idx="0">
                  <c:v>-0.0615639137193719</c:v>
                </c:pt>
                <c:pt idx="1">
                  <c:v>-0.103654702289953</c:v>
                </c:pt>
                <c:pt idx="2">
                  <c:v>-0.0826093080046623</c:v>
                </c:pt>
              </c:numCache>
            </c:numRef>
          </c:val>
        </c:ser>
        <c:ser>
          <c:idx val="1"/>
          <c:order val="1"/>
          <c:tx>
            <c:strRef>
              <c:f>'Report figures'!P203</c:f>
              <c:strCache>
                <c:ptCount val="1"/>
                <c:pt idx="0">
                  <c:v>Benchmark</c:v>
                </c:pt>
              </c:strCache>
            </c:strRef>
          </c:tx>
          <c:spPr>
            <a:solidFill>
              <a:srgbClr val="18998A"/>
            </a:solidFill>
            <a:ln w="9525">
              <a:solidFill>
                <a:srgbClr val="FFFFFF"/>
              </a:solidFill>
            </a:ln>
          </c:spPr>
          <c:invertIfNegative val="0"/>
          <c:cat>
            <c:strRef>
              <c:f>'Report figures'!$N$204:$N$207</c:f>
              <c:strCache>
                <c:ptCount val="4"/>
                <c:pt idx="0">
                  <c:v>1990 Gulf War, scaled</c:v>
                </c:pt>
                <c:pt idx="1">
                  <c:v>2022 Ukraine, scaled</c:v>
                </c:pt>
                <c:pt idx="2">
                  <c:v>Central case</c:v>
                </c:pt>
                <c:pt idx="3">
                  <c:v>Central case + commodity tilt</c:v>
                </c:pt>
              </c:strCache>
            </c:strRef>
          </c:cat>
          <c:val>
            <c:numRef>
              <c:f>'Report figures'!$P$204:$P$207</c:f>
              <c:numCache>
                <c:formatCode>General</c:formatCode>
                <c:ptCount val="4"/>
                <c:pt idx="0">
                  <c:v>-0.0517640156922182</c:v>
                </c:pt>
                <c:pt idx="1">
                  <c:v>-0.0960564783237981</c:v>
                </c:pt>
                <c:pt idx="2">
                  <c:v>-0.0739102470080081</c:v>
                </c:pt>
              </c:numCache>
            </c:numRef>
          </c:val>
        </c:ser>
        <c:ser>
          <c:idx val="2"/>
          <c:order val="2"/>
          <c:tx>
            <c:strRef>
              <c:f>'Report figures'!Q203</c:f>
              <c:strCache>
                <c:ptCount val="1"/>
                <c:pt idx="0">
                  <c:v>Recommended</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figures'!$N$204:$N$207</c:f>
              <c:strCache>
                <c:ptCount val="4"/>
                <c:pt idx="0">
                  <c:v>1990 Gulf War, scaled</c:v>
                </c:pt>
                <c:pt idx="1">
                  <c:v>2022 Ukraine, scaled</c:v>
                </c:pt>
                <c:pt idx="2">
                  <c:v>Central case</c:v>
                </c:pt>
                <c:pt idx="3">
                  <c:v>Central case + commodity tilt</c:v>
                </c:pt>
              </c:strCache>
            </c:strRef>
          </c:cat>
          <c:val>
            <c:numRef>
              <c:f>'Report figures'!$Q$204:$Q$207</c:f>
              <c:numCache>
                <c:formatCode>General</c:formatCode>
                <c:ptCount val="4"/>
                <c:pt idx="0">
                  <c:v>-0.0596875580408782</c:v>
                </c:pt>
                <c:pt idx="1">
                  <c:v>-0.107590261472912</c:v>
                </c:pt>
                <c:pt idx="2">
                  <c:v>-0.0836389097568949</c:v>
                </c:pt>
                <c:pt idx="3">
                  <c:v>-0.0752375418703422</c:v>
                </c:pt>
              </c:numCache>
            </c:numRef>
          </c:val>
        </c:ser>
        <c:gapWidth val="60"/>
        <c:overlap val="-8"/>
        <c:axId val="1001"/>
        <c:axId val="1002"/>
      </c:bar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Portfolio return at US$150 oil</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1.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figures'!$O$229</c:f>
              <c:strCache>
                <c:ptCount val="1"/>
                <c:pt idx="0">
                  <c:v>US equities</c:v>
                </c:pt>
              </c:strCache>
            </c:strRef>
          </c:tx>
          <c:spPr>
            <a:solidFill>
              <a:srgbClr val="5C9BD6"/>
            </a:solidFill>
            <a:ln w="9525">
              <a:solidFill>
                <a:srgbClr val="FFFFFF"/>
              </a:solidFill>
            </a:ln>
          </c:spPr>
          <c:invertIfNegative val="0"/>
          <c:dLbls>
            <c:numFmt formatCode="0.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figures'!$N$230:$N$232</c:f>
              <c:strCache>
                <c:ptCount val="3"/>
                <c:pt idx="0">
                  <c:v>1 month</c:v>
                </c:pt>
                <c:pt idx="1">
                  <c:v>12 months</c:v>
                </c:pt>
                <c:pt idx="2">
                  <c:v>60 months</c:v>
                </c:pt>
              </c:strCache>
            </c:strRef>
          </c:cat>
          <c:val>
            <c:numRef>
              <c:f>'Report figures'!$O$230:$O$232</c:f>
              <c:numCache>
                <c:formatCode>General</c:formatCode>
                <c:ptCount val="3"/>
                <c:pt idx="0">
                  <c:v>0.0332915764868484</c:v>
                </c:pt>
                <c:pt idx="1">
                  <c:v>0.0203019386459009</c:v>
                </c:pt>
                <c:pt idx="2">
                  <c:v>-0.229981268370374</c:v>
                </c:pt>
              </c:numCache>
            </c:numRef>
          </c:val>
        </c:ser>
        <c:ser>
          <c:idx val="1"/>
          <c:order val="1"/>
          <c:tx>
            <c:strRef>
              <c:f>'Report figures'!$P$229</c:f>
              <c:strCache>
                <c:ptCount val="1"/>
                <c:pt idx="0">
                  <c:v>Australian equities</c:v>
                </c:pt>
              </c:strCache>
            </c:strRef>
          </c:tx>
          <c:spPr>
            <a:solidFill>
              <a:srgbClr val="2B5C9E"/>
            </a:solidFill>
            <a:ln w="9525">
              <a:solidFill>
                <a:srgbClr val="FFFFFF"/>
              </a:solidFill>
            </a:ln>
          </c:spPr>
          <c:invertIfNegative val="0"/>
          <c:dLbls>
            <c:numFmt formatCode="0.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figures'!$N$230:$N$232</c:f>
              <c:strCache>
                <c:ptCount val="3"/>
                <c:pt idx="0">
                  <c:v>1 month</c:v>
                </c:pt>
                <c:pt idx="1">
                  <c:v>12 months</c:v>
                </c:pt>
                <c:pt idx="2">
                  <c:v>60 months</c:v>
                </c:pt>
              </c:strCache>
            </c:strRef>
          </c:cat>
          <c:val>
            <c:numRef>
              <c:f>'Report figures'!$P$230:$P$232</c:f>
              <c:numCache>
                <c:formatCode>General</c:formatCode>
                <c:ptCount val="3"/>
                <c:pt idx="0">
                  <c:v>0.067087054081971</c:v>
                </c:pt>
                <c:pt idx="1">
                  <c:v>0.100821792475989</c:v>
                </c:pt>
                <c:pt idx="2">
                  <c:v>0.0875718078465469</c:v>
                </c:pt>
              </c:numCache>
            </c:numRef>
          </c:val>
        </c:ser>
        <c:gapWidth val="60"/>
        <c:overlap val="-8"/>
        <c:axId val="1001"/>
        <c:axId val="1002"/>
      </c:bar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Beta to log change in oil price</a:t>
                </a:r>
              </a:p>
            </c:rich>
          </c:tx>
          <c:overlay val="0"/>
        </c:title>
        <c:numFmt formatCode="0.0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2.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lineChart>
        <c:grouping val="standard"/>
        <c:varyColors val="0"/>
        <c:ser>
          <c:idx val="0"/>
          <c:order val="0"/>
          <c:tx>
            <c:strRef>
              <c:f>'Report figures'!$AC$255</c:f>
              <c:strCache>
                <c:ptCount val="1"/>
                <c:pt idx="0">
                  <c:v>Current fund</c:v>
                </c:pt>
              </c:strCache>
            </c:strRef>
          </c:tx>
          <c:spPr>
            <a:ln w="22225" cap="rnd">
              <a:solidFill>
                <a:srgbClr val="D9641E"/>
              </a:solidFill>
              <a:prstDash val="solid"/>
              <a:round/>
            </a:ln>
          </c:spPr>
          <c:marker>
            <c:symbol val="none"/>
          </c:marker>
          <c:cat>
            <c:numRef>
              <c:f>'Report figures'!$AB$256:$AB$316</c:f>
              <c:numCache>
                <c:formatCode>General</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figures'!$AC$256:$AC$316</c:f>
              <c:numCache>
                <c:formatCode>General</c:formatCode>
                <c:ptCount val="61"/>
                <c:pt idx="0">
                  <c:v>0.016978037174755</c:v>
                </c:pt>
                <c:pt idx="1">
                  <c:v>0.016606290142108</c:v>
                </c:pt>
                <c:pt idx="2">
                  <c:v>-0.00129227161690382</c:v>
                </c:pt>
                <c:pt idx="3">
                  <c:v>-0.00794130056552755</c:v>
                </c:pt>
                <c:pt idx="4">
                  <c:v>-0.00136375556285828</c:v>
                </c:pt>
                <c:pt idx="5">
                  <c:v>-0.00740014618513252</c:v>
                </c:pt>
                <c:pt idx="6">
                  <c:v>-0.000962519117137406</c:v>
                </c:pt>
                <c:pt idx="7">
                  <c:v>0.0108732028752319</c:v>
                </c:pt>
                <c:pt idx="8">
                  <c:v>0.0425080298557103</c:v>
                </c:pt>
                <c:pt idx="9">
                  <c:v>0.0542921362702009</c:v>
                </c:pt>
                <c:pt idx="10">
                  <c:v>0.0646871579083959</c:v>
                </c:pt>
                <c:pt idx="11">
                  <c:v>0.100211481290078</c:v>
                </c:pt>
                <c:pt idx="12">
                  <c:v>0.11371663002122</c:v>
                </c:pt>
                <c:pt idx="13">
                  <c:v>0.105855936810166</c:v>
                </c:pt>
                <c:pt idx="14">
                  <c:v>0.08630080976999</c:v>
                </c:pt>
                <c:pt idx="15">
                  <c:v>0.0934115476497721</c:v>
                </c:pt>
                <c:pt idx="16">
                  <c:v>0.107195110677715</c:v>
                </c:pt>
                <c:pt idx="17">
                  <c:v>0.106982660742449</c:v>
                </c:pt>
                <c:pt idx="18">
                  <c:v>0.0993313341157522</c:v>
                </c:pt>
                <c:pt idx="19">
                  <c:v>0.100950148899825</c:v>
                </c:pt>
                <c:pt idx="20">
                  <c:v>0.091516221306114</c:v>
                </c:pt>
                <c:pt idx="21">
                  <c:v>0.10483096586237</c:v>
                </c:pt>
                <c:pt idx="22">
                  <c:v>0.12191211802145</c:v>
                </c:pt>
                <c:pt idx="23">
                  <c:v>0.125387910310119</c:v>
                </c:pt>
                <c:pt idx="24">
                  <c:v>0.114009314370936</c:v>
                </c:pt>
                <c:pt idx="25">
                  <c:v>0.117558059001635</c:v>
                </c:pt>
                <c:pt idx="26">
                  <c:v>0.108583780780966</c:v>
                </c:pt>
                <c:pt idx="27">
                  <c:v>0.110741456752355</c:v>
                </c:pt>
                <c:pt idx="28">
                  <c:v>0.0935481627862906</c:v>
                </c:pt>
                <c:pt idx="29">
                  <c:v>0.100108637430805</c:v>
                </c:pt>
                <c:pt idx="30">
                  <c:v>0.0947856925508592</c:v>
                </c:pt>
                <c:pt idx="31">
                  <c:v>0.0726242502027477</c:v>
                </c:pt>
                <c:pt idx="32">
                  <c:v>0.0884501018920803</c:v>
                </c:pt>
                <c:pt idx="33">
                  <c:v>0.094922730778962</c:v>
                </c:pt>
                <c:pt idx="34">
                  <c:v>0.0976791780299084</c:v>
                </c:pt>
                <c:pt idx="35">
                  <c:v>0.0856183633581686</c:v>
                </c:pt>
                <c:pt idx="36">
                  <c:v>0.0407143499180884</c:v>
                </c:pt>
                <c:pt idx="37">
                  <c:v>0.0658228207965195</c:v>
                </c:pt>
                <c:pt idx="38">
                  <c:v>0.068891537599858</c:v>
                </c:pt>
                <c:pt idx="39">
                  <c:v>0.0761503295778188</c:v>
                </c:pt>
                <c:pt idx="40">
                  <c:v>0.0865352831133426</c:v>
                </c:pt>
                <c:pt idx="41">
                  <c:v>0.092191073738332</c:v>
                </c:pt>
                <c:pt idx="42">
                  <c:v>0.0917570364994655</c:v>
                </c:pt>
                <c:pt idx="43">
                  <c:v>0.0913459207695624</c:v>
                </c:pt>
                <c:pt idx="44">
                  <c:v>0.0814711080242343</c:v>
                </c:pt>
                <c:pt idx="45">
                  <c:v>0.0627471418572676</c:v>
                </c:pt>
                <c:pt idx="46">
                  <c:v>0.0615648705368588</c:v>
                </c:pt>
                <c:pt idx="47">
                  <c:v>0.0592592357625863</c:v>
                </c:pt>
                <c:pt idx="48">
                  <c:v>0.0725570829134441</c:v>
                </c:pt>
                <c:pt idx="49">
                  <c:v>0.0635225028181534</c:v>
                </c:pt>
                <c:pt idx="50">
                  <c:v>0.0566641853144647</c:v>
                </c:pt>
                <c:pt idx="51">
                  <c:v>0.0816350225045768</c:v>
                </c:pt>
                <c:pt idx="52">
                  <c:v>0.075567495901431</c:v>
                </c:pt>
                <c:pt idx="53">
                  <c:v>0.063303175698348</c:v>
                </c:pt>
                <c:pt idx="54">
                  <c:v>0.0659450155701542</c:v>
                </c:pt>
                <c:pt idx="55">
                  <c:v>0.0712993967116014</c:v>
                </c:pt>
                <c:pt idx="56">
                  <c:v>0.0957793381302665</c:v>
                </c:pt>
                <c:pt idx="57">
                  <c:v>0.0889967758903518</c:v>
                </c:pt>
                <c:pt idx="58">
                  <c:v>0.0953153323474878</c:v>
                </c:pt>
                <c:pt idx="59">
                  <c:v>0.0808329649467359</c:v>
                </c:pt>
                <c:pt idx="60">
                  <c:v>0.0690594602203125</c:v>
                </c:pt>
              </c:numCache>
            </c:numRef>
          </c:val>
          <c:smooth val="0"/>
        </c:ser>
        <c:ser>
          <c:idx val="1"/>
          <c:order val="1"/>
          <c:tx>
            <c:strRef>
              <c:f>'Report figures'!$AD$255</c:f>
              <c:strCache>
                <c:ptCount val="1"/>
                <c:pt idx="0">
                  <c:v>Recommended</c:v>
                </c:pt>
              </c:strCache>
            </c:strRef>
          </c:tx>
          <c:spPr>
            <a:ln w="25400" cap="rnd">
              <a:solidFill>
                <a:srgbClr val="2B5C9E"/>
              </a:solidFill>
              <a:prstDash val="solid"/>
              <a:round/>
            </a:ln>
          </c:spPr>
          <c:marker>
            <c:symbol val="none"/>
          </c:marker>
          <c:cat>
            <c:numRef>
              <c:f>'Report figures'!$AB$256:$AB$316</c:f>
              <c:numCache>
                <c:formatCode>General</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figures'!$AD$256:$AD$316</c:f>
              <c:numCache>
                <c:formatCode>General</c:formatCode>
                <c:ptCount val="61"/>
                <c:pt idx="0">
                  <c:v>0.00585852860639502</c:v>
                </c:pt>
                <c:pt idx="1">
                  <c:v>0.00661362313660452</c:v>
                </c:pt>
                <c:pt idx="2">
                  <c:v>-0.00974634503696059</c:v>
                </c:pt>
                <c:pt idx="3">
                  <c:v>-0.0144764769919513</c:v>
                </c:pt>
                <c:pt idx="4">
                  <c:v>-0.00549361920297442</c:v>
                </c:pt>
                <c:pt idx="5">
                  <c:v>-0.0114380245145982</c:v>
                </c:pt>
                <c:pt idx="6">
                  <c:v>-0.00479026882345301</c:v>
                </c:pt>
                <c:pt idx="7">
                  <c:v>0.00474808000879934</c:v>
                </c:pt>
                <c:pt idx="8">
                  <c:v>0.0355820978537538</c:v>
                </c:pt>
                <c:pt idx="9">
                  <c:v>0.0521794020187334</c:v>
                </c:pt>
                <c:pt idx="10">
                  <c:v>0.0588423063936139</c:v>
                </c:pt>
                <c:pt idx="11">
                  <c:v>0.0959276469693511</c:v>
                </c:pt>
                <c:pt idx="12">
                  <c:v>0.108242375364112</c:v>
                </c:pt>
                <c:pt idx="13">
                  <c:v>0.103219712306001</c:v>
                </c:pt>
                <c:pt idx="14">
                  <c:v>0.0904153841370445</c:v>
                </c:pt>
                <c:pt idx="15">
                  <c:v>0.0974577396348848</c:v>
                </c:pt>
                <c:pt idx="16">
                  <c:v>0.112159698759999</c:v>
                </c:pt>
                <c:pt idx="17">
                  <c:v>0.111545378263051</c:v>
                </c:pt>
                <c:pt idx="18">
                  <c:v>0.107558178750444</c:v>
                </c:pt>
                <c:pt idx="19">
                  <c:v>0.107348581501317</c:v>
                </c:pt>
                <c:pt idx="20">
                  <c:v>0.0966887714305771</c:v>
                </c:pt>
                <c:pt idx="21">
                  <c:v>0.111884859378617</c:v>
                </c:pt>
                <c:pt idx="22">
                  <c:v>0.127109871522744</c:v>
                </c:pt>
                <c:pt idx="23">
                  <c:v>0.132490693240204</c:v>
                </c:pt>
                <c:pt idx="24">
                  <c:v>0.119013156319756</c:v>
                </c:pt>
                <c:pt idx="25">
                  <c:v>0.124489186577227</c:v>
                </c:pt>
                <c:pt idx="26">
                  <c:v>0.11691026575855</c:v>
                </c:pt>
                <c:pt idx="27">
                  <c:v>0.119833710393759</c:v>
                </c:pt>
                <c:pt idx="28">
                  <c:v>0.105009936580836</c:v>
                </c:pt>
                <c:pt idx="29">
                  <c:v>0.106314038456049</c:v>
                </c:pt>
                <c:pt idx="30">
                  <c:v>0.103498797848041</c:v>
                </c:pt>
                <c:pt idx="31">
                  <c:v>0.0775745510138415</c:v>
                </c:pt>
                <c:pt idx="32">
                  <c:v>0.0956641731471324</c:v>
                </c:pt>
                <c:pt idx="33">
                  <c:v>0.100419342543409</c:v>
                </c:pt>
                <c:pt idx="34">
                  <c:v>0.101047844962693</c:v>
                </c:pt>
                <c:pt idx="35">
                  <c:v>0.0900491694272827</c:v>
                </c:pt>
                <c:pt idx="36">
                  <c:v>0.0475121303961086</c:v>
                </c:pt>
                <c:pt idx="37">
                  <c:v>0.0675580401174238</c:v>
                </c:pt>
                <c:pt idx="38">
                  <c:v>0.0711652012405903</c:v>
                </c:pt>
                <c:pt idx="39">
                  <c:v>0.0793862969542025</c:v>
                </c:pt>
                <c:pt idx="40">
                  <c:v>0.0925493626518439</c:v>
                </c:pt>
                <c:pt idx="41">
                  <c:v>0.0977262507458807</c:v>
                </c:pt>
                <c:pt idx="42">
                  <c:v>0.0981538939229272</c:v>
                </c:pt>
                <c:pt idx="43">
                  <c:v>0.0962416753781976</c:v>
                </c:pt>
                <c:pt idx="44">
                  <c:v>0.0861128368451358</c:v>
                </c:pt>
                <c:pt idx="45">
                  <c:v>0.0692886147610028</c:v>
                </c:pt>
                <c:pt idx="46">
                  <c:v>0.0664423734382889</c:v>
                </c:pt>
                <c:pt idx="47">
                  <c:v>0.0621291415334693</c:v>
                </c:pt>
                <c:pt idx="48">
                  <c:v>0.0746676313053201</c:v>
                </c:pt>
                <c:pt idx="49">
                  <c:v>0.0674821706901108</c:v>
                </c:pt>
                <c:pt idx="50">
                  <c:v>0.0607714670725033</c:v>
                </c:pt>
                <c:pt idx="51">
                  <c:v>0.0845931664640542</c:v>
                </c:pt>
                <c:pt idx="52">
                  <c:v>0.0806192033823101</c:v>
                </c:pt>
                <c:pt idx="53">
                  <c:v>0.0702218094271458</c:v>
                </c:pt>
                <c:pt idx="54">
                  <c:v>0.0704777837616346</c:v>
                </c:pt>
                <c:pt idx="55">
                  <c:v>0.0785226940507577</c:v>
                </c:pt>
                <c:pt idx="56">
                  <c:v>0.100566072870217</c:v>
                </c:pt>
                <c:pt idx="57">
                  <c:v>0.09501988422701</c:v>
                </c:pt>
                <c:pt idx="58">
                  <c:v>0.101779188969977</c:v>
                </c:pt>
                <c:pt idx="59">
                  <c:v>0.0903696617905627</c:v>
                </c:pt>
                <c:pt idx="60">
                  <c:v>0.0785360132940838</c:v>
                </c:pt>
              </c:numCache>
            </c:numRef>
          </c:val>
          <c:smooth val="0"/>
        </c:ser>
        <c:ser>
          <c:idx val="2"/>
          <c:order val="2"/>
          <c:tx>
            <c:strRef>
              <c:f>'Report figures'!$AE$255</c:f>
              <c:strCache>
                <c:ptCount val="1"/>
                <c:pt idx="0">
                  <c:v>Target: yield + 4%</c:v>
                </c:pt>
              </c:strCache>
            </c:strRef>
          </c:tx>
          <c:spPr>
            <a:ln w="19050" cap="rnd">
              <a:solidFill>
                <a:srgbClr val="D99E00"/>
              </a:solidFill>
              <a:prstDash val="dash"/>
              <a:round/>
            </a:ln>
          </c:spPr>
          <c:marker>
            <c:symbol val="none"/>
          </c:marker>
          <c:cat>
            <c:numRef>
              <c:f>'Report figures'!$AB$256:$AB$316</c:f>
              <c:numCache>
                <c:formatCode>General</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figures'!$AE$256:$AE$316</c:f>
              <c:numCache>
                <c:formatCode>General</c:formatCode>
                <c:ptCount val="61"/>
                <c:pt idx="0">
                  <c:v>0.092976</c:v>
                </c:pt>
                <c:pt idx="1">
                  <c:v>0.097483</c:v>
                </c:pt>
                <c:pt idx="2">
                  <c:v>0.098402</c:v>
                </c:pt>
                <c:pt idx="3">
                  <c:v>0.097957</c:v>
                </c:pt>
                <c:pt idx="4">
                  <c:v>0.09965</c:v>
                </c:pt>
                <c:pt idx="5">
                  <c:v>0.100717</c:v>
                </c:pt>
                <c:pt idx="6">
                  <c:v>0.101316</c:v>
                </c:pt>
                <c:pt idx="7">
                  <c:v>0.104637</c:v>
                </c:pt>
                <c:pt idx="8">
                  <c:v>0.101003</c:v>
                </c:pt>
                <c:pt idx="9">
                  <c:v>0.106903</c:v>
                </c:pt>
                <c:pt idx="10">
                  <c:v>0.095364</c:v>
                </c:pt>
                <c:pt idx="11">
                  <c:v>0.077221</c:v>
                </c:pt>
                <c:pt idx="12">
                  <c:v>0.077286</c:v>
                </c:pt>
                <c:pt idx="13">
                  <c:v>0.091021</c:v>
                </c:pt>
                <c:pt idx="14">
                  <c:v>0.091395</c:v>
                </c:pt>
                <c:pt idx="15">
                  <c:v>0.0915</c:v>
                </c:pt>
                <c:pt idx="16">
                  <c:v>0.0934</c:v>
                </c:pt>
                <c:pt idx="17">
                  <c:v>0.089725</c:v>
                </c:pt>
                <c:pt idx="18">
                  <c:v>0.088075</c:v>
                </c:pt>
                <c:pt idx="19">
                  <c:v>0.0933</c:v>
                </c:pt>
                <c:pt idx="20">
                  <c:v>0.092075</c:v>
                </c:pt>
                <c:pt idx="21">
                  <c:v>0.08885</c:v>
                </c:pt>
                <c:pt idx="22">
                  <c:v>0.077875</c:v>
                </c:pt>
                <c:pt idx="23">
                  <c:v>0.075725</c:v>
                </c:pt>
                <c:pt idx="24">
                  <c:v>0.0762</c:v>
                </c:pt>
                <c:pt idx="25">
                  <c:v>0.0675</c:v>
                </c:pt>
                <c:pt idx="26">
                  <c:v>0.068175</c:v>
                </c:pt>
                <c:pt idx="27">
                  <c:v>0.06825</c:v>
                </c:pt>
                <c:pt idx="28">
                  <c:v>0.0702</c:v>
                </c:pt>
                <c:pt idx="29">
                  <c:v>0.067875</c:v>
                </c:pt>
                <c:pt idx="30">
                  <c:v>0.07331</c:v>
                </c:pt>
                <c:pt idx="31">
                  <c:v>0.07461</c:v>
                </c:pt>
                <c:pt idx="32">
                  <c:v>0.07411</c:v>
                </c:pt>
                <c:pt idx="33">
                  <c:v>0.07118</c:v>
                </c:pt>
                <c:pt idx="34">
                  <c:v>0.07041</c:v>
                </c:pt>
                <c:pt idx="35">
                  <c:v>0.06435</c:v>
                </c:pt>
                <c:pt idx="36">
                  <c:v>0.05978</c:v>
                </c:pt>
                <c:pt idx="37">
                  <c:v>0.06288</c:v>
                </c:pt>
                <c:pt idx="38">
                  <c:v>0.06101</c:v>
                </c:pt>
                <c:pt idx="39">
                  <c:v>0.06284</c:v>
                </c:pt>
                <c:pt idx="40">
                  <c:v>0.06134</c:v>
                </c:pt>
                <c:pt idx="41">
                  <c:v>0.05721</c:v>
                </c:pt>
                <c:pt idx="42">
                  <c:v>0.05695</c:v>
                </c:pt>
                <c:pt idx="43">
                  <c:v>0.06016</c:v>
                </c:pt>
                <c:pt idx="44">
                  <c:v>0.06294</c:v>
                </c:pt>
                <c:pt idx="45">
                  <c:v>0.05987</c:v>
                </c:pt>
                <c:pt idx="46">
                  <c:v>0.06186</c:v>
                </c:pt>
                <c:pt idx="47">
                  <c:v>0.06172</c:v>
                </c:pt>
                <c:pt idx="48">
                  <c:v>0.06415</c:v>
                </c:pt>
                <c:pt idx="49">
                  <c:v>0.06415</c:v>
                </c:pt>
                <c:pt idx="50">
                  <c:v>0.06239</c:v>
                </c:pt>
                <c:pt idx="51">
                  <c:v>0.06097</c:v>
                </c:pt>
                <c:pt idx="52">
                  <c:v>0.05743</c:v>
                </c:pt>
                <c:pt idx="53">
                  <c:v>0.05291</c:v>
                </c:pt>
                <c:pt idx="54">
                  <c:v>0.0481</c:v>
                </c:pt>
                <c:pt idx="55">
                  <c:v>0.04874</c:v>
                </c:pt>
                <c:pt idx="56">
                  <c:v>0.045</c:v>
                </c:pt>
                <c:pt idx="57">
                  <c:v>0.04403</c:v>
                </c:pt>
                <c:pt idx="58">
                  <c:v>0.04393</c:v>
                </c:pt>
                <c:pt idx="59">
                  <c:v>0.04343</c:v>
                </c:pt>
                <c:pt idx="60">
                  <c:v>0.04708</c:v>
                </c:pt>
              </c:numCache>
            </c:numRef>
          </c:val>
          <c:smooth val="0"/>
        </c:ser>
        <c:marker val="1"/>
        <c:axId val="1001"/>
        <c:axId val="1002"/>
      </c:lineChart>
      <c:dateAx>
        <c:axId val="1001"/>
        <c:scaling>
          <c:orientation val="minMax"/>
        </c:scaling>
        <c:delete val="0"/>
        <c:axPos val="b"/>
        <c:numFmt formatCode="yyyy"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Offset val="100"/>
        <c:baseTimeUnit val="months"/>
        <c:majorUnit val="2"/>
        <c:majorTimeUnit val="years"/>
      </c:date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Annualised 5-year return (net)</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3.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col"/>
        <c:grouping val="clustered"/>
        <c:varyColors val="0"/>
        <c:ser>
          <c:idx val="0"/>
          <c:order val="0"/>
          <c:tx>
            <c:strRef>
              <c:f>'Report figures'!$O$281</c:f>
              <c:strCache>
                <c:ptCount val="1"/>
                <c:pt idx="0">
                  <c:v>Expected return (arithmetic)</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figures'!$O$282:$O$288</c:f>
              <c:numCache>
                <c:formatCode>General</c:formatCode>
                <c:ptCount val="7"/>
                <c:pt idx="0">
                  <c:v>0.0700321062587087</c:v>
                </c:pt>
                <c:pt idx="1">
                  <c:v>0.0699118836330803</c:v>
                </c:pt>
                <c:pt idx="2">
                  <c:v>0.0680775395926901</c:v>
                </c:pt>
                <c:pt idx="3">
                  <c:v>0.0634813665404129</c:v>
                </c:pt>
                <c:pt idx="4">
                  <c:v>0.0665703239383462</c:v>
                </c:pt>
                <c:pt idx="5">
                  <c:v>0.069624614709126</c:v>
                </c:pt>
                <c:pt idx="6">
                  <c:v>0.0662554639579687</c:v>
                </c:pt>
              </c:numCache>
            </c:numRef>
          </c:val>
        </c:ser>
        <c:ser>
          <c:idx val="1"/>
          <c:order val="1"/>
          <c:tx>
            <c:strRef>
              <c:f>'Report figures'!$P$281</c:f>
              <c:strCache>
                <c:ptCount val="1"/>
                <c:pt idx="0">
                  <c:v>Volatility</c:v>
                </c:pt>
              </c:strCache>
            </c:strRef>
          </c:tx>
          <c:spPr>
            <a:solidFill>
              <a:srgbClr val="5C9BD6"/>
            </a:solidFill>
            <a:ln w="9525">
              <a:solidFill>
                <a:srgbClr val="FFFFFF"/>
              </a:solidFill>
            </a:ln>
          </c:spPr>
          <c:invertIfNegative val="0"/>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figures'!$P$282:$P$288</c:f>
              <c:numCache>
                <c:formatCode>General</c:formatCode>
                <c:ptCount val="7"/>
                <c:pt idx="0">
                  <c:v>0.0783891281769718</c:v>
                </c:pt>
                <c:pt idx="1">
                  <c:v>0.078033812785194</c:v>
                </c:pt>
                <c:pt idx="2">
                  <c:v>0.0743193111754299</c:v>
                </c:pt>
                <c:pt idx="3">
                  <c:v>0.0595134073977176</c:v>
                </c:pt>
                <c:pt idx="4">
                  <c:v>0.0665089375133541</c:v>
                </c:pt>
                <c:pt idx="5">
                  <c:v>0.0838339641597338</c:v>
                </c:pt>
                <c:pt idx="6">
                  <c:v>0.0701341120083923</c:v>
                </c:pt>
              </c:numCache>
            </c:numRef>
          </c:val>
        </c:ser>
        <c:ser>
          <c:idx val="2"/>
          <c:order val="2"/>
          <c:tx>
            <c:strRef>
              <c:f>'Report figures'!$Q$281</c:f>
              <c:strCache>
                <c:ptCount val="1"/>
                <c:pt idx="0">
                  <c:v>Tracking error</c:v>
                </c:pt>
              </c:strCache>
            </c:strRef>
          </c:tx>
          <c:spPr>
            <a:solidFill>
              <a:srgbClr val="6B5CA5"/>
            </a:solidFill>
            <a:ln w="9525">
              <a:solidFill>
                <a:srgbClr val="FFFFFF"/>
              </a:solidFill>
            </a:ln>
          </c:spPr>
          <c:invertIfNegative val="0"/>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figures'!$Q$282:$Q$288</c:f>
              <c:numCache>
                <c:formatCode>General</c:formatCode>
                <c:ptCount val="7"/>
                <c:pt idx="0">
                  <c:v>0.0110023822192608</c:v>
                </c:pt>
                <c:pt idx="1">
                  <c:v>0.01063713359279</c:v>
                </c:pt>
                <c:pt idx="2">
                  <c:v>0.00549254498116541</c:v>
                </c:pt>
                <c:pt idx="3">
                  <c:v>0.0110070692691524</c:v>
                </c:pt>
                <c:pt idx="4">
                  <c:v>0.010999556058269</c:v>
                </c:pt>
                <c:pt idx="5">
                  <c:v>0.0215850264140928</c:v>
                </c:pt>
                <c:pt idx="6">
                  <c:v>0</c:v>
                </c:pt>
              </c:numCache>
            </c:numRef>
          </c:val>
        </c:ser>
        <c:gapWidth val="50"/>
        <c:overlap val="-8"/>
        <c:axId val="1001"/>
        <c:axId val="1002"/>
      </c:bar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4.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bar"/>
        <c:grouping val="clustered"/>
        <c:varyColors val="0"/>
        <c:ser>
          <c:idx val="0"/>
          <c:order val="0"/>
          <c:tx>
            <c:strRef>
              <c:f>'Report figures'!$O$307</c:f>
              <c:strCache>
                <c:ptCount val="1"/>
                <c:pt idx="0">
                  <c:v>Net forecast (5-year, compound)</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figures'!$N$308:$N$318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figures'!$O$308:$O$318</c:f>
              <c:numCache>
                <c:formatCode>General</c:formatCode>
                <c:ptCount val="11"/>
                <c:pt idx="0">
                  <c:v>0.0659685493090504</c:v>
                </c:pt>
                <c:pt idx="1">
                  <c:v>0.0691721485435256</c:v>
                </c:pt>
                <c:pt idx="2">
                  <c:v>0.0651835954559237</c:v>
                </c:pt>
                <c:pt idx="3">
                  <c:v>0.0650701212719445</c:v>
                </c:pt>
                <c:pt idx="4">
                  <c:v>0.0396761928036509</c:v>
                </c:pt>
                <c:pt idx="5">
                  <c:v>0.0396806588323298</c:v>
                </c:pt>
                <c:pt idx="6">
                  <c:v>0.0346848999655106</c:v>
                </c:pt>
                <c:pt idx="7">
                  <c:v>0.043410241030186</c:v>
                </c:pt>
                <c:pt idx="8">
                  <c:v>0.0493022538146198</c:v>
                </c:pt>
                <c:pt idx="9">
                  <c:v>0.0524732697316071</c:v>
                </c:pt>
                <c:pt idx="10">
                  <c:v>0.0476501883489648</c:v>
                </c:pt>
              </c:numCache>
            </c:numRef>
          </c:val>
        </c:ser>
        <c:ser>
          <c:idx val="1"/>
          <c:order val="1"/>
          <c:tx>
            <c:strRef>
              <c:f>'Report figures'!$P$307</c:f>
              <c:strCache>
                <c:ptCount val="1"/>
                <c:pt idx="0">
                  <c:v>20-year history</c:v>
                </c:pt>
              </c:strCache>
            </c:strRef>
          </c:tx>
          <c:spPr>
            <a:solidFill>
              <a:srgbClr val="5C9BD6"/>
            </a:solidFill>
            <a:ln w="9525">
              <a:solidFill>
                <a:srgbClr val="FFFFFF"/>
              </a:solidFill>
            </a:ln>
          </c:spPr>
          <c:invertIfNegative val="0"/>
          <c:cat>
            <c:strRef>
              <c:f>'Report figures'!$N$308:$N$318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figures'!$P$308:$P$318</c:f>
              <c:numCache>
                <c:formatCode>General</c:formatCode>
                <c:ptCount val="11"/>
                <c:pt idx="0">
                  <c:v>0.0695012498741834</c:v>
                </c:pt>
                <c:pt idx="1">
                  <c:v>0.088450812806028</c:v>
                </c:pt>
                <c:pt idx="2">
                  <c:v>0.0799889275290706</c:v>
                </c:pt>
                <c:pt idx="3">
                  <c:v>0.0537534457401672</c:v>
                </c:pt>
                <c:pt idx="4">
                  <c:v>-0.0067382599487994</c:v>
                </c:pt>
                <c:pt idx="5">
                  <c:v>0.0606084874190023</c:v>
                </c:pt>
                <c:pt idx="6">
                  <c:v>0.0765513454906872</c:v>
                </c:pt>
                <c:pt idx="7">
                  <c:v>0.10687219699712</c:v>
                </c:pt>
                <c:pt idx="8">
                  <c:v>0.0396063048407955</c:v>
                </c:pt>
                <c:pt idx="9">
                  <c:v>0.0430209428987427</c:v>
                </c:pt>
                <c:pt idx="10">
                  <c:v>0.0330591494495724</c:v>
                </c:pt>
              </c:numCache>
            </c:numRef>
          </c:val>
        </c:ser>
        <c:gapWidth val="40"/>
        <c:overlap val="-8"/>
        <c:axId val="1001"/>
        <c:axId val="1002"/>
      </c:barChart>
      <c:catAx>
        <c:axId val="1001"/>
        <c:scaling>
          <c:orientation val="maxMin"/>
        </c:scaling>
        <c:delete val="0"/>
        <c:axPos val="l"/>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b"/>
        <c:majorGridlines>
          <c:spPr>
            <a:ln w="6350">
              <a:solidFill>
                <a:srgbClr val="E3E3E3"/>
              </a:solidFill>
            </a:ln>
          </c:spPr>
        </c:majorGridlines>
        <c:title>
          <c:tx>
            <c:rich>
              <a:bodyPr/>
              <a:lstStyle/>
              <a:p>
                <a:pPr>
                  <a:defRPr sz="900" b="0">
                    <a:solidFill>
                      <a:srgbClr val="595959"/>
                    </a:solidFill>
                    <a:latin typeface="Arial"/>
                  </a:defRPr>
                </a:pPr>
                <a:r>
                  <a:rPr lang="en-AU" sz="900" b="0">
                    <a:solidFill>
                      <a:srgbClr val="595959"/>
                    </a:solidFill>
                    <a:latin typeface="Arial"/>
                  </a:rPr>
                  <a:t>Return (p.a.)</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max"/>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5.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bar"/>
        <c:grouping val="clustered"/>
        <c:varyColors val="0"/>
        <c:ser>
          <c:idx val="0"/>
          <c:order val="0"/>
          <c:tx>
            <c:strRef>
              <c:f>'Report figures'!$O$333</c:f>
              <c:strCache>
                <c:ptCount val="1"/>
                <c:pt idx="0">
                  <c:v>Forecast 1% lower</c:v>
                </c:pt>
              </c:strCache>
            </c:strRef>
          </c:tx>
          <c:spPr>
            <a:solidFill>
              <a:srgbClr val="2B5C9E"/>
            </a:solidFill>
            <a:ln w="9525">
              <a:solidFill>
                <a:srgbClr val="FFFFFF"/>
              </a:solidFill>
            </a:ln>
          </c:spPr>
          <c:invertIfNegative val="0"/>
          <c:cat>
            <c:strRef>
              <c:f>'Report figures'!$N$334:$N$344</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figures'!$O$334:$O$344</c:f>
              <c:numCache>
                <c:formatCode>General</c:formatCode>
                <c:ptCount val="11"/>
                <c:pt idx="0">
                  <c:v>0.001262</c:v>
                </c:pt>
                <c:pt idx="1">
                  <c:v>-0.00079</c:v>
                </c:pt>
                <c:pt idx="2">
                  <c:v>-0.000672</c:v>
                </c:pt>
                <c:pt idx="3">
                  <c:v>0.000133</c:v>
                </c:pt>
                <c:pt idx="4">
                  <c:v>-0.000244</c:v>
                </c:pt>
                <c:pt idx="5">
                  <c:v>0</c:v>
                </c:pt>
                <c:pt idx="6">
                  <c:v>0</c:v>
                </c:pt>
                <c:pt idx="7">
                  <c:v>0</c:v>
                </c:pt>
                <c:pt idx="8">
                  <c:v>0.0003</c:v>
                </c:pt>
                <c:pt idx="9">
                  <c:v>-0.000489</c:v>
                </c:pt>
                <c:pt idx="10">
                  <c:v>0.0005</c:v>
                </c:pt>
              </c:numCache>
            </c:numRef>
          </c:val>
        </c:ser>
        <c:ser>
          <c:idx val="1"/>
          <c:order val="1"/>
          <c:tx>
            <c:strRef>
              <c:f>'Report figures'!$P$333</c:f>
              <c:strCache>
                <c:ptCount val="1"/>
                <c:pt idx="0">
                  <c:v>Forecast 1% higher</c:v>
                </c:pt>
              </c:strCache>
            </c:strRef>
          </c:tx>
          <c:spPr>
            <a:solidFill>
              <a:srgbClr val="5C9BD6"/>
            </a:solidFill>
            <a:ln w="9525">
              <a:solidFill>
                <a:srgbClr val="FFFFFF"/>
              </a:solidFill>
            </a:ln>
          </c:spPr>
          <c:invertIfNegative val="0"/>
          <c:cat>
            <c:strRef>
              <c:f>'Report figures'!$N$334:$N$344</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figures'!$P$334:$P$344</c:f>
              <c:numCache>
                <c:formatCode>General</c:formatCode>
                <c:ptCount val="11"/>
                <c:pt idx="0">
                  <c:v>-0.001262</c:v>
                </c:pt>
                <c:pt idx="1">
                  <c:v>0.00079</c:v>
                </c:pt>
                <c:pt idx="2">
                  <c:v>0.000672</c:v>
                </c:pt>
                <c:pt idx="3">
                  <c:v>-0.000133</c:v>
                </c:pt>
                <c:pt idx="4">
                  <c:v>0.000244</c:v>
                </c:pt>
                <c:pt idx="5">
                  <c:v>0</c:v>
                </c:pt>
                <c:pt idx="6">
                  <c:v>0</c:v>
                </c:pt>
                <c:pt idx="7">
                  <c:v>0</c:v>
                </c:pt>
                <c:pt idx="8">
                  <c:v>-0.0003</c:v>
                </c:pt>
                <c:pt idx="9">
                  <c:v>0.000489</c:v>
                </c:pt>
                <c:pt idx="10">
                  <c:v>-0.0005</c:v>
                </c:pt>
              </c:numCache>
            </c:numRef>
          </c:val>
        </c:ser>
        <c:gapWidth val="40"/>
        <c:overlap val="-8"/>
        <c:axId val="1001"/>
        <c:axId val="1002"/>
      </c:barChart>
      <c:catAx>
        <c:axId val="1001"/>
        <c:scaling>
          <c:orientation val="maxMin"/>
        </c:scaling>
        <c:delete val="0"/>
        <c:axPos val="l"/>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b"/>
        <c:majorGridlines>
          <c:spPr>
            <a:ln w="6350">
              <a:solidFill>
                <a:srgbClr val="E3E3E3"/>
              </a:solidFill>
            </a:ln>
          </c:spPr>
        </c:majorGridlines>
        <c:title>
          <c:tx>
            <c:rich>
              <a:bodyPr/>
              <a:lstStyle/>
              <a:p>
                <a:pPr>
                  <a:defRPr sz="900" b="0">
                    <a:solidFill>
                      <a:srgbClr val="595959"/>
                    </a:solidFill>
                    <a:latin typeface="Arial"/>
                  </a:defRPr>
                </a:pPr>
                <a:r>
                  <a:rPr lang="en-AU" sz="900" b="0">
                    <a:solidFill>
                      <a:srgbClr val="595959"/>
                    </a:solidFill>
                    <a:latin typeface="Arial"/>
                  </a:rPr>
                  <a:t>Change in advantage over the current fund</a:t>
                </a:r>
              </a:p>
            </c:rich>
          </c:tx>
          <c:overlay val="0"/>
        </c:title>
        <c:numFmt formatCode="0.0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max"/>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6.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100" b="0">
                <a:solidFill>
                  <a:srgbClr val="595959"/>
                </a:solidFill>
                <a:latin typeface="Arial"/>
              </a:defRPr>
            </a:pPr>
            <a:r>
              <a:rPr lang="en-AU" sz="1100" b="0">
                <a:solidFill>
                  <a:srgbClr val="595959"/>
                </a:solidFill>
                <a:latin typeface="Arial"/>
              </a:rPr>
              <a:t>Portfolio construction methods</a:t>
            </a:r>
          </a:p>
        </c:rich>
      </c:tx>
      <c:overlay val="0"/>
    </c:title>
    <c:autoTitleDeleted val="0"/>
    <c:plotArea>
      <c:layout/>
      <c:barChart>
        <c:barDir val="col"/>
        <c:grouping val="clustered"/>
        <c:varyColors val="0"/>
        <c:ser>
          <c:idx val="0"/>
          <c:order val="0"/>
          <c:tx>
            <c:strRef>
              <c:f>'Report figures'!$O$281</c:f>
              <c:strCache>
                <c:ptCount val="1"/>
                <c:pt idx="0">
                  <c:v>Expected return (arithmetic)</c:v>
                </c:pt>
              </c:strCache>
            </c:strRef>
          </c:tx>
          <c:spPr>
            <a:solidFill>
              <a:srgbClr val="2B5C9E"/>
            </a:solidFill>
            <a:ln w="9525">
              <a:solidFill>
                <a:srgbClr val="FFFFFF"/>
              </a:solidFill>
            </a:ln>
          </c:spPr>
          <c:invertIfNegative val="0"/>
          <c:dLbls>
            <c:numFmt formatCode="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figures'!$O$282:$O$288</c:f>
              <c:numCache>
                <c:formatCode>General</c:formatCode>
                <c:ptCount val="7"/>
                <c:pt idx="0">
                  <c:v>0.0700321062587087</c:v>
                </c:pt>
                <c:pt idx="1">
                  <c:v>0.0699118836330803</c:v>
                </c:pt>
                <c:pt idx="2">
                  <c:v>0.0680775395926901</c:v>
                </c:pt>
                <c:pt idx="3">
                  <c:v>0.0634813665404129</c:v>
                </c:pt>
                <c:pt idx="4">
                  <c:v>0.0665703239383462</c:v>
                </c:pt>
                <c:pt idx="5">
                  <c:v>0.069624614709126</c:v>
                </c:pt>
                <c:pt idx="6">
                  <c:v>0.0662554639579687</c:v>
                </c:pt>
              </c:numCache>
            </c:numRef>
          </c:val>
        </c:ser>
        <c:ser>
          <c:idx val="1"/>
          <c:order val="1"/>
          <c:tx>
            <c:strRef>
              <c:f>'Report figures'!$P$281</c:f>
              <c:strCache>
                <c:ptCount val="1"/>
                <c:pt idx="0">
                  <c:v>Volatility</c:v>
                </c:pt>
              </c:strCache>
            </c:strRef>
          </c:tx>
          <c:spPr>
            <a:solidFill>
              <a:srgbClr val="5C9BD6"/>
            </a:solidFill>
            <a:ln w="9525">
              <a:solidFill>
                <a:srgbClr val="FFFFFF"/>
              </a:solidFill>
            </a:ln>
          </c:spPr>
          <c:invertIfNegative val="0"/>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figures'!$P$282:$P$288</c:f>
              <c:numCache>
                <c:formatCode>General</c:formatCode>
                <c:ptCount val="7"/>
                <c:pt idx="0">
                  <c:v>0.0783891281769718</c:v>
                </c:pt>
                <c:pt idx="1">
                  <c:v>0.078033812785194</c:v>
                </c:pt>
                <c:pt idx="2">
                  <c:v>0.0743193111754299</c:v>
                </c:pt>
                <c:pt idx="3">
                  <c:v>0.0595134073977176</c:v>
                </c:pt>
                <c:pt idx="4">
                  <c:v>0.0665089375133541</c:v>
                </c:pt>
                <c:pt idx="5">
                  <c:v>0.0838339641597338</c:v>
                </c:pt>
                <c:pt idx="6">
                  <c:v>0.0701341120083923</c:v>
                </c:pt>
              </c:numCache>
            </c:numRef>
          </c:val>
        </c:ser>
        <c:ser>
          <c:idx val="2"/>
          <c:order val="2"/>
          <c:tx>
            <c:strRef>
              <c:f>'Report figures'!$Q$281</c:f>
              <c:strCache>
                <c:ptCount val="1"/>
                <c:pt idx="0">
                  <c:v>Tracking error</c:v>
                </c:pt>
              </c:strCache>
            </c:strRef>
          </c:tx>
          <c:spPr>
            <a:solidFill>
              <a:srgbClr val="6B5CA5"/>
            </a:solidFill>
            <a:ln w="9525">
              <a:solidFill>
                <a:srgbClr val="FFFFFF"/>
              </a:solidFill>
            </a:ln>
          </c:spPr>
          <c:invertIfNegative val="0"/>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figures'!$Q$282:$Q$288</c:f>
              <c:numCache>
                <c:formatCode>General</c:formatCode>
                <c:ptCount val="7"/>
                <c:pt idx="0">
                  <c:v>0.0110023822192608</c:v>
                </c:pt>
                <c:pt idx="1">
                  <c:v>0.01063713359279</c:v>
                </c:pt>
                <c:pt idx="2">
                  <c:v>0.00549254498116541</c:v>
                </c:pt>
                <c:pt idx="3">
                  <c:v>0.0110070692691524</c:v>
                </c:pt>
                <c:pt idx="4">
                  <c:v>0.010999556058269</c:v>
                </c:pt>
                <c:pt idx="5">
                  <c:v>0.0215850264140928</c:v>
                </c:pt>
                <c:pt idx="6">
                  <c:v>0</c:v>
                </c:pt>
              </c:numCache>
            </c:numRef>
          </c:val>
        </c:ser>
        <c:gapWidth val="50"/>
        <c:overlap val="-8"/>
        <c:axId val="1001"/>
        <c:axId val="1002"/>
      </c:bar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7.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100" b="0">
                <a:solidFill>
                  <a:srgbClr val="595959"/>
                </a:solidFill>
                <a:latin typeface="Arial"/>
              </a:defRPr>
            </a:pPr>
            <a:r>
              <a:rPr lang="en-AU" sz="1100" b="0">
                <a:solidFill>
                  <a:srgbClr val="595959"/>
                </a:solidFill>
                <a:latin typeface="Arial"/>
              </a:rPr>
              <a:t>Weights by method</a:t>
            </a:r>
          </a:p>
        </c:rich>
      </c:tx>
      <c:overlay val="0"/>
    </c:title>
    <c:autoTitleDeleted val="0"/>
    <c:plotArea>
      <c:layout/>
      <c:barChart>
        <c:barDir val="bar"/>
        <c:grouping val="clustered"/>
        <c:varyColors val="0"/>
        <c:ser>
          <c:idx val="0"/>
          <c:order val="0"/>
          <c:tx>
            <c:strRef>
              <c:f>Methods!$D$5</c:f>
              <c:strCache>
                <c:ptCount val="1"/>
                <c:pt idx="0">
                  <c:v>Robust MVO</c:v>
                </c:pt>
              </c:strCache>
            </c:strRef>
          </c:tx>
          <c:spPr>
            <a:solidFill>
              <a:srgbClr val="2B5C9E"/>
            </a:solidFill>
            <a:ln w="9525">
              <a:solidFill>
                <a:srgbClr val="FFFFFF"/>
              </a:solidFill>
            </a:ln>
          </c:spPr>
          <c:invertIfNegative val="0"/>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Methods!$D$6:$D$16</c:f>
              <c:numCache>
                <c:formatCode>General</c:formatCode>
                <c:ptCount val="11"/>
                <c:pt idx="0">
                  <c:v>0.2738</c:v>
                </c:pt>
                <c:pt idx="1">
                  <c:v>0.279</c:v>
                </c:pt>
                <c:pt idx="2">
                  <c:v>0.0672</c:v>
                </c:pt>
                <c:pt idx="3">
                  <c:v>0.0867</c:v>
                </c:pt>
                <c:pt idx="4">
                  <c:v>0.0244</c:v>
                </c:pt>
                <c:pt idx="5">
                  <c:v>0</c:v>
                </c:pt>
                <c:pt idx="6">
                  <c:v>0</c:v>
                </c:pt>
                <c:pt idx="7">
                  <c:v>0</c:v>
                </c:pt>
                <c:pt idx="8">
                  <c:v>0.12</c:v>
                </c:pt>
                <c:pt idx="9">
                  <c:v>0.1289</c:v>
                </c:pt>
                <c:pt idx="10">
                  <c:v>0.02</c:v>
                </c:pt>
              </c:numCache>
            </c:numRef>
          </c:val>
        </c:ser>
        <c:ser>
          <c:idx val="1"/>
          <c:order val="1"/>
          <c:tx>
            <c:strRef>
              <c:f>Methods!$E$5</c:f>
              <c:strCache>
                <c:ptCount val="1"/>
                <c:pt idx="0">
                  <c:v>Sample MVO</c:v>
                </c:pt>
              </c:strCache>
            </c:strRef>
          </c:tx>
          <c:spPr>
            <a:solidFill>
              <a:srgbClr val="18998A"/>
            </a:solidFill>
            <a:ln w="9525">
              <a:solidFill>
                <a:srgbClr val="FFFFFF"/>
              </a:solidFill>
            </a:ln>
          </c:spPr>
          <c:invertIfNegative val="0"/>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Methods!$E$6:$E$16</c:f>
              <c:numCache>
                <c:formatCode>General</c:formatCode>
                <c:ptCount val="11"/>
                <c:pt idx="0">
                  <c:v>0.2732</c:v>
                </c:pt>
                <c:pt idx="1">
                  <c:v>0.2879</c:v>
                </c:pt>
                <c:pt idx="2">
                  <c:v>0.0589</c:v>
                </c:pt>
                <c:pt idx="3">
                  <c:v>0.08</c:v>
                </c:pt>
                <c:pt idx="4">
                  <c:v>0.0243</c:v>
                </c:pt>
                <c:pt idx="5">
                  <c:v>0</c:v>
                </c:pt>
                <c:pt idx="6">
                  <c:v>0</c:v>
                </c:pt>
                <c:pt idx="7">
                  <c:v>0</c:v>
                </c:pt>
                <c:pt idx="8">
                  <c:v>0.12</c:v>
                </c:pt>
                <c:pt idx="9">
                  <c:v>0.1357</c:v>
                </c:pt>
                <c:pt idx="10">
                  <c:v>0.02</c:v>
                </c:pt>
              </c:numCache>
            </c:numRef>
          </c:val>
        </c:ser>
        <c:ser>
          <c:idx val="2"/>
          <c:order val="2"/>
          <c:tx>
            <c:strRef>
              <c:f>Methods!$F$5</c:f>
              <c:strCache>
                <c:ptCount val="1"/>
                <c:pt idx="0">
                  <c:v>Resampled MVO</c:v>
                </c:pt>
              </c:strCache>
            </c:strRef>
          </c:tx>
          <c:spPr>
            <a:solidFill>
              <a:srgbClr val="6B5CA5"/>
            </a:solidFill>
            <a:ln w="9525">
              <a:solidFill>
                <a:srgbClr val="FFFFFF"/>
              </a:solidFill>
            </a:ln>
          </c:spPr>
          <c:invertIfNegative val="0"/>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Methods!$F$6:$F$16</c:f>
              <c:numCache>
                <c:formatCode>General</c:formatCode>
                <c:ptCount val="11"/>
                <c:pt idx="0">
                  <c:v>0.2597</c:v>
                </c:pt>
                <c:pt idx="1">
                  <c:v>0.2594</c:v>
                </c:pt>
                <c:pt idx="2">
                  <c:v>0.0475</c:v>
                </c:pt>
                <c:pt idx="3">
                  <c:v>0.0773</c:v>
                </c:pt>
                <c:pt idx="4">
                  <c:v>0.0249</c:v>
                </c:pt>
                <c:pt idx="5">
                  <c:v>0.0262</c:v>
                </c:pt>
                <c:pt idx="6">
                  <c:v>0.0106</c:v>
                </c:pt>
                <c:pt idx="7">
                  <c:v>0.0226</c:v>
                </c:pt>
                <c:pt idx="8">
                  <c:v>0.1424</c:v>
                </c:pt>
                <c:pt idx="9">
                  <c:v>0.1015</c:v>
                </c:pt>
                <c:pt idx="10">
                  <c:v>0.0279</c:v>
                </c:pt>
              </c:numCache>
            </c:numRef>
          </c:val>
        </c:ser>
        <c:ser>
          <c:idx val="3"/>
          <c:order val="3"/>
          <c:tx>
            <c:strRef>
              <c:f>Methods!$G$5</c:f>
              <c:strCache>
                <c:ptCount val="1"/>
                <c:pt idx="0">
                  <c:v>Minimum variance</c:v>
                </c:pt>
              </c:strCache>
            </c:strRef>
          </c:tx>
          <c:spPr>
            <a:solidFill>
              <a:srgbClr val="5C9BD6"/>
            </a:solidFill>
            <a:ln w="9525">
              <a:solidFill>
                <a:srgbClr val="FFFFFF"/>
              </a:solidFill>
            </a:ln>
          </c:spPr>
          <c:invertIfNegative val="0"/>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Methods!$G$6:$G$16</c:f>
              <c:numCache>
                <c:formatCode>General</c:formatCode>
                <c:ptCount val="11"/>
                <c:pt idx="0">
                  <c:v>0.2087</c:v>
                </c:pt>
                <c:pt idx="1">
                  <c:v>0.2024</c:v>
                </c:pt>
                <c:pt idx="2">
                  <c:v>0.0279</c:v>
                </c:pt>
                <c:pt idx="3">
                  <c:v>0.0566</c:v>
                </c:pt>
                <c:pt idx="4">
                  <c:v>0.0208</c:v>
                </c:pt>
                <c:pt idx="5">
                  <c:v>0.0493</c:v>
                </c:pt>
                <c:pt idx="6">
                  <c:v>0.0361</c:v>
                </c:pt>
                <c:pt idx="7">
                  <c:v>0.026</c:v>
                </c:pt>
                <c:pt idx="8">
                  <c:v>0.1446</c:v>
                </c:pt>
                <c:pt idx="9">
                  <c:v>0.1276</c:v>
                </c:pt>
                <c:pt idx="10">
                  <c:v>0.1</c:v>
                </c:pt>
              </c:numCache>
            </c:numRef>
          </c:val>
        </c:ser>
        <c:ser>
          <c:idx val="4"/>
          <c:order val="4"/>
          <c:tx>
            <c:strRef>
              <c:f>Methods!$H$5</c:f>
              <c:strCache>
                <c:ptCount val="1"/>
                <c:pt idx="0">
                  <c:v>Risk parity</c:v>
                </c:pt>
              </c:strCache>
            </c:strRef>
          </c:tx>
          <c:spPr>
            <a:solidFill>
              <a:srgbClr val="D99E00"/>
            </a:solidFill>
            <a:ln w="9525">
              <a:solidFill>
                <a:srgbClr val="FFFFFF"/>
              </a:solidFill>
            </a:ln>
          </c:spPr>
          <c:invertIfNegative val="0"/>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Methods!$H$6:$H$16</c:f>
              <c:numCache>
                <c:formatCode>General</c:formatCode>
                <c:ptCount val="11"/>
                <c:pt idx="0">
                  <c:v>0.1931</c:v>
                </c:pt>
                <c:pt idx="1">
                  <c:v>0.1992</c:v>
                </c:pt>
                <c:pt idx="2">
                  <c:v>0.08</c:v>
                </c:pt>
                <c:pt idx="3">
                  <c:v>0.1117</c:v>
                </c:pt>
                <c:pt idx="4">
                  <c:v>0.03</c:v>
                </c:pt>
                <c:pt idx="5">
                  <c:v>0.05</c:v>
                </c:pt>
                <c:pt idx="6">
                  <c:v>0</c:v>
                </c:pt>
                <c:pt idx="7">
                  <c:v>0.01</c:v>
                </c:pt>
                <c:pt idx="8">
                  <c:v>0.1391</c:v>
                </c:pt>
                <c:pt idx="9">
                  <c:v>0.1669</c:v>
                </c:pt>
                <c:pt idx="10">
                  <c:v>0.02</c:v>
                </c:pt>
              </c:numCache>
            </c:numRef>
          </c:val>
        </c:ser>
        <c:gapWidth val="40"/>
        <c:overlap val="-8"/>
        <c:axId val="1001"/>
        <c:axId val="1002"/>
      </c:barChart>
      <c:catAx>
        <c:axId val="1001"/>
        <c:scaling>
          <c:orientation val="maxMin"/>
        </c:scaling>
        <c:delete val="0"/>
        <c:axPos val="l"/>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b"/>
        <c:majorGridlines>
          <c:spPr>
            <a:ln w="6350">
              <a:solidFill>
                <a:srgbClr val="E3E3E3"/>
              </a:solidFill>
            </a:ln>
          </c:spPr>
        </c:majorGridlines>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max"/>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8.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100" b="0">
                <a:solidFill>
                  <a:srgbClr val="595959"/>
                </a:solidFill>
                <a:latin typeface="Arial"/>
              </a:defRPr>
            </a:pPr>
            <a:r>
              <a:rPr lang="en-AU" sz="1100" b="0">
                <a:solidFill>
                  <a:srgbClr val="595959"/>
                </a:solidFill>
                <a:latin typeface="Arial"/>
              </a:rPr>
              <a:t>Oil beta of equity returns by horizon</a:t>
            </a:r>
          </a:p>
        </c:rich>
      </c:tx>
      <c:overlay val="0"/>
    </c:title>
    <c:autoTitleDeleted val="0"/>
    <c:plotArea>
      <c:layout/>
      <c:barChart>
        <c:barDir val="col"/>
        <c:grouping val="clustered"/>
        <c:varyColors val="0"/>
        <c:ser>
          <c:idx val="0"/>
          <c:order val="0"/>
          <c:tx>
            <c:strRef>
              <c:f>'Report figures'!$O$229</c:f>
              <c:strCache>
                <c:ptCount val="1"/>
                <c:pt idx="0">
                  <c:v>US equities</c:v>
                </c:pt>
              </c:strCache>
            </c:strRef>
          </c:tx>
          <c:spPr>
            <a:solidFill>
              <a:srgbClr val="5C9BD6"/>
            </a:solidFill>
            <a:ln w="9525">
              <a:solidFill>
                <a:srgbClr val="FFFFFF"/>
              </a:solidFill>
            </a:ln>
          </c:spPr>
          <c:invertIfNegative val="0"/>
          <c:dLbls>
            <c:numFmt formatCode="0.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figures'!$N$230:$N$232</c:f>
              <c:strCache>
                <c:ptCount val="3"/>
                <c:pt idx="0">
                  <c:v>1 month</c:v>
                </c:pt>
                <c:pt idx="1">
                  <c:v>12 months</c:v>
                </c:pt>
                <c:pt idx="2">
                  <c:v>60 months</c:v>
                </c:pt>
              </c:strCache>
            </c:strRef>
          </c:cat>
          <c:val>
            <c:numRef>
              <c:f>'Report figures'!$O$230:$O$232</c:f>
              <c:numCache>
                <c:formatCode>General</c:formatCode>
                <c:ptCount val="3"/>
                <c:pt idx="0">
                  <c:v>0.0332915764868484</c:v>
                </c:pt>
                <c:pt idx="1">
                  <c:v>0.0203019386459009</c:v>
                </c:pt>
                <c:pt idx="2">
                  <c:v>-0.229981268370374</c:v>
                </c:pt>
              </c:numCache>
            </c:numRef>
          </c:val>
        </c:ser>
        <c:ser>
          <c:idx val="1"/>
          <c:order val="1"/>
          <c:tx>
            <c:strRef>
              <c:f>'Report figures'!$P$229</c:f>
              <c:strCache>
                <c:ptCount val="1"/>
                <c:pt idx="0">
                  <c:v>Australian equities</c:v>
                </c:pt>
              </c:strCache>
            </c:strRef>
          </c:tx>
          <c:spPr>
            <a:solidFill>
              <a:srgbClr val="2B5C9E"/>
            </a:solidFill>
            <a:ln w="9525">
              <a:solidFill>
                <a:srgbClr val="FFFFFF"/>
              </a:solidFill>
            </a:ln>
          </c:spPr>
          <c:invertIfNegative val="0"/>
          <c:dLbls>
            <c:numFmt formatCode="0.00" sourceLinked="0"/>
            <c:spPr>
              <a:noFill/>
              <a:ln>
                <a:noFill/>
              </a:ln>
            </c:spPr>
            <c:txPr>
              <a:bodyPr/>
              <a:lstStyle/>
              <a:p>
                <a:pPr>
                  <a:defRPr sz="800" b="0">
                    <a:solidFill>
                      <a:srgbClr val="262626"/>
                    </a:solidFill>
                    <a:latin typeface="Arial"/>
                    <a:cs typeface="Arial"/>
                  </a:defRPr>
                </a:pPr>
                <a:endParaRPr lang="en-AU"/>
              </a:p>
            </c:txPr>
            <c:dLblPos val="outEnd"/>
            <c:showLegendKey val="0"/>
            <c:showVal val="1"/>
            <c:showCatName val="0"/>
            <c:showSerName val="0"/>
            <c:showPercent val="0"/>
            <c:showBubbleSize val="0"/>
          </c:dLbls>
          <c:cat>
            <c:strRef>
              <c:f>'Report figures'!$N$230:$N$232</c:f>
              <c:strCache>
                <c:ptCount val="3"/>
                <c:pt idx="0">
                  <c:v>1 month</c:v>
                </c:pt>
                <c:pt idx="1">
                  <c:v>12 months</c:v>
                </c:pt>
                <c:pt idx="2">
                  <c:v>60 months</c:v>
                </c:pt>
              </c:strCache>
            </c:strRef>
          </c:cat>
          <c:val>
            <c:numRef>
              <c:f>'Report figures'!$P$230:$P$232</c:f>
              <c:numCache>
                <c:formatCode>General</c:formatCode>
                <c:ptCount val="3"/>
                <c:pt idx="0">
                  <c:v>0.067087054081971</c:v>
                </c:pt>
                <c:pt idx="1">
                  <c:v>0.100821792475989</c:v>
                </c:pt>
                <c:pt idx="2">
                  <c:v>0.0875718078465469</c:v>
                </c:pt>
              </c:numCache>
            </c:numRef>
          </c:val>
        </c:ser>
        <c:gapWidth val="60"/>
        <c:overlap val="-8"/>
        <c:axId val="1001"/>
        <c:axId val="1002"/>
      </c:barChart>
      <c:catAx>
        <c:axId val="1001"/>
        <c:scaling>
          <c:orientation val="minMax"/>
        </c:scaling>
        <c:delete val="0"/>
        <c:axPos val="b"/>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Beta to log change in oil price</a:t>
                </a:r>
              </a:p>
            </c:rich>
          </c:tx>
          <c:overlay val="0"/>
        </c:title>
        <c:numFmt formatCode="0.0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19.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100" b="0">
                <a:solidFill>
                  <a:srgbClr val="595959"/>
                </a:solidFill>
                <a:latin typeface="Arial"/>
              </a:defRPr>
            </a:pPr>
            <a:r>
              <a:rPr lang="en-AU" sz="1100" b="0">
                <a:solidFill>
                  <a:srgbClr val="595959"/>
                </a:solidFill>
                <a:latin typeface="Arial"/>
              </a:rPr>
              <a:t>Rolling 5-year return against the target</a:t>
            </a:r>
          </a:p>
        </c:rich>
      </c:tx>
      <c:overlay val="0"/>
    </c:title>
    <c:autoTitleDeleted val="0"/>
    <c:plotArea>
      <c:layout/>
      <c:lineChart>
        <c:grouping val="standard"/>
        <c:varyColors val="0"/>
        <c:ser>
          <c:idx val="0"/>
          <c:order val="0"/>
          <c:tx>
            <c:strRef>
              <c:f>'Report figures'!$AC$255</c:f>
              <c:strCache>
                <c:ptCount val="1"/>
                <c:pt idx="0">
                  <c:v>Current fund</c:v>
                </c:pt>
              </c:strCache>
            </c:strRef>
          </c:tx>
          <c:spPr>
            <a:ln w="22225" cap="rnd">
              <a:solidFill>
                <a:srgbClr val="D9641E"/>
              </a:solidFill>
              <a:prstDash val="solid"/>
              <a:round/>
            </a:ln>
          </c:spPr>
          <c:marker>
            <c:symbol val="none"/>
          </c:marker>
          <c:cat>
            <c:numRef>
              <c:f>'Report figures'!$AB$256:$AB$316</c:f>
              <c:numCache>
                <c:formatCode>General</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figures'!$AC$256:$AC$316</c:f>
              <c:numCache>
                <c:formatCode>General</c:formatCode>
                <c:ptCount val="61"/>
                <c:pt idx="0">
                  <c:v>0.016978037174755</c:v>
                </c:pt>
                <c:pt idx="1">
                  <c:v>0.016606290142108</c:v>
                </c:pt>
                <c:pt idx="2">
                  <c:v>-0.00129227161690382</c:v>
                </c:pt>
                <c:pt idx="3">
                  <c:v>-0.00794130056552755</c:v>
                </c:pt>
                <c:pt idx="4">
                  <c:v>-0.00136375556285828</c:v>
                </c:pt>
                <c:pt idx="5">
                  <c:v>-0.00740014618513252</c:v>
                </c:pt>
                <c:pt idx="6">
                  <c:v>-0.000962519117137406</c:v>
                </c:pt>
                <c:pt idx="7">
                  <c:v>0.0108732028752319</c:v>
                </c:pt>
                <c:pt idx="8">
                  <c:v>0.0425080298557103</c:v>
                </c:pt>
                <c:pt idx="9">
                  <c:v>0.0542921362702009</c:v>
                </c:pt>
                <c:pt idx="10">
                  <c:v>0.0646871579083959</c:v>
                </c:pt>
                <c:pt idx="11">
                  <c:v>0.100211481290078</c:v>
                </c:pt>
                <c:pt idx="12">
                  <c:v>0.11371663002122</c:v>
                </c:pt>
                <c:pt idx="13">
                  <c:v>0.105855936810166</c:v>
                </c:pt>
                <c:pt idx="14">
                  <c:v>0.08630080976999</c:v>
                </c:pt>
                <c:pt idx="15">
                  <c:v>0.0934115476497721</c:v>
                </c:pt>
                <c:pt idx="16">
                  <c:v>0.107195110677715</c:v>
                </c:pt>
                <c:pt idx="17">
                  <c:v>0.106982660742449</c:v>
                </c:pt>
                <c:pt idx="18">
                  <c:v>0.0993313341157522</c:v>
                </c:pt>
                <c:pt idx="19">
                  <c:v>0.100950148899825</c:v>
                </c:pt>
                <c:pt idx="20">
                  <c:v>0.091516221306114</c:v>
                </c:pt>
                <c:pt idx="21">
                  <c:v>0.10483096586237</c:v>
                </c:pt>
                <c:pt idx="22">
                  <c:v>0.12191211802145</c:v>
                </c:pt>
                <c:pt idx="23">
                  <c:v>0.125387910310119</c:v>
                </c:pt>
                <c:pt idx="24">
                  <c:v>0.114009314370936</c:v>
                </c:pt>
                <c:pt idx="25">
                  <c:v>0.117558059001635</c:v>
                </c:pt>
                <c:pt idx="26">
                  <c:v>0.108583780780966</c:v>
                </c:pt>
                <c:pt idx="27">
                  <c:v>0.110741456752355</c:v>
                </c:pt>
                <c:pt idx="28">
                  <c:v>0.0935481627862906</c:v>
                </c:pt>
                <c:pt idx="29">
                  <c:v>0.100108637430805</c:v>
                </c:pt>
                <c:pt idx="30">
                  <c:v>0.0947856925508592</c:v>
                </c:pt>
                <c:pt idx="31">
                  <c:v>0.0726242502027477</c:v>
                </c:pt>
                <c:pt idx="32">
                  <c:v>0.0884501018920803</c:v>
                </c:pt>
                <c:pt idx="33">
                  <c:v>0.094922730778962</c:v>
                </c:pt>
                <c:pt idx="34">
                  <c:v>0.0976791780299084</c:v>
                </c:pt>
                <c:pt idx="35">
                  <c:v>0.0856183633581686</c:v>
                </c:pt>
                <c:pt idx="36">
                  <c:v>0.0407143499180884</c:v>
                </c:pt>
                <c:pt idx="37">
                  <c:v>0.0658228207965195</c:v>
                </c:pt>
                <c:pt idx="38">
                  <c:v>0.068891537599858</c:v>
                </c:pt>
                <c:pt idx="39">
                  <c:v>0.0761503295778188</c:v>
                </c:pt>
                <c:pt idx="40">
                  <c:v>0.0865352831133426</c:v>
                </c:pt>
                <c:pt idx="41">
                  <c:v>0.092191073738332</c:v>
                </c:pt>
                <c:pt idx="42">
                  <c:v>0.0917570364994655</c:v>
                </c:pt>
                <c:pt idx="43">
                  <c:v>0.0913459207695624</c:v>
                </c:pt>
                <c:pt idx="44">
                  <c:v>0.0814711080242343</c:v>
                </c:pt>
                <c:pt idx="45">
                  <c:v>0.0627471418572676</c:v>
                </c:pt>
                <c:pt idx="46">
                  <c:v>0.0615648705368588</c:v>
                </c:pt>
                <c:pt idx="47">
                  <c:v>0.0592592357625863</c:v>
                </c:pt>
                <c:pt idx="48">
                  <c:v>0.0725570829134441</c:v>
                </c:pt>
                <c:pt idx="49">
                  <c:v>0.0635225028181534</c:v>
                </c:pt>
                <c:pt idx="50">
                  <c:v>0.0566641853144647</c:v>
                </c:pt>
                <c:pt idx="51">
                  <c:v>0.0816350225045768</c:v>
                </c:pt>
                <c:pt idx="52">
                  <c:v>0.075567495901431</c:v>
                </c:pt>
                <c:pt idx="53">
                  <c:v>0.063303175698348</c:v>
                </c:pt>
                <c:pt idx="54">
                  <c:v>0.0659450155701542</c:v>
                </c:pt>
                <c:pt idx="55">
                  <c:v>0.0712993967116014</c:v>
                </c:pt>
                <c:pt idx="56">
                  <c:v>0.0957793381302665</c:v>
                </c:pt>
                <c:pt idx="57">
                  <c:v>0.0889967758903518</c:v>
                </c:pt>
                <c:pt idx="58">
                  <c:v>0.0953153323474878</c:v>
                </c:pt>
                <c:pt idx="59">
                  <c:v>0.0808329649467359</c:v>
                </c:pt>
                <c:pt idx="60">
                  <c:v>0.0690594602203125</c:v>
                </c:pt>
              </c:numCache>
            </c:numRef>
          </c:val>
          <c:smooth val="0"/>
        </c:ser>
        <c:ser>
          <c:idx val="1"/>
          <c:order val="1"/>
          <c:tx>
            <c:strRef>
              <c:f>'Report figures'!$AD$255</c:f>
              <c:strCache>
                <c:ptCount val="1"/>
                <c:pt idx="0">
                  <c:v>Recommended</c:v>
                </c:pt>
              </c:strCache>
            </c:strRef>
          </c:tx>
          <c:spPr>
            <a:ln w="25400" cap="rnd">
              <a:solidFill>
                <a:srgbClr val="2B5C9E"/>
              </a:solidFill>
              <a:prstDash val="solid"/>
              <a:round/>
            </a:ln>
          </c:spPr>
          <c:marker>
            <c:symbol val="none"/>
          </c:marker>
          <c:cat>
            <c:numRef>
              <c:f>'Report figures'!$AB$256:$AB$316</c:f>
              <c:numCache>
                <c:formatCode>General</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figures'!$AD$256:$AD$316</c:f>
              <c:numCache>
                <c:formatCode>General</c:formatCode>
                <c:ptCount val="61"/>
                <c:pt idx="0">
                  <c:v>0.00585852860639502</c:v>
                </c:pt>
                <c:pt idx="1">
                  <c:v>0.00661362313660452</c:v>
                </c:pt>
                <c:pt idx="2">
                  <c:v>-0.00974634503696059</c:v>
                </c:pt>
                <c:pt idx="3">
                  <c:v>-0.0144764769919513</c:v>
                </c:pt>
                <c:pt idx="4">
                  <c:v>-0.00549361920297442</c:v>
                </c:pt>
                <c:pt idx="5">
                  <c:v>-0.0114380245145982</c:v>
                </c:pt>
                <c:pt idx="6">
                  <c:v>-0.00479026882345301</c:v>
                </c:pt>
                <c:pt idx="7">
                  <c:v>0.00474808000879934</c:v>
                </c:pt>
                <c:pt idx="8">
                  <c:v>0.0355820978537538</c:v>
                </c:pt>
                <c:pt idx="9">
                  <c:v>0.0521794020187334</c:v>
                </c:pt>
                <c:pt idx="10">
                  <c:v>0.0588423063936139</c:v>
                </c:pt>
                <c:pt idx="11">
                  <c:v>0.0959276469693511</c:v>
                </c:pt>
                <c:pt idx="12">
                  <c:v>0.108242375364112</c:v>
                </c:pt>
                <c:pt idx="13">
                  <c:v>0.103219712306001</c:v>
                </c:pt>
                <c:pt idx="14">
                  <c:v>0.0904153841370445</c:v>
                </c:pt>
                <c:pt idx="15">
                  <c:v>0.0974577396348848</c:v>
                </c:pt>
                <c:pt idx="16">
                  <c:v>0.112159698759999</c:v>
                </c:pt>
                <c:pt idx="17">
                  <c:v>0.111545378263051</c:v>
                </c:pt>
                <c:pt idx="18">
                  <c:v>0.107558178750444</c:v>
                </c:pt>
                <c:pt idx="19">
                  <c:v>0.107348581501317</c:v>
                </c:pt>
                <c:pt idx="20">
                  <c:v>0.0966887714305771</c:v>
                </c:pt>
                <c:pt idx="21">
                  <c:v>0.111884859378617</c:v>
                </c:pt>
                <c:pt idx="22">
                  <c:v>0.127109871522744</c:v>
                </c:pt>
                <c:pt idx="23">
                  <c:v>0.132490693240204</c:v>
                </c:pt>
                <c:pt idx="24">
                  <c:v>0.119013156319756</c:v>
                </c:pt>
                <c:pt idx="25">
                  <c:v>0.124489186577227</c:v>
                </c:pt>
                <c:pt idx="26">
                  <c:v>0.11691026575855</c:v>
                </c:pt>
                <c:pt idx="27">
                  <c:v>0.119833710393759</c:v>
                </c:pt>
                <c:pt idx="28">
                  <c:v>0.105009936580836</c:v>
                </c:pt>
                <c:pt idx="29">
                  <c:v>0.106314038456049</c:v>
                </c:pt>
                <c:pt idx="30">
                  <c:v>0.103498797848041</c:v>
                </c:pt>
                <c:pt idx="31">
                  <c:v>0.0775745510138415</c:v>
                </c:pt>
                <c:pt idx="32">
                  <c:v>0.0956641731471324</c:v>
                </c:pt>
                <c:pt idx="33">
                  <c:v>0.100419342543409</c:v>
                </c:pt>
                <c:pt idx="34">
                  <c:v>0.101047844962693</c:v>
                </c:pt>
                <c:pt idx="35">
                  <c:v>0.0900491694272827</c:v>
                </c:pt>
                <c:pt idx="36">
                  <c:v>0.0475121303961086</c:v>
                </c:pt>
                <c:pt idx="37">
                  <c:v>0.0675580401174238</c:v>
                </c:pt>
                <c:pt idx="38">
                  <c:v>0.0711652012405903</c:v>
                </c:pt>
                <c:pt idx="39">
                  <c:v>0.0793862969542025</c:v>
                </c:pt>
                <c:pt idx="40">
                  <c:v>0.0925493626518439</c:v>
                </c:pt>
                <c:pt idx="41">
                  <c:v>0.0977262507458807</c:v>
                </c:pt>
                <c:pt idx="42">
                  <c:v>0.0981538939229272</c:v>
                </c:pt>
                <c:pt idx="43">
                  <c:v>0.0962416753781976</c:v>
                </c:pt>
                <c:pt idx="44">
                  <c:v>0.0861128368451358</c:v>
                </c:pt>
                <c:pt idx="45">
                  <c:v>0.0692886147610028</c:v>
                </c:pt>
                <c:pt idx="46">
                  <c:v>0.0664423734382889</c:v>
                </c:pt>
                <c:pt idx="47">
                  <c:v>0.0621291415334693</c:v>
                </c:pt>
                <c:pt idx="48">
                  <c:v>0.0746676313053201</c:v>
                </c:pt>
                <c:pt idx="49">
                  <c:v>0.0674821706901108</c:v>
                </c:pt>
                <c:pt idx="50">
                  <c:v>0.0607714670725033</c:v>
                </c:pt>
                <c:pt idx="51">
                  <c:v>0.0845931664640542</c:v>
                </c:pt>
                <c:pt idx="52">
                  <c:v>0.0806192033823101</c:v>
                </c:pt>
                <c:pt idx="53">
                  <c:v>0.0702218094271458</c:v>
                </c:pt>
                <c:pt idx="54">
                  <c:v>0.0704777837616346</c:v>
                </c:pt>
                <c:pt idx="55">
                  <c:v>0.0785226940507577</c:v>
                </c:pt>
                <c:pt idx="56">
                  <c:v>0.100566072870217</c:v>
                </c:pt>
                <c:pt idx="57">
                  <c:v>0.09501988422701</c:v>
                </c:pt>
                <c:pt idx="58">
                  <c:v>0.101779188969977</c:v>
                </c:pt>
                <c:pt idx="59">
                  <c:v>0.0903696617905627</c:v>
                </c:pt>
                <c:pt idx="60">
                  <c:v>0.0785360132940838</c:v>
                </c:pt>
              </c:numCache>
            </c:numRef>
          </c:val>
          <c:smooth val="0"/>
        </c:ser>
        <c:ser>
          <c:idx val="2"/>
          <c:order val="2"/>
          <c:tx>
            <c:strRef>
              <c:f>'Report figures'!$AE$255</c:f>
              <c:strCache>
                <c:ptCount val="1"/>
                <c:pt idx="0">
                  <c:v>Target: yield + 4%</c:v>
                </c:pt>
              </c:strCache>
            </c:strRef>
          </c:tx>
          <c:spPr>
            <a:ln w="19050" cap="rnd">
              <a:solidFill>
                <a:srgbClr val="D99E00"/>
              </a:solidFill>
              <a:prstDash val="dash"/>
              <a:round/>
            </a:ln>
          </c:spPr>
          <c:marker>
            <c:symbol val="none"/>
          </c:marker>
          <c:cat>
            <c:numRef>
              <c:f>'Report figures'!$AB$256:$AB$316</c:f>
              <c:numCache>
                <c:formatCode>General</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figures'!$AE$256:$AE$316</c:f>
              <c:numCache>
                <c:formatCode>General</c:formatCode>
                <c:ptCount val="61"/>
                <c:pt idx="0">
                  <c:v>0.092976</c:v>
                </c:pt>
                <c:pt idx="1">
                  <c:v>0.097483</c:v>
                </c:pt>
                <c:pt idx="2">
                  <c:v>0.098402</c:v>
                </c:pt>
                <c:pt idx="3">
                  <c:v>0.097957</c:v>
                </c:pt>
                <c:pt idx="4">
                  <c:v>0.09965</c:v>
                </c:pt>
                <c:pt idx="5">
                  <c:v>0.100717</c:v>
                </c:pt>
                <c:pt idx="6">
                  <c:v>0.101316</c:v>
                </c:pt>
                <c:pt idx="7">
                  <c:v>0.104637</c:v>
                </c:pt>
                <c:pt idx="8">
                  <c:v>0.101003</c:v>
                </c:pt>
                <c:pt idx="9">
                  <c:v>0.106903</c:v>
                </c:pt>
                <c:pt idx="10">
                  <c:v>0.095364</c:v>
                </c:pt>
                <c:pt idx="11">
                  <c:v>0.077221</c:v>
                </c:pt>
                <c:pt idx="12">
                  <c:v>0.077286</c:v>
                </c:pt>
                <c:pt idx="13">
                  <c:v>0.091021</c:v>
                </c:pt>
                <c:pt idx="14">
                  <c:v>0.091395</c:v>
                </c:pt>
                <c:pt idx="15">
                  <c:v>0.0915</c:v>
                </c:pt>
                <c:pt idx="16">
                  <c:v>0.0934</c:v>
                </c:pt>
                <c:pt idx="17">
                  <c:v>0.089725</c:v>
                </c:pt>
                <c:pt idx="18">
                  <c:v>0.088075</c:v>
                </c:pt>
                <c:pt idx="19">
                  <c:v>0.0933</c:v>
                </c:pt>
                <c:pt idx="20">
                  <c:v>0.092075</c:v>
                </c:pt>
                <c:pt idx="21">
                  <c:v>0.08885</c:v>
                </c:pt>
                <c:pt idx="22">
                  <c:v>0.077875</c:v>
                </c:pt>
                <c:pt idx="23">
                  <c:v>0.075725</c:v>
                </c:pt>
                <c:pt idx="24">
                  <c:v>0.0762</c:v>
                </c:pt>
                <c:pt idx="25">
                  <c:v>0.0675</c:v>
                </c:pt>
                <c:pt idx="26">
                  <c:v>0.068175</c:v>
                </c:pt>
                <c:pt idx="27">
                  <c:v>0.06825</c:v>
                </c:pt>
                <c:pt idx="28">
                  <c:v>0.0702</c:v>
                </c:pt>
                <c:pt idx="29">
                  <c:v>0.067875</c:v>
                </c:pt>
                <c:pt idx="30">
                  <c:v>0.07331</c:v>
                </c:pt>
                <c:pt idx="31">
                  <c:v>0.07461</c:v>
                </c:pt>
                <c:pt idx="32">
                  <c:v>0.07411</c:v>
                </c:pt>
                <c:pt idx="33">
                  <c:v>0.07118</c:v>
                </c:pt>
                <c:pt idx="34">
                  <c:v>0.07041</c:v>
                </c:pt>
                <c:pt idx="35">
                  <c:v>0.06435</c:v>
                </c:pt>
                <c:pt idx="36">
                  <c:v>0.05978</c:v>
                </c:pt>
                <c:pt idx="37">
                  <c:v>0.06288</c:v>
                </c:pt>
                <c:pt idx="38">
                  <c:v>0.06101</c:v>
                </c:pt>
                <c:pt idx="39">
                  <c:v>0.06284</c:v>
                </c:pt>
                <c:pt idx="40">
                  <c:v>0.06134</c:v>
                </c:pt>
                <c:pt idx="41">
                  <c:v>0.05721</c:v>
                </c:pt>
                <c:pt idx="42">
                  <c:v>0.05695</c:v>
                </c:pt>
                <c:pt idx="43">
                  <c:v>0.06016</c:v>
                </c:pt>
                <c:pt idx="44">
                  <c:v>0.06294</c:v>
                </c:pt>
                <c:pt idx="45">
                  <c:v>0.05987</c:v>
                </c:pt>
                <c:pt idx="46">
                  <c:v>0.06186</c:v>
                </c:pt>
                <c:pt idx="47">
                  <c:v>0.06172</c:v>
                </c:pt>
                <c:pt idx="48">
                  <c:v>0.06415</c:v>
                </c:pt>
                <c:pt idx="49">
                  <c:v>0.06415</c:v>
                </c:pt>
                <c:pt idx="50">
                  <c:v>0.06239</c:v>
                </c:pt>
                <c:pt idx="51">
                  <c:v>0.06097</c:v>
                </c:pt>
                <c:pt idx="52">
                  <c:v>0.05743</c:v>
                </c:pt>
                <c:pt idx="53">
                  <c:v>0.05291</c:v>
                </c:pt>
                <c:pt idx="54">
                  <c:v>0.0481</c:v>
                </c:pt>
                <c:pt idx="55">
                  <c:v>0.04874</c:v>
                </c:pt>
                <c:pt idx="56">
                  <c:v>0.045</c:v>
                </c:pt>
                <c:pt idx="57">
                  <c:v>0.04403</c:v>
                </c:pt>
                <c:pt idx="58">
                  <c:v>0.04393</c:v>
                </c:pt>
                <c:pt idx="59">
                  <c:v>0.04343</c:v>
                </c:pt>
                <c:pt idx="60">
                  <c:v>0.04708</c:v>
                </c:pt>
              </c:numCache>
            </c:numRef>
          </c:val>
          <c:smooth val="0"/>
        </c:ser>
        <c:marker val="1"/>
        <c:axId val="1001"/>
        <c:axId val="1002"/>
      </c:lineChart>
      <c:dateAx>
        <c:axId val="1001"/>
        <c:scaling>
          <c:orientation val="minMax"/>
        </c:scaling>
        <c:delete val="0"/>
        <c:axPos val="b"/>
        <c:numFmt formatCode="yyyy"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Offset val="100"/>
        <c:baseTimeUnit val="months"/>
        <c:majorUnit val="2"/>
        <c:majorTimeUnit val="years"/>
      </c:date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Annualised 5-year return (net)</a:t>
                </a:r>
              </a:p>
            </c:rich>
          </c:tx>
          <c:overlay val="0"/>
        </c:title>
        <c:numFmt formatCode="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20.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lineChart>
        <c:grouping val="standard"/>
        <c:varyColors val="0"/>
        <c:ser>
          <c:idx val="0"/>
          <c:order val="0"/>
          <c:tx>
            <c:strRef>
              <c:f>'Report figures'!$AC$359</c:f>
              <c:strCache>
                <c:ptCount val="1"/>
                <c:pt idx="0">
                  <c:v>Active return (current less benchmark)</c:v>
                </c:pt>
              </c:strCache>
            </c:strRef>
          </c:tx>
          <c:spPr>
            <a:ln w="25400" cap="rnd">
              <a:solidFill>
                <a:srgbClr val="2B5C9E"/>
              </a:solidFill>
              <a:prstDash val="solid"/>
              <a:round/>
            </a:ln>
          </c:spPr>
          <c:marker>
            <c:symbol val="none"/>
          </c:marker>
          <c:cat>
            <c:numRef>
              <c:f>'Report figures'!$AB$360:$AB$540</c:f>
              <c:numCache>
                <c:formatCode>General</c:formatCode>
                <c:ptCount val="181"/>
                <c:pt idx="0">
                  <c:v>40633.0</c:v>
                </c:pt>
                <c:pt idx="1">
                  <c:v>40662.0</c:v>
                </c:pt>
                <c:pt idx="2">
                  <c:v>40694.0</c:v>
                </c:pt>
                <c:pt idx="3">
                  <c:v>40724.0</c:v>
                </c:pt>
                <c:pt idx="4">
                  <c:v>40753.0</c:v>
                </c:pt>
                <c:pt idx="5">
                  <c:v>40786.0</c:v>
                </c:pt>
                <c:pt idx="6">
                  <c:v>40816.0</c:v>
                </c:pt>
                <c:pt idx="7">
                  <c:v>40847.0</c:v>
                </c:pt>
                <c:pt idx="8">
                  <c:v>40877.0</c:v>
                </c:pt>
                <c:pt idx="9">
                  <c:v>40907.0</c:v>
                </c:pt>
                <c:pt idx="10">
                  <c:v>40939.0</c:v>
                </c:pt>
                <c:pt idx="11">
                  <c:v>40968.0</c:v>
                </c:pt>
                <c:pt idx="12">
                  <c:v>40998.0</c:v>
                </c:pt>
                <c:pt idx="13">
                  <c:v>41029.0</c:v>
                </c:pt>
                <c:pt idx="14">
                  <c:v>41060.0</c:v>
                </c:pt>
                <c:pt idx="15">
                  <c:v>41089.0</c:v>
                </c:pt>
                <c:pt idx="16">
                  <c:v>41121.0</c:v>
                </c:pt>
                <c:pt idx="17">
                  <c:v>41152.0</c:v>
                </c:pt>
                <c:pt idx="18">
                  <c:v>41180.0</c:v>
                </c:pt>
                <c:pt idx="19">
                  <c:v>41213.0</c:v>
                </c:pt>
                <c:pt idx="20">
                  <c:v>41243.0</c:v>
                </c:pt>
                <c:pt idx="21">
                  <c:v>41274.0</c:v>
                </c:pt>
                <c:pt idx="22">
                  <c:v>41305.0</c:v>
                </c:pt>
                <c:pt idx="23">
                  <c:v>41333.0</c:v>
                </c:pt>
                <c:pt idx="24">
                  <c:v>41362.0</c:v>
                </c:pt>
                <c:pt idx="25">
                  <c:v>41394.0</c:v>
                </c:pt>
                <c:pt idx="26">
                  <c:v>41425.0</c:v>
                </c:pt>
                <c:pt idx="27">
                  <c:v>41453.0</c:v>
                </c:pt>
                <c:pt idx="28">
                  <c:v>41486.0</c:v>
                </c:pt>
                <c:pt idx="29">
                  <c:v>41516.0</c:v>
                </c:pt>
                <c:pt idx="30">
                  <c:v>41547.0</c:v>
                </c:pt>
                <c:pt idx="31">
                  <c:v>41578.0</c:v>
                </c:pt>
                <c:pt idx="32">
                  <c:v>41607.0</c:v>
                </c:pt>
                <c:pt idx="33">
                  <c:v>41639.0</c:v>
                </c:pt>
                <c:pt idx="34">
                  <c:v>41670.0</c:v>
                </c:pt>
                <c:pt idx="35">
                  <c:v>41698.0</c:v>
                </c:pt>
                <c:pt idx="36">
                  <c:v>41729.0</c:v>
                </c:pt>
                <c:pt idx="37">
                  <c:v>41759.0</c:v>
                </c:pt>
                <c:pt idx="38">
                  <c:v>41789.0</c:v>
                </c:pt>
                <c:pt idx="39">
                  <c:v>41820.0</c:v>
                </c:pt>
                <c:pt idx="40">
                  <c:v>41851.0</c:v>
                </c:pt>
                <c:pt idx="41">
                  <c:v>41880.0</c:v>
                </c:pt>
                <c:pt idx="42">
                  <c:v>41912.0</c:v>
                </c:pt>
                <c:pt idx="43">
                  <c:v>41943.0</c:v>
                </c:pt>
                <c:pt idx="44">
                  <c:v>41971.0</c:v>
                </c:pt>
                <c:pt idx="45">
                  <c:v>42004.0</c:v>
                </c:pt>
                <c:pt idx="46">
                  <c:v>42034.0</c:v>
                </c:pt>
                <c:pt idx="47">
                  <c:v>42062.0</c:v>
                </c:pt>
                <c:pt idx="48">
                  <c:v>42094.0</c:v>
                </c:pt>
                <c:pt idx="49">
                  <c:v>42124.0</c:v>
                </c:pt>
                <c:pt idx="50">
                  <c:v>42153.0</c:v>
                </c:pt>
                <c:pt idx="51">
                  <c:v>42185.0</c:v>
                </c:pt>
                <c:pt idx="52">
                  <c:v>42216.0</c:v>
                </c:pt>
                <c:pt idx="53">
                  <c:v>42247.0</c:v>
                </c:pt>
                <c:pt idx="54">
                  <c:v>42277.0</c:v>
                </c:pt>
                <c:pt idx="55">
                  <c:v>42307.0</c:v>
                </c:pt>
                <c:pt idx="56">
                  <c:v>42338.0</c:v>
                </c:pt>
                <c:pt idx="57">
                  <c:v>42369.0</c:v>
                </c:pt>
                <c:pt idx="58">
                  <c:v>42398.0</c:v>
                </c:pt>
                <c:pt idx="59">
                  <c:v>42429.0</c:v>
                </c:pt>
                <c:pt idx="60">
                  <c:v>42460.0</c:v>
                </c:pt>
                <c:pt idx="61">
                  <c:v>42489.0</c:v>
                </c:pt>
                <c:pt idx="62">
                  <c:v>42521.0</c:v>
                </c:pt>
                <c:pt idx="63">
                  <c:v>42551.0</c:v>
                </c:pt>
                <c:pt idx="64">
                  <c:v>42580.0</c:v>
                </c:pt>
                <c:pt idx="65">
                  <c:v>42613.0</c:v>
                </c:pt>
                <c:pt idx="66">
                  <c:v>42643.0</c:v>
                </c:pt>
                <c:pt idx="67">
                  <c:v>42674.0</c:v>
                </c:pt>
                <c:pt idx="68">
                  <c:v>42704.0</c:v>
                </c:pt>
                <c:pt idx="69">
                  <c:v>42734.0</c:v>
                </c:pt>
                <c:pt idx="70">
                  <c:v>42766.0</c:v>
                </c:pt>
                <c:pt idx="71">
                  <c:v>42794.0</c:v>
                </c:pt>
                <c:pt idx="72">
                  <c:v>42825.0</c:v>
                </c:pt>
                <c:pt idx="73">
                  <c:v>42853.0</c:v>
                </c:pt>
                <c:pt idx="74">
                  <c:v>42886.0</c:v>
                </c:pt>
                <c:pt idx="75">
                  <c:v>42916.0</c:v>
                </c:pt>
                <c:pt idx="76">
                  <c:v>42947.0</c:v>
                </c:pt>
                <c:pt idx="77">
                  <c:v>42978.0</c:v>
                </c:pt>
                <c:pt idx="78">
                  <c:v>43007.0</c:v>
                </c:pt>
                <c:pt idx="79">
                  <c:v>43039.0</c:v>
                </c:pt>
                <c:pt idx="80">
                  <c:v>43069.0</c:v>
                </c:pt>
                <c:pt idx="81">
                  <c:v>43098.0</c:v>
                </c:pt>
                <c:pt idx="82">
                  <c:v>43131.0</c:v>
                </c:pt>
                <c:pt idx="83">
                  <c:v>43159.0</c:v>
                </c:pt>
                <c:pt idx="84">
                  <c:v>43189.0</c:v>
                </c:pt>
                <c:pt idx="85">
                  <c:v>43220.0</c:v>
                </c:pt>
                <c:pt idx="86">
                  <c:v>43251.0</c:v>
                </c:pt>
                <c:pt idx="87">
                  <c:v>43280.0</c:v>
                </c:pt>
                <c:pt idx="88">
                  <c:v>43312.0</c:v>
                </c:pt>
                <c:pt idx="89">
                  <c:v>43343.0</c:v>
                </c:pt>
                <c:pt idx="90">
                  <c:v>43371.0</c:v>
                </c:pt>
                <c:pt idx="91">
                  <c:v>43404.0</c:v>
                </c:pt>
                <c:pt idx="92">
                  <c:v>43434.0</c:v>
                </c:pt>
                <c:pt idx="93">
                  <c:v>43465.0</c:v>
                </c:pt>
                <c:pt idx="94">
                  <c:v>43496.0</c:v>
                </c:pt>
                <c:pt idx="95">
                  <c:v>43524.0</c:v>
                </c:pt>
                <c:pt idx="96">
                  <c:v>43553.0</c:v>
                </c:pt>
                <c:pt idx="97">
                  <c:v>43585.0</c:v>
                </c:pt>
                <c:pt idx="98">
                  <c:v>43616.0</c:v>
                </c:pt>
                <c:pt idx="99">
                  <c:v>43644.0</c:v>
                </c:pt>
                <c:pt idx="100">
                  <c:v>43677.0</c:v>
                </c:pt>
                <c:pt idx="101">
                  <c:v>43707.0</c:v>
                </c:pt>
                <c:pt idx="102">
                  <c:v>43738.0</c:v>
                </c:pt>
                <c:pt idx="103">
                  <c:v>43769.0</c:v>
                </c:pt>
                <c:pt idx="104">
                  <c:v>43798.0</c:v>
                </c:pt>
                <c:pt idx="105">
                  <c:v>43830.0</c:v>
                </c:pt>
                <c:pt idx="106">
                  <c:v>43861.0</c:v>
                </c:pt>
                <c:pt idx="107">
                  <c:v>43889.0</c:v>
                </c:pt>
                <c:pt idx="108">
                  <c:v>43921.0</c:v>
                </c:pt>
                <c:pt idx="109">
                  <c:v>43951.0</c:v>
                </c:pt>
                <c:pt idx="110">
                  <c:v>43980.0</c:v>
                </c:pt>
                <c:pt idx="111">
                  <c:v>44012.0</c:v>
                </c:pt>
                <c:pt idx="112">
                  <c:v>44043.0</c:v>
                </c:pt>
                <c:pt idx="113">
                  <c:v>44074.0</c:v>
                </c:pt>
                <c:pt idx="114">
                  <c:v>44104.0</c:v>
                </c:pt>
                <c:pt idx="115">
                  <c:v>44134.0</c:v>
                </c:pt>
                <c:pt idx="116">
                  <c:v>44165.0</c:v>
                </c:pt>
                <c:pt idx="117">
                  <c:v>44196.0</c:v>
                </c:pt>
                <c:pt idx="118">
                  <c:v>44225.0</c:v>
                </c:pt>
                <c:pt idx="119">
                  <c:v>44253.0</c:v>
                </c:pt>
                <c:pt idx="120">
                  <c:v>44286.0</c:v>
                </c:pt>
                <c:pt idx="121">
                  <c:v>44316.0</c:v>
                </c:pt>
                <c:pt idx="122">
                  <c:v>44347.0</c:v>
                </c:pt>
                <c:pt idx="123">
                  <c:v>44377.0</c:v>
                </c:pt>
                <c:pt idx="124">
                  <c:v>44407.0</c:v>
                </c:pt>
                <c:pt idx="125">
                  <c:v>44439.0</c:v>
                </c:pt>
                <c:pt idx="126">
                  <c:v>44469.0</c:v>
                </c:pt>
                <c:pt idx="127">
                  <c:v>44498.0</c:v>
                </c:pt>
                <c:pt idx="128">
                  <c:v>44530.0</c:v>
                </c:pt>
                <c:pt idx="129">
                  <c:v>44561.0</c:v>
                </c:pt>
                <c:pt idx="130">
                  <c:v>44592.0</c:v>
                </c:pt>
                <c:pt idx="131">
                  <c:v>44620.0</c:v>
                </c:pt>
                <c:pt idx="132">
                  <c:v>44651.0</c:v>
                </c:pt>
                <c:pt idx="133">
                  <c:v>44680.0</c:v>
                </c:pt>
                <c:pt idx="134">
                  <c:v>44712.0</c:v>
                </c:pt>
                <c:pt idx="135">
                  <c:v>44742.0</c:v>
                </c:pt>
                <c:pt idx="136">
                  <c:v>44771.0</c:v>
                </c:pt>
                <c:pt idx="137">
                  <c:v>44804.0</c:v>
                </c:pt>
                <c:pt idx="138">
                  <c:v>44834.0</c:v>
                </c:pt>
                <c:pt idx="139">
                  <c:v>44865.0</c:v>
                </c:pt>
                <c:pt idx="140">
                  <c:v>44895.0</c:v>
                </c:pt>
                <c:pt idx="141">
                  <c:v>44925.0</c:v>
                </c:pt>
                <c:pt idx="142">
                  <c:v>44957.0</c:v>
                </c:pt>
                <c:pt idx="143">
                  <c:v>44985.0</c:v>
                </c:pt>
                <c:pt idx="144">
                  <c:v>45016.0</c:v>
                </c:pt>
                <c:pt idx="145">
                  <c:v>45044.0</c:v>
                </c:pt>
                <c:pt idx="146">
                  <c:v>45077.0</c:v>
                </c:pt>
                <c:pt idx="147">
                  <c:v>45107.0</c:v>
                </c:pt>
                <c:pt idx="148">
                  <c:v>45138.0</c:v>
                </c:pt>
                <c:pt idx="149">
                  <c:v>45169.0</c:v>
                </c:pt>
                <c:pt idx="150">
                  <c:v>45198.0</c:v>
                </c:pt>
                <c:pt idx="151">
                  <c:v>45230.0</c:v>
                </c:pt>
                <c:pt idx="152">
                  <c:v>45260.0</c:v>
                </c:pt>
                <c:pt idx="153">
                  <c:v>45289.0</c:v>
                </c:pt>
                <c:pt idx="154">
                  <c:v>45322.0</c:v>
                </c:pt>
                <c:pt idx="155">
                  <c:v>45351.0</c:v>
                </c:pt>
                <c:pt idx="156">
                  <c:v>45380.0</c:v>
                </c:pt>
                <c:pt idx="157">
                  <c:v>45412.0</c:v>
                </c:pt>
                <c:pt idx="158">
                  <c:v>45443.0</c:v>
                </c:pt>
                <c:pt idx="159">
                  <c:v>45471.0</c:v>
                </c:pt>
                <c:pt idx="160">
                  <c:v>45504.0</c:v>
                </c:pt>
                <c:pt idx="161">
                  <c:v>45534.0</c:v>
                </c:pt>
                <c:pt idx="162">
                  <c:v>45565.0</c:v>
                </c:pt>
                <c:pt idx="163">
                  <c:v>45596.0</c:v>
                </c:pt>
                <c:pt idx="164">
                  <c:v>45625.0</c:v>
                </c:pt>
                <c:pt idx="165">
                  <c:v>45657.0</c:v>
                </c:pt>
                <c:pt idx="166">
                  <c:v>45688.0</c:v>
                </c:pt>
                <c:pt idx="167">
                  <c:v>45716.0</c:v>
                </c:pt>
                <c:pt idx="168">
                  <c:v>45747.0</c:v>
                </c:pt>
                <c:pt idx="169">
                  <c:v>45777.0</c:v>
                </c:pt>
                <c:pt idx="170">
                  <c:v>45807.0</c:v>
                </c:pt>
                <c:pt idx="171">
                  <c:v>45838.0</c:v>
                </c:pt>
                <c:pt idx="172">
                  <c:v>45869.0</c:v>
                </c:pt>
                <c:pt idx="173">
                  <c:v>45898.0</c:v>
                </c:pt>
                <c:pt idx="174">
                  <c:v>45930.0</c:v>
                </c:pt>
                <c:pt idx="175">
                  <c:v>45961.0</c:v>
                </c:pt>
                <c:pt idx="176">
                  <c:v>45989.0</c:v>
                </c:pt>
                <c:pt idx="177">
                  <c:v>46022.0</c:v>
                </c:pt>
                <c:pt idx="178">
                  <c:v>46052.0</c:v>
                </c:pt>
                <c:pt idx="179">
                  <c:v>46080.0</c:v>
                </c:pt>
                <c:pt idx="180">
                  <c:v>46112.0</c:v>
                </c:pt>
              </c:numCache>
            </c:numRef>
          </c:cat>
          <c:val>
            <c:numRef>
              <c:f>'Report figures'!$AC$360:$AC$540</c:f>
              <c:numCache>
                <c:formatCode>General</c:formatCode>
                <c:ptCount val="181"/>
                <c:pt idx="0">
                  <c:v>0.00116588782403615</c:v>
                </c:pt>
                <c:pt idx="1">
                  <c:v>0.000704697258105957</c:v>
                </c:pt>
                <c:pt idx="2">
                  <c:v>0.00102900602732614</c:v>
                </c:pt>
                <c:pt idx="3">
                  <c:v>0.000947076467530339</c:v>
                </c:pt>
                <c:pt idx="4">
                  <c:v>0.000773925821398347</c:v>
                </c:pt>
                <c:pt idx="5">
                  <c:v>-0.000351211091266235</c:v>
                </c:pt>
                <c:pt idx="6">
                  <c:v>-0.00243636072947695</c:v>
                </c:pt>
                <c:pt idx="7">
                  <c:v>-0.00209992882739962</c:v>
                </c:pt>
                <c:pt idx="8">
                  <c:v>-0.00415191741035847</c:v>
                </c:pt>
                <c:pt idx="9">
                  <c:v>-0.0049210585030528</c:v>
                </c:pt>
                <c:pt idx="10">
                  <c:v>-0.00427637367665579</c:v>
                </c:pt>
                <c:pt idx="11">
                  <c:v>-0.00471896803282712</c:v>
                </c:pt>
                <c:pt idx="12">
                  <c:v>-0.00532838929192425</c:v>
                </c:pt>
                <c:pt idx="13">
                  <c:v>-0.00531287058835417</c:v>
                </c:pt>
                <c:pt idx="14">
                  <c:v>-0.00761216844453505</c:v>
                </c:pt>
                <c:pt idx="15">
                  <c:v>-0.00543176093817788</c:v>
                </c:pt>
                <c:pt idx="16">
                  <c:v>-0.00295850276481102</c:v>
                </c:pt>
                <c:pt idx="17">
                  <c:v>-0.0033172839878981</c:v>
                </c:pt>
                <c:pt idx="18">
                  <c:v>-0.00453250660358473</c:v>
                </c:pt>
                <c:pt idx="19">
                  <c:v>-0.0035288088960953</c:v>
                </c:pt>
                <c:pt idx="20">
                  <c:v>-0.0029603447328197</c:v>
                </c:pt>
                <c:pt idx="21">
                  <c:v>-0.000513193472384765</c:v>
                </c:pt>
                <c:pt idx="22">
                  <c:v>0.00271298991345748</c:v>
                </c:pt>
                <c:pt idx="23">
                  <c:v>0.00442631482514555</c:v>
                </c:pt>
                <c:pt idx="24">
                  <c:v>0.00458051805489457</c:v>
                </c:pt>
                <c:pt idx="25">
                  <c:v>0.00526613602872628</c:v>
                </c:pt>
                <c:pt idx="26">
                  <c:v>0.00248321593532452</c:v>
                </c:pt>
                <c:pt idx="27">
                  <c:v>0.00276817038909094</c:v>
                </c:pt>
                <c:pt idx="28">
                  <c:v>0.00438603176235408</c:v>
                </c:pt>
                <c:pt idx="29">
                  <c:v>0.00396977934192977</c:v>
                </c:pt>
                <c:pt idx="30">
                  <c:v>0.00662600635295862</c:v>
                </c:pt>
                <c:pt idx="31">
                  <c:v>0.0123145498383384</c:v>
                </c:pt>
                <c:pt idx="32">
                  <c:v>0.013474659409132</c:v>
                </c:pt>
                <c:pt idx="33">
                  <c:v>0.0100830829601564</c:v>
                </c:pt>
                <c:pt idx="34">
                  <c:v>0.011868303952459</c:v>
                </c:pt>
                <c:pt idx="35">
                  <c:v>0.0149528815464672</c:v>
                </c:pt>
                <c:pt idx="36">
                  <c:v>0.0121324662074218</c:v>
                </c:pt>
                <c:pt idx="37">
                  <c:v>0.0102345021848234</c:v>
                </c:pt>
                <c:pt idx="38">
                  <c:v>0.0102954395668191</c:v>
                </c:pt>
                <c:pt idx="39">
                  <c:v>0.00831434542335696</c:v>
                </c:pt>
                <c:pt idx="40">
                  <c:v>0.00757693791156955</c:v>
                </c:pt>
                <c:pt idx="41">
                  <c:v>0.00493355584123711</c:v>
                </c:pt>
                <c:pt idx="42">
                  <c:v>0.000826604299028588</c:v>
                </c:pt>
                <c:pt idx="43">
                  <c:v>0.00320160160358074</c:v>
                </c:pt>
                <c:pt idx="44">
                  <c:v>0.00157675577790006</c:v>
                </c:pt>
                <c:pt idx="45">
                  <c:v>0.00203802365345296</c:v>
                </c:pt>
                <c:pt idx="46">
                  <c:v>0.00418403952943747</c:v>
                </c:pt>
                <c:pt idx="47">
                  <c:v>0.00468391041131699</c:v>
                </c:pt>
                <c:pt idx="48">
                  <c:v>0.0028029369800644</c:v>
                </c:pt>
                <c:pt idx="49">
                  <c:v>0.0015866016607049</c:v>
                </c:pt>
                <c:pt idx="50">
                  <c:v>0.00413737795275693</c:v>
                </c:pt>
                <c:pt idx="51">
                  <c:v>0.00284381315617632</c:v>
                </c:pt>
                <c:pt idx="52">
                  <c:v>0.00326425038991673</c:v>
                </c:pt>
                <c:pt idx="53">
                  <c:v>0.00119646315687261</c:v>
                </c:pt>
                <c:pt idx="54">
                  <c:v>-0.000836878658544427</c:v>
                </c:pt>
                <c:pt idx="55">
                  <c:v>-0.000359307387540531</c:v>
                </c:pt>
                <c:pt idx="56">
                  <c:v>0.000589971606860251</c:v>
                </c:pt>
                <c:pt idx="57">
                  <c:v>0.000671524841392657</c:v>
                </c:pt>
                <c:pt idx="58">
                  <c:v>-0.00040329292524377</c:v>
                </c:pt>
                <c:pt idx="59">
                  <c:v>-0.00140604049846105</c:v>
                </c:pt>
                <c:pt idx="60">
                  <c:v>0.000570902082472458</c:v>
                </c:pt>
                <c:pt idx="61">
                  <c:v>0.000652129229762766</c:v>
                </c:pt>
                <c:pt idx="62">
                  <c:v>0.00152339124834344</c:v>
                </c:pt>
                <c:pt idx="63">
                  <c:v>0.00139362279373456</c:v>
                </c:pt>
                <c:pt idx="64">
                  <c:v>0.00417109685217065</c:v>
                </c:pt>
                <c:pt idx="65">
                  <c:v>0.00320315860158149</c:v>
                </c:pt>
                <c:pt idx="66">
                  <c:v>0.00540124921284502</c:v>
                </c:pt>
                <c:pt idx="67">
                  <c:v>0.00192717673270471</c:v>
                </c:pt>
                <c:pt idx="68">
                  <c:v>0.0036235089014065</c:v>
                </c:pt>
                <c:pt idx="69">
                  <c:v>0.00451423000386853</c:v>
                </c:pt>
                <c:pt idx="70">
                  <c:v>0.00296840654252994</c:v>
                </c:pt>
                <c:pt idx="71">
                  <c:v>0.0035285851751099</c:v>
                </c:pt>
                <c:pt idx="72">
                  <c:v>0.00392467785287742</c:v>
                </c:pt>
                <c:pt idx="73">
                  <c:v>0.00298265359006367</c:v>
                </c:pt>
                <c:pt idx="74">
                  <c:v>0.00370199003777993</c:v>
                </c:pt>
                <c:pt idx="75">
                  <c:v>0.00315337063259191</c:v>
                </c:pt>
                <c:pt idx="76">
                  <c:v>0.00186999169195601</c:v>
                </c:pt>
                <c:pt idx="77">
                  <c:v>0.00178291882904702</c:v>
                </c:pt>
                <c:pt idx="78">
                  <c:v>0.000777889421216926</c:v>
                </c:pt>
                <c:pt idx="79">
                  <c:v>-0.000333128520783266</c:v>
                </c:pt>
                <c:pt idx="80">
                  <c:v>0.000428736113832429</c:v>
                </c:pt>
                <c:pt idx="81">
                  <c:v>-4.62222488679664e-05</c:v>
                </c:pt>
                <c:pt idx="82">
                  <c:v>-0.00181442553087607</c:v>
                </c:pt>
                <c:pt idx="83">
                  <c:v>-0.00344618181196776</c:v>
                </c:pt>
                <c:pt idx="84">
                  <c:v>-0.0039428728412132</c:v>
                </c:pt>
                <c:pt idx="85">
                  <c:v>-0.00485908711069705</c:v>
                </c:pt>
                <c:pt idx="86">
                  <c:v>-0.00149415598535985</c:v>
                </c:pt>
                <c:pt idx="87">
                  <c:v>0.000971096668242799</c:v>
                </c:pt>
                <c:pt idx="88">
                  <c:v>0.00042817309040788</c:v>
                </c:pt>
                <c:pt idx="89">
                  <c:v>0.000324562160649577</c:v>
                </c:pt>
                <c:pt idx="90">
                  <c:v>-0.00098979540880495</c:v>
                </c:pt>
                <c:pt idx="91">
                  <c:v>-0.00326613884116056</c:v>
                </c:pt>
                <c:pt idx="92">
                  <c:v>-0.00189380867463429</c:v>
                </c:pt>
                <c:pt idx="93">
                  <c:v>-0.000151490731826298</c:v>
                </c:pt>
                <c:pt idx="94">
                  <c:v>0.00121412633690876</c:v>
                </c:pt>
                <c:pt idx="95">
                  <c:v>0.000936583771937727</c:v>
                </c:pt>
                <c:pt idx="96">
                  <c:v>0.00123947116097467</c:v>
                </c:pt>
                <c:pt idx="97">
                  <c:v>0.000980795397772516</c:v>
                </c:pt>
                <c:pt idx="98">
                  <c:v>0.00247909497841037</c:v>
                </c:pt>
                <c:pt idx="99">
                  <c:v>0.00365648241713012</c:v>
                </c:pt>
                <c:pt idx="100">
                  <c:v>0.00292545912709863</c:v>
                </c:pt>
                <c:pt idx="101">
                  <c:v>0.0024638126336447</c:v>
                </c:pt>
                <c:pt idx="102">
                  <c:v>0.0055427611681409</c:v>
                </c:pt>
                <c:pt idx="103">
                  <c:v>0.00365829322059197</c:v>
                </c:pt>
                <c:pt idx="104">
                  <c:v>0.00507378523451751</c:v>
                </c:pt>
                <c:pt idx="105">
                  <c:v>0.00305381054589349</c:v>
                </c:pt>
                <c:pt idx="106">
                  <c:v>0.00334552144003197</c:v>
                </c:pt>
                <c:pt idx="107">
                  <c:v>-0.000477895130245098</c:v>
                </c:pt>
                <c:pt idx="108">
                  <c:v>-0.00595747125880708</c:v>
                </c:pt>
                <c:pt idx="109">
                  <c:v>-0.000880908060895802</c:v>
                </c:pt>
                <c:pt idx="110">
                  <c:v>-0.000282057588611773</c:v>
                </c:pt>
                <c:pt idx="111">
                  <c:v>0.00244962033708385</c:v>
                </c:pt>
                <c:pt idx="112">
                  <c:v>0.000583458186079744</c:v>
                </c:pt>
                <c:pt idx="113">
                  <c:v>0.00358715564545964</c:v>
                </c:pt>
                <c:pt idx="114">
                  <c:v>0.00235932267682948</c:v>
                </c:pt>
                <c:pt idx="115">
                  <c:v>0.00195091214417764</c:v>
                </c:pt>
                <c:pt idx="116">
                  <c:v>0.0042337503828207</c:v>
                </c:pt>
                <c:pt idx="117">
                  <c:v>0.00269432945083725</c:v>
                </c:pt>
                <c:pt idx="118">
                  <c:v>0.00350208729928192</c:v>
                </c:pt>
                <c:pt idx="119">
                  <c:v>0.00382250043809185</c:v>
                </c:pt>
                <c:pt idx="120">
                  <c:v>0.00143357610512873</c:v>
                </c:pt>
                <c:pt idx="121">
                  <c:v>0.00203742649389049</c:v>
                </c:pt>
                <c:pt idx="122">
                  <c:v>0.00185629913230323</c:v>
                </c:pt>
                <c:pt idx="123">
                  <c:v>0.00144491497758792</c:v>
                </c:pt>
                <c:pt idx="124">
                  <c:v>-0.000475750984371359</c:v>
                </c:pt>
                <c:pt idx="125">
                  <c:v>0.00125696823002563</c:v>
                </c:pt>
                <c:pt idx="126">
                  <c:v>-0.000641555109090808</c:v>
                </c:pt>
                <c:pt idx="127">
                  <c:v>0.000773002147471891</c:v>
                </c:pt>
                <c:pt idx="128">
                  <c:v>0.000301741886487905</c:v>
                </c:pt>
                <c:pt idx="129">
                  <c:v>9.69834201989261e-05</c:v>
                </c:pt>
                <c:pt idx="130">
                  <c:v>-0.0030459235447764</c:v>
                </c:pt>
                <c:pt idx="131">
                  <c:v>-0.00249392817333116</c:v>
                </c:pt>
                <c:pt idx="132">
                  <c:v>-0.000523533948918464</c:v>
                </c:pt>
                <c:pt idx="133">
                  <c:v>-0.00098574751157221</c:v>
                </c:pt>
                <c:pt idx="134">
                  <c:v>-0.00139852774656002</c:v>
                </c:pt>
                <c:pt idx="135">
                  <c:v>-0.00357334745718463</c:v>
                </c:pt>
                <c:pt idx="136">
                  <c:v>-0.00131726587399039</c:v>
                </c:pt>
                <c:pt idx="137">
                  <c:v>-0.00104791448321495</c:v>
                </c:pt>
                <c:pt idx="138">
                  <c:v>-0.00202523275568622</c:v>
                </c:pt>
                <c:pt idx="139">
                  <c:v>-0.00100145699760112</c:v>
                </c:pt>
                <c:pt idx="140">
                  <c:v>0.00021280290909842</c:v>
                </c:pt>
                <c:pt idx="141">
                  <c:v>-0.000991011559219102</c:v>
                </c:pt>
                <c:pt idx="142">
                  <c:v>0.00187483490727725</c:v>
                </c:pt>
                <c:pt idx="143">
                  <c:v>0.000812378398914904</c:v>
                </c:pt>
                <c:pt idx="144">
                  <c:v>0.000975859455917494</c:v>
                </c:pt>
                <c:pt idx="145">
                  <c:v>0.000721119501912559</c:v>
                </c:pt>
                <c:pt idx="146">
                  <c:v>-0.000261031002426027</c:v>
                </c:pt>
                <c:pt idx="147">
                  <c:v>-0.00148036423771902</c:v>
                </c:pt>
                <c:pt idx="148">
                  <c:v>-0.00144978168293686</c:v>
                </c:pt>
                <c:pt idx="149">
                  <c:v>-0.00235500367953256</c:v>
                </c:pt>
                <c:pt idx="150">
                  <c:v>-0.00340003173092796</c:v>
                </c:pt>
                <c:pt idx="151">
                  <c:v>-0.00339637261249215</c:v>
                </c:pt>
                <c:pt idx="152">
                  <c:v>-0.00155911017637767</c:v>
                </c:pt>
                <c:pt idx="153">
                  <c:v>-8.56586719804042e-05</c:v>
                </c:pt>
                <c:pt idx="154">
                  <c:v>-0.0015447045828223</c:v>
                </c:pt>
                <c:pt idx="155">
                  <c:v>-0.00328473397569762</c:v>
                </c:pt>
                <c:pt idx="156">
                  <c:v>-0.0039148162520497</c:v>
                </c:pt>
                <c:pt idx="157">
                  <c:v>-0.00534378908875488</c:v>
                </c:pt>
                <c:pt idx="158">
                  <c:v>-0.00634103781603734</c:v>
                </c:pt>
                <c:pt idx="159">
                  <c:v>-0.00636745202267508</c:v>
                </c:pt>
                <c:pt idx="160">
                  <c:v>-0.00582608323312828</c:v>
                </c:pt>
                <c:pt idx="161">
                  <c:v>-0.00465819522922573</c:v>
                </c:pt>
                <c:pt idx="162">
                  <c:v>-0.00438009562124142</c:v>
                </c:pt>
                <c:pt idx="163">
                  <c:v>-0.0055426281018085</c:v>
                </c:pt>
                <c:pt idx="164">
                  <c:v>-0.0047511900043824</c:v>
                </c:pt>
                <c:pt idx="165">
                  <c:v>-0.0054873558260804</c:v>
                </c:pt>
                <c:pt idx="166">
                  <c:v>-0.00561323466936448</c:v>
                </c:pt>
                <c:pt idx="167">
                  <c:v>-0.00433211388091515</c:v>
                </c:pt>
                <c:pt idx="168">
                  <c:v>0.00139034298251528</c:v>
                </c:pt>
                <c:pt idx="169">
                  <c:v>-0.000751978326394287</c:v>
                </c:pt>
                <c:pt idx="170">
                  <c:v>-0.000739141619479078</c:v>
                </c:pt>
                <c:pt idx="171">
                  <c:v>-0.00193144694056779</c:v>
                </c:pt>
                <c:pt idx="172">
                  <c:v>-0.00177869831401201</c:v>
                </c:pt>
                <c:pt idx="173">
                  <c:v>-0.00142056773666877</c:v>
                </c:pt>
                <c:pt idx="174">
                  <c:v>-0.000635072116636826</c:v>
                </c:pt>
                <c:pt idx="175">
                  <c:v>-0.00194865486243301</c:v>
                </c:pt>
                <c:pt idx="176">
                  <c:v>-0.00506437893533707</c:v>
                </c:pt>
                <c:pt idx="177">
                  <c:v>-0.00452146155872413</c:v>
                </c:pt>
                <c:pt idx="178">
                  <c:v>-0.00359546277899914</c:v>
                </c:pt>
                <c:pt idx="179">
                  <c:v>-0.00262273428520099</c:v>
                </c:pt>
                <c:pt idx="180">
                  <c:v>-0.00433725306025656</c:v>
                </c:pt>
              </c:numCache>
            </c:numRef>
          </c:val>
          <c:smooth val="0"/>
        </c:ser>
        <c:ser>
          <c:idx val="1"/>
          <c:order val="1"/>
          <c:tx>
            <c:strRef>
              <c:f>'Report figures'!$AD$359</c:f>
              <c:strCache>
                <c:ptCount val="1"/>
                <c:pt idx="0">
                  <c:v>Zero</c:v>
                </c:pt>
              </c:strCache>
            </c:strRef>
          </c:tx>
          <c:spPr>
            <a:ln w="12700" cap="rnd">
              <a:solidFill>
                <a:srgbClr val="8C8C8C"/>
              </a:solidFill>
              <a:prstDash val="dash"/>
              <a:round/>
            </a:ln>
          </c:spPr>
          <c:marker>
            <c:symbol val="none"/>
          </c:marker>
          <c:cat>
            <c:numRef>
              <c:f>'Report figures'!$AB$360:$AB$540</c:f>
              <c:numCache>
                <c:formatCode>General</c:formatCode>
                <c:ptCount val="181"/>
                <c:pt idx="0">
                  <c:v>40633.0</c:v>
                </c:pt>
                <c:pt idx="1">
                  <c:v>40662.0</c:v>
                </c:pt>
                <c:pt idx="2">
                  <c:v>40694.0</c:v>
                </c:pt>
                <c:pt idx="3">
                  <c:v>40724.0</c:v>
                </c:pt>
                <c:pt idx="4">
                  <c:v>40753.0</c:v>
                </c:pt>
                <c:pt idx="5">
                  <c:v>40786.0</c:v>
                </c:pt>
                <c:pt idx="6">
                  <c:v>40816.0</c:v>
                </c:pt>
                <c:pt idx="7">
                  <c:v>40847.0</c:v>
                </c:pt>
                <c:pt idx="8">
                  <c:v>40877.0</c:v>
                </c:pt>
                <c:pt idx="9">
                  <c:v>40907.0</c:v>
                </c:pt>
                <c:pt idx="10">
                  <c:v>40939.0</c:v>
                </c:pt>
                <c:pt idx="11">
                  <c:v>40968.0</c:v>
                </c:pt>
                <c:pt idx="12">
                  <c:v>40998.0</c:v>
                </c:pt>
                <c:pt idx="13">
                  <c:v>41029.0</c:v>
                </c:pt>
                <c:pt idx="14">
                  <c:v>41060.0</c:v>
                </c:pt>
                <c:pt idx="15">
                  <c:v>41089.0</c:v>
                </c:pt>
                <c:pt idx="16">
                  <c:v>41121.0</c:v>
                </c:pt>
                <c:pt idx="17">
                  <c:v>41152.0</c:v>
                </c:pt>
                <c:pt idx="18">
                  <c:v>41180.0</c:v>
                </c:pt>
                <c:pt idx="19">
                  <c:v>41213.0</c:v>
                </c:pt>
                <c:pt idx="20">
                  <c:v>41243.0</c:v>
                </c:pt>
                <c:pt idx="21">
                  <c:v>41274.0</c:v>
                </c:pt>
                <c:pt idx="22">
                  <c:v>41305.0</c:v>
                </c:pt>
                <c:pt idx="23">
                  <c:v>41333.0</c:v>
                </c:pt>
                <c:pt idx="24">
                  <c:v>41362.0</c:v>
                </c:pt>
                <c:pt idx="25">
                  <c:v>41394.0</c:v>
                </c:pt>
                <c:pt idx="26">
                  <c:v>41425.0</c:v>
                </c:pt>
                <c:pt idx="27">
                  <c:v>41453.0</c:v>
                </c:pt>
                <c:pt idx="28">
                  <c:v>41486.0</c:v>
                </c:pt>
                <c:pt idx="29">
                  <c:v>41516.0</c:v>
                </c:pt>
                <c:pt idx="30">
                  <c:v>41547.0</c:v>
                </c:pt>
                <c:pt idx="31">
                  <c:v>41578.0</c:v>
                </c:pt>
                <c:pt idx="32">
                  <c:v>41607.0</c:v>
                </c:pt>
                <c:pt idx="33">
                  <c:v>41639.0</c:v>
                </c:pt>
                <c:pt idx="34">
                  <c:v>41670.0</c:v>
                </c:pt>
                <c:pt idx="35">
                  <c:v>41698.0</c:v>
                </c:pt>
                <c:pt idx="36">
                  <c:v>41729.0</c:v>
                </c:pt>
                <c:pt idx="37">
                  <c:v>41759.0</c:v>
                </c:pt>
                <c:pt idx="38">
                  <c:v>41789.0</c:v>
                </c:pt>
                <c:pt idx="39">
                  <c:v>41820.0</c:v>
                </c:pt>
                <c:pt idx="40">
                  <c:v>41851.0</c:v>
                </c:pt>
                <c:pt idx="41">
                  <c:v>41880.0</c:v>
                </c:pt>
                <c:pt idx="42">
                  <c:v>41912.0</c:v>
                </c:pt>
                <c:pt idx="43">
                  <c:v>41943.0</c:v>
                </c:pt>
                <c:pt idx="44">
                  <c:v>41971.0</c:v>
                </c:pt>
                <c:pt idx="45">
                  <c:v>42004.0</c:v>
                </c:pt>
                <c:pt idx="46">
                  <c:v>42034.0</c:v>
                </c:pt>
                <c:pt idx="47">
                  <c:v>42062.0</c:v>
                </c:pt>
                <c:pt idx="48">
                  <c:v>42094.0</c:v>
                </c:pt>
                <c:pt idx="49">
                  <c:v>42124.0</c:v>
                </c:pt>
                <c:pt idx="50">
                  <c:v>42153.0</c:v>
                </c:pt>
                <c:pt idx="51">
                  <c:v>42185.0</c:v>
                </c:pt>
                <c:pt idx="52">
                  <c:v>42216.0</c:v>
                </c:pt>
                <c:pt idx="53">
                  <c:v>42247.0</c:v>
                </c:pt>
                <c:pt idx="54">
                  <c:v>42277.0</c:v>
                </c:pt>
                <c:pt idx="55">
                  <c:v>42307.0</c:v>
                </c:pt>
                <c:pt idx="56">
                  <c:v>42338.0</c:v>
                </c:pt>
                <c:pt idx="57">
                  <c:v>42369.0</c:v>
                </c:pt>
                <c:pt idx="58">
                  <c:v>42398.0</c:v>
                </c:pt>
                <c:pt idx="59">
                  <c:v>42429.0</c:v>
                </c:pt>
                <c:pt idx="60">
                  <c:v>42460.0</c:v>
                </c:pt>
                <c:pt idx="61">
                  <c:v>42489.0</c:v>
                </c:pt>
                <c:pt idx="62">
                  <c:v>42521.0</c:v>
                </c:pt>
                <c:pt idx="63">
                  <c:v>42551.0</c:v>
                </c:pt>
                <c:pt idx="64">
                  <c:v>42580.0</c:v>
                </c:pt>
                <c:pt idx="65">
                  <c:v>42613.0</c:v>
                </c:pt>
                <c:pt idx="66">
                  <c:v>42643.0</c:v>
                </c:pt>
                <c:pt idx="67">
                  <c:v>42674.0</c:v>
                </c:pt>
                <c:pt idx="68">
                  <c:v>42704.0</c:v>
                </c:pt>
                <c:pt idx="69">
                  <c:v>42734.0</c:v>
                </c:pt>
                <c:pt idx="70">
                  <c:v>42766.0</c:v>
                </c:pt>
                <c:pt idx="71">
                  <c:v>42794.0</c:v>
                </c:pt>
                <c:pt idx="72">
                  <c:v>42825.0</c:v>
                </c:pt>
                <c:pt idx="73">
                  <c:v>42853.0</c:v>
                </c:pt>
                <c:pt idx="74">
                  <c:v>42886.0</c:v>
                </c:pt>
                <c:pt idx="75">
                  <c:v>42916.0</c:v>
                </c:pt>
                <c:pt idx="76">
                  <c:v>42947.0</c:v>
                </c:pt>
                <c:pt idx="77">
                  <c:v>42978.0</c:v>
                </c:pt>
                <c:pt idx="78">
                  <c:v>43007.0</c:v>
                </c:pt>
                <c:pt idx="79">
                  <c:v>43039.0</c:v>
                </c:pt>
                <c:pt idx="80">
                  <c:v>43069.0</c:v>
                </c:pt>
                <c:pt idx="81">
                  <c:v>43098.0</c:v>
                </c:pt>
                <c:pt idx="82">
                  <c:v>43131.0</c:v>
                </c:pt>
                <c:pt idx="83">
                  <c:v>43159.0</c:v>
                </c:pt>
                <c:pt idx="84">
                  <c:v>43189.0</c:v>
                </c:pt>
                <c:pt idx="85">
                  <c:v>43220.0</c:v>
                </c:pt>
                <c:pt idx="86">
                  <c:v>43251.0</c:v>
                </c:pt>
                <c:pt idx="87">
                  <c:v>43280.0</c:v>
                </c:pt>
                <c:pt idx="88">
                  <c:v>43312.0</c:v>
                </c:pt>
                <c:pt idx="89">
                  <c:v>43343.0</c:v>
                </c:pt>
                <c:pt idx="90">
                  <c:v>43371.0</c:v>
                </c:pt>
                <c:pt idx="91">
                  <c:v>43404.0</c:v>
                </c:pt>
                <c:pt idx="92">
                  <c:v>43434.0</c:v>
                </c:pt>
                <c:pt idx="93">
                  <c:v>43465.0</c:v>
                </c:pt>
                <c:pt idx="94">
                  <c:v>43496.0</c:v>
                </c:pt>
                <c:pt idx="95">
                  <c:v>43524.0</c:v>
                </c:pt>
                <c:pt idx="96">
                  <c:v>43553.0</c:v>
                </c:pt>
                <c:pt idx="97">
                  <c:v>43585.0</c:v>
                </c:pt>
                <c:pt idx="98">
                  <c:v>43616.0</c:v>
                </c:pt>
                <c:pt idx="99">
                  <c:v>43644.0</c:v>
                </c:pt>
                <c:pt idx="100">
                  <c:v>43677.0</c:v>
                </c:pt>
                <c:pt idx="101">
                  <c:v>43707.0</c:v>
                </c:pt>
                <c:pt idx="102">
                  <c:v>43738.0</c:v>
                </c:pt>
                <c:pt idx="103">
                  <c:v>43769.0</c:v>
                </c:pt>
                <c:pt idx="104">
                  <c:v>43798.0</c:v>
                </c:pt>
                <c:pt idx="105">
                  <c:v>43830.0</c:v>
                </c:pt>
                <c:pt idx="106">
                  <c:v>43861.0</c:v>
                </c:pt>
                <c:pt idx="107">
                  <c:v>43889.0</c:v>
                </c:pt>
                <c:pt idx="108">
                  <c:v>43921.0</c:v>
                </c:pt>
                <c:pt idx="109">
                  <c:v>43951.0</c:v>
                </c:pt>
                <c:pt idx="110">
                  <c:v>43980.0</c:v>
                </c:pt>
                <c:pt idx="111">
                  <c:v>44012.0</c:v>
                </c:pt>
                <c:pt idx="112">
                  <c:v>44043.0</c:v>
                </c:pt>
                <c:pt idx="113">
                  <c:v>44074.0</c:v>
                </c:pt>
                <c:pt idx="114">
                  <c:v>44104.0</c:v>
                </c:pt>
                <c:pt idx="115">
                  <c:v>44134.0</c:v>
                </c:pt>
                <c:pt idx="116">
                  <c:v>44165.0</c:v>
                </c:pt>
                <c:pt idx="117">
                  <c:v>44196.0</c:v>
                </c:pt>
                <c:pt idx="118">
                  <c:v>44225.0</c:v>
                </c:pt>
                <c:pt idx="119">
                  <c:v>44253.0</c:v>
                </c:pt>
                <c:pt idx="120">
                  <c:v>44286.0</c:v>
                </c:pt>
                <c:pt idx="121">
                  <c:v>44316.0</c:v>
                </c:pt>
                <c:pt idx="122">
                  <c:v>44347.0</c:v>
                </c:pt>
                <c:pt idx="123">
                  <c:v>44377.0</c:v>
                </c:pt>
                <c:pt idx="124">
                  <c:v>44407.0</c:v>
                </c:pt>
                <c:pt idx="125">
                  <c:v>44439.0</c:v>
                </c:pt>
                <c:pt idx="126">
                  <c:v>44469.0</c:v>
                </c:pt>
                <c:pt idx="127">
                  <c:v>44498.0</c:v>
                </c:pt>
                <c:pt idx="128">
                  <c:v>44530.0</c:v>
                </c:pt>
                <c:pt idx="129">
                  <c:v>44561.0</c:v>
                </c:pt>
                <c:pt idx="130">
                  <c:v>44592.0</c:v>
                </c:pt>
                <c:pt idx="131">
                  <c:v>44620.0</c:v>
                </c:pt>
                <c:pt idx="132">
                  <c:v>44651.0</c:v>
                </c:pt>
                <c:pt idx="133">
                  <c:v>44680.0</c:v>
                </c:pt>
                <c:pt idx="134">
                  <c:v>44712.0</c:v>
                </c:pt>
                <c:pt idx="135">
                  <c:v>44742.0</c:v>
                </c:pt>
                <c:pt idx="136">
                  <c:v>44771.0</c:v>
                </c:pt>
                <c:pt idx="137">
                  <c:v>44804.0</c:v>
                </c:pt>
                <c:pt idx="138">
                  <c:v>44834.0</c:v>
                </c:pt>
                <c:pt idx="139">
                  <c:v>44865.0</c:v>
                </c:pt>
                <c:pt idx="140">
                  <c:v>44895.0</c:v>
                </c:pt>
                <c:pt idx="141">
                  <c:v>44925.0</c:v>
                </c:pt>
                <c:pt idx="142">
                  <c:v>44957.0</c:v>
                </c:pt>
                <c:pt idx="143">
                  <c:v>44985.0</c:v>
                </c:pt>
                <c:pt idx="144">
                  <c:v>45016.0</c:v>
                </c:pt>
                <c:pt idx="145">
                  <c:v>45044.0</c:v>
                </c:pt>
                <c:pt idx="146">
                  <c:v>45077.0</c:v>
                </c:pt>
                <c:pt idx="147">
                  <c:v>45107.0</c:v>
                </c:pt>
                <c:pt idx="148">
                  <c:v>45138.0</c:v>
                </c:pt>
                <c:pt idx="149">
                  <c:v>45169.0</c:v>
                </c:pt>
                <c:pt idx="150">
                  <c:v>45198.0</c:v>
                </c:pt>
                <c:pt idx="151">
                  <c:v>45230.0</c:v>
                </c:pt>
                <c:pt idx="152">
                  <c:v>45260.0</c:v>
                </c:pt>
                <c:pt idx="153">
                  <c:v>45289.0</c:v>
                </c:pt>
                <c:pt idx="154">
                  <c:v>45322.0</c:v>
                </c:pt>
                <c:pt idx="155">
                  <c:v>45351.0</c:v>
                </c:pt>
                <c:pt idx="156">
                  <c:v>45380.0</c:v>
                </c:pt>
                <c:pt idx="157">
                  <c:v>45412.0</c:v>
                </c:pt>
                <c:pt idx="158">
                  <c:v>45443.0</c:v>
                </c:pt>
                <c:pt idx="159">
                  <c:v>45471.0</c:v>
                </c:pt>
                <c:pt idx="160">
                  <c:v>45504.0</c:v>
                </c:pt>
                <c:pt idx="161">
                  <c:v>45534.0</c:v>
                </c:pt>
                <c:pt idx="162">
                  <c:v>45565.0</c:v>
                </c:pt>
                <c:pt idx="163">
                  <c:v>45596.0</c:v>
                </c:pt>
                <c:pt idx="164">
                  <c:v>45625.0</c:v>
                </c:pt>
                <c:pt idx="165">
                  <c:v>45657.0</c:v>
                </c:pt>
                <c:pt idx="166">
                  <c:v>45688.0</c:v>
                </c:pt>
                <c:pt idx="167">
                  <c:v>45716.0</c:v>
                </c:pt>
                <c:pt idx="168">
                  <c:v>45747.0</c:v>
                </c:pt>
                <c:pt idx="169">
                  <c:v>45777.0</c:v>
                </c:pt>
                <c:pt idx="170">
                  <c:v>45807.0</c:v>
                </c:pt>
                <c:pt idx="171">
                  <c:v>45838.0</c:v>
                </c:pt>
                <c:pt idx="172">
                  <c:v>45869.0</c:v>
                </c:pt>
                <c:pt idx="173">
                  <c:v>45898.0</c:v>
                </c:pt>
                <c:pt idx="174">
                  <c:v>45930.0</c:v>
                </c:pt>
                <c:pt idx="175">
                  <c:v>45961.0</c:v>
                </c:pt>
                <c:pt idx="176">
                  <c:v>45989.0</c:v>
                </c:pt>
                <c:pt idx="177">
                  <c:v>46022.0</c:v>
                </c:pt>
                <c:pt idx="178">
                  <c:v>46052.0</c:v>
                </c:pt>
                <c:pt idx="179">
                  <c:v>46080.0</c:v>
                </c:pt>
                <c:pt idx="180">
                  <c:v>46112.0</c:v>
                </c:pt>
              </c:numCache>
            </c:numRef>
          </c:cat>
          <c:val>
            <c:numRef>
              <c:f>'Report figures'!$AD$360:$AD$540</c:f>
              <c:numCache>
                <c:formatCode>General</c:formatCode>
                <c:ptCount val="18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smooth val="0"/>
        </c:ser>
        <c:marker val="1"/>
        <c:axId val="1001"/>
        <c:axId val="1002"/>
      </c:lineChart>
      <c:dateAx>
        <c:axId val="1001"/>
        <c:scaling>
          <c:orientation val="minMax"/>
        </c:scaling>
        <c:delete val="0"/>
        <c:axPos val="b"/>
        <c:numFmt formatCode="yyyy"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Offset val="100"/>
        <c:baseTimeUnit val="months"/>
        <c:majorUnit val="2"/>
        <c:majorTimeUnit val="years"/>
      </c:dateAx>
      <c:valAx>
        <c:axId val="1002"/>
        <c:scaling>
          <c:orientation val="minMax"/>
        </c:scaling>
        <c:delete val="0"/>
        <c:axPos val="l"/>
        <c:majorGridlines>
          <c:spPr>
            <a:ln w="6350">
              <a:solidFill>
                <a:srgbClr val="E3E3E3"/>
              </a:solidFill>
            </a:ln>
          </c:spPr>
        </c:majorGridlines>
        <c:title>
          <c:tx>
            <c:rich>
              <a:bodyPr rot="-5400000" vert="horz"/>
              <a:lstStyle/>
              <a:p>
                <a:pPr>
                  <a:defRPr sz="900" b="0">
                    <a:solidFill>
                      <a:srgbClr val="595959"/>
                    </a:solidFill>
                    <a:latin typeface="Arial"/>
                  </a:defRPr>
                </a:pPr>
                <a:r>
                  <a:rPr lang="en-AU" sz="900" b="0">
                    <a:solidFill>
                      <a:srgbClr val="595959"/>
                    </a:solidFill>
                    <a:latin typeface="Arial"/>
                  </a:rPr>
                  <a:t>Active return, annualised</a:t>
                </a:r>
              </a:p>
            </c:rich>
          </c:tx>
          <c:overlay val="0"/>
        </c:title>
        <c:numFmt formatCode="0.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autoZero"/>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charts/chart21.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barChart>
        <c:barDir val="bar"/>
        <c:grouping val="clustered"/>
        <c:varyColors val="0"/>
        <c:ser>
          <c:idx val="0"/>
          <c:order val="0"/>
          <c:tx>
            <c:strRef>
              <c:f>'Report figures'!$O$385</c:f>
              <c:strCache>
                <c:ptCount val="1"/>
                <c:pt idx="0">
                  <c:v>Mar-21 to Mar-26</c:v>
                </c:pt>
              </c:strCache>
            </c:strRef>
          </c:tx>
          <c:spPr>
            <a:solidFill>
              <a:srgbClr val="2B5C9E"/>
            </a:solidFill>
            <a:ln w="9525">
              <a:solidFill>
                <a:srgbClr val="FFFFFF"/>
              </a:solidFill>
            </a:ln>
          </c:spPr>
          <c:invertIfNegative val="0"/>
          <c:cat>
            <c:strRef>
              <c:f>'Report figures'!$N$386:$N$397</c:f>
              <c:strCache>
                <c:ptCount val="12"/>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pt idx="11">
                  <c:v>Fee difference</c:v>
                </c:pt>
              </c:strCache>
            </c:strRef>
          </c:cat>
          <c:val>
            <c:numRef>
              <c:f>'Report figures'!$O$386:$O$397</c:f>
              <c:numCache>
                <c:formatCode>General</c:formatCode>
                <c:ptCount val="12"/>
                <c:pt idx="0">
                  <c:v>0.00176718705193474</c:v>
                </c:pt>
                <c:pt idx="1">
                  <c:v>-0.00237109741562797</c:v>
                </c:pt>
                <c:pt idx="2">
                  <c:v>-0.000454446993499525</c:v>
                </c:pt>
                <c:pt idx="3">
                  <c:v>-3.09550525051984e-05</c:v>
                </c:pt>
                <c:pt idx="4">
                  <c:v>-0.00290580159472362</c:v>
                </c:pt>
                <c:pt idx="5">
                  <c:v>0.000673482009565222</c:v>
                </c:pt>
                <c:pt idx="6">
                  <c:v>-0.000254533951209719</c:v>
                </c:pt>
                <c:pt idx="7">
                  <c:v>-0.00161597270404602</c:v>
                </c:pt>
                <c:pt idx="8">
                  <c:v>-0.00075990172604261</c:v>
                </c:pt>
                <c:pt idx="9">
                  <c:v>0.00261047305772783</c:v>
                </c:pt>
                <c:pt idx="10">
                  <c:v>-0.00192877642061596</c:v>
                </c:pt>
                <c:pt idx="11">
                  <c:v>0.00226</c:v>
                </c:pt>
              </c:numCache>
            </c:numRef>
          </c:val>
        </c:ser>
        <c:ser>
          <c:idx val="1"/>
          <c:order val="1"/>
          <c:tx>
            <c:strRef>
              <c:f>'Report figures'!$P$385</c:f>
              <c:strCache>
                <c:ptCount val="1"/>
                <c:pt idx="0">
                  <c:v>20 years</c:v>
                </c:pt>
              </c:strCache>
            </c:strRef>
          </c:tx>
          <c:spPr>
            <a:solidFill>
              <a:srgbClr val="5C9BD6"/>
            </a:solidFill>
            <a:ln w="9525">
              <a:solidFill>
                <a:srgbClr val="FFFFFF"/>
              </a:solidFill>
            </a:ln>
          </c:spPr>
          <c:invertIfNegative val="0"/>
          <c:cat>
            <c:strRef>
              <c:f>'Report figures'!$N$386:$N$397</c:f>
              <c:strCache>
                <c:ptCount val="12"/>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pt idx="11">
                  <c:v>Fee difference</c:v>
                </c:pt>
              </c:strCache>
            </c:strRef>
          </c:cat>
          <c:val>
            <c:numRef>
              <c:f>'Report figures'!$P$386:$P$397</c:f>
              <c:numCache>
                <c:formatCode>General</c:formatCode>
                <c:ptCount val="12"/>
                <c:pt idx="0">
                  <c:v>0.00128447164889666</c:v>
                </c:pt>
                <c:pt idx="1">
                  <c:v>-0.000931982215305578</c:v>
                </c:pt>
                <c:pt idx="2">
                  <c:v>-0.000421446126860492</c:v>
                </c:pt>
                <c:pt idx="3">
                  <c:v>-0.000121831417758848</c:v>
                </c:pt>
                <c:pt idx="4">
                  <c:v>0.00111334619304292</c:v>
                </c:pt>
                <c:pt idx="5">
                  <c:v>0.000295007861793121</c:v>
                </c:pt>
                <c:pt idx="6">
                  <c:v>-0.000227074334714879</c:v>
                </c:pt>
                <c:pt idx="7">
                  <c:v>-0.00139047502150378</c:v>
                </c:pt>
                <c:pt idx="8">
                  <c:v>-0.000293307149077873</c:v>
                </c:pt>
                <c:pt idx="9">
                  <c:v>0.000785428118184659</c:v>
                </c:pt>
                <c:pt idx="10">
                  <c:v>-0.00145712574182186</c:v>
                </c:pt>
                <c:pt idx="11">
                  <c:v>0.00226</c:v>
                </c:pt>
              </c:numCache>
            </c:numRef>
          </c:val>
        </c:ser>
        <c:gapWidth val="40"/>
        <c:overlap val="-8"/>
        <c:axId val="1001"/>
        <c:axId val="1002"/>
      </c:barChart>
      <c:catAx>
        <c:axId val="1001"/>
        <c:scaling>
          <c:orientation val="maxMin"/>
        </c:scaling>
        <c:delete val="0"/>
        <c:axPos val="l"/>
        <c:numFmt formatCode="General" sourceLinked="0"/>
        <c:majorTickMark val="none"/>
        <c:minorTickMark val="none"/>
        <c:tickLblPos val="low"/>
        <c:spPr>
          <a:ln w="9525">
            <a:solidFill>
              <a:srgbClr val="BFBFBF"/>
            </a:solidFill>
          </a:ln>
        </c:spPr>
        <c:txPr>
          <a:bodyPr/>
          <a:lstStyle/>
          <a:p>
            <a:pPr>
              <a:defRPr sz="900" b="0">
                <a:solidFill>
                  <a:srgbClr val="595959"/>
                </a:solidFill>
                <a:latin typeface="Arial"/>
                <a:cs typeface="Arial"/>
              </a:defRPr>
            </a:pPr>
            <a:endParaRPr lang="en-AU"/>
          </a:p>
        </c:txPr>
        <c:crossAx val="1002"/>
        <c:crosses val="autoZero"/>
        <c:auto val="1"/>
        <c:lblAlgn val="ctr"/>
        <c:lblOffset val="100"/>
        <c:noMultiLvlLbl val="0"/>
      </c:catAx>
      <c:valAx>
        <c:axId val="1002"/>
        <c:scaling>
          <c:orientation val="minMax"/>
        </c:scaling>
        <c:delete val="0"/>
        <c:axPos val="b"/>
        <c:majorGridlines>
          <c:spPr>
            <a:ln w="6350">
              <a:solidFill>
                <a:srgbClr val="E3E3E3"/>
              </a:solidFill>
            </a:ln>
          </c:spPr>
        </c:majorGridlines>
        <c:title>
          <c:tx>
            <c:rich>
              <a:bodyPr/>
              <a:lstStyle/>
              <a:p>
                <a:pPr>
                  <a:defRPr sz="900" b="0">
                    <a:solidFill>
                      <a:srgbClr val="595959"/>
                    </a:solidFill>
                    <a:latin typeface="Arial"/>
                  </a:defRPr>
                </a:pPr>
                <a:r>
                  <a:rPr lang="en-AU" sz="900" b="0">
                    <a:solidFill>
                      <a:srgbClr val="595959"/>
                    </a:solidFill>
                    <a:latin typeface="Arial"/>
                  </a:rPr>
                  <a:t>Contribution to active return (p.a.)</a:t>
                </a:r>
              </a:p>
            </c:rich>
          </c:tx>
          <c:overlay val="0"/>
        </c:title>
        <c:numFmt formatCode="0.0%" sourceLinked="0"/>
        <c:majorTickMark val="none"/>
        <c:minorTickMark val="none"/>
        <c:tickLblPos val="nextTo"/>
        <c:spPr>
          <a:ln>
            <a:noFill/>
          </a:ln>
        </c:spPr>
        <c:txPr>
          <a:bodyPr/>
          <a:lstStyle/>
          <a:p>
            <a:pPr>
              <a:defRPr sz="900" b="0">
                <a:solidFill>
                  <a:srgbClr val="595959"/>
                </a:solidFill>
                <a:latin typeface="Arial"/>
                <a:cs typeface="Arial"/>
              </a:defRPr>
            </a:pPr>
            <a:endParaRPr lang="en-AU"/>
          </a:p>
        </c:txPr>
        <c:crossAx val="1001"/>
        <c:crosses val="max"/>
        <c:crossBetween val="between"/>
      </c:valAx>
      <c:spPr>
        <a:noFill/>
        <a:ln>
          <a:noFill/>
        </a:ln>
      </c:spPr>
    </c:plotArea>
    <c:legend>
      <c:legendPos val="b"/>
      <c:overlay val="0"/>
      <c:spPr>
        <a:noFill/>
        <a:ln>
          <a:noFill/>
        </a:ln>
      </c:spPr>
      <c:txPr>
        <a:bodyPr/>
        <a:lstStyle/>
        <a:p>
          <a:pPr>
            <a:defRPr sz="900" b="0">
              <a:solidFill>
                <a:srgbClr val="262626"/>
              </a:solidFill>
              <a:latin typeface="Arial"/>
              <a:cs typeface="Arial"/>
            </a:defRPr>
          </a:pPr>
          <a:endParaRPr lang="en-AU"/>
        </a:p>
      </c:txPr>
    </c:legend>
    <c:plotVisOnly val="1"/>
    <c:dispBlanksAs val="gap"/>
  </c:chart>
  <c:spPr>
    <a:solidFill>
      <a:srgbClr val="FFFFFF"/>
    </a:solidFill>
    <a:ln>
      <a:noFill/>
    </a:ln>
  </c:spPr>
  <c:txPr>
    <a:bodyPr/>
    <a:lstStyle/>
    <a:p>
      <a:pPr>
        <a:defRPr sz="900" b="0">
          <a:solidFill>
            <a:srgbClr val="595959"/>
          </a:solidFill>
          <a:latin typeface="Arial"/>
          <a:cs typeface="Arial"/>
        </a:defRPr>
      </a:pPr>
      <a:endParaRPr lang="en-AU"/>
    </a:p>
  </c:txPr>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20.xml"/><Relationship Id="rId15" Type="http://schemas.openxmlformats.org/officeDocument/2006/relationships/chart" Target="../charts/chart2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oneCellAnchor>
    <xdr:from>
      <xdr:col>0</xdr:col>
      <xdr:colOff>0</xdr:colOff>
      <xdr:row>32</xdr:row>
      <xdr:rowOff>0</xdr:rowOff>
    </xdr:from>
    <xdr:ext cx="5760720" cy="329184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51</xdr:row>
      <xdr:rowOff>0</xdr:rowOff>
    </xdr:from>
    <xdr:ext cx="5760720" cy="329184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21</xdr:row>
      <xdr:rowOff>0</xdr:rowOff>
    </xdr:from>
    <xdr:ext cx="5760720" cy="36576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47</xdr:row>
      <xdr:rowOff>0</xdr:rowOff>
    </xdr:from>
    <xdr:ext cx="5760720" cy="402336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73</xdr:row>
      <xdr:rowOff>0</xdr:rowOff>
    </xdr:from>
    <xdr:ext cx="5760720" cy="329184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0</xdr:colOff>
      <xdr:row>99</xdr:row>
      <xdr:rowOff>0</xdr:rowOff>
    </xdr:from>
    <xdr:ext cx="5760720" cy="329184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125</xdr:row>
      <xdr:rowOff>0</xdr:rowOff>
    </xdr:from>
    <xdr:ext cx="5760720" cy="329184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151</xdr:row>
      <xdr:rowOff>0</xdr:rowOff>
    </xdr:from>
    <xdr:ext cx="5760720" cy="329184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177</xdr:row>
      <xdr:rowOff>0</xdr:rowOff>
    </xdr:from>
    <xdr:ext cx="5760720" cy="329184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0</xdr:col>
      <xdr:colOff>0</xdr:colOff>
      <xdr:row>203</xdr:row>
      <xdr:rowOff>0</xdr:rowOff>
    </xdr:from>
    <xdr:ext cx="5760720" cy="329184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0</xdr:colOff>
      <xdr:row>229</xdr:row>
      <xdr:rowOff>0</xdr:rowOff>
    </xdr:from>
    <xdr:ext cx="5760720" cy="3291840"/>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0</xdr:col>
      <xdr:colOff>0</xdr:colOff>
      <xdr:row>255</xdr:row>
      <xdr:rowOff>0</xdr:rowOff>
    </xdr:from>
    <xdr:ext cx="5760720" cy="3291840"/>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0</xdr:col>
      <xdr:colOff>0</xdr:colOff>
      <xdr:row>281</xdr:row>
      <xdr:rowOff>0</xdr:rowOff>
    </xdr:from>
    <xdr:ext cx="5760720" cy="3291840"/>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0</xdr:col>
      <xdr:colOff>0</xdr:colOff>
      <xdr:row>307</xdr:row>
      <xdr:rowOff>0</xdr:rowOff>
    </xdr:from>
    <xdr:ext cx="5760720" cy="4023360"/>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oneCellAnchor>
    <xdr:from>
      <xdr:col>0</xdr:col>
      <xdr:colOff>0</xdr:colOff>
      <xdr:row>333</xdr:row>
      <xdr:rowOff>0</xdr:rowOff>
    </xdr:from>
    <xdr:ext cx="5760720" cy="4023360"/>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oneCellAnchor>
  <xdr:oneCellAnchor>
    <xdr:from>
      <xdr:col>0</xdr:col>
      <xdr:colOff>0</xdr:colOff>
      <xdr:row>359</xdr:row>
      <xdr:rowOff>0</xdr:rowOff>
    </xdr:from>
    <xdr:ext cx="5760720" cy="3291840"/>
    <xdr:graphicFrame macro="">
      <xdr:nvGraphicFramePr>
        <xdr:cNvPr id="15" name="Chart 15">
          <a:extLst>
            <a:ext uri="{FF2B5EF4-FFF2-40B4-BE49-F238E27FC236}">
              <a16:creationId xmlns:a16="http://schemas.microsoft.com/office/drawing/2014/main" id="{0000000F-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oneCellAnchor>
  <xdr:oneCellAnchor>
    <xdr:from>
      <xdr:col>0</xdr:col>
      <xdr:colOff>0</xdr:colOff>
      <xdr:row>385</xdr:row>
      <xdr:rowOff>0</xdr:rowOff>
    </xdr:from>
    <xdr:ext cx="5760720" cy="4023360"/>
    <xdr:graphicFrame macro="">
      <xdr:nvGraphicFramePr>
        <xdr:cNvPr id="16" name="Chart 16">
          <a:extLst>
            <a:ext uri="{FF2B5EF4-FFF2-40B4-BE49-F238E27FC236}">
              <a16:creationId xmlns:a16="http://schemas.microsoft.com/office/drawing/2014/main" id="{0000001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53</xdr:row>
      <xdr:rowOff>0</xdr:rowOff>
    </xdr:from>
    <xdr:ext cx="5760720" cy="329184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53</xdr:row>
      <xdr:rowOff>0</xdr:rowOff>
    </xdr:from>
    <xdr:ext cx="5760720" cy="4572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69</xdr:row>
      <xdr:rowOff>0</xdr:rowOff>
    </xdr:from>
    <xdr:ext cx="5760720" cy="329184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11</xdr:col>
      <xdr:colOff>0</xdr:colOff>
      <xdr:row>18</xdr:row>
      <xdr:rowOff>0</xdr:rowOff>
    </xdr:from>
    <xdr:ext cx="5760720" cy="329184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Type="http://schemas.openxmlformats.org/officeDocument/2006/relationships/drawing" Target="/xl/drawings/drawing1.xml" Id="rId1"/></Relationships>
</file>

<file path=xl/worksheets/_rels/sheet2.xml.rels><?xml version='1.0' encoding='UTF-8' standalone='yes'?>
<Relationships xmlns="http://schemas.openxmlformats.org/package/2006/relationships"><Relationship Type="http://schemas.openxmlformats.org/officeDocument/2006/relationships/drawing" Target="/xl/drawings/drawing2.xml" Id="rId1"/></Relationships>
</file>

<file path=xl/worksheets/_rels/sheet7.xml.rels><?xml version='1.0' encoding='UTF-8' standalone='yes'?>
<Relationships xmlns="http://schemas.openxmlformats.org/package/2006/relationships"><Relationship Type="http://schemas.openxmlformats.org/officeDocument/2006/relationships/drawing" Target="/xl/drawings/drawing3.xml" Id="rId1"/></Relationships>
</file>

<file path=xl/worksheets/_rels/sheet10.xml.rels><?xml version='1.0' encoding='UTF-8' standalone='yes'?>
<Relationships xmlns="http://schemas.openxmlformats.org/package/2006/relationships"><Relationship Type="http://schemas.openxmlformats.org/officeDocument/2006/relationships/drawing" Target="/xl/drawings/drawing4.xml" Id="rId1"/></Relationships>
</file>

<file path=xl/worksheets/_rels/sheet12.xml.rels><?xml version='1.0' encoding='UTF-8' standalone='yes'?>
<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FF203864"/>
    <outlinePr summaryBelow="1" summaryRight="1"/>
    <pageSetUpPr fitToPage="1"/>
  </sheetPr>
  <dimension ref="A1:K96"/>
  <sheetViews>
    <sheetView showGridLines="0" workbookViewId="0">
      <selection activeCell="L11" sqref="L11"/>
    </sheetView>
  </sheetViews>
  <sheetFormatPr baseColWidth="10" defaultColWidth="8.83203125" defaultRowHeight="15"/>
  <cols>
    <col width="36" customWidth="1" min="1" max="1"/>
    <col width="17" customWidth="1" min="2" max="2"/>
    <col width="12" customWidth="1" min="3" max="3"/>
    <col width="13" customWidth="1" min="4" max="4"/>
    <col width="14" customWidth="1" min="5" max="5"/>
    <col width="12" customWidth="1" min="6" max="6"/>
    <col width="3" customWidth="1" min="7" max="7"/>
    <col width="40" customWidth="1" min="8" max="8"/>
    <col width="12" customWidth="1" min="9" max="9"/>
    <col width="14" customWidth="1" min="10" max="10"/>
    <col width="15" customWidth="1" min="11" max="11"/>
  </cols>
  <sheetData>
    <row r="1" ht="19" customHeight="1">
      <c r="A1" s="53" t="inlineStr">
        <is>
          <t>EPPIB Strategic Investment Plan</t>
        </is>
      </c>
    </row>
    <row r="2">
      <c r="A2" s="54" t="inlineStr">
        <is>
          <t>Model status</t>
        </is>
      </c>
      <c r="B2" s="409" t="str">
        <f>Checks!B4</f>
        <v>ALL CHECKS PASS</v>
      </c>
      <c r="D2" s="54" t="inlineStr">
        <is>
          <t>Method</t>
        </is>
      </c>
      <c r="E2" s="54" t="str">
        <f>Methods!B2</f>
        <v>Robust MVO</v>
      </c>
    </row>
    <row r="4">
      <c r="A4" s="55" t="inlineStr">
        <is>
          <t>1. Strategic asset allocation</t>
        </is>
      </c>
      <c r="B4" s="56" t="n"/>
      <c r="C4" s="56" t="n"/>
      <c r="D4" s="56" t="n"/>
      <c r="E4" s="56" t="n"/>
      <c r="F4" s="57" t="n"/>
      <c r="H4" s="58" t="inlineStr">
        <is>
          <t>2. Brief compliance</t>
        </is>
      </c>
      <c r="I4" s="59" t="n"/>
      <c r="J4" s="59" t="n"/>
      <c r="K4" s="60" t="n"/>
    </row>
    <row r="5" ht="28" customHeight="1">
      <c r="A5" s="61" t="inlineStr">
        <is>
          <t>Asset class</t>
        </is>
      </c>
      <c r="B5" s="62" t="inlineStr">
        <is>
          <t>Current</t>
        </is>
      </c>
      <c r="C5" s="62" t="inlineStr">
        <is>
          <t>Benchmark</t>
        </is>
      </c>
      <c r="D5" s="62" t="inlineStr">
        <is>
          <t>Recommended</t>
        </is>
      </c>
      <c r="E5" s="62" t="inlineStr">
        <is>
          <t>Change vs current</t>
        </is>
      </c>
      <c r="F5" s="63" t="inlineStr">
        <is>
          <t>Trade (A$m)</t>
        </is>
      </c>
      <c r="H5" s="64" t="inlineStr">
        <is>
          <t>Requirement</t>
        </is>
      </c>
      <c r="I5" s="65" t="inlineStr">
        <is>
          <t>Limit</t>
        </is>
      </c>
      <c r="J5" s="65" t="inlineStr">
        <is>
          <t>Recommended</t>
        </is>
      </c>
      <c r="K5" s="66" t="inlineStr">
        <is>
          <t>Status</t>
        </is>
      </c>
    </row>
    <row r="6">
      <c r="A6" s="67" t="inlineStr">
        <is>
          <t>Australian Equities</t>
        </is>
      </c>
      <c r="B6" s="68">
        <f>Portfolio!C6</f>
        <v>0.4</v>
      </c>
      <c r="C6" s="68">
        <f>Portfolio!D6</f>
        <v>0.25</v>
      </c>
      <c r="D6" s="69">
        <f>Portfolio!E6</f>
        <v>0.2738</v>
      </c>
      <c r="E6" s="68">
        <f>Portfolio!I6</f>
        <v>-0.1262</v>
      </c>
      <c r="F6" s="70">
        <f>Portfolio!J6</f>
        <v>-378.6</v>
      </c>
      <c r="H6" s="71" t="inlineStr">
        <is>
          <t>(a) Return: bond yield + 4% (compound)</t>
        </is>
      </c>
      <c r="I6" s="72">
        <f>Inputs!$B$25</f>
        <v>0.08988</v>
      </c>
      <c r="J6" s="72">
        <f>Risk!N58-Risk!M58^2/2</f>
        <v>0.0669596785505359</v>
      </c>
      <c r="K6" s="414" t="str">
        <f>IF(J6&gt;=I6,"MET",IF(Forecast!G18&lt;I6,"MAX FEASIBLE","NOT MET"))</f>
        <v>MAX FEASIBLE</v>
      </c>
    </row>
    <row r="7">
      <c r="A7" s="67" t="inlineStr">
        <is>
          <t>World Equities</t>
        </is>
      </c>
      <c r="B7" s="68">
        <f>Portfolio!C7</f>
        <v>0.2</v>
      </c>
      <c r="C7" s="68">
        <f>Portfolio!D7</f>
        <v>0.24</v>
      </c>
      <c r="D7" s="69">
        <f>Portfolio!E7</f>
        <v>0.279</v>
      </c>
      <c r="E7" s="68">
        <f>Portfolio!I7</f>
        <v>0.079</v>
      </c>
      <c r="F7" s="70">
        <f>Portfolio!J7</f>
        <v>237</v>
      </c>
      <c r="H7" s="71" t="inlineStr">
        <is>
          <t>(b) Minimise risk: volatility vs current fund</t>
        </is>
      </c>
      <c r="I7" s="72">
        <f>Risk!M56</f>
        <v>0.0838339641597338</v>
      </c>
      <c r="J7" s="72">
        <f>Risk!M58</f>
        <v>0.0783891281769718</v>
      </c>
      <c r="K7" s="411" t="str">
        <f>IF(J7&lt;=I7,"MET","NOT MET")</f>
        <v>MET</v>
      </c>
    </row>
    <row r="8">
      <c r="A8" s="67" t="inlineStr">
        <is>
          <t>Emerging Markets</t>
        </is>
      </c>
      <c r="B8" s="68">
        <f>Portfolio!C8</f>
        <v>0</v>
      </c>
      <c r="C8" s="68">
        <f>Portfolio!D8</f>
        <v>0.03</v>
      </c>
      <c r="D8" s="69">
        <f>Portfolio!E8</f>
        <v>0.0672</v>
      </c>
      <c r="E8" s="68">
        <f>Portfolio!I8</f>
        <v>0.0672</v>
      </c>
      <c r="F8" s="70">
        <f>Portfolio!J8</f>
        <v>201.6</v>
      </c>
      <c r="H8" s="71" t="inlineStr">
        <is>
          <t>(c) 5-year loss probability, bootstrap</t>
        </is>
      </c>
      <c r="I8" s="68">
        <f>Inputs!$B$28</f>
        <v>0.25</v>
      </c>
      <c r="J8" s="68">
        <f>Bootstrap!D6</f>
        <v>0.073</v>
      </c>
      <c r="K8" s="411" t="str">
        <f>IF(J8&lt;=I8,"MET","NOT MET")</f>
        <v>MET</v>
      </c>
    </row>
    <row r="9">
      <c r="A9" s="67" t="inlineStr">
        <is>
          <t>Listed Property</t>
        </is>
      </c>
      <c r="B9" s="68">
        <f>Portfolio!C9</f>
        <v>0.1</v>
      </c>
      <c r="C9" s="68">
        <f>Portfolio!D9</f>
        <v>0.07</v>
      </c>
      <c r="D9" s="69">
        <f>Portfolio!E9</f>
        <v>0.0867</v>
      </c>
      <c r="E9" s="68">
        <f>Portfolio!I9</f>
        <v>-0.0133</v>
      </c>
      <c r="F9" s="70">
        <f>Portfolio!J9</f>
        <v>-39.9</v>
      </c>
      <c r="H9" s="71" t="inlineStr">
        <is>
          <t>(c) 5-year loss probability, normal</t>
        </is>
      </c>
      <c r="I9" s="68">
        <f>Inputs!$B$28</f>
        <v>0.25</v>
      </c>
      <c r="J9" s="68">
        <f>Bootstrap!D7</f>
        <v>0.0280640130865004</v>
      </c>
      <c r="K9" s="411" t="str">
        <f>IF(J9&lt;=I9,"MET","NOT MET")</f>
        <v>MET</v>
      </c>
    </row>
    <row r="10">
      <c r="A10" s="67" t="inlineStr">
        <is>
          <t>Commodities</t>
        </is>
      </c>
      <c r="B10" s="68">
        <f>Portfolio!C10</f>
        <v>0</v>
      </c>
      <c r="C10" s="68">
        <f>Portfolio!D10</f>
        <v>0.02</v>
      </c>
      <c r="D10" s="69">
        <f>Portfolio!E10</f>
        <v>0.0244</v>
      </c>
      <c r="E10" s="68">
        <f>Portfolio!I10</f>
        <v>0.0244</v>
      </c>
      <c r="F10" s="70">
        <f>Portfolio!J10</f>
        <v>73.2</v>
      </c>
      <c r="H10" s="71" t="inlineStr">
        <is>
          <t>(d) Tracking error, parametric</t>
        </is>
      </c>
      <c r="I10" s="72">
        <f>Inputs!$B$27</f>
        <v>0.015</v>
      </c>
      <c r="J10" s="72">
        <f>Risk!O58</f>
        <v>0.0110023822192608</v>
      </c>
      <c r="K10" s="411" t="str">
        <f>IF(J10&lt;=I10,"MET","NOT MET")</f>
        <v>MET</v>
      </c>
    </row>
    <row r="11">
      <c r="A11" s="67" t="inlineStr">
        <is>
          <t>Direct Property</t>
        </is>
      </c>
      <c r="B11" s="68">
        <f>Portfolio!C11</f>
        <v>0</v>
      </c>
      <c r="C11" s="68">
        <f>Portfolio!D11</f>
        <v>0.05</v>
      </c>
      <c r="D11" s="69">
        <f>Portfolio!E11</f>
        <v>0</v>
      </c>
      <c r="E11" s="68">
        <f>Portfolio!I11</f>
        <v>0</v>
      </c>
      <c r="F11" s="70">
        <f>Portfolio!J11</f>
        <v>0</v>
      </c>
      <c r="H11" s="71" t="inlineStr">
        <is>
          <t>(d) Tracking error, bootstrap</t>
        </is>
      </c>
      <c r="I11" s="72">
        <f>Inputs!$B$27</f>
        <v>0.015</v>
      </c>
      <c r="J11" s="72">
        <f>Bootstrap!D12</f>
        <v>0.0118216021109069</v>
      </c>
      <c r="K11" s="411" t="str">
        <f>IF(J11&lt;=I11,"MET","NOT MET")</f>
        <v>MET</v>
      </c>
    </row>
    <row r="12">
      <c r="A12" s="67" t="inlineStr">
        <is>
          <t>Hedge Funds</t>
        </is>
      </c>
      <c r="B12" s="68">
        <f>Portfolio!C12</f>
        <v>0</v>
      </c>
      <c r="C12" s="68">
        <f>Portfolio!D12</f>
        <v>0.03</v>
      </c>
      <c r="D12" s="69">
        <f>Portfolio!E12</f>
        <v>0</v>
      </c>
      <c r="E12" s="68">
        <f>Portfolio!I12</f>
        <v>0</v>
      </c>
      <c r="F12" s="70">
        <f>Portfolio!J12</f>
        <v>0</v>
      </c>
      <c r="H12" s="71" t="inlineStr">
        <is>
          <t>(e) Equity minimum</t>
        </is>
      </c>
      <c r="I12" s="68">
        <f>Inputs!$B$31</f>
        <v>0.42</v>
      </c>
      <c r="J12" s="68">
        <f>Portfolio!B34</f>
        <v>0.62</v>
      </c>
      <c r="K12" s="411" t="str">
        <f>IF(J12&gt;=I12-0.000001,"MET","NOT MET")</f>
        <v>MET</v>
      </c>
    </row>
    <row r="13">
      <c r="A13" s="67" t="inlineStr">
        <is>
          <t>Private Equity</t>
        </is>
      </c>
      <c r="B13" s="68">
        <f>Portfolio!C13</f>
        <v>0</v>
      </c>
      <c r="C13" s="68">
        <f>Portfolio!D13</f>
        <v>0.03</v>
      </c>
      <c r="D13" s="69">
        <f>Portfolio!E13</f>
        <v>0</v>
      </c>
      <c r="E13" s="68">
        <f>Portfolio!I13</f>
        <v>0</v>
      </c>
      <c r="F13" s="70">
        <f>Portfolio!J13</f>
        <v>0</v>
      </c>
      <c r="H13" s="71" t="inlineStr">
        <is>
          <t>(e) Equity maximum</t>
        </is>
      </c>
      <c r="I13" s="68">
        <f>Inputs!$B$32</f>
        <v>0.62</v>
      </c>
      <c r="J13" s="68">
        <f>Portfolio!B34</f>
        <v>0.62</v>
      </c>
      <c r="K13" s="411" t="str">
        <f>IF(J13&lt;=I13+0.000001,"MET","NOT MET")</f>
        <v>MET</v>
      </c>
    </row>
    <row r="14">
      <c r="A14" s="67" t="inlineStr">
        <is>
          <t>Australian Fixed Income</t>
        </is>
      </c>
      <c r="B14" s="68">
        <f>Portfolio!C14</f>
        <v>0.15</v>
      </c>
      <c r="C14" s="68">
        <f>Portfolio!D14</f>
        <v>0.14</v>
      </c>
      <c r="D14" s="69">
        <f>Portfolio!E14</f>
        <v>0.12</v>
      </c>
      <c r="E14" s="68">
        <f>Portfolio!I14</f>
        <v>-0.03</v>
      </c>
      <c r="F14" s="70">
        <f>Portfolio!J14</f>
        <v>-90</v>
      </c>
      <c r="H14" s="71" t="inlineStr">
        <is>
          <t>(e) Illiquid maximum</t>
        </is>
      </c>
      <c r="I14" s="68">
        <f>Inputs!$B$33</f>
        <v>0.3</v>
      </c>
      <c r="J14" s="68">
        <f>Portfolio!B35</f>
        <v>0</v>
      </c>
      <c r="K14" s="411" t="str">
        <f>IF(J14&lt;=I14,"MET","NOT MET")</f>
        <v>MET</v>
      </c>
    </row>
    <row r="15">
      <c r="A15" s="67" t="inlineStr">
        <is>
          <t>World Fixed Income</t>
        </is>
      </c>
      <c r="B15" s="68">
        <f>Portfolio!C15</f>
        <v>0.08</v>
      </c>
      <c r="C15" s="68">
        <f>Portfolio!D15</f>
        <v>0.11</v>
      </c>
      <c r="D15" s="69">
        <f>Portfolio!E15</f>
        <v>0.1289</v>
      </c>
      <c r="E15" s="68">
        <f>Portfolio!I15</f>
        <v>0.0489</v>
      </c>
      <c r="F15" s="70">
        <f>Portfolio!J15</f>
        <v>146.7</v>
      </c>
      <c r="H15" s="71" t="inlineStr">
        <is>
          <t>(e) Cash minimum</t>
        </is>
      </c>
      <c r="I15" s="68">
        <f>Inputs!$B$34</f>
        <v>0.02</v>
      </c>
      <c r="J15" s="68">
        <f>Portfolio!B36</f>
        <v>0.02</v>
      </c>
      <c r="K15" s="411" t="str">
        <f>IF(J15&gt;=I15,"MET","NOT MET")</f>
        <v>MET</v>
      </c>
    </row>
    <row r="16">
      <c r="A16" s="67" t="inlineStr">
        <is>
          <t>Cash</t>
        </is>
      </c>
      <c r="B16" s="68">
        <f>Portfolio!C16</f>
        <v>0.07</v>
      </c>
      <c r="C16" s="68">
        <f>Portfolio!D16</f>
        <v>0.03</v>
      </c>
      <c r="D16" s="69">
        <f>Portfolio!E16</f>
        <v>0.02</v>
      </c>
      <c r="E16" s="68">
        <f>Portfolio!I16</f>
        <v>-0.05</v>
      </c>
      <c r="F16" s="70">
        <f>Portfolio!J16</f>
        <v>-150</v>
      </c>
      <c r="H16" s="73" t="inlineStr">
        <is>
          <t>(e) No short sales or borrowing</t>
        </is>
      </c>
      <c r="I16" s="74">
        <f>0</f>
        <v>0</v>
      </c>
      <c r="J16" s="74">
        <f>MIN(Portfolio!E6:E16)</f>
        <v>0</v>
      </c>
      <c r="K16" s="412" t="str">
        <f>IF(J16&gt;=I16-0.000001,"MET","NOT MET")</f>
        <v>MET</v>
      </c>
    </row>
    <row r="17">
      <c r="A17" s="75" t="inlineStr">
        <is>
          <t>Total</t>
        </is>
      </c>
      <c r="B17" s="69">
        <f>SUM(B6:B16)</f>
        <v>1</v>
      </c>
      <c r="C17" s="69">
        <f>SUM(C6:C16)</f>
        <v>1</v>
      </c>
      <c r="D17" s="69">
        <f>SUM(D6:D16)</f>
        <v>1</v>
      </c>
      <c r="E17" s="69">
        <f>SUM(E6:E16)</f>
        <v>0</v>
      </c>
      <c r="F17" s="76">
        <f>SUM(F6:F16)</f>
        <v>0</v>
      </c>
    </row>
    <row r="18">
      <c r="A18" s="67" t="inlineStr">
        <is>
          <t>One-way turnover</t>
        </is>
      </c>
      <c r="B18" s="77" t="n"/>
      <c r="C18" s="77" t="n"/>
      <c r="D18" s="68">
        <f>SUMPRODUCT(ABS(Portfolio!I6:I16))/2</f>
        <v>0.2195</v>
      </c>
      <c r="E18" s="77" t="n"/>
      <c r="F18" s="78" t="n"/>
    </row>
    <row r="19">
      <c r="A19" s="79" t="inlineStr">
        <is>
          <t>Change in fees (A$m p.a.)</t>
        </is>
      </c>
      <c r="B19" s="80" t="n"/>
      <c r="C19" s="80" t="n"/>
      <c r="D19" s="424">
        <f>(SUMPRODUCT(Portfolio!E6:E16,Inputs!$D$5:$D$15)-SUMPRODUCT(Portfolio!C6:C16,Inputs!$D$5:$D$15))*Inputs!$B$22</f>
        <v>0.6333</v>
      </c>
      <c r="E19" s="80" t="n"/>
      <c r="F19" s="82" t="n"/>
    </row>
    <row r="22">
      <c r="A22" s="83" t="inlineStr">
        <is>
          <t>3. Expected outcomes (net of fees)</t>
        </is>
      </c>
      <c r="B22" s="84" t="n"/>
      <c r="C22" s="84" t="n"/>
      <c r="D22" s="84" t="n"/>
      <c r="E22" s="85" t="n"/>
      <c r="H22" s="86" t="inlineStr">
        <is>
          <t>4. Stress tests (portfolio return)</t>
        </is>
      </c>
      <c r="I22" s="87" t="n"/>
      <c r="J22" s="87" t="n"/>
      <c r="K22" s="88" t="n"/>
    </row>
    <row r="23" ht="28" customHeight="1">
      <c r="A23" s="89" t="inlineStr">
        <is>
          <t>Metric</t>
        </is>
      </c>
      <c r="B23" s="90" t="inlineStr">
        <is>
          <t>Current</t>
        </is>
      </c>
      <c r="C23" s="90" t="inlineStr">
        <is>
          <t>Benchmark</t>
        </is>
      </c>
      <c r="D23" s="90" t="inlineStr">
        <is>
          <t>Recommended</t>
        </is>
      </c>
      <c r="E23" s="91" t="inlineStr">
        <is>
          <t>Change vs current</t>
        </is>
      </c>
      <c r="H23" s="92" t="inlineStr">
        <is>
          <t>Scenario</t>
        </is>
      </c>
      <c r="I23" s="93" t="inlineStr">
        <is>
          <t>Current</t>
        </is>
      </c>
      <c r="J23" s="93" t="inlineStr">
        <is>
          <t>Benchmark</t>
        </is>
      </c>
      <c r="K23" s="94" t="inlineStr">
        <is>
          <t>Recommended</t>
        </is>
      </c>
    </row>
    <row r="24">
      <c r="A24" s="95" t="inlineStr">
        <is>
          <t>Expected return, compound (p.a.)</t>
        </is>
      </c>
      <c r="B24" s="72">
        <f>Risk!N56-Risk!M56^2/2</f>
        <v>0.0661105479357582</v>
      </c>
      <c r="C24" s="72">
        <f>Risk!N57-Risk!M57^2/2</f>
        <v>0.0637960671243658</v>
      </c>
      <c r="D24" s="96">
        <f>Risk!N58-Risk!M58^2/2</f>
        <v>0.0669596785505359</v>
      </c>
      <c r="E24" s="97">
        <f>D24-B24</f>
        <v>0.000849130614777691</v>
      </c>
      <c r="H24" s="98" t="inlineStr">
        <is>
          <t>Global financial crisis</t>
        </is>
      </c>
      <c r="I24" s="68">
        <f>Stress!B26</f>
        <v>-0.241671707004935</v>
      </c>
      <c r="J24" s="68">
        <f>Stress!B27</f>
        <v>-0.193000886085511</v>
      </c>
      <c r="K24" s="99">
        <f>Stress!B28</f>
        <v>-0.235024797551683</v>
      </c>
    </row>
    <row r="25">
      <c r="A25" s="95" t="inlineStr">
        <is>
          <t>Volatility (p.a.)</t>
        </is>
      </c>
      <c r="B25" s="72">
        <f>Risk!M56</f>
        <v>0.0838339641597338</v>
      </c>
      <c r="C25" s="72">
        <f>Risk!M57</f>
        <v>0.0701341120083923</v>
      </c>
      <c r="D25" s="96">
        <f>Risk!M58</f>
        <v>0.0783891281769718</v>
      </c>
      <c r="E25" s="97">
        <f>D25-B25</f>
        <v>-0.00544483598276209</v>
      </c>
      <c r="H25" s="98" t="inlineStr">
        <is>
          <t>COVID shock</t>
        </is>
      </c>
      <c r="I25" s="68">
        <f>Stress!C26</f>
        <v>-0.120927025238173</v>
      </c>
      <c r="J25" s="68">
        <f>Stress!C27</f>
        <v>-0.0918064845384451</v>
      </c>
      <c r="K25" s="99">
        <f>Stress!C28</f>
        <v>-0.107482356833963</v>
      </c>
    </row>
    <row r="26">
      <c r="A26" s="95" t="inlineStr">
        <is>
          <t>Tracking error, parametric</t>
        </is>
      </c>
      <c r="B26" s="72">
        <f>Risk!O56</f>
        <v>0.0215850264140928</v>
      </c>
      <c r="C26" s="72">
        <f>Risk!O57</f>
        <v>0</v>
      </c>
      <c r="D26" s="96">
        <f>Risk!O58</f>
        <v>0.0110023822192608</v>
      </c>
      <c r="E26" s="97">
        <f>D26-B26</f>
        <v>-0.010582644194832</v>
      </c>
      <c r="H26" s="98" t="inlineStr">
        <is>
          <t>Inflation sell-off (2022)</t>
        </is>
      </c>
      <c r="I26" s="68">
        <f>Stress!D26</f>
        <v>-0.0727544374814924</v>
      </c>
      <c r="J26" s="68">
        <f>Stress!D27</f>
        <v>-0.0726107979336922</v>
      </c>
      <c r="K26" s="99">
        <f>Stress!D28</f>
        <v>-0.0754055858935452</v>
      </c>
    </row>
    <row r="27">
      <c r="A27" s="95" t="inlineStr">
        <is>
          <t>Tracking error, bootstrap</t>
        </is>
      </c>
      <c r="B27" s="72">
        <f>Bootstrap!B12</f>
        <v>0.0156483997916992</v>
      </c>
      <c r="C27" s="72">
        <f>Bootstrap!C12</f>
        <v>0</v>
      </c>
      <c r="D27" s="96">
        <f>Bootstrap!D12</f>
        <v>0.0118216021109069</v>
      </c>
      <c r="E27" s="97">
        <f>D27-B27</f>
        <v>-0.00382679768079232</v>
      </c>
      <c r="H27" s="100" t="inlineStr">
        <is>
          <t>US$150 oil (central case)</t>
        </is>
      </c>
      <c r="I27" s="101">
        <f>Stress!E26</f>
        <v>-0.0826093080046623</v>
      </c>
      <c r="J27" s="101">
        <f>Stress!E27</f>
        <v>-0.0739102470080081</v>
      </c>
      <c r="K27" s="102">
        <f>Stress!E28</f>
        <v>-0.0836389097568949</v>
      </c>
    </row>
    <row r="28">
      <c r="A28" s="95" t="inlineStr">
        <is>
          <t>5-year loss probability, bootstrap</t>
        </is>
      </c>
      <c r="B28" s="68">
        <f>Bootstrap!B6</f>
        <v>0.077</v>
      </c>
      <c r="C28" s="68">
        <f>Bootstrap!C6</f>
        <v>0.062</v>
      </c>
      <c r="D28" s="69">
        <f>Bootstrap!D6</f>
        <v>0.073</v>
      </c>
      <c r="E28" s="103">
        <f>D28-B28</f>
        <v>-0.004</v>
      </c>
    </row>
    <row r="29">
      <c r="A29" s="95" t="inlineStr">
        <is>
          <t>Median 5-year cumulative return</t>
        </is>
      </c>
      <c r="B29" s="68">
        <f>Bootstrap!B9</f>
        <v>0.394143585020906</v>
      </c>
      <c r="C29" s="68">
        <f>Bootstrap!C9</f>
        <v>0.374925504807759</v>
      </c>
      <c r="D29" s="69">
        <f>Bootstrap!D9</f>
        <v>0.395019524403305</v>
      </c>
      <c r="E29" s="103">
        <f>D29-B29</f>
        <v>0.000875939382399382</v>
      </c>
      <c r="H29" s="104" t="inlineStr">
        <is>
          <t>5. Oil: 5-year regression on oil (log) change</t>
        </is>
      </c>
      <c r="I29" s="105" t="n"/>
      <c r="J29" s="105" t="n"/>
      <c r="K29" s="106" t="n"/>
    </row>
    <row r="30">
      <c r="A30" s="107" t="inlineStr">
        <is>
          <t>Management fee (p.a.)</t>
        </is>
      </c>
      <c r="B30" s="108">
        <f>SUMPRODUCT(Portfolio!C6:C16,Inputs!$D$5:$D$15)</f>
        <v>0.00112</v>
      </c>
      <c r="C30" s="108">
        <f>SUMPRODUCT(Portfolio!D6:D16,Inputs!$D$5:$D$15)</f>
        <v>0.00338</v>
      </c>
      <c r="D30" s="109">
        <f>SUMPRODUCT(Portfolio!E6:E16,Inputs!$D$5:$D$15)</f>
        <v>0.0013311</v>
      </c>
      <c r="E30" s="110">
        <f>D30-B30</f>
        <v>0.0002111</v>
      </c>
      <c r="H30" s="111" t="inlineStr">
        <is>
          <t>Series</t>
        </is>
      </c>
      <c r="I30" s="112" t="inlineStr">
        <is>
          <t>Beta</t>
        </is>
      </c>
      <c r="J30" s="112" t="inlineStr">
        <is>
          <t>t-stat (adj.)</t>
        </is>
      </c>
      <c r="K30" s="113" t="inlineStr">
        <is>
          <t>R-squared</t>
        </is>
      </c>
    </row>
    <row r="31">
      <c r="H31" s="114" t="inlineStr">
        <is>
          <t>US equities</t>
        </is>
      </c>
      <c r="I31" s="425">
        <f>Oil!C13</f>
        <v>-0.229981268370374</v>
      </c>
      <c r="J31" s="116">
        <f>Oil!E13</f>
        <v>-1.55423325828416</v>
      </c>
      <c r="K31" s="117">
        <f>Oil!F13</f>
        <v>0.185833201549645</v>
      </c>
    </row>
    <row r="32">
      <c r="H32" s="114" t="inlineStr">
        <is>
          <t>Australian equities</t>
        </is>
      </c>
      <c r="I32" s="425">
        <f>Oil!C16</f>
        <v>0.0875718078465469</v>
      </c>
      <c r="J32" s="116">
        <f>Oil!E16</f>
        <v>0.578735073703811</v>
      </c>
      <c r="K32" s="117">
        <f>Oil!F16</f>
        <v>0.0444508568811196</v>
      </c>
    </row>
    <row r="33">
      <c r="H33" s="114" t="inlineStr">
        <is>
          <t>AU 3-month rate (pp)</t>
        </is>
      </c>
      <c r="I33" s="425">
        <f>Oil!C19</f>
        <v>2.6117925302358</v>
      </c>
      <c r="J33" s="116">
        <f>Oil!E19</f>
        <v>1.45698152400625</v>
      </c>
      <c r="K33" s="117">
        <f>Oil!F19</f>
        <v>0.1670686049014</v>
      </c>
    </row>
    <row r="34">
      <c r="H34" s="118" t="inlineStr">
        <is>
          <t>Likelihood: 12-month rise of this size</t>
        </is>
      </c>
      <c r="I34" s="119" t="n"/>
      <c r="J34" s="119" t="n"/>
      <c r="K34" s="120">
        <f>Oil!B51</f>
        <v>0.106569343065693</v>
      </c>
    </row>
    <row r="36">
      <c r="H36" s="121" t="inlineStr">
        <is>
          <t>6. Out-of-sample (2016-26) and sensitivity</t>
        </is>
      </c>
      <c r="I36" s="122" t="n"/>
      <c r="J36" s="122" t="n"/>
      <c r="K36" s="123" t="n"/>
    </row>
    <row r="37">
      <c r="H37" s="124" t="inlineStr">
        <is>
          <t>Measure</t>
        </is>
      </c>
      <c r="I37" s="125" t="inlineStr">
        <is>
          <t>Robust</t>
        </is>
      </c>
      <c r="J37" s="125" t="inlineStr">
        <is>
          <t>Naive MVO</t>
        </is>
      </c>
      <c r="K37" s="126" t="inlineStr">
        <is>
          <t>Current</t>
        </is>
      </c>
    </row>
    <row r="38">
      <c r="H38" s="127" t="inlineStr">
        <is>
          <t>Realised return, annualised</t>
        </is>
      </c>
      <c r="I38" s="72">
        <f>Validation!B47</f>
        <v>0.0877436646069423</v>
      </c>
      <c r="J38" s="72">
        <f>Validation!C47</f>
        <v>0.0676808469047507</v>
      </c>
      <c r="K38" s="128">
        <f>Validation!D47</f>
        <v>0.0777619511169776</v>
      </c>
    </row>
    <row r="39">
      <c r="H39" s="127" t="inlineStr">
        <is>
          <t>Realised volatility</t>
        </is>
      </c>
      <c r="I39" s="72">
        <f>Validation!B49</f>
        <v>0.0813803431559554</v>
      </c>
      <c r="J39" s="72">
        <f>Validation!C49</f>
        <v>0.0664881814328467</v>
      </c>
      <c r="K39" s="128">
        <f>Validation!D49</f>
        <v>0.0853317910838487</v>
      </c>
    </row>
    <row r="40">
      <c r="H40" s="127" t="inlineStr">
        <is>
          <t>Return per unit of risk</t>
        </is>
      </c>
      <c r="I40" s="116">
        <f>Validation!B50</f>
        <v>1.07819236444841</v>
      </c>
      <c r="J40" s="116">
        <f>Validation!C50</f>
        <v>1.01793800711949</v>
      </c>
      <c r="K40" s="129">
        <f>Validation!D50</f>
        <v>0.911289334599424</v>
      </c>
    </row>
    <row r="41">
      <c r="H41" s="130" t="inlineStr">
        <is>
          <t>Max weight move (sensitivity)</t>
        </is>
      </c>
      <c r="I41" s="131" t="n"/>
      <c r="J41" s="131" t="n"/>
      <c r="K41" s="132">
        <f>MAX(Validation!E58:E60)</f>
        <v>0.0346</v>
      </c>
    </row>
    <row r="43">
      <c r="H43" s="121" t="inlineStr">
        <is>
          <t>7. Track record: rolling 5-year windows since 2011</t>
        </is>
      </c>
      <c r="I43" s="122" t="n"/>
      <c r="J43" s="122" t="n"/>
      <c r="K43" s="123" t="n"/>
    </row>
    <row r="44">
      <c r="H44" s="124" t="inlineStr">
        <is>
          <t>Measure</t>
        </is>
      </c>
      <c r="I44" s="125" t="inlineStr">
        <is>
          <t>Current</t>
        </is>
      </c>
      <c r="J44" s="125" t="inlineStr">
        <is>
          <t>Benchmark</t>
        </is>
      </c>
      <c r="K44" s="126" t="inlineStr">
        <is>
          <t>Recommended</t>
        </is>
      </c>
    </row>
    <row r="45">
      <c r="H45" s="127" t="inlineStr">
        <is>
          <t>Met return target</t>
        </is>
      </c>
      <c r="I45" s="68">
        <f>'Track record'!M13</f>
        <v>0.688524590163934</v>
      </c>
      <c r="J45" s="68">
        <f>'Track record'!N13</f>
        <v>0.688524590163934</v>
      </c>
      <c r="K45" s="133">
        <f>'Track record'!O13</f>
        <v>0.770491803278689</v>
      </c>
    </row>
    <row r="46">
      <c r="H46" s="127" t="inlineStr">
        <is>
          <t>Negative 5-year return</t>
        </is>
      </c>
      <c r="I46" s="68">
        <f>'Track record'!M14</f>
        <v>0.0819672131147541</v>
      </c>
      <c r="J46" s="68">
        <f>'Track record'!N14</f>
        <v>0.0327868852459016</v>
      </c>
      <c r="K46" s="133">
        <f>'Track record'!O14</f>
        <v>0.0819672131147541</v>
      </c>
    </row>
    <row r="47">
      <c r="H47" s="130" t="inlineStr">
        <is>
          <t>Average realised TE</t>
        </is>
      </c>
      <c r="I47" s="134">
        <f>'Track record'!M16</f>
        <v>0.0202631303151899</v>
      </c>
      <c r="J47" s="134" t="n">
        <v>0</v>
      </c>
      <c r="K47" s="135">
        <f>'Track record'!O16</f>
        <v>0.0108784998389167</v>
      </c>
    </row>
    <row r="49">
      <c r="H49" s="136" t="inlineStr">
        <is>
          <t>8. Methods and forecast risk</t>
        </is>
      </c>
      <c r="I49" s="137" t="n"/>
      <c r="J49" s="137" t="n"/>
      <c r="K49" s="138" t="n"/>
    </row>
    <row r="50">
      <c r="H50" s="139" t="inlineStr">
        <is>
          <t>Measure</t>
        </is>
      </c>
      <c r="I50" s="140" t="inlineStr">
        <is>
          <t>Value</t>
        </is>
      </c>
      <c r="J50" s="140" t="n"/>
      <c r="K50" s="141" t="n"/>
    </row>
    <row r="51">
      <c r="H51" s="142" t="inlineStr">
        <is>
          <t>Methods meeting every brief constraint</t>
        </is>
      </c>
      <c r="I51" s="77" t="n"/>
      <c r="J51" s="77" t="n"/>
      <c r="K51" s="143" t="str">
        <f>COUNTIF(Methods!M22:M26,"MET")&amp;" of 5"</f>
        <v>5 of 5</v>
      </c>
    </row>
    <row r="52">
      <c r="H52" s="142" t="inlineStr">
        <is>
          <t>Robust vs resampled: largest weight gap</t>
        </is>
      </c>
      <c r="I52" s="77" t="n"/>
      <c r="J52" s="77" t="n"/>
      <c r="K52" s="144">
        <f>Methods!D33</f>
        <v>0.0274</v>
      </c>
    </row>
    <row r="53">
      <c r="H53" s="142" t="inlineStr">
        <is>
          <t>Return cost of the TE limit</t>
        </is>
      </c>
      <c r="I53" s="77" t="n"/>
      <c r="J53" s="77" t="n"/>
      <c r="K53" s="145">
        <f>Portfolio!D58</f>
        <v>0.0020994113963418</v>
      </c>
    </row>
    <row r="54">
      <c r="H54" s="146" t="inlineStr">
        <is>
          <t>Smallest forecast error that removes advantage</t>
        </is>
      </c>
      <c r="I54" s="147" t="n"/>
      <c r="J54" s="147" t="n"/>
      <c r="K54" s="148">
        <f>Validation!H79</f>
        <v>0.00672845178112274</v>
      </c>
    </row>
    <row r="56">
      <c r="H56" s="426" t="inlineStr">
        <is>
          <t>9. Past performance (monthly rebalancing, net of fees)</t>
        </is>
      </c>
      <c r="I56" s="427" t="n"/>
      <c r="J56" s="427" t="n"/>
      <c r="K56" s="428" t="n"/>
    </row>
    <row r="57">
      <c r="H57" s="429" t="inlineStr">
        <is>
          <t>Measure</t>
        </is>
      </c>
      <c r="I57" s="430" t="inlineStr">
        <is>
          <t>Current</t>
        </is>
      </c>
      <c r="J57" s="430" t="inlineStr">
        <is>
          <t>Benchmark</t>
        </is>
      </c>
      <c r="K57" s="431" t="inlineStr">
        <is>
          <t>Difference</t>
        </is>
      </c>
    </row>
    <row r="58">
      <c r="H58" s="432" t="inlineStr">
        <is>
          <t>Return, Mar-21 to Mar-26</t>
        </is>
      </c>
      <c r="I58" s="433">
        <f>Performance!B17</f>
        <v>0.069191327325671</v>
      </c>
      <c r="J58" s="433">
        <f>Performance!C17</f>
        <v>0.0735285803859276</v>
      </c>
      <c r="K58" s="434">
        <f>Performance!D17</f>
        <v>-0.00433725306025656</v>
      </c>
    </row>
    <row r="59">
      <c r="H59" s="432" t="inlineStr">
        <is>
          <t>Return, 20 years</t>
        </is>
      </c>
      <c r="I59" s="433">
        <f>Performance!E17</f>
        <v>0.0649164616967024</v>
      </c>
      <c r="J59" s="433">
        <f>Performance!F17</f>
        <v>0.0651972814314887</v>
      </c>
      <c r="K59" s="434">
        <f>Performance!G17</f>
        <v>-0.000280819734786331</v>
      </c>
    </row>
    <row r="60">
      <c r="H60" s="432" t="inlineStr">
        <is>
          <t>Sharpe ratio, 5 years</t>
        </is>
      </c>
      <c r="I60" s="435">
        <f>Performance!B20</f>
        <v>0.492801088141523</v>
      </c>
      <c r="J60" s="435">
        <f>Performance!C20</f>
        <v>0.663182018758545</v>
      </c>
      <c r="K60" s="436">
        <f>Performance!D20</f>
        <v>-0.170380930617022</v>
      </c>
    </row>
    <row r="61">
      <c r="H61" s="432" t="inlineStr">
        <is>
          <t>Tracking error, 5 years</t>
        </is>
      </c>
      <c r="I61" s="433">
        <f>Performance!B21</f>
        <v>0.0204963799178002</v>
      </c>
      <c r="J61" s="433" t="n"/>
      <c r="K61" s="434" t="n"/>
    </row>
    <row r="62">
      <c r="H62" s="432" t="inlineStr">
        <is>
          <t>Information ratio, 5 years</t>
        </is>
      </c>
      <c r="I62" s="435">
        <f>Performance!B22</f>
        <v>-0.211610688211816</v>
      </c>
      <c r="J62" s="435" t="n"/>
      <c r="K62" s="436" t="n"/>
    </row>
    <row r="63">
      <c r="H63" s="432" t="inlineStr">
        <is>
          <t>Maximum drawdown, 20 years</t>
        </is>
      </c>
      <c r="I63" s="433">
        <f>Performance!E24</f>
        <v>-0.289073641654891</v>
      </c>
      <c r="J63" s="433">
        <f>Performance!F24</f>
        <v>-0.228415546966604</v>
      </c>
      <c r="K63" s="434">
        <f>Performance!G24</f>
        <v>-0.0606580946882872</v>
      </c>
    </row>
    <row r="64">
      <c r="H64" s="432" t="inlineStr">
        <is>
          <t>Down-market capture, 20 years</t>
        </is>
      </c>
      <c r="I64" s="435">
        <f>Performance!E27</f>
        <v>1.25218025215815</v>
      </c>
      <c r="J64" s="435" t="n">
        <v>1</v>
      </c>
      <c r="K64" s="436" t="n"/>
    </row>
    <row r="65">
      <c r="H65" s="432" t="inlineStr">
        <is>
          <t>Active return, 2006-11 block</t>
        </is>
      </c>
      <c r="I65" s="433">
        <f>Performance!D35</f>
        <v>0.00116588782403615</v>
      </c>
      <c r="J65" s="433" t="n"/>
      <c r="K65" s="434" t="n"/>
    </row>
    <row r="66">
      <c r="H66" s="437" t="inlineStr">
        <is>
          <t>Active return, 2021-26 block</t>
        </is>
      </c>
      <c r="I66" s="438">
        <f>Performance!D38</f>
        <v>-0.00433725306025656</v>
      </c>
      <c r="J66" s="438" t="n"/>
      <c r="K66" s="439" t="n"/>
    </row>
    <row r="69">
      <c r="H69" s="440" t="inlineStr">
        <is>
          <t>10. Oil: robustness and mitigation</t>
        </is>
      </c>
      <c r="I69" s="441" t="n"/>
      <c r="J69" s="441" t="n"/>
      <c r="K69" s="442" t="n"/>
    </row>
    <row r="70">
      <c r="H70" s="443" t="inlineStr">
        <is>
          <t>Measure</t>
        </is>
      </c>
      <c r="I70" s="444" t="n"/>
      <c r="J70" s="444" t="n"/>
      <c r="K70" s="445" t="inlineStr">
        <is>
          <t>Value</t>
        </is>
      </c>
    </row>
    <row r="71">
      <c r="H71" s="446" t="inlineStr">
        <is>
          <t>Australian equities: 12m oil beta since 1986</t>
        </is>
      </c>
      <c r="I71" s="447" t="n"/>
      <c r="J71" s="447" t="n"/>
      <c r="K71" s="448">
        <f>Oil!E95</f>
        <v>0.100598405242679</v>
      </c>
    </row>
    <row r="72">
      <c r="A72" s="449" t="inlineStr">
        <is>
          <t>11. Implementation and after-tax view</t>
        </is>
      </c>
      <c r="B72" s="450" t="n"/>
      <c r="C72" s="451" t="n"/>
      <c r="H72" s="446" t="inlineStr">
        <is>
          <t>AU 5-year yield: 12m oil beta since 1986 (pp)</t>
        </is>
      </c>
      <c r="I72" s="447" t="n"/>
      <c r="J72" s="447" t="n"/>
      <c r="K72" s="452">
        <f>Oil!E101</f>
        <v>1.42389992285558</v>
      </c>
    </row>
    <row r="73">
      <c r="A73" s="453" t="inlineStr">
        <is>
          <t>Measure</t>
        </is>
      </c>
      <c r="B73" s="454" t="inlineStr">
        <is>
          <t>Value</t>
        </is>
      </c>
      <c r="C73" s="455" t="inlineStr">
        <is>
          <t>Status</t>
        </is>
      </c>
      <c r="H73" s="446" t="inlineStr">
        <is>
          <t>Recommended: regression impact, 12 months</t>
        </is>
      </c>
      <c r="I73" s="447" t="n"/>
      <c r="J73" s="447" t="n"/>
      <c r="K73" s="456">
        <f>Oil!B124</f>
        <v>0.0058108569534685</v>
      </c>
    </row>
    <row r="74">
      <c r="A74" s="457" t="inlineStr">
        <is>
          <t>Transition cost (A$m, one-way)</t>
        </is>
      </c>
      <c r="B74" s="458">
        <f>Portfolio!$D$75</f>
        <v>1.58265</v>
      </c>
      <c r="C74" s="459" t="n"/>
      <c r="H74" s="446" t="inlineStr">
        <is>
          <t>Recommended: episode central case</t>
        </is>
      </c>
      <c r="I74" s="447" t="n"/>
      <c r="J74" s="447" t="n"/>
      <c r="K74" s="456">
        <f>Oil!F124</f>
        <v>-0.0836389097568949</v>
      </c>
    </row>
    <row r="75">
      <c r="A75" s="457" t="inlineStr">
        <is>
          <t>Transition cost (% of fund)</t>
        </is>
      </c>
      <c r="B75" s="433">
        <f>Portfolio!$D$76</f>
        <v>0.00052755</v>
      </c>
      <c r="C75" s="459" t="n"/>
      <c r="H75" s="446" t="inlineStr">
        <is>
          <t>Recommended: severe case (2008 scaled)</t>
        </is>
      </c>
      <c r="I75" s="447" t="n"/>
      <c r="J75" s="447" t="n"/>
      <c r="K75" s="456">
        <f>Oil!E124</f>
        <v>-0.134286393345641</v>
      </c>
    </row>
    <row r="76">
      <c r="A76" s="457" t="inlineStr">
        <is>
          <t>Amortised cost per year</t>
        </is>
      </c>
      <c r="B76" s="433">
        <f>Portfolio!$D$77</f>
        <v>0.00010551</v>
      </c>
      <c r="C76" s="459" t="n"/>
      <c r="H76" s="446" t="inlineStr">
        <is>
          <t>Mitigation: commodities +2% from Aus equities, loss reduced</t>
        </is>
      </c>
      <c r="I76" s="447" t="n"/>
      <c r="J76" s="447" t="n"/>
      <c r="K76" s="456">
        <f>Oil!H153</f>
        <v>0.0074988283219815</v>
      </c>
    </row>
    <row r="77">
      <c r="A77" s="457" t="inlineStr">
        <is>
          <t>Expected return advantage after costs</t>
        </is>
      </c>
      <c r="B77" s="433">
        <f>Portfolio!$D$79</f>
        <v>0.000743620614777691</v>
      </c>
      <c r="C77" s="459" t="str">
        <f>Portfolio!$D$80</f>
        <v>PASS</v>
      </c>
      <c r="H77" s="460" t="inlineStr">
        <is>
          <t>Mitigation: same option, tracking error</t>
        </is>
      </c>
      <c r="I77" s="461" t="n"/>
      <c r="J77" s="461" t="n"/>
      <c r="K77" s="462">
        <f>Oil!D153</f>
        <v>0.0117196927587188</v>
      </c>
    </row>
    <row r="78">
      <c r="A78" s="457" t="inlineStr">
        <is>
          <t>Franking uplift: recommended less current</t>
        </is>
      </c>
      <c r="B78" s="433">
        <f>Portfolio!$D$111</f>
        <v>-0.001298598</v>
      </c>
      <c r="C78" s="459" t="n"/>
    </row>
    <row r="79">
      <c r="A79" s="457" t="inlineStr">
        <is>
          <t>Return advantage including franking</t>
        </is>
      </c>
      <c r="B79" s="433">
        <f>Portfolio!$E$111</f>
        <v>-0.000449467385222307</v>
      </c>
      <c r="C79" s="459" t="str">
        <f>Portfolio!$E$112</f>
        <v>REVIEW</v>
      </c>
    </row>
    <row r="80">
      <c r="A80" s="457" t="inlineStr">
        <is>
          <t>Equity incl. listed property (recommended)</t>
        </is>
      </c>
      <c r="B80" s="433">
        <f>Portfolio!$D$119</f>
        <v>0.7067</v>
      </c>
      <c r="C80" s="459" t="str">
        <f>Portfolio!$D$122</f>
        <v>REVIEW</v>
      </c>
    </row>
    <row r="81">
      <c r="A81" s="457" t="inlineStr">
        <is>
          <t>Transition phases meeting constraints</t>
        </is>
      </c>
      <c r="B81" s="447" t="str">
        <f>COUNTIF(Portfolio!C102:F102,"MET")&amp;" of 4"</f>
        <v>4 of 4</v>
      </c>
      <c r="C81" s="459" t="n"/>
    </row>
    <row r="82">
      <c r="A82" s="463" t="inlineStr">
        <is>
          <t>Model checks flagged for disclosure</t>
        </is>
      </c>
      <c r="B82" s="464">
        <f>COUNTIF(Checks!D7:D49,"REVIEW")</f>
        <v>2</v>
      </c>
      <c r="C82" s="465" t="n"/>
    </row>
    <row r="85">
      <c r="A85" s="504" t="inlineStr">
        <is>
          <t>12. Asset-class scope: portfolios with and without some asset classes (Portfolio section 9)</t>
        </is>
      </c>
      <c r="B85" s="505" t="n"/>
      <c r="C85" s="505" t="n"/>
      <c r="D85" s="505" t="n"/>
      <c r="E85" s="505" t="n"/>
      <c r="F85" s="506" t="n"/>
    </row>
    <row r="86" ht="40" customHeight="1">
      <c r="A86" s="507" t="inlineStr">
        <is>
          <t>Measure</t>
        </is>
      </c>
      <c r="B86" s="508" t="inlineStr">
        <is>
          <t>Recommended</t>
        </is>
      </c>
      <c r="C86" s="508" t="inlineStr">
        <is>
          <t>Alternatives fixed by scorecard</t>
        </is>
      </c>
      <c r="D86" s="508" t="inlineStr">
        <is>
          <t>No alternatives</t>
        </is>
      </c>
      <c r="E86" s="508" t="inlineStr">
        <is>
          <t>Alternatives at benchmark</t>
        </is>
      </c>
      <c r="F86" s="509" t="inlineStr">
        <is>
          <t>Core five only</t>
        </is>
      </c>
    </row>
    <row r="87">
      <c r="A87" s="510" t="inlineStr">
        <is>
          <t>Expected return (compound)</t>
        </is>
      </c>
      <c r="B87" s="433">
        <f>Portfolio!B152</f>
        <v>0.0669596785505359</v>
      </c>
      <c r="C87" s="433">
        <f>Portfolio!C152</f>
        <v>0.0662356533917832</v>
      </c>
      <c r="D87" s="433">
        <f>Portfolio!D152</f>
        <v>0.0665440755790494</v>
      </c>
      <c r="E87" s="433">
        <f>Portfolio!E152</f>
        <v>0.065443707159357</v>
      </c>
      <c r="F87" s="515">
        <f>Portfolio!F152</f>
        <v>0.0650245476262355</v>
      </c>
    </row>
    <row r="88">
      <c r="A88" s="510" t="inlineStr">
        <is>
          <t>Volatility</t>
        </is>
      </c>
      <c r="B88" s="433">
        <f>Portfolio!B153</f>
        <v>0.0783891281769718</v>
      </c>
      <c r="C88" s="433">
        <f>Portfolio!C153</f>
        <v>0.0793500142524106</v>
      </c>
      <c r="D88" s="433">
        <f>Portfolio!D153</f>
        <v>0.076728986435961</v>
      </c>
      <c r="E88" s="433">
        <f>Portfolio!E153</f>
        <v>0.0801709486072219</v>
      </c>
      <c r="F88" s="515">
        <f>Portfolio!F153</f>
        <v>0.0735257911067016</v>
      </c>
    </row>
    <row r="89">
      <c r="A89" s="510" t="inlineStr">
        <is>
          <t>Tracking error (bootstrap)</t>
        </is>
      </c>
      <c r="B89" s="433">
        <f>Portfolio!B155</f>
        <v>0.0118216021109069</v>
      </c>
      <c r="C89" s="433">
        <f>Portfolio!C155</f>
        <v>0.0141892881764633</v>
      </c>
      <c r="D89" s="433">
        <f>Portfolio!D155</f>
        <v>0.011441138318684</v>
      </c>
      <c r="E89" s="433">
        <f>Portfolio!E155</f>
        <v>0.0147027147705213</v>
      </c>
      <c r="F89" s="515">
        <f>Portfolio!F155</f>
        <v>0.0113929845348023</v>
      </c>
    </row>
    <row r="90">
      <c r="A90" s="510" t="inlineStr">
        <is>
          <t>5-year loss probability (bootstrap)</t>
        </is>
      </c>
      <c r="B90" s="483">
        <f>Portfolio!B156</f>
        <v>0.073</v>
      </c>
      <c r="C90" s="483">
        <f>Portfolio!C156</f>
        <v>0.077</v>
      </c>
      <c r="D90" s="483">
        <f>Portfolio!D156</f>
        <v>0.072</v>
      </c>
      <c r="E90" s="483">
        <f>Portfolio!E156</f>
        <v>0.08</v>
      </c>
      <c r="F90" s="511">
        <f>Portfolio!F156</f>
        <v>0.051</v>
      </c>
    </row>
    <row r="91">
      <c r="A91" s="510" t="inlineStr">
        <is>
          <t>Management fee (p.a.)</t>
        </is>
      </c>
      <c r="B91" s="433">
        <f>Portfolio!B159</f>
        <v>0.0013311</v>
      </c>
      <c r="C91" s="433">
        <f>Portfolio!C159</f>
        <v>0.00214125</v>
      </c>
      <c r="D91" s="433">
        <f>Portfolio!D159</f>
        <v>0.00130775</v>
      </c>
      <c r="E91" s="433">
        <f>Portfolio!E159</f>
        <v>0.0033851</v>
      </c>
      <c r="F91" s="515">
        <f>Portfolio!F159</f>
        <v>0.00123295</v>
      </c>
    </row>
    <row r="92">
      <c r="A92" s="510" t="inlineStr">
        <is>
          <t>Global financial crisis</t>
        </is>
      </c>
      <c r="B92" s="483">
        <f>Portfolio!B162</f>
        <v>-0.235024797551683</v>
      </c>
      <c r="C92" s="483">
        <f>Portfolio!C162</f>
        <v>-0.244316959633621</v>
      </c>
      <c r="D92" s="483">
        <f>Portfolio!D162</f>
        <v>-0.220942547218536</v>
      </c>
      <c r="E92" s="483">
        <f>Portfolio!E162</f>
        <v>-0.242012591252898</v>
      </c>
      <c r="F92" s="511">
        <f>Portfolio!F162</f>
        <v>-0.176150633957053</v>
      </c>
    </row>
    <row r="93">
      <c r="A93" s="510" t="inlineStr">
        <is>
          <t>US$150 oil (central case)</t>
        </is>
      </c>
      <c r="B93" s="483">
        <f>Portfolio!B165</f>
        <v>-0.0836389097568949</v>
      </c>
      <c r="C93" s="483">
        <f>Portfolio!C165</f>
        <v>-0.0774120023946985</v>
      </c>
      <c r="D93" s="483">
        <f>Portfolio!D165</f>
        <v>-0.0915662144019019</v>
      </c>
      <c r="E93" s="483">
        <f>Portfolio!E165</f>
        <v>-0.0799285280437998</v>
      </c>
      <c r="F93" s="511">
        <f>Portfolio!F165</f>
        <v>-0.0837521544116746</v>
      </c>
    </row>
    <row r="94">
      <c r="A94" s="510" t="inlineStr">
        <is>
          <t>Transition cost (A$m)</t>
        </is>
      </c>
      <c r="B94" s="458">
        <f>Portfolio!B168</f>
        <v>1.58265</v>
      </c>
      <c r="C94" s="458">
        <f>Portfolio!C168</f>
        <v>3.81645</v>
      </c>
      <c r="D94" s="458">
        <f>Portfolio!D168</f>
        <v>1.6788</v>
      </c>
      <c r="E94" s="458">
        <f>Portfolio!E168</f>
        <v>4.66635</v>
      </c>
      <c r="F94" s="662">
        <f>Portfolio!F168</f>
        <v>1.7454</v>
      </c>
    </row>
    <row r="95">
      <c r="A95" s="510" t="inlineStr">
        <is>
          <t>Advantage vs current after costs</t>
        </is>
      </c>
      <c r="B95" s="433">
        <f>Portfolio!B169</f>
        <v>0.000743620614777691</v>
      </c>
      <c r="C95" s="433">
        <f>Portfolio!C169</f>
        <v>-0.000129324543974976</v>
      </c>
      <c r="D95" s="433">
        <f>Portfolio!D169</f>
        <v>0.000321607643291229</v>
      </c>
      <c r="E95" s="433">
        <f>Portfolio!E169</f>
        <v>-0.000977930776401237</v>
      </c>
      <c r="F95" s="515">
        <f>Portfolio!F169</f>
        <v>-0.00120236030952268</v>
      </c>
    </row>
    <row r="96">
      <c r="A96" s="516" t="inlineStr">
        <is>
          <t>Brief constraints</t>
        </is>
      </c>
      <c r="B96" s="663" t="str">
        <f>Portfolio!B170</f>
        <v>MET</v>
      </c>
      <c r="C96" s="663" t="str">
        <f>Portfolio!C170</f>
        <v>MET</v>
      </c>
      <c r="D96" s="663" t="str">
        <f>Portfolio!D170</f>
        <v>MET</v>
      </c>
      <c r="E96" s="663" t="str">
        <f>Portfolio!E170</f>
        <v>MET</v>
      </c>
      <c r="F96" s="664" t="str">
        <f>Portfolio!F170</f>
        <v>MET</v>
      </c>
    </row>
  </sheetData>
  <conditionalFormatting sqref="B2">
    <cfRule type="cellIs" priority="1" operator="equal" dxfId="3">
      <formula>"ALL CHECKS PASS"</formula>
    </cfRule>
  </conditionalFormatting>
  <conditionalFormatting sqref="K6:K16">
    <cfRule type="cellIs" priority="2" operator="equal" dxfId="3">
      <formula>"MET"</formula>
    </cfRule>
    <cfRule type="cellIs" priority="3" operator="equal" dxfId="3">
      <formula>"PASS"</formula>
    </cfRule>
    <cfRule type="cellIs" priority="4" operator="equal" dxfId="3">
      <formula>"INFO"</formula>
    </cfRule>
    <cfRule type="cellIs" priority="5" operator="equal" dxfId="1">
      <formula>"NOT MET"</formula>
    </cfRule>
    <cfRule type="cellIs" priority="6" operator="equal" dxfId="1">
      <formula>"FAIL"</formula>
    </cfRule>
    <cfRule type="cellIs" priority="7" operator="equal" dxfId="0">
      <formula>"MAX FEASIBLE"</formula>
    </cfRule>
  </conditionalFormatting>
  <conditionalFormatting sqref="C74:C82">
    <cfRule type="cellIs" priority="8" operator="equal" dxfId="3">
      <formula>"MET"</formula>
    </cfRule>
    <cfRule type="cellIs" priority="9" operator="equal" dxfId="3">
      <formula>"PASS"</formula>
    </cfRule>
    <cfRule type="cellIs" priority="10" operator="equal" dxfId="3">
      <formula>"INFO"</formula>
    </cfRule>
    <cfRule type="cellIs" priority="11" operator="equal" dxfId="1">
      <formula>"NOT MET"</formula>
    </cfRule>
    <cfRule type="cellIs" priority="12" operator="equal" dxfId="1">
      <formula>"FAIL"</formula>
    </cfRule>
    <cfRule type="cellIs" priority="13" operator="equal" dxfId="0">
      <formula>"MAX FEASIBLE"</formula>
    </cfRule>
    <cfRule type="cellIs" priority="14" operator="equal" dxfId="0">
      <formula>"REVIEW"</formula>
    </cfRule>
  </conditionalFormatting>
  <conditionalFormatting sqref="B96:F96">
    <cfRule type="cellIs" priority="15" operator="equal" dxfId="3">
      <formula>"MET"</formula>
    </cfRule>
    <cfRule type="cellIs" priority="16" operator="equal" dxfId="3">
      <formula>"PASS"</formula>
    </cfRule>
    <cfRule type="cellIs" priority="17" operator="equal" dxfId="3">
      <formula>"INFO"</formula>
    </cfRule>
    <cfRule type="cellIs" priority="18" operator="equal" dxfId="1">
      <formula>"NOT MET"</formula>
    </cfRule>
    <cfRule type="cellIs" priority="19" operator="equal" dxfId="1">
      <formula>"FAIL"</formula>
    </cfRule>
    <cfRule type="cellIs" priority="20" operator="equal" dxfId="0">
      <formula>"MAX FEASIBLE"</formula>
    </cfRule>
    <cfRule type="cellIs" priority="21" operator="equal" dxfId="0">
      <formula>"REVIEW"</formula>
    </cfRule>
  </conditionalFormatting>
  <pageMargins left="0.75" right="0.75" top="1" bottom="1" header="0.5" footer="0.5"/>
  <pageSetup orientation="landscape" fitToHeight="0"/>
  <drawing xmlns:r="http://schemas.openxmlformats.org/officeDocument/2006/relationships" r:id="rId1"/>
</worksheet>
</file>

<file path=xl/worksheets/sheet2.xml><?xml version="1.0" encoding="utf-8"?>
<worksheet xmlns="http://schemas.openxmlformats.org/spreadsheetml/2006/main">
  <sheetPr>
    <tabColor rgb="FF203864"/>
    <outlinePr summaryBelow="1" summaryRight="1"/>
    <pageSetUpPr fitToPage="1"/>
  </sheetPr>
  <dimension ref="A1:AE540"/>
  <sheetViews>
    <sheetView showGridLines="0" tabSelected="1" workbookViewId="0">
      <pane ySplit="2" topLeftCell="A3" activePane="bottomLeft" state="frozen"/>
      <selection pane="bottomLeft" activeCell="J7" sqref="J7"/>
    </sheetView>
  </sheetViews>
  <sheetFormatPr baseColWidth="10" defaultColWidth="8.83203125" defaultRowHeight="15"/>
  <cols>
    <col width="9.5" customWidth="1" min="1" max="5"/>
    <col width="23.1640625" bestFit="1" customWidth="1" min="6" max="6"/>
    <col width="9.5" customWidth="1" min="7" max="12"/>
    <col width="3" customWidth="1" min="13" max="13"/>
    <col width="16" customWidth="1" min="14" max="14"/>
    <col width="11" customWidth="1" min="15" max="19"/>
    <col width="3" customWidth="1" min="20" max="21"/>
    <col width="12" customWidth="1" min="22" max="22"/>
    <col width="11" customWidth="1" min="23" max="26"/>
    <col width="3" customWidth="1" min="27" max="27"/>
    <col width="12" customWidth="1" min="28" max="28"/>
    <col width="11" customWidth="1" min="29" max="31"/>
  </cols>
  <sheetData>
    <row r="1" ht="19" customHeight="1">
      <c r="A1" s="53" t="inlineStr">
        <is>
          <t>Report figures</t>
        </is>
      </c>
    </row>
    <row r="3">
      <c r="A3" s="55" t="inlineStr">
        <is>
          <t>Figure index</t>
        </is>
      </c>
      <c r="B3" s="56" t="n"/>
      <c r="C3" s="56" t="n"/>
      <c r="D3" s="56" t="n"/>
      <c r="E3" s="56" t="n"/>
      <c r="F3" s="57" t="n"/>
    </row>
    <row r="4" ht="28" customHeight="1">
      <c r="A4" s="61" t="inlineStr">
        <is>
          <t>Figure</t>
        </is>
      </c>
      <c r="B4" s="62" t="inlineStr">
        <is>
          <t>Title</t>
        </is>
      </c>
      <c r="C4" s="62" t="n"/>
      <c r="D4" s="62" t="n"/>
      <c r="E4" s="62" t="n"/>
      <c r="F4" s="63" t="inlineStr">
        <is>
          <t>Source tab</t>
        </is>
      </c>
    </row>
    <row r="5">
      <c r="A5" s="75" t="inlineStr">
        <is>
          <t>Figure 1</t>
        </is>
      </c>
      <c r="B5" s="149" t="inlineStr">
        <is>
          <t>Risk-return opportunity set</t>
        </is>
      </c>
      <c r="C5" s="77" t="n"/>
      <c r="D5" s="77" t="n"/>
      <c r="E5" s="77" t="n"/>
      <c r="F5" s="422" t="inlineStr">
        <is>
          <t>Validation, Methods</t>
        </is>
      </c>
    </row>
    <row r="6">
      <c r="A6" s="75" t="inlineStr">
        <is>
          <t>Figure 2</t>
        </is>
      </c>
      <c r="B6" s="149" t="inlineStr">
        <is>
          <t>Strategic asset allocation</t>
        </is>
      </c>
      <c r="C6" s="77" t="n"/>
      <c r="D6" s="77" t="n"/>
      <c r="E6" s="77" t="n"/>
      <c r="F6" s="422" t="inlineStr">
        <is>
          <t>Portfolio</t>
        </is>
      </c>
    </row>
    <row r="7">
      <c r="A7" s="75" t="inlineStr">
        <is>
          <t>Figure 3</t>
        </is>
      </c>
      <c r="B7" s="149" t="inlineStr">
        <is>
          <t>Fund performance since 2006</t>
        </is>
      </c>
      <c r="C7" s="77" t="n"/>
      <c r="D7" s="77" t="n"/>
      <c r="E7" s="77" t="n"/>
      <c r="F7" s="422" t="inlineStr">
        <is>
          <t>Quarterly returns, RBA 5Y yield</t>
        </is>
      </c>
    </row>
    <row r="8">
      <c r="A8" s="75" t="inlineStr">
        <is>
          <t>Figure 4</t>
        </is>
      </c>
      <c r="B8" s="149" t="inlineStr">
        <is>
          <t>Annualised returns to March 2026</t>
        </is>
      </c>
      <c r="C8" s="77" t="n"/>
      <c r="D8" s="77" t="n"/>
      <c r="E8" s="77" t="n"/>
      <c r="F8" s="422" t="inlineStr">
        <is>
          <t>Track record</t>
        </is>
      </c>
    </row>
    <row r="9">
      <c r="A9" s="75" t="inlineStr">
        <is>
          <t>Figure 5</t>
        </is>
      </c>
      <c r="B9" s="149" t="inlineStr">
        <is>
          <t>Stress tests</t>
        </is>
      </c>
      <c r="C9" s="77" t="n"/>
      <c r="D9" s="77" t="n"/>
      <c r="E9" s="77" t="n"/>
      <c r="F9" s="422" t="inlineStr">
        <is>
          <t>Stress</t>
        </is>
      </c>
    </row>
    <row r="10">
      <c r="A10" s="75" t="inlineStr">
        <is>
          <t>Figure 6</t>
        </is>
      </c>
      <c r="B10" s="149" t="inlineStr">
        <is>
          <t>Five-year outcomes (forecast-adjusted bootstrap)</t>
        </is>
      </c>
      <c r="C10" s="77" t="n"/>
      <c r="D10" s="77" t="n"/>
      <c r="E10" s="77" t="n"/>
      <c r="F10" s="422" t="inlineStr">
        <is>
          <t>Bootstrap</t>
        </is>
      </c>
    </row>
    <row r="11">
      <c r="A11" s="75" t="inlineStr">
        <is>
          <t>Figure 7</t>
        </is>
      </c>
      <c r="B11" s="149" t="inlineStr">
        <is>
          <t>How far the return target is out of reach</t>
        </is>
      </c>
      <c r="C11" s="77" t="n"/>
      <c r="D11" s="77" t="n"/>
      <c r="E11" s="77" t="n"/>
      <c r="F11" s="422" t="inlineStr">
        <is>
          <t>Portfolio</t>
        </is>
      </c>
    </row>
    <row r="12">
      <c r="A12" s="75" t="inlineStr">
        <is>
          <t>Figure 8</t>
        </is>
      </c>
      <c r="B12" s="149" t="inlineStr">
        <is>
          <t>US$150 oil: estimates by method</t>
        </is>
      </c>
      <c r="C12" s="77" t="n"/>
      <c r="D12" s="77" t="n"/>
      <c r="E12" s="77" t="n"/>
      <c r="F12" s="422" t="inlineStr">
        <is>
          <t>Oil</t>
        </is>
      </c>
    </row>
    <row r="13">
      <c r="A13" s="75" t="inlineStr">
        <is>
          <t>Figure 9</t>
        </is>
      </c>
      <c r="B13" s="149" t="inlineStr">
        <is>
          <t>Oil and equity returns by horizon</t>
        </is>
      </c>
      <c r="C13" s="77" t="n"/>
      <c r="D13" s="77" t="n"/>
      <c r="E13" s="77" t="n"/>
      <c r="F13" s="422" t="inlineStr">
        <is>
          <t>Oil</t>
        </is>
      </c>
    </row>
    <row r="14">
      <c r="A14" s="75" t="inlineStr">
        <is>
          <t>Figure 10</t>
        </is>
      </c>
      <c r="B14" s="149" t="inlineStr">
        <is>
          <t>Rolling 5-year return against the target</t>
        </is>
      </c>
      <c r="C14" s="77" t="n"/>
      <c r="D14" s="77" t="n"/>
      <c r="E14" s="77" t="n"/>
      <c r="F14" s="422" t="inlineStr">
        <is>
          <t>Track record</t>
        </is>
      </c>
    </row>
    <row r="15">
      <c r="A15" s="75" t="inlineStr">
        <is>
          <t>Figure 11</t>
        </is>
      </c>
      <c r="B15" s="149" t="inlineStr">
        <is>
          <t>Portfolio construction methods</t>
        </is>
      </c>
      <c r="C15" s="77" t="n"/>
      <c r="D15" s="77" t="n"/>
      <c r="E15" s="77" t="n"/>
      <c r="F15" s="422" t="inlineStr">
        <is>
          <t>Methods</t>
        </is>
      </c>
    </row>
    <row r="16">
      <c r="A16" s="75" t="inlineStr">
        <is>
          <t>Figure 12</t>
        </is>
      </c>
      <c r="B16" s="149" t="inlineStr">
        <is>
          <t>Expected returns against 20-year history</t>
        </is>
      </c>
      <c r="C16" s="77" t="n"/>
      <c r="D16" s="77" t="n"/>
      <c r="E16" s="77" t="n"/>
      <c r="F16" s="422" t="inlineStr">
        <is>
          <t>Forecast</t>
        </is>
      </c>
    </row>
    <row r="17">
      <c r="A17" s="466" t="inlineStr">
        <is>
          <t>Figure 13</t>
        </is>
      </c>
      <c r="B17" s="467" t="inlineStr">
        <is>
          <t>Forecast stress test</t>
        </is>
      </c>
      <c r="C17" s="468" t="n"/>
      <c r="D17" s="468" t="n"/>
      <c r="E17" s="468" t="n"/>
      <c r="F17" s="469" t="inlineStr">
        <is>
          <t>Validation</t>
        </is>
      </c>
    </row>
    <row r="18">
      <c r="A18" s="466" t="inlineStr">
        <is>
          <t>Figure 14</t>
        </is>
      </c>
      <c r="B18" s="467" t="inlineStr">
        <is>
          <t>Rolling 5-year active return (net of fees)</t>
        </is>
      </c>
      <c r="C18" s="468" t="n"/>
      <c r="D18" s="468" t="n"/>
      <c r="E18" s="468" t="n"/>
      <c r="F18" s="469" t="inlineStr">
        <is>
          <t>Performance</t>
        </is>
      </c>
    </row>
    <row r="19">
      <c r="A19" s="150" t="inlineStr">
        <is>
          <t>Figure 15</t>
        </is>
      </c>
      <c r="B19" s="151" t="inlineStr">
        <is>
          <t>Attribution of active return</t>
        </is>
      </c>
      <c r="C19" s="80" t="n"/>
      <c r="D19" s="80" t="n"/>
      <c r="E19" s="80" t="n"/>
      <c r="F19" s="423" t="inlineStr">
        <is>
          <t>Performance</t>
        </is>
      </c>
    </row>
    <row r="20">
      <c r="A20" s="152" t="inlineStr">
        <is>
          <t>Figure 1. Risk-return opportunity set</t>
        </is>
      </c>
      <c r="B20" s="153" t="n"/>
      <c r="C20" s="153" t="n"/>
      <c r="D20" s="153" t="n"/>
      <c r="E20" s="153" t="n"/>
      <c r="F20" s="153" t="n"/>
      <c r="G20" s="153" t="n"/>
      <c r="H20" s="153" t="n"/>
      <c r="I20" s="153" t="n"/>
      <c r="J20" s="153" t="n"/>
      <c r="K20" s="153" t="n"/>
      <c r="L20" s="154" t="n"/>
      <c r="N20" s="155" t="inlineStr">
        <is>
          <t>Chart data, figure 1</t>
        </is>
      </c>
    </row>
    <row r="21" ht="28" customHeight="1">
      <c r="N21" s="156" t="inlineStr">
        <is>
          <t>Point</t>
        </is>
      </c>
      <c r="O21" s="157" t="inlineStr">
        <is>
          <t>Vol (no TE limit)</t>
        </is>
      </c>
      <c r="P21" s="157" t="inlineStr">
        <is>
          <t>Return (no TE limit)</t>
        </is>
      </c>
      <c r="Q21" s="157" t="inlineStr">
        <is>
          <t>Vol (TE limit)</t>
        </is>
      </c>
      <c r="R21" s="157" t="inlineStr">
        <is>
          <t>Return (TE limit)</t>
        </is>
      </c>
    </row>
    <row r="22">
      <c r="N22" s="158" t="inlineStr">
        <is>
          <t>Point 1</t>
        </is>
      </c>
      <c r="O22" s="159">
        <f>Validation!B125</f>
        <v>0.0466820755244891</v>
      </c>
      <c r="P22" s="159">
        <f>Validation!B124</f>
        <v>0.0604109924539374</v>
      </c>
      <c r="Q22" s="159">
        <f>Validation!B143</f>
        <v>0.0595134073977176</v>
      </c>
      <c r="R22" s="159">
        <f>Validation!B142</f>
        <v>0.0634813665404129</v>
      </c>
    </row>
    <row r="23">
      <c r="N23" s="158" t="inlineStr">
        <is>
          <t>Point 2</t>
        </is>
      </c>
      <c r="O23" s="159">
        <f>Validation!C125</f>
        <v>0.0475042706483331</v>
      </c>
      <c r="P23" s="159">
        <f>Validation!C124</f>
        <v>0.0617138327762841</v>
      </c>
      <c r="Q23" s="159">
        <f>Validation!C143</f>
        <v>0.0598158956305185</v>
      </c>
      <c r="R23" s="159">
        <f>Validation!C142</f>
        <v>0.0642098847873738</v>
      </c>
    </row>
    <row r="24">
      <c r="N24" s="158" t="inlineStr">
        <is>
          <t>Point 3</t>
        </is>
      </c>
      <c r="O24" s="159">
        <f>Validation!D125</f>
        <v>0.0506864932327532</v>
      </c>
      <c r="P24" s="159">
        <f>Validation!D124</f>
        <v>0.0630140195206193</v>
      </c>
      <c r="Q24" s="159">
        <f>Validation!D143</f>
        <v>0.0605608335559351</v>
      </c>
      <c r="R24" s="159">
        <f>Validation!D142</f>
        <v>0.0649386093649641</v>
      </c>
    </row>
    <row r="25">
      <c r="N25" s="158" t="inlineStr">
        <is>
          <t>Point 4</t>
        </is>
      </c>
      <c r="O25" s="159">
        <f>Validation!E125</f>
        <v>0.0549218071725918</v>
      </c>
      <c r="P25" s="159">
        <f>Validation!E124</f>
        <v>0.0643168148070565</v>
      </c>
      <c r="Q25" s="159">
        <f>Validation!E143</f>
        <v>0.0616843354349399</v>
      </c>
      <c r="R25" s="159">
        <f>Validation!E142</f>
        <v>0.0656644848845165</v>
      </c>
    </row>
    <row r="26">
      <c r="N26" s="158" t="inlineStr">
        <is>
          <t>Point 5</t>
        </is>
      </c>
      <c r="O26" s="159">
        <f>Validation!F125</f>
        <v>0.0594495407118486</v>
      </c>
      <c r="P26" s="159">
        <f>Validation!F124</f>
        <v>0.0656186978662209</v>
      </c>
      <c r="Q26" s="159">
        <f>Validation!F143</f>
        <v>0.0632635500635464</v>
      </c>
      <c r="R26" s="159">
        <f>Validation!F142</f>
        <v>0.066392560990214</v>
      </c>
    </row>
    <row r="27">
      <c r="N27" s="158" t="inlineStr">
        <is>
          <t>Point 6</t>
        </is>
      </c>
      <c r="O27" s="159">
        <f>Validation!G125</f>
        <v>0.0642067186331825</v>
      </c>
      <c r="P27" s="159">
        <f>Validation!G124</f>
        <v>0.0669223029518575</v>
      </c>
      <c r="Q27" s="159">
        <f>Validation!G143</f>
        <v>0.0654273751600381</v>
      </c>
      <c r="R27" s="159">
        <f>Validation!G142</f>
        <v>0.067119175033064</v>
      </c>
    </row>
    <row r="28">
      <c r="N28" s="158" t="inlineStr">
        <is>
          <t>Point 7</t>
        </is>
      </c>
      <c r="O28" s="159">
        <f>Validation!H125</f>
        <v>0.0692155462830809</v>
      </c>
      <c r="P28" s="159">
        <f>Validation!H124</f>
        <v>0.068223745897994</v>
      </c>
      <c r="Q28" s="159">
        <f>Validation!H143</f>
        <v>0.0680026697127463</v>
      </c>
      <c r="R28" s="159">
        <f>Validation!H142</f>
        <v>0.0678483862534227</v>
      </c>
    </row>
    <row r="29">
      <c r="N29" s="158" t="inlineStr">
        <is>
          <t>Point 8</t>
        </is>
      </c>
      <c r="O29" s="159">
        <f>Validation!I125</f>
        <v>0.0748017878451787</v>
      </c>
      <c r="P29" s="159">
        <f>Validation!I124</f>
        <v>0.0695262020616433</v>
      </c>
      <c r="Q29" s="159">
        <f>Validation!I143</f>
        <v>0.0709525726329572</v>
      </c>
      <c r="R29" s="159">
        <f>Validation!I142</f>
        <v>0.0685747936523373</v>
      </c>
    </row>
    <row r="30">
      <c r="N30" s="158" t="inlineStr">
        <is>
          <t>Point 9</t>
        </is>
      </c>
      <c r="O30" s="159">
        <f>Validation!J125</f>
        <v>0.080501525367439</v>
      </c>
      <c r="P30" s="159">
        <f>Validation!J124</f>
        <v>0.0708290445714526</v>
      </c>
      <c r="Q30" s="159">
        <f>Validation!J143</f>
        <v>0.0741951415827985</v>
      </c>
      <c r="R30" s="159">
        <f>Validation!J142</f>
        <v>0.0693051396645462</v>
      </c>
    </row>
    <row r="31">
      <c r="N31" s="158" t="inlineStr">
        <is>
          <t>Point 10</t>
        </is>
      </c>
      <c r="O31" s="159">
        <f>Validation!K125</f>
        <v>0.0900591239554827</v>
      </c>
      <c r="P31" s="159">
        <f>Validation!K124</f>
        <v>0.0721315176550505</v>
      </c>
      <c r="Q31" s="159">
        <f>Validation!K143</f>
        <v>0.0783891281769718</v>
      </c>
      <c r="R31" s="159">
        <f>Validation!K142</f>
        <v>0.0700321062587087</v>
      </c>
    </row>
    <row r="32" ht="28" customHeight="1">
      <c r="N32" s="156" t="inlineStr">
        <is>
          <t>Portfolio</t>
        </is>
      </c>
      <c r="O32" s="157" t="inlineStr">
        <is>
          <t>Volatility</t>
        </is>
      </c>
      <c r="P32" s="157" t="inlineStr">
        <is>
          <t>Expected return</t>
        </is>
      </c>
    </row>
    <row r="33">
      <c r="N33" s="158" t="inlineStr">
        <is>
          <t>Current fund</t>
        </is>
      </c>
      <c r="O33" s="159">
        <f>Risk!M56</f>
        <v>0.0838339641597338</v>
      </c>
      <c r="P33" s="159">
        <f>Risk!N56</f>
        <v>0.069624614709126</v>
      </c>
    </row>
    <row r="34">
      <c r="N34" s="158" t="inlineStr">
        <is>
          <t>Benchmark</t>
        </is>
      </c>
      <c r="O34" s="159">
        <f>Risk!M57</f>
        <v>0.0701341120083923</v>
      </c>
      <c r="P34" s="159">
        <f>Risk!N57</f>
        <v>0.0662554639579687</v>
      </c>
    </row>
    <row r="35">
      <c r="N35" s="158" t="inlineStr">
        <is>
          <t>Recommended</t>
        </is>
      </c>
      <c r="O35" s="159">
        <f>Risk!M58</f>
        <v>0.0783891281769718</v>
      </c>
      <c r="P35" s="159">
        <f>Risk!N58</f>
        <v>0.0700321062587087</v>
      </c>
    </row>
    <row r="36">
      <c r="N36" s="158" t="inlineStr">
        <is>
          <t>Sample MVO</t>
        </is>
      </c>
      <c r="O36" s="159">
        <f>Methods!C23</f>
        <v>0.078033812785194</v>
      </c>
      <c r="P36" s="159">
        <f>Methods!B23</f>
        <v>0.0699118836330803</v>
      </c>
    </row>
    <row r="37">
      <c r="N37" s="158" t="inlineStr">
        <is>
          <t>Resampled MVO</t>
        </is>
      </c>
      <c r="O37" s="159">
        <f>Methods!C24</f>
        <v>0.0743193111754299</v>
      </c>
      <c r="P37" s="159">
        <f>Methods!B24</f>
        <v>0.0680775395926901</v>
      </c>
    </row>
    <row r="38">
      <c r="N38" s="158" t="inlineStr">
        <is>
          <t>Minimum variance</t>
        </is>
      </c>
      <c r="O38" s="159">
        <f>Methods!C25</f>
        <v>0.0595134073977176</v>
      </c>
      <c r="P38" s="159">
        <f>Methods!B25</f>
        <v>0.0634813665404129</v>
      </c>
    </row>
    <row r="39">
      <c r="N39" s="158" t="inlineStr">
        <is>
          <t>Risk parity</t>
        </is>
      </c>
      <c r="O39" s="159">
        <f>Methods!C26</f>
        <v>0.0665089375133541</v>
      </c>
      <c r="P39" s="159">
        <f>Methods!B26</f>
        <v>0.0665703239383462</v>
      </c>
    </row>
    <row r="46">
      <c r="A46" s="152" t="inlineStr">
        <is>
          <t>Figure 2. Strategic asset allocation</t>
        </is>
      </c>
      <c r="B46" s="153" t="n"/>
      <c r="C46" s="153" t="n"/>
      <c r="D46" s="153" t="n"/>
      <c r="E46" s="153" t="n"/>
      <c r="F46" s="153" t="n"/>
      <c r="G46" s="153" t="n"/>
      <c r="H46" s="153" t="n"/>
      <c r="I46" s="153" t="n"/>
      <c r="J46" s="153" t="n"/>
      <c r="K46" s="153" t="n"/>
      <c r="L46" s="154" t="n"/>
      <c r="N46" s="155" t="inlineStr">
        <is>
          <t>Chart data, figure 2</t>
        </is>
      </c>
    </row>
    <row r="47" ht="28" customHeight="1">
      <c r="N47" s="156" t="inlineStr">
        <is>
          <t>Asset class</t>
        </is>
      </c>
      <c r="O47" s="157" t="inlineStr">
        <is>
          <t>Current fund</t>
        </is>
      </c>
      <c r="P47" s="157" t="inlineStr">
        <is>
          <t>Benchmark</t>
        </is>
      </c>
      <c r="Q47" s="157" t="inlineStr">
        <is>
          <t>Recommended</t>
        </is>
      </c>
    </row>
    <row r="48">
      <c r="N48" s="158" t="inlineStr">
        <is>
          <t>Australian Equities</t>
        </is>
      </c>
      <c r="O48" s="160">
        <f>Summary!B6</f>
        <v>0.4</v>
      </c>
      <c r="P48" s="160">
        <f>Summary!C6</f>
        <v>0.25</v>
      </c>
      <c r="Q48" s="160">
        <f>Summary!D6</f>
        <v>0.2738</v>
      </c>
    </row>
    <row r="49">
      <c r="N49" s="158" t="inlineStr">
        <is>
          <t>World Equities</t>
        </is>
      </c>
      <c r="O49" s="160">
        <f>Summary!B7</f>
        <v>0.2</v>
      </c>
      <c r="P49" s="160">
        <f>Summary!C7</f>
        <v>0.24</v>
      </c>
      <c r="Q49" s="160">
        <f>Summary!D7</f>
        <v>0.279</v>
      </c>
    </row>
    <row r="50">
      <c r="N50" s="158" t="inlineStr">
        <is>
          <t>Emerging Markets</t>
        </is>
      </c>
      <c r="O50" s="160">
        <f>Summary!B8</f>
        <v>0</v>
      </c>
      <c r="P50" s="160">
        <f>Summary!C8</f>
        <v>0.03</v>
      </c>
      <c r="Q50" s="160">
        <f>Summary!D8</f>
        <v>0.0672</v>
      </c>
    </row>
    <row r="51">
      <c r="N51" s="158" t="inlineStr">
        <is>
          <t>Listed Property</t>
        </is>
      </c>
      <c r="O51" s="160">
        <f>Summary!B9</f>
        <v>0.1</v>
      </c>
      <c r="P51" s="160">
        <f>Summary!C9</f>
        <v>0.07</v>
      </c>
      <c r="Q51" s="160">
        <f>Summary!D9</f>
        <v>0.0867</v>
      </c>
    </row>
    <row r="52">
      <c r="N52" s="158" t="inlineStr">
        <is>
          <t>Commodities</t>
        </is>
      </c>
      <c r="O52" s="160">
        <f>Summary!B10</f>
        <v>0</v>
      </c>
      <c r="P52" s="160">
        <f>Summary!C10</f>
        <v>0.02</v>
      </c>
      <c r="Q52" s="160">
        <f>Summary!D10</f>
        <v>0.0244</v>
      </c>
    </row>
    <row r="53">
      <c r="N53" s="158" t="inlineStr">
        <is>
          <t>Direct Property</t>
        </is>
      </c>
      <c r="O53" s="160">
        <f>Summary!B11</f>
        <v>0</v>
      </c>
      <c r="P53" s="160">
        <f>Summary!C11</f>
        <v>0.05</v>
      </c>
      <c r="Q53" s="160">
        <f>Summary!D11</f>
        <v>0</v>
      </c>
    </row>
    <row r="54">
      <c r="N54" s="158" t="inlineStr">
        <is>
          <t>Hedge Funds</t>
        </is>
      </c>
      <c r="O54" s="160">
        <f>Summary!B12</f>
        <v>0</v>
      </c>
      <c r="P54" s="160">
        <f>Summary!C12</f>
        <v>0.03</v>
      </c>
      <c r="Q54" s="160">
        <f>Summary!D12</f>
        <v>0</v>
      </c>
    </row>
    <row r="55">
      <c r="N55" s="158" t="inlineStr">
        <is>
          <t>Private Equity</t>
        </is>
      </c>
      <c r="O55" s="160">
        <f>Summary!B13</f>
        <v>0</v>
      </c>
      <c r="P55" s="160">
        <f>Summary!C13</f>
        <v>0.03</v>
      </c>
      <c r="Q55" s="160">
        <f>Summary!D13</f>
        <v>0</v>
      </c>
    </row>
    <row r="56">
      <c r="N56" s="158" t="inlineStr">
        <is>
          <t>Australian Fixed Income</t>
        </is>
      </c>
      <c r="O56" s="160">
        <f>Summary!B14</f>
        <v>0.15</v>
      </c>
      <c r="P56" s="160">
        <f>Summary!C14</f>
        <v>0.14</v>
      </c>
      <c r="Q56" s="160">
        <f>Summary!D14</f>
        <v>0.12</v>
      </c>
    </row>
    <row r="57">
      <c r="N57" s="158" t="inlineStr">
        <is>
          <t>World Fixed Income</t>
        </is>
      </c>
      <c r="O57" s="160">
        <f>Summary!B15</f>
        <v>0.08</v>
      </c>
      <c r="P57" s="160">
        <f>Summary!C15</f>
        <v>0.11</v>
      </c>
      <c r="Q57" s="160">
        <f>Summary!D15</f>
        <v>0.1289</v>
      </c>
    </row>
    <row r="58">
      <c r="N58" s="158" t="inlineStr">
        <is>
          <t>Cash</t>
        </is>
      </c>
      <c r="O58" s="160">
        <f>Summary!B16</f>
        <v>0.07</v>
      </c>
      <c r="P58" s="160">
        <f>Summary!C16</f>
        <v>0.03</v>
      </c>
      <c r="Q58" s="160">
        <f>Summary!D16</f>
        <v>0.02</v>
      </c>
    </row>
    <row r="72">
      <c r="A72" s="152" t="inlineStr">
        <is>
          <t>Figure 3. Fund performance since 2006</t>
        </is>
      </c>
      <c r="B72" s="153" t="n"/>
      <c r="C72" s="153" t="n"/>
      <c r="D72" s="153" t="n"/>
      <c r="E72" s="153" t="n"/>
      <c r="F72" s="153" t="n"/>
      <c r="G72" s="153" t="n"/>
      <c r="H72" s="153" t="n"/>
      <c r="I72" s="153" t="n"/>
      <c r="J72" s="153" t="n"/>
      <c r="K72" s="153" t="n"/>
      <c r="L72" s="154" t="n"/>
      <c r="V72" s="155" t="inlineStr">
        <is>
          <t>Chart data, figure 3</t>
        </is>
      </c>
    </row>
    <row r="73" ht="28" customHeight="1">
      <c r="V73" s="156" t="inlineStr">
        <is>
          <t>Quarter end</t>
        </is>
      </c>
      <c r="W73" s="157" t="inlineStr">
        <is>
          <t>Current fund</t>
        </is>
      </c>
      <c r="X73" s="157" t="inlineStr">
        <is>
          <t>Benchmark</t>
        </is>
      </c>
      <c r="Y73" s="157" t="inlineStr">
        <is>
          <t>Recommended</t>
        </is>
      </c>
      <c r="Z73" s="157" t="inlineStr">
        <is>
          <t>Target: yield + 4%</t>
        </is>
      </c>
    </row>
    <row r="74">
      <c r="V74" s="161">
        <f>'Quarterly returns'!A5</f>
        <v>38807.0</v>
      </c>
      <c r="W74" s="162" t="n">
        <v>1</v>
      </c>
      <c r="X74" s="162" t="n">
        <v>1</v>
      </c>
      <c r="Y74" s="162" t="n">
        <v>1</v>
      </c>
      <c r="Z74" s="162" t="n">
        <v>1</v>
      </c>
    </row>
    <row r="75">
      <c r="V75" s="161">
        <f>'Quarterly returns'!A6</f>
        <v>38898.0</v>
      </c>
      <c r="W75" s="162">
        <f>W74*(1+'Quarterly returns'!Z6)</f>
        <v>0.981210646427863</v>
      </c>
      <c r="X75" s="162">
        <f>X74*(1+'Quarterly returns'!AA6)</f>
        <v>0.986082946177556</v>
      </c>
      <c r="Y75" s="162">
        <f>Y74*(1+'Quarterly returns'!AB6)</f>
        <v>0.972176554399351</v>
      </c>
      <c r="Z75" s="162">
        <f>Z74*(1+INDEX('RBA 5Y yield'!$B$5:$B$661,MATCH(V74,'RBA 5Y yield'!$A$5:$A$661,1))+Inputs!$B$24)^0.25</f>
        <v>1.02247490184411</v>
      </c>
    </row>
    <row r="76">
      <c r="V76" s="161">
        <f>'Quarterly returns'!A7</f>
        <v>38989.0</v>
      </c>
      <c r="W76" s="162">
        <f>W75*(1+'Quarterly returns'!Z7)</f>
        <v>1.01750071274158</v>
      </c>
      <c r="X76" s="162">
        <f>X75*(1+'Quarterly returns'!AA7)</f>
        <v>1.01663222892946</v>
      </c>
      <c r="Y76" s="162">
        <f>Y75*(1+'Quarterly returns'!AB7)</f>
        <v>1.00676624344681</v>
      </c>
      <c r="Z76" s="162">
        <f>Z75*(1+INDEX('RBA 5Y yield'!$B$5:$B$661,MATCH(V75,'RBA 5Y yield'!$A$5:$A$661,1))+Inputs!$B$24)^0.25</f>
        <v>1.04653102278061</v>
      </c>
    </row>
    <row r="77">
      <c r="V77" s="161">
        <f>'Quarterly returns'!A8</f>
        <v>39080.0</v>
      </c>
      <c r="W77" s="162">
        <f>W76*(1+'Quarterly returns'!Z8)</f>
        <v>1.07370061363704</v>
      </c>
      <c r="X77" s="162">
        <f>X76*(1+'Quarterly returns'!AA8)</f>
        <v>1.05871983993289</v>
      </c>
      <c r="Y77" s="162">
        <f>Y76*(1+'Quarterly returns'!AB8)</f>
        <v>1.05152974611865</v>
      </c>
      <c r="Z77" s="162">
        <f>Z76*(1+INDEX('RBA 5Y yield'!$B$5:$B$661,MATCH(V76,'RBA 5Y yield'!$A$5:$A$661,1))+Inputs!$B$24)^0.25</f>
        <v>1.07137728805493</v>
      </c>
    </row>
    <row r="78">
      <c r="V78" s="161">
        <f>'Quarterly returns'!A9</f>
        <v>39171.0</v>
      </c>
      <c r="W78" s="162">
        <f>W77*(1+'Quarterly returns'!Z9)</f>
        <v>1.11083507423662</v>
      </c>
      <c r="X78" s="162">
        <f>X77*(1+'Quarterly returns'!AA9)</f>
        <v>1.08398184773145</v>
      </c>
      <c r="Y78" s="162">
        <f>Y77*(1+'Quarterly returns'!AB9)</f>
        <v>1.07786401638192</v>
      </c>
      <c r="Z78" s="162">
        <f>Z77*(1+INDEX('RBA 5Y yield'!$B$5:$B$661,MATCH(V77,'RBA 5Y yield'!$A$5:$A$661,1))+Inputs!$B$24)^0.25</f>
        <v>1.096702336113</v>
      </c>
    </row>
    <row r="79">
      <c r="V79" s="161">
        <f>'Quarterly returns'!A10</f>
        <v>39262.0</v>
      </c>
      <c r="W79" s="162">
        <f>W78*(1+'Quarterly returns'!Z10)</f>
        <v>1.12875167132635</v>
      </c>
      <c r="X79" s="162">
        <f>X78*(1+'Quarterly returns'!AA10)</f>
        <v>1.10680269304595</v>
      </c>
      <c r="Y79" s="162">
        <f>Y78*(1+'Quarterly returns'!AB10)</f>
        <v>1.09243340744421</v>
      </c>
      <c r="Z79" s="162">
        <f>Z78*(1+INDEX('RBA 5Y yield'!$B$5:$B$661,MATCH(V78,'RBA 5Y yield'!$A$5:$A$661,1))+Inputs!$B$24)^0.25</f>
        <v>1.12305852329393</v>
      </c>
    </row>
    <row r="80">
      <c r="V80" s="161">
        <f>'Quarterly returns'!A11</f>
        <v>39353.0</v>
      </c>
      <c r="W80" s="162">
        <f>W79*(1+'Quarterly returns'!Z11)</f>
        <v>1.1454580522082</v>
      </c>
      <c r="X80" s="162">
        <f>X79*(1+'Quarterly returns'!AA11)</f>
        <v>1.11808217307765</v>
      </c>
      <c r="Y80" s="162">
        <f>Y79*(1+'Quarterly returns'!AB11)</f>
        <v>1.10578534260929</v>
      </c>
      <c r="Z80" s="162">
        <f>Z79*(1+INDEX('RBA 5Y yield'!$B$5:$B$661,MATCH(V79,'RBA 5Y yield'!$A$5:$A$661,1))+Inputs!$B$24)^0.25</f>
        <v>1.15032698203108</v>
      </c>
    </row>
    <row r="81">
      <c r="V81" s="161">
        <f>'Quarterly returns'!A12</f>
        <v>39447.0</v>
      </c>
      <c r="W81" s="162">
        <f>W80*(1+'Quarterly returns'!Z12)</f>
        <v>1.12357020746653</v>
      </c>
      <c r="X81" s="162">
        <f>X80*(1+'Quarterly returns'!AA12)</f>
        <v>1.11111505237121</v>
      </c>
      <c r="Y81" s="162">
        <f>Y80*(1+'Quarterly returns'!AB12)</f>
        <v>1.09328022915859</v>
      </c>
      <c r="Z81" s="162">
        <f>Z80*(1+INDEX('RBA 5Y yield'!$B$5:$B$661,MATCH(V80,'RBA 5Y yield'!$A$5:$A$661,1))+Inputs!$B$24)^0.25</f>
        <v>1.17841779996904</v>
      </c>
    </row>
    <row r="82">
      <c r="V82" s="161">
        <f>'Quarterly returns'!A13</f>
        <v>39538.0</v>
      </c>
      <c r="W82" s="162">
        <f>W81*(1+'Quarterly returns'!Z13)</f>
        <v>1.02216822893307</v>
      </c>
      <c r="X82" s="162">
        <f>X81*(1+'Quarterly returns'!AA13)</f>
        <v>1.02339487008529</v>
      </c>
      <c r="Y82" s="162">
        <f>Y81*(1+'Quarterly returns'!AB13)</f>
        <v>0.993577985247591</v>
      </c>
      <c r="Z82" s="162">
        <f>Z81*(1+INDEX('RBA 5Y yield'!$B$5:$B$661,MATCH(V81,'RBA 5Y yield'!$A$5:$A$661,1))+Inputs!$B$24)^0.25</f>
        <v>1.20810363307993</v>
      </c>
    </row>
    <row r="83">
      <c r="V83" s="161">
        <f>'Quarterly returns'!A14</f>
        <v>39629.0</v>
      </c>
      <c r="W83" s="162">
        <f>W82*(1+'Quarterly returns'!Z14)</f>
        <v>0.995505577460178</v>
      </c>
      <c r="X83" s="162">
        <f>X82*(1+'Quarterly returns'!AA14)</f>
        <v>1.00000840674059</v>
      </c>
      <c r="Y83" s="162">
        <f>Y82*(1+'Quarterly returns'!AB14)</f>
        <v>0.965608760620055</v>
      </c>
      <c r="Z83" s="162">
        <f>Z82*(1+INDEX('RBA 5Y yield'!$B$5:$B$661,MATCH(V82,'RBA 5Y yield'!$A$5:$A$661,1))+Inputs!$B$24)^0.25</f>
        <v>1.23751740553369</v>
      </c>
    </row>
    <row r="84">
      <c r="V84" s="161">
        <f>'Quarterly returns'!A15</f>
        <v>39721.0</v>
      </c>
      <c r="W84" s="162">
        <f>W83*(1+'Quarterly returns'!Z15)</f>
        <v>0.996728188836835</v>
      </c>
      <c r="X84" s="162">
        <f>X83*(1+'Quarterly returns'!AA15)</f>
        <v>1.00840658323011</v>
      </c>
      <c r="Y84" s="162">
        <f>Y83*(1+'Quarterly returns'!AB15)</f>
        <v>0.977468408442703</v>
      </c>
      <c r="Z84" s="162">
        <f>Z83*(1+INDEX('RBA 5Y yield'!$B$5:$B$661,MATCH(V83,'RBA 5Y yield'!$A$5:$A$661,1))+Inputs!$B$24)^0.25</f>
        <v>1.26934216614439</v>
      </c>
    </row>
    <row r="85">
      <c r="V85" s="161">
        <f>'Quarterly returns'!A16</f>
        <v>39813.0</v>
      </c>
      <c r="W85" s="162">
        <f>W84*(1+'Quarterly returns'!Z16)</f>
        <v>0.885288859331316</v>
      </c>
      <c r="X85" s="162">
        <f>X84*(1+'Quarterly returns'!AA16)</f>
        <v>0.915872480692542</v>
      </c>
      <c r="Y85" s="162">
        <f>Y84*(1+'Quarterly returns'!AB16)</f>
        <v>0.870913748574881</v>
      </c>
      <c r="Z85" s="162">
        <f>Z84*(1+INDEX('RBA 5Y yield'!$B$5:$B$661,MATCH(V84,'RBA 5Y yield'!$A$5:$A$661,1))+Inputs!$B$24)^0.25</f>
        <v>1.2985788431173</v>
      </c>
    </row>
    <row r="86">
      <c r="V86" s="161">
        <f>'Quarterly returns'!A17</f>
        <v>39903.0</v>
      </c>
      <c r="W86" s="162">
        <f>W85*(1+'Quarterly returns'!Z17)</f>
        <v>0.842635109773408</v>
      </c>
      <c r="X86" s="162">
        <f>X85*(1+'Quarterly returns'!AA17)</f>
        <v>0.876735091336334</v>
      </c>
      <c r="Y86" s="162">
        <f>Y85*(1+'Quarterly returns'!AB17)</f>
        <v>0.827159477564822</v>
      </c>
      <c r="Z86" s="162">
        <f>Z85*(1+INDEX('RBA 5Y yield'!$B$5:$B$661,MATCH(V85,'RBA 5Y yield'!$A$5:$A$661,1))+Inputs!$B$24)^0.25</f>
        <v>1.32295333589331</v>
      </c>
    </row>
    <row r="87">
      <c r="V87" s="161">
        <f>'Quarterly returns'!A18</f>
        <v>39994.0</v>
      </c>
      <c r="W87" s="162">
        <f>W86*(1+'Quarterly returns'!Z18)</f>
        <v>0.890593460382391</v>
      </c>
      <c r="X87" s="162">
        <f>X86*(1+'Quarterly returns'!AA18)</f>
        <v>0.916750136952872</v>
      </c>
      <c r="Y87" s="162">
        <f>Y86*(1+'Quarterly returns'!AB18)</f>
        <v>0.865922770844533</v>
      </c>
      <c r="Z87" s="162">
        <f>Z86*(1+INDEX('RBA 5Y yield'!$B$5:$B$661,MATCH(V86,'RBA 5Y yield'!$A$5:$A$661,1))+Inputs!$B$24)^0.25</f>
        <v>1.34780567208355</v>
      </c>
    </row>
    <row r="88">
      <c r="V88" s="161">
        <f>'Quarterly returns'!A19</f>
        <v>40086.0</v>
      </c>
      <c r="W88" s="162">
        <f>W87*(1+'Quarterly returns'!Z19)</f>
        <v>0.998892728458262</v>
      </c>
      <c r="X88" s="162">
        <f>X87*(1+'Quarterly returns'!AA19)</f>
        <v>1.00067538778078</v>
      </c>
      <c r="Y88" s="162">
        <f>Y87*(1+'Quarterly returns'!AB19)</f>
        <v>0.951982407615535</v>
      </c>
      <c r="Z88" s="162">
        <f>Z87*(1+INDEX('RBA 5Y yield'!$B$5:$B$661,MATCH(V87,'RBA 5Y yield'!$A$5:$A$661,1))+Inputs!$B$24)^0.25</f>
        <v>1.37748080968956</v>
      </c>
    </row>
    <row r="89">
      <c r="V89" s="161">
        <f>'Quarterly returns'!A20</f>
        <v>40178.0</v>
      </c>
      <c r="W89" s="162">
        <f>W88*(1+'Quarterly returns'!Z20)</f>
        <v>1.02460766476901</v>
      </c>
      <c r="X89" s="162">
        <f>X88*(1+'Quarterly returns'!AA20)</f>
        <v>1.02807954825991</v>
      </c>
      <c r="Y89" s="162">
        <f>Y88*(1+'Quarterly returns'!AB20)</f>
        <v>0.978232176626191</v>
      </c>
      <c r="Z89" s="162">
        <f>Z88*(1+INDEX('RBA 5Y yield'!$B$5:$B$661,MATCH(V88,'RBA 5Y yield'!$A$5:$A$661,1))+Inputs!$B$24)^0.25</f>
        <v>1.40792994891903</v>
      </c>
    </row>
    <row r="90">
      <c r="V90" s="161">
        <f>'Quarterly returns'!A21</f>
        <v>40268.0</v>
      </c>
      <c r="W90" s="162">
        <f>W89*(1+'Quarterly returns'!Z21)</f>
        <v>1.04464769724009</v>
      </c>
      <c r="X90" s="162">
        <f>X89*(1+'Quarterly returns'!AA21)</f>
        <v>1.04130172123022</v>
      </c>
      <c r="Y90" s="162">
        <f>Y89*(1+'Quarterly returns'!AB21)</f>
        <v>0.996403386094205</v>
      </c>
      <c r="Z90" s="162">
        <f>Z89*(1+INDEX('RBA 5Y yield'!$B$5:$B$661,MATCH(V89,'RBA 5Y yield'!$A$5:$A$661,1))+Inputs!$B$24)^0.25</f>
        <v>1.43908677526129</v>
      </c>
    </row>
    <row r="91">
      <c r="V91" s="161">
        <f>'Quarterly returns'!A22</f>
        <v>40359.0</v>
      </c>
      <c r="W91" s="162">
        <f>W90*(1+'Quarterly returns'!Z22)</f>
        <v>1.00375332085206</v>
      </c>
      <c r="X91" s="162">
        <f>X90*(1+'Quarterly returns'!AA22)</f>
        <v>1.01599684036564</v>
      </c>
      <c r="Y91" s="162">
        <f>Y90*(1+'Quarterly returns'!AB22)</f>
        <v>0.968828586947287</v>
      </c>
      <c r="Z91" s="162">
        <f>Z90*(1+INDEX('RBA 5Y yield'!$B$5:$B$661,MATCH(V90,'RBA 5Y yield'!$A$5:$A$661,1))+Inputs!$B$24)^0.25</f>
        <v>1.47157279210865</v>
      </c>
    </row>
    <row r="92">
      <c r="V92" s="161">
        <f>'Quarterly returns'!A23</f>
        <v>40451.0</v>
      </c>
      <c r="W92" s="162">
        <f>W91*(1+'Quarterly returns'!Z23)</f>
        <v>1.03357523752504</v>
      </c>
      <c r="X92" s="162">
        <f>X91*(1+'Quarterly returns'!AA23)</f>
        <v>1.03133822405597</v>
      </c>
      <c r="Y92" s="162">
        <f>Y91*(1+'Quarterly returns'!AB23)</f>
        <v>0.982470273408789</v>
      </c>
      <c r="Z92" s="162">
        <f>Z91*(1+INDEX('RBA 5Y yield'!$B$5:$B$661,MATCH(V91,'RBA 5Y yield'!$A$5:$A$661,1))+Inputs!$B$24)^0.25</f>
        <v>1.50352612307804</v>
      </c>
    </row>
    <row r="93">
      <c r="V93" s="161">
        <f>'Quarterly returns'!A24</f>
        <v>40543.0</v>
      </c>
      <c r="W93" s="162">
        <f>W92*(1+'Quarterly returns'!Z24)</f>
        <v>1.06067483294557</v>
      </c>
      <c r="X93" s="162">
        <f>X92*(1+'Quarterly returns'!AA24)</f>
        <v>1.05468607794394</v>
      </c>
      <c r="Y93" s="162">
        <f>Y92*(1+'Quarterly returns'!AB24)</f>
        <v>1.00429480312635</v>
      </c>
      <c r="Z93" s="162">
        <f>Z92*(1+INDEX('RBA 5Y yield'!$B$5:$B$661,MATCH(V92,'RBA 5Y yield'!$A$5:$A$661,1))+Inputs!$B$24)^0.25</f>
        <v>1.53559145282108</v>
      </c>
    </row>
    <row r="94">
      <c r="V94" s="161">
        <f>'Quarterly returns'!A25</f>
        <v>40633.0</v>
      </c>
      <c r="W94" s="162">
        <f>W93*(1+'Quarterly returns'!Z25)</f>
        <v>1.08782208002687</v>
      </c>
      <c r="X94" s="162">
        <f>X93*(1+'Quarterly returns'!AA25)</f>
        <v>1.0775480120385</v>
      </c>
      <c r="Y94" s="162">
        <f>Y93*(1+'Quarterly returns'!AB25)</f>
        <v>1.02963788328845</v>
      </c>
      <c r="Z94" s="162">
        <f>Z93*(1+INDEX('RBA 5Y yield'!$B$5:$B$661,MATCH(V93,'RBA 5Y yield'!$A$5:$A$661,1))+Inputs!$B$24)^0.25</f>
        <v>1.57022006680136</v>
      </c>
    </row>
    <row r="95">
      <c r="V95" s="161">
        <f>'Quarterly returns'!A26</f>
        <v>40724.0</v>
      </c>
      <c r="W95" s="162">
        <f>W94*(1+'Quarterly returns'!Z26)</f>
        <v>1.06543317224578</v>
      </c>
      <c r="X95" s="162">
        <f>X94*(1+'Quarterly returns'!AA26)</f>
        <v>1.05930468421368</v>
      </c>
      <c r="Y95" s="162">
        <f>Y94*(1+'Quarterly returns'!AB26)</f>
        <v>1.00475265292024</v>
      </c>
      <c r="Z95" s="162">
        <f>Z94*(1+INDEX('RBA 5Y yield'!$B$5:$B$661,MATCH(V94,'RBA 5Y yield'!$A$5:$A$661,1))+Inputs!$B$24)^0.25</f>
        <v>1.60517962875214</v>
      </c>
    </row>
    <row r="96">
      <c r="V96" s="161">
        <f>'Quarterly returns'!A27</f>
        <v>40816.0</v>
      </c>
      <c r="W96" s="162">
        <f>W95*(1+'Quarterly returns'!Z27)</f>
        <v>1.01094324625658</v>
      </c>
      <c r="X96" s="162">
        <f>X95*(1+'Quarterly returns'!AA27)</f>
        <v>1.01689797864524</v>
      </c>
      <c r="Y96" s="162">
        <f>Y95*(1+'Quarterly returns'!AB27)</f>
        <v>0.958651851816471</v>
      </c>
      <c r="Z96" s="162">
        <f>Z95*(1+INDEX('RBA 5Y yield'!$B$5:$B$661,MATCH(V95,'RBA 5Y yield'!$A$5:$A$661,1))+Inputs!$B$24)^0.25</f>
        <v>1.63970474468501</v>
      </c>
    </row>
    <row r="97">
      <c r="V97" s="161">
        <f>'Quarterly returns'!A28</f>
        <v>40907.0</v>
      </c>
      <c r="W97" s="162">
        <f>W96*(1+'Quarterly returns'!Z28)</f>
        <v>1.03173948256851</v>
      </c>
      <c r="X97" s="162">
        <f>X96*(1+'Quarterly returns'!AA28)</f>
        <v>1.03808116753497</v>
      </c>
      <c r="Y97" s="162">
        <f>Y96*(1+'Quarterly returns'!AB28)</f>
        <v>0.977589517963605</v>
      </c>
      <c r="Z97" s="162">
        <f>Z96*(1+INDEX('RBA 5Y yield'!$B$5:$B$661,MATCH(V96,'RBA 5Y yield'!$A$5:$A$661,1))+Inputs!$B$24)^0.25</f>
        <v>1.67073570188791</v>
      </c>
    </row>
    <row r="98">
      <c r="A98" s="152" t="inlineStr">
        <is>
          <t>Figure 4. Annualised returns to March 2026</t>
        </is>
      </c>
      <c r="B98" s="153" t="n"/>
      <c r="C98" s="153" t="n"/>
      <c r="D98" s="153" t="n"/>
      <c r="E98" s="153" t="n"/>
      <c r="F98" s="153" t="n"/>
      <c r="G98" s="153" t="n"/>
      <c r="H98" s="153" t="n"/>
      <c r="I98" s="153" t="n"/>
      <c r="J98" s="153" t="n"/>
      <c r="K98" s="153" t="n"/>
      <c r="L98" s="154" t="n"/>
      <c r="N98" s="155" t="inlineStr">
        <is>
          <t>Chart data, figure 4</t>
        </is>
      </c>
      <c r="V98" s="161">
        <f>'Quarterly returns'!A29</f>
        <v>40998.0</v>
      </c>
      <c r="W98" s="162">
        <f>W97*(1+'Quarterly returns'!Z29)</f>
        <v>1.10328116815706</v>
      </c>
      <c r="X98" s="162">
        <f>X97*(1+'Quarterly returns'!AA29)</f>
        <v>1.10364672061907</v>
      </c>
      <c r="Y98" s="162">
        <f>Y97*(1+'Quarterly returns'!AB29)</f>
        <v>1.04858065969459</v>
      </c>
      <c r="Z98" s="162">
        <f>Z97*(1+INDEX('RBA 5Y yield'!$B$5:$B$661,MATCH(V97,'RBA 5Y yield'!$A$5:$A$661,1))+Inputs!$B$24)^0.25</f>
        <v>1.70150436899781</v>
      </c>
    </row>
    <row r="99" ht="28" customHeight="1">
      <c r="N99" s="156" t="inlineStr">
        <is>
          <t>Horizon</t>
        </is>
      </c>
      <c r="O99" s="157" t="inlineStr">
        <is>
          <t>Current fund</t>
        </is>
      </c>
      <c r="P99" s="157" t="inlineStr">
        <is>
          <t>Benchmark</t>
        </is>
      </c>
      <c r="Q99" s="157" t="inlineStr">
        <is>
          <t>Recommended</t>
        </is>
      </c>
      <c r="R99" s="157" t="inlineStr">
        <is>
          <t>Target: yield + 4%</t>
        </is>
      </c>
      <c r="V99" s="161">
        <f>'Quarterly returns'!A30</f>
        <v>41089.0</v>
      </c>
      <c r="W99" s="162">
        <f>W98*(1+'Quarterly returns'!Z30)</f>
        <v>1.0876006059464</v>
      </c>
      <c r="X99" s="162">
        <f>X98*(1+'Quarterly returns'!AA30)</f>
        <v>1.08991807915818</v>
      </c>
      <c r="Y99" s="162">
        <f>Y98*(1+'Quarterly returns'!AB30)</f>
        <v>1.03136996607142</v>
      </c>
      <c r="Z99" s="162">
        <f>Z98*(1+INDEX('RBA 5Y yield'!$B$5:$B$661,MATCH(V98,'RBA 5Y yield'!$A$5:$A$661,1))+Inputs!$B$24)^0.25</f>
        <v>1.73303093687957</v>
      </c>
    </row>
    <row r="100">
      <c r="N100" s="158" t="inlineStr">
        <is>
          <t>5 years</t>
        </is>
      </c>
      <c r="O100" s="159">
        <f>'Track record'!M5</f>
        <v>0.0690594602203125</v>
      </c>
      <c r="P100" s="159">
        <f>'Track record'!N5</f>
        <v>0.0721947041348132</v>
      </c>
      <c r="Q100" s="159">
        <f>'Track record'!O5</f>
        <v>0.0785360132940838</v>
      </c>
      <c r="R100" s="159">
        <f>'Track record'!P5</f>
        <v>0.04708</v>
      </c>
      <c r="V100" s="161">
        <f>'Quarterly returns'!A31</f>
        <v>41180.0</v>
      </c>
      <c r="W100" s="162">
        <f>W99*(1+'Quarterly returns'!Z31)</f>
        <v>1.13995602764972</v>
      </c>
      <c r="X100" s="162">
        <f>X99*(1+'Quarterly returns'!AA31)</f>
        <v>1.13367330215764</v>
      </c>
      <c r="Y100" s="162">
        <f>Y99*(1+'Quarterly returns'!AB31)</f>
        <v>1.07955282574282</v>
      </c>
      <c r="Z100" s="162">
        <f>Z99*(1+INDEX('RBA 5Y yield'!$B$5:$B$661,MATCH(V99,'RBA 5Y yield'!$A$5:$A$661,1))+Inputs!$B$24)^0.25</f>
        <v>1.76156343264769</v>
      </c>
    </row>
    <row r="101">
      <c r="N101" s="158" t="inlineStr">
        <is>
          <t>10 years</t>
        </is>
      </c>
      <c r="O101" s="159">
        <f>'Track record'!M6</f>
        <v>0.0777619511169776</v>
      </c>
      <c r="P101" s="159">
        <f>'Track record'!N6</f>
        <v>0.0790360374289978</v>
      </c>
      <c r="Q101" s="159">
        <f>'Track record'!O6</f>
        <v>0.0855200753194352</v>
      </c>
      <c r="R101" s="159">
        <f>'Track record'!P6</f>
        <v>0.06134</v>
      </c>
      <c r="V101" s="161">
        <f>'Quarterly returns'!A32</f>
        <v>41274.0</v>
      </c>
      <c r="W101" s="162">
        <f>W100*(1+'Quarterly returns'!Z32)</f>
        <v>1.18599712191009</v>
      </c>
      <c r="X101" s="162">
        <f>X100*(1+'Quarterly returns'!AA32)</f>
        <v>1.17218324636139</v>
      </c>
      <c r="Y101" s="162">
        <f>Y100*(1+'Quarterly returns'!AB32)</f>
        <v>1.11948278418719</v>
      </c>
      <c r="Z101" s="162">
        <f>Z100*(1+INDEX('RBA 5Y yield'!$B$5:$B$661,MATCH(V100,'RBA 5Y yield'!$A$5:$A$661,1))+Inputs!$B$24)^0.25</f>
        <v>1.79084867021889</v>
      </c>
    </row>
    <row r="102">
      <c r="N102" s="158" t="inlineStr">
        <is>
          <t>15 years</t>
        </is>
      </c>
      <c r="O102" s="159">
        <f>'Track record'!M7</f>
        <v>0.0823273415849066</v>
      </c>
      <c r="P102" s="159">
        <f>'Track record'!N7</f>
        <v>0.0830268516654036</v>
      </c>
      <c r="Q102" s="159">
        <f>'Track record'!O7</f>
        <v>0.0892302784583055</v>
      </c>
      <c r="R102" s="159">
        <f>'Track record'!P7</f>
        <v>0.092075</v>
      </c>
      <c r="V102" s="161">
        <f>'Quarterly returns'!A33</f>
        <v>41362.0</v>
      </c>
      <c r="W102" s="162">
        <f>W101*(1+'Quarterly returns'!Z33)</f>
        <v>1.25869185534323</v>
      </c>
      <c r="X102" s="162">
        <f>X101*(1+'Quarterly returns'!AA33)</f>
        <v>1.23195989733203</v>
      </c>
      <c r="Y102" s="162">
        <f>Y101*(1+'Quarterly returns'!AB33)</f>
        <v>1.18338110619251</v>
      </c>
      <c r="Z102" s="162">
        <f>Z101*(1+INDEX('RBA 5Y yield'!$B$5:$B$661,MATCH(V101,'RBA 5Y yield'!$A$5:$A$661,1))+Inputs!$B$24)^0.25</f>
        <v>1.82065271938897</v>
      </c>
    </row>
    <row r="103">
      <c r="N103" s="158" t="inlineStr">
        <is>
          <t>20 years</t>
        </is>
      </c>
      <c r="O103" s="159">
        <f>'Track record'!M8</f>
        <v>0.0656065117326772</v>
      </c>
      <c r="P103" s="159">
        <f>'Track record'!N8</f>
        <v>0.0656172685638206</v>
      </c>
      <c r="Q103" s="159">
        <f>'Track record'!O8</f>
        <v>0.0677608782686425</v>
      </c>
      <c r="R103" s="159">
        <f>'Track record'!P8</f>
        <v>0.092976</v>
      </c>
      <c r="V103" s="161">
        <f>'Quarterly returns'!A34</f>
        <v>41453.0</v>
      </c>
      <c r="W103" s="162">
        <f>W102*(1+'Quarterly returns'!Z34)</f>
        <v>1.29672694034334</v>
      </c>
      <c r="X103" s="162">
        <f>X102*(1+'Quarterly returns'!AA34)</f>
        <v>1.2885375390627</v>
      </c>
      <c r="Y103" s="162">
        <f>Y102*(1+'Quarterly returns'!AB34)</f>
        <v>1.24523172059038</v>
      </c>
      <c r="Z103" s="162">
        <f>Z102*(1+INDEX('RBA 5Y yield'!$B$5:$B$661,MATCH(V102,'RBA 5Y yield'!$A$5:$A$661,1))+Inputs!$B$24)^0.25</f>
        <v>1.85179689177979</v>
      </c>
    </row>
    <row r="104">
      <c r="V104" s="161">
        <f>'Quarterly returns'!A35</f>
        <v>41547.0</v>
      </c>
      <c r="W104" s="162">
        <f>W103*(1+'Quarterly returns'!Z35)</f>
        <v>1.36359945634361</v>
      </c>
      <c r="X104" s="162">
        <f>X103*(1+'Quarterly returns'!AA35)</f>
        <v>1.34238599578766</v>
      </c>
      <c r="Y104" s="162">
        <f>Y103*(1+'Quarterly returns'!AB35)</f>
        <v>1.30094566043415</v>
      </c>
      <c r="Z104" s="162">
        <f>Z103*(1+INDEX('RBA 5Y yield'!$B$5:$B$661,MATCH(V103,'RBA 5Y yield'!$A$5:$A$661,1))+Inputs!$B$24)^0.25</f>
        <v>1.88245002588875</v>
      </c>
    </row>
    <row r="105">
      <c r="V105" s="161">
        <f>'Quarterly returns'!A36</f>
        <v>41639.0</v>
      </c>
      <c r="W105" s="162">
        <f>W104*(1+'Quarterly returns'!Z36)</f>
        <v>1.42713764680964</v>
      </c>
      <c r="X105" s="162">
        <f>X104*(1+'Quarterly returns'!AA36)</f>
        <v>1.41744197406264</v>
      </c>
      <c r="Y105" s="162">
        <f>Y104*(1+'Quarterly returns'!AB36)</f>
        <v>1.37684344608356</v>
      </c>
      <c r="Z105" s="162">
        <f>Z104*(1+INDEX('RBA 5Y yield'!$B$5:$B$661,MATCH(V104,'RBA 5Y yield'!$A$5:$A$661,1))+Inputs!$B$24)^0.25</f>
        <v>1.91604078632342</v>
      </c>
    </row>
    <row r="106">
      <c r="V106" s="161">
        <f>'Quarterly returns'!A37</f>
        <v>41729.0</v>
      </c>
      <c r="W106" s="162">
        <f>W105*(1+'Quarterly returns'!Z37)</f>
        <v>1.44382006752968</v>
      </c>
      <c r="X106" s="162">
        <f>X105*(1+'Quarterly returns'!AA37)</f>
        <v>1.42379304622496</v>
      </c>
      <c r="Y106" s="162">
        <f>Y105*(1+'Quarterly returns'!AB37)</f>
        <v>1.38281158887156</v>
      </c>
      <c r="Z106" s="162">
        <f>Z105*(1+INDEX('RBA 5Y yield'!$B$5:$B$661,MATCH(V105,'RBA 5Y yield'!$A$5:$A$661,1))+Inputs!$B$24)^0.25</f>
        <v>1.95082121108154</v>
      </c>
    </row>
    <row r="107">
      <c r="V107" s="161">
        <f>'Quarterly returns'!A38</f>
        <v>41820.0</v>
      </c>
      <c r="W107" s="162">
        <f>W106*(1+'Quarterly returns'!Z38)</f>
        <v>1.47289663776721</v>
      </c>
      <c r="X107" s="162">
        <f>X106*(1+'Quarterly returns'!AA38)</f>
        <v>1.45655915073773</v>
      </c>
      <c r="Y107" s="162">
        <f>Y106*(1+'Quarterly returns'!AB38)</f>
        <v>1.41510682736319</v>
      </c>
      <c r="Z107" s="162">
        <f>Z106*(1+INDEX('RBA 5Y yield'!$B$5:$B$661,MATCH(V106,'RBA 5Y yield'!$A$5:$A$661,1))+Inputs!$B$24)^0.25</f>
        <v>1.98600189685595</v>
      </c>
    </row>
    <row r="108">
      <c r="V108" s="161">
        <f>'Quarterly returns'!A39</f>
        <v>41912.0</v>
      </c>
      <c r="W108" s="162">
        <f>W107*(1+'Quarterly returns'!Z39)</f>
        <v>1.51101706105307</v>
      </c>
      <c r="X108" s="162">
        <f>X107*(1+'Quarterly returns'!AA39)</f>
        <v>1.50335722078105</v>
      </c>
      <c r="Y108" s="162">
        <f>Y107*(1+'Quarterly returns'!AB39)</f>
        <v>1.46753603281318</v>
      </c>
      <c r="Z108" s="162">
        <f>Z107*(1+INDEX('RBA 5Y yield'!$B$5:$B$661,MATCH(V107,'RBA 5Y yield'!$A$5:$A$661,1))+Inputs!$B$24)^0.25</f>
        <v>2.02043681256328</v>
      </c>
    </row>
    <row r="109">
      <c r="V109" s="161">
        <f>'Quarterly returns'!A40</f>
        <v>42004.0</v>
      </c>
      <c r="W109" s="162">
        <f>W108*(1+'Quarterly returns'!Z40)</f>
        <v>1.60131171701191</v>
      </c>
      <c r="X109" s="162">
        <f>X108*(1+'Quarterly returns'!AA40)</f>
        <v>1.58696735442325</v>
      </c>
      <c r="Y109" s="162">
        <f>Y108*(1+'Quarterly returns'!AB40)</f>
        <v>1.55733115528775</v>
      </c>
      <c r="Z109" s="162">
        <f>Z108*(1+INDEX('RBA 5Y yield'!$B$5:$B$661,MATCH(V108,'RBA 5Y yield'!$A$5:$A$661,1))+Inputs!$B$24)^0.25</f>
        <v>2.05509930430107</v>
      </c>
    </row>
    <row r="110">
      <c r="V110" s="161">
        <f>'Quarterly returns'!A41</f>
        <v>42094.0</v>
      </c>
      <c r="W110" s="162">
        <f>W109*(1+'Quarterly returns'!Z41)</f>
        <v>1.73816358754755</v>
      </c>
      <c r="X110" s="162">
        <f>X109*(1+'Quarterly returns'!AA41)</f>
        <v>1.70939657006977</v>
      </c>
      <c r="Y110" s="162">
        <f>Y109*(1+'Quarterly returns'!AB41)</f>
        <v>1.69539525133468</v>
      </c>
      <c r="Z110" s="162">
        <f>Z109*(1+INDEX('RBA 5Y yield'!$B$5:$B$661,MATCH(V109,'RBA 5Y yield'!$A$5:$A$661,1))+Inputs!$B$24)^0.25</f>
        <v>2.08739158505389</v>
      </c>
    </row>
    <row r="111">
      <c r="V111" s="161">
        <f>'Quarterly returns'!A42</f>
        <v>42185.0</v>
      </c>
      <c r="W111" s="162">
        <f>W110*(1+'Quarterly returns'!Z42)</f>
        <v>1.66851873251956</v>
      </c>
      <c r="X111" s="162">
        <f>X110*(1+'Quarterly returns'!AA42)</f>
        <v>1.67221517545643</v>
      </c>
      <c r="Y111" s="162">
        <f>Y110*(1+'Quarterly returns'!AB42)</f>
        <v>1.6439285244666</v>
      </c>
      <c r="Z111" s="162">
        <f>Z110*(1+INDEX('RBA 5Y yield'!$B$5:$B$661,MATCH(V110,'RBA 5Y yield'!$A$5:$A$661,1))+Inputs!$B$24)^0.25</f>
        <v>2.1179117421627</v>
      </c>
    </row>
    <row r="112">
      <c r="V112" s="161">
        <f>'Quarterly returns'!A43</f>
        <v>42277.0</v>
      </c>
      <c r="W112" s="162">
        <f>W111*(1+'Quarterly returns'!Z43)</f>
        <v>1.65953008460675</v>
      </c>
      <c r="X112" s="162">
        <f>X111*(1+'Quarterly returns'!AA43)</f>
        <v>1.66684994671637</v>
      </c>
      <c r="Y112" s="162">
        <f>Y111*(1+'Quarterly returns'!AB43)</f>
        <v>1.63739010370466</v>
      </c>
      <c r="Z112" s="162">
        <f>Z111*(1+INDEX('RBA 5Y yield'!$B$5:$B$661,MATCH(V111,'RBA 5Y yield'!$A$5:$A$661,1))+Inputs!$B$24)^0.25</f>
        <v>2.15044785947153</v>
      </c>
    </row>
    <row r="113">
      <c r="V113" s="161">
        <f>'Quarterly returns'!A44</f>
        <v>42369.0</v>
      </c>
      <c r="W113" s="162">
        <f>W112*(1+'Quarterly returns'!Z44)</f>
        <v>1.71561777409975</v>
      </c>
      <c r="X113" s="162">
        <f>X112*(1+'Quarterly returns'!AA44)</f>
        <v>1.70122040395786</v>
      </c>
      <c r="Y113" s="162">
        <f>Y112*(1+'Quarterly returns'!AB44)</f>
        <v>1.67217984181223</v>
      </c>
      <c r="Z113" s="162">
        <f>Z112*(1+INDEX('RBA 5Y yield'!$B$5:$B$661,MATCH(V112,'RBA 5Y yield'!$A$5:$A$661,1))+Inputs!$B$24)^0.25</f>
        <v>2.18252278456904</v>
      </c>
    </row>
    <row r="114">
      <c r="V114" s="161">
        <f>'Quarterly returns'!A45</f>
        <v>42460.0</v>
      </c>
      <c r="W114" s="162">
        <f>W113*(1+'Quarterly returns'!Z45)</f>
        <v>1.68542270789861</v>
      </c>
      <c r="X114" s="162">
        <f>X113*(1+'Quarterly returns'!AA45)</f>
        <v>1.66596357007671</v>
      </c>
      <c r="Y114" s="162">
        <f>Y113*(1+'Quarterly returns'!AB45)</f>
        <v>1.63343364837041</v>
      </c>
      <c r="Z114" s="162">
        <f>Z113*(1+INDEX('RBA 5Y yield'!$B$5:$B$661,MATCH(V113,'RBA 5Y yield'!$A$5:$A$661,1))+Inputs!$B$24)^0.25</f>
        <v>2.21603063001633</v>
      </c>
    </row>
    <row r="115">
      <c r="V115" s="161">
        <f>'Quarterly returns'!A46</f>
        <v>42551.0</v>
      </c>
      <c r="W115" s="162">
        <f>W114*(1+'Quarterly returns'!Z46)</f>
        <v>1.75390232774021</v>
      </c>
      <c r="X115" s="162">
        <f>X114*(1+'Quarterly returns'!AA46)</f>
        <v>1.73725368593902</v>
      </c>
      <c r="Y115" s="162">
        <f>Y114*(1+'Quarterly returns'!AB46)</f>
        <v>1.70749029455463</v>
      </c>
      <c r="Z115" s="162">
        <f>Z114*(1+INDEX('RBA 5Y yield'!$B$5:$B$661,MATCH(V114,'RBA 5Y yield'!$A$5:$A$661,1))+Inputs!$B$24)^0.25</f>
        <v>2.24925861207825</v>
      </c>
    </row>
    <row r="116">
      <c r="V116" s="161">
        <f>'Quarterly returns'!A47</f>
        <v>42643.0</v>
      </c>
      <c r="W116" s="162">
        <f>W115*(1+'Quarterly returns'!Z47)</f>
        <v>1.79688784133782</v>
      </c>
      <c r="X116" s="162">
        <f>X115*(1+'Quarterly returns'!AA47)</f>
        <v>1.77020135407615</v>
      </c>
      <c r="Y116" s="162">
        <f>Y115*(1+'Quarterly returns'!AB47)</f>
        <v>1.74378196970411</v>
      </c>
      <c r="Z116" s="162">
        <f>Z115*(1+INDEX('RBA 5Y yield'!$B$5:$B$661,MATCH(V115,'RBA 5Y yield'!$A$5:$A$661,1))+Inputs!$B$24)^0.25</f>
        <v>2.28076062967406</v>
      </c>
    </row>
    <row r="117">
      <c r="V117" s="161">
        <f>'Quarterly returns'!A48</f>
        <v>42734.0</v>
      </c>
      <c r="W117" s="162">
        <f>W116*(1+'Quarterly returns'!Z48)</f>
        <v>1.86243565450716</v>
      </c>
      <c r="X117" s="162">
        <f>X116*(1+'Quarterly returns'!AA48)</f>
        <v>1.84488874569725</v>
      </c>
      <c r="Y117" s="162">
        <f>Y116*(1+'Quarterly returns'!AB48)</f>
        <v>1.82108301887398</v>
      </c>
      <c r="Z117" s="162">
        <f>Z116*(1+INDEX('RBA 5Y yield'!$B$5:$B$661,MATCH(V116,'RBA 5Y yield'!$A$5:$A$661,1))+Inputs!$B$24)^0.25</f>
        <v>2.31256164502471</v>
      </c>
    </row>
    <row r="118">
      <c r="V118" s="161">
        <f>'Quarterly returns'!A49</f>
        <v>42825.0</v>
      </c>
      <c r="W118" s="162">
        <f>W117*(1+'Quarterly returns'!Z49)</f>
        <v>1.89291152530034</v>
      </c>
      <c r="X118" s="162">
        <f>X117*(1+'Quarterly returns'!AA49)</f>
        <v>1.86285251033281</v>
      </c>
      <c r="Y118" s="162">
        <f>Y117*(1+'Quarterly returns'!AB49)</f>
        <v>1.83983046615568</v>
      </c>
      <c r="Z118" s="162">
        <f>Z117*(1+INDEX('RBA 5Y yield'!$B$5:$B$661,MATCH(V117,'RBA 5Y yield'!$A$5:$A$661,1))+Inputs!$B$24)^0.25</f>
        <v>2.34658436085973</v>
      </c>
    </row>
    <row r="119">
      <c r="V119" s="161">
        <f>'Quarterly returns'!A50</f>
        <v>42916.0</v>
      </c>
      <c r="W119" s="162">
        <f>W118*(1+'Quarterly returns'!Z50)</f>
        <v>1.89591959174495</v>
      </c>
      <c r="X119" s="162">
        <f>X118*(1+'Quarterly returns'!AA50)</f>
        <v>1.87612542547415</v>
      </c>
      <c r="Y119" s="162">
        <f>Y118*(1+'Quarterly returns'!AB50)</f>
        <v>1.85434653816331</v>
      </c>
      <c r="Z119" s="162">
        <f>Z118*(1+INDEX('RBA 5Y yield'!$B$5:$B$661,MATCH(V118,'RBA 5Y yield'!$A$5:$A$661,1))+Inputs!$B$24)^0.25</f>
        <v>2.38266705312455</v>
      </c>
    </row>
    <row r="120">
      <c r="V120" s="161">
        <f>'Quarterly returns'!A51</f>
        <v>43007.0</v>
      </c>
      <c r="W120" s="162">
        <f>W119*(1+'Quarterly returns'!Z51)</f>
        <v>1.90866935615463</v>
      </c>
      <c r="X120" s="162">
        <f>X119*(1+'Quarterly returns'!AA51)</f>
        <v>1.89094132001397</v>
      </c>
      <c r="Y120" s="162">
        <f>Y119*(1+'Quarterly returns'!AB51)</f>
        <v>1.87644272006403</v>
      </c>
      <c r="Z120" s="162">
        <f>Z119*(1+INDEX('RBA 5Y yield'!$B$5:$B$661,MATCH(V119,'RBA 5Y yield'!$A$5:$A$661,1))+Inputs!$B$24)^0.25</f>
        <v>2.41755581407755</v>
      </c>
    </row>
    <row r="121">
      <c r="V121" s="161">
        <f>'Quarterly returns'!A52</f>
        <v>43098.0</v>
      </c>
      <c r="W121" s="162">
        <f>W120*(1+'Quarterly returns'!Z52)</f>
        <v>2.00515773955984</v>
      </c>
      <c r="X121" s="162">
        <f>X120*(1+'Quarterly returns'!AA52)</f>
        <v>1.98023491922234</v>
      </c>
      <c r="Y121" s="162">
        <f>Y120*(1+'Quarterly returns'!AB52)</f>
        <v>1.97144699019604</v>
      </c>
      <c r="Z121" s="162">
        <f>Z120*(1+INDEX('RBA 5Y yield'!$B$5:$B$661,MATCH(V120,'RBA 5Y yield'!$A$5:$A$661,1))+Inputs!$B$24)^0.25</f>
        <v>2.45410604246839</v>
      </c>
    </row>
    <row r="122">
      <c r="V122" s="161">
        <f>'Quarterly returns'!A53</f>
        <v>43189.0</v>
      </c>
      <c r="W122" s="162">
        <f>W121*(1+'Quarterly returns'!Z53)</f>
        <v>1.96838024817565</v>
      </c>
      <c r="X122" s="162">
        <f>X121*(1+'Quarterly returns'!AA53)</f>
        <v>1.95871749785144</v>
      </c>
      <c r="Y122" s="162">
        <f>Y121*(1+'Quarterly returns'!AB53)</f>
        <v>1.94964503366062</v>
      </c>
      <c r="Z122" s="162">
        <f>Z121*(1+INDEX('RBA 5Y yield'!$B$5:$B$661,MATCH(V121,'RBA 5Y yield'!$A$5:$A$661,1))+Inputs!$B$24)^0.25</f>
        <v>2.49112674482642</v>
      </c>
    </row>
    <row r="123">
      <c r="V123" s="161">
        <f>'Quarterly returns'!A54</f>
        <v>43280.0</v>
      </c>
      <c r="W123" s="162">
        <f>W122*(1+'Quarterly returns'!Z54)</f>
        <v>2.08942316981588</v>
      </c>
      <c r="X123" s="162">
        <f>X122*(1+'Quarterly returns'!AA54)</f>
        <v>2.06047350947757</v>
      </c>
      <c r="Y123" s="162">
        <f>Y122*(1+'Quarterly returns'!AB54)</f>
        <v>2.0636796995009</v>
      </c>
      <c r="Z123" s="162">
        <f>Z122*(1+INDEX('RBA 5Y yield'!$B$5:$B$661,MATCH(V122,'RBA 5Y yield'!$A$5:$A$661,1))+Inputs!$B$24)^0.25</f>
        <v>2.53015155901658</v>
      </c>
    </row>
    <row r="124">
      <c r="A124" s="152" t="inlineStr">
        <is>
          <t>Figure 5. Stress tests</t>
        </is>
      </c>
      <c r="B124" s="153" t="n"/>
      <c r="C124" s="153" t="n"/>
      <c r="D124" s="153" t="n"/>
      <c r="E124" s="153" t="n"/>
      <c r="F124" s="153" t="n"/>
      <c r="G124" s="153" t="n"/>
      <c r="H124" s="153" t="n"/>
      <c r="I124" s="153" t="n"/>
      <c r="J124" s="153" t="n"/>
      <c r="K124" s="153" t="n"/>
      <c r="L124" s="154" t="n"/>
      <c r="N124" s="155" t="inlineStr">
        <is>
          <t>Chart data, figure 5</t>
        </is>
      </c>
      <c r="V124" s="161">
        <f>'Quarterly returns'!A55</f>
        <v>43371.0</v>
      </c>
      <c r="W124" s="162">
        <f>W123*(1+'Quarterly returns'!Z55)</f>
        <v>2.14453127852612</v>
      </c>
      <c r="X124" s="162">
        <f>X123*(1+'Quarterly returns'!AA55)</f>
        <v>2.11392804634499</v>
      </c>
      <c r="Y124" s="162">
        <f>Y123*(1+'Quarterly returns'!AB55)</f>
        <v>2.12871969682235</v>
      </c>
      <c r="Z124" s="162">
        <f>Z123*(1+INDEX('RBA 5Y yield'!$B$5:$B$661,MATCH(V123,'RBA 5Y yield'!$A$5:$A$661,1))+Inputs!$B$24)^0.25</f>
        <v>2.56978771750135</v>
      </c>
    </row>
    <row r="125" ht="28" customHeight="1">
      <c r="N125" s="156" t="inlineStr">
        <is>
          <t>Scenario</t>
        </is>
      </c>
      <c r="O125" s="157" t="inlineStr">
        <is>
          <t>Current fund</t>
        </is>
      </c>
      <c r="P125" s="157" t="inlineStr">
        <is>
          <t>Benchmark</t>
        </is>
      </c>
      <c r="Q125" s="157" t="inlineStr">
        <is>
          <t>Recommended</t>
        </is>
      </c>
      <c r="V125" s="161">
        <f>'Quarterly returns'!A56</f>
        <v>43465.0</v>
      </c>
      <c r="W125" s="162">
        <f>W124*(1+'Quarterly returns'!Z56)</f>
        <v>2.02630081740714</v>
      </c>
      <c r="X125" s="162">
        <f>X124*(1+'Quarterly returns'!AA56)</f>
        <v>2.0014174662485</v>
      </c>
      <c r="Y125" s="162">
        <f>Y124*(1+'Quarterly returns'!AB56)</f>
        <v>2.00042002028007</v>
      </c>
      <c r="Z125" s="162">
        <f>Z124*(1+INDEX('RBA 5Y yield'!$B$5:$B$661,MATCH(V124,'RBA 5Y yield'!$A$5:$A$661,1))+Inputs!$B$24)^0.25</f>
        <v>2.60896493764512</v>
      </c>
    </row>
    <row r="126">
      <c r="N126" s="158" t="inlineStr">
        <is>
          <t>GFC 2007-09</t>
        </is>
      </c>
      <c r="O126" s="160">
        <f>Stress!B26</f>
        <v>-0.241671707004935</v>
      </c>
      <c r="P126" s="160">
        <f>Stress!B27</f>
        <v>-0.193000886085511</v>
      </c>
      <c r="Q126" s="160">
        <f>Stress!B28</f>
        <v>-0.235024797551683</v>
      </c>
      <c r="V126" s="161">
        <f>'Quarterly returns'!A57</f>
        <v>43553.0</v>
      </c>
      <c r="W126" s="162">
        <f>W125*(1+'Quarterly returns'!Z57)</f>
        <v>2.20574699135251</v>
      </c>
      <c r="X126" s="162">
        <f>X125*(1+'Quarterly returns'!AA57)</f>
        <v>2.15522165705127</v>
      </c>
      <c r="Y126" s="162">
        <f>Y125*(1+'Quarterly returns'!AB57)</f>
        <v>2.18348551660038</v>
      </c>
      <c r="Z126" s="162">
        <f>Z125*(1+INDEX('RBA 5Y yield'!$B$5:$B$661,MATCH(V125,'RBA 5Y yield'!$A$5:$A$661,1))+Inputs!$B$24)^0.25</f>
        <v>2.64785390061214</v>
      </c>
    </row>
    <row r="127">
      <c r="N127" s="158" t="inlineStr">
        <is>
          <t>COVID 2020</t>
        </is>
      </c>
      <c r="O127" s="160">
        <f>Stress!C26</f>
        <v>-0.120927025238173</v>
      </c>
      <c r="P127" s="160">
        <f>Stress!C27</f>
        <v>-0.0918064845384451</v>
      </c>
      <c r="Q127" s="160">
        <f>Stress!C28</f>
        <v>-0.107482356833963</v>
      </c>
      <c r="V127" s="161">
        <f>'Quarterly returns'!A58</f>
        <v>43644.0</v>
      </c>
      <c r="W127" s="162">
        <f>W126*(1+'Quarterly returns'!Z58)</f>
        <v>2.31787296610077</v>
      </c>
      <c r="X127" s="162">
        <f>X126*(1+'Quarterly returns'!AA58)</f>
        <v>2.24975807530946</v>
      </c>
      <c r="Y127" s="162">
        <f>Y126*(1+'Quarterly returns'!AB58)</f>
        <v>2.28339110073177</v>
      </c>
      <c r="Z127" s="162">
        <f>Z126*(1+INDEX('RBA 5Y yield'!$B$5:$B$661,MATCH(V126,'RBA 5Y yield'!$A$5:$A$661,1))+Inputs!$B$24)^0.25</f>
        <v>2.68507811874245</v>
      </c>
    </row>
    <row r="128">
      <c r="N128" s="158" t="inlineStr">
        <is>
          <t>Inflation 2022</t>
        </is>
      </c>
      <c r="O128" s="160">
        <f>Stress!D26</f>
        <v>-0.0727544374814924</v>
      </c>
      <c r="P128" s="160">
        <f>Stress!D27</f>
        <v>-0.0726107979336922</v>
      </c>
      <c r="Q128" s="160">
        <f>Stress!D28</f>
        <v>-0.0754055858935452</v>
      </c>
      <c r="V128" s="161">
        <f>'Quarterly returns'!A59</f>
        <v>43738.0</v>
      </c>
      <c r="W128" s="162">
        <f>W127*(1+'Quarterly returns'!Z59)</f>
        <v>2.40794464322401</v>
      </c>
      <c r="X128" s="162">
        <f>X127*(1+'Quarterly returns'!AA59)</f>
        <v>2.33819350461657</v>
      </c>
      <c r="Y128" s="162">
        <f>Y127*(1+'Quarterly returns'!AB59)</f>
        <v>2.37476002399453</v>
      </c>
      <c r="Z128" s="162">
        <f>Z127*(1+INDEX('RBA 5Y yield'!$B$5:$B$661,MATCH(V127,'RBA 5Y yield'!$A$5:$A$661,1))+Inputs!$B$24)^0.25</f>
        <v>2.71991127936304</v>
      </c>
    </row>
    <row r="129">
      <c r="N129" s="158" t="inlineStr">
        <is>
          <t>US$150 oil</t>
        </is>
      </c>
      <c r="O129" s="160">
        <f>Stress!E26</f>
        <v>-0.0826093080046623</v>
      </c>
      <c r="P129" s="160">
        <f>Stress!E27</f>
        <v>-0.0739102470080081</v>
      </c>
      <c r="Q129" s="160">
        <f>Stress!E28</f>
        <v>-0.0836389097568949</v>
      </c>
      <c r="V129" s="161">
        <f>'Quarterly returns'!A60</f>
        <v>43830.0</v>
      </c>
      <c r="W129" s="162">
        <f>W128*(1+'Quarterly returns'!Z60)</f>
        <v>2.41469223602288</v>
      </c>
      <c r="X129" s="162">
        <f>X128*(1+'Quarterly returns'!AA60)</f>
        <v>2.36253421236488</v>
      </c>
      <c r="Y129" s="162">
        <f>Y128*(1+'Quarterly returns'!AB60)</f>
        <v>2.39668751576334</v>
      </c>
      <c r="Z129" s="162">
        <f>Z128*(1+INDEX('RBA 5Y yield'!$B$5:$B$661,MATCH(V128,'RBA 5Y yield'!$A$5:$A$661,1))+Inputs!$B$24)^0.25</f>
        <v>2.75204428587634</v>
      </c>
    </row>
    <row r="130">
      <c r="V130" s="161">
        <f>'Quarterly returns'!A61</f>
        <v>43921.0</v>
      </c>
      <c r="W130" s="162">
        <f>W129*(1+'Quarterly returns'!Z61)</f>
        <v>2.12201457322884</v>
      </c>
      <c r="X130" s="162">
        <f>X129*(1+'Quarterly returns'!AA61)</f>
        <v>2.1436419103164</v>
      </c>
      <c r="Y130" s="162">
        <f>Y129*(1+'Quarterly returns'!AB61)</f>
        <v>2.13828833528651</v>
      </c>
      <c r="Z130" s="162">
        <f>Z129*(1+INDEX('RBA 5Y yield'!$B$5:$B$661,MATCH(V129,'RBA 5Y yield'!$A$5:$A$661,1))+Inputs!$B$24)^0.25</f>
        <v>2.78498189675725</v>
      </c>
    </row>
    <row r="131">
      <c r="V131" s="161">
        <f>'Quarterly returns'!A62</f>
        <v>44012.0</v>
      </c>
      <c r="W131" s="162">
        <f>W130*(1+'Quarterly returns'!Z62)</f>
        <v>2.29485981540387</v>
      </c>
      <c r="X131" s="162">
        <f>X130*(1+'Quarterly returns'!AA62)</f>
        <v>2.25745734467669</v>
      </c>
      <c r="Y131" s="162">
        <f>Y130*(1+'Quarterly returns'!AB62)</f>
        <v>2.27950426790264</v>
      </c>
      <c r="Z131" s="162">
        <f>Z130*(1+INDEX('RBA 5Y yield'!$B$5:$B$661,MATCH(V130,'RBA 5Y yield'!$A$5:$A$661,1))+Inputs!$B$24)^0.25</f>
        <v>2.81579769498517</v>
      </c>
    </row>
    <row r="132">
      <c r="V132" s="161">
        <f>'Quarterly returns'!A63</f>
        <v>44104.0</v>
      </c>
      <c r="W132" s="162">
        <f>W131*(1+'Quarterly returns'!Z63)</f>
        <v>2.31554552434496</v>
      </c>
      <c r="X132" s="162">
        <f>X131*(1+'Quarterly returns'!AA63)</f>
        <v>2.2961419410621</v>
      </c>
      <c r="Y132" s="162">
        <f>Y131*(1+'Quarterly returns'!AB63)</f>
        <v>2.30905585338833</v>
      </c>
      <c r="Z132" s="162">
        <f>Z131*(1+INDEX('RBA 5Y yield'!$B$5:$B$661,MATCH(V131,'RBA 5Y yield'!$A$5:$A$661,1))+Inputs!$B$24)^0.25</f>
        <v>2.84629358273913</v>
      </c>
    </row>
    <row r="133">
      <c r="V133" s="161">
        <f>'Quarterly returns'!A64</f>
        <v>44196.0</v>
      </c>
      <c r="W133" s="162">
        <f>W132*(1+'Quarterly returns'!Z64)</f>
        <v>2.47619733636901</v>
      </c>
      <c r="X133" s="162">
        <f>X132*(1+'Quarterly returns'!AA64)</f>
        <v>2.42744320207384</v>
      </c>
      <c r="Y133" s="162">
        <f>Y132*(1+'Quarterly returns'!AB64)</f>
        <v>2.45000790256693</v>
      </c>
      <c r="Z133" s="162">
        <f>Z132*(1+INDEX('RBA 5Y yield'!$B$5:$B$661,MATCH(V132,'RBA 5Y yield'!$A$5:$A$661,1))+Inputs!$B$24)^0.25</f>
        <v>2.87705085256707</v>
      </c>
    </row>
    <row r="134">
      <c r="V134" s="161">
        <f>'Quarterly returns'!A65</f>
        <v>44286.0</v>
      </c>
      <c r="W134" s="162">
        <f>W133*(1+'Quarterly returns'!Z65)</f>
        <v>2.55227819218163</v>
      </c>
      <c r="X134" s="162">
        <f>X133*(1+'Quarterly returns'!AA65)</f>
        <v>2.51568757888939</v>
      </c>
      <c r="Y134" s="162">
        <f>Y133*(1+'Quarterly returns'!AB65)</f>
        <v>2.54276858825624</v>
      </c>
      <c r="Z134" s="162">
        <f>Z133*(1+INDEX('RBA 5Y yield'!$B$5:$B$661,MATCH(V133,'RBA 5Y yield'!$A$5:$A$661,1))+Inputs!$B$24)^0.25</f>
        <v>2.90779220503812</v>
      </c>
    </row>
    <row r="135">
      <c r="V135" s="161">
        <f>'Quarterly returns'!A66</f>
        <v>44377.0</v>
      </c>
      <c r="W135" s="162">
        <f>W134*(1+'Quarterly returns'!Z66)</f>
        <v>2.72582844055857</v>
      </c>
      <c r="X135" s="162">
        <f>X134*(1+'Quarterly returns'!AA66)</f>
        <v>2.68972759014613</v>
      </c>
      <c r="Y135" s="162">
        <f>Y134*(1+'Quarterly returns'!AB66)</f>
        <v>2.72162630300212</v>
      </c>
      <c r="Z135" s="162">
        <f>Z134*(1+INDEX('RBA 5Y yield'!$B$5:$B$661,MATCH(V134,'RBA 5Y yield'!$A$5:$A$661,1))+Inputs!$B$24)^0.25</f>
        <v>2.94142875749924</v>
      </c>
    </row>
    <row r="136">
      <c r="V136" s="161">
        <f>'Quarterly returns'!A67</f>
        <v>44469.0</v>
      </c>
      <c r="W136" s="162">
        <f>W135*(1+'Quarterly returns'!Z67)</f>
        <v>2.78708984194693</v>
      </c>
      <c r="X136" s="162">
        <f>X135*(1+'Quarterly returns'!AA67)</f>
        <v>2.75996617882879</v>
      </c>
      <c r="Y136" s="162">
        <f>Y135*(1+'Quarterly returns'!AB67)</f>
        <v>2.7848910675512</v>
      </c>
      <c r="Z136" s="162">
        <f>Z135*(1+INDEX('RBA 5Y yield'!$B$5:$B$661,MATCH(V135,'RBA 5Y yield'!$A$5:$A$661,1))+Inputs!$B$24)^0.25</f>
        <v>2.97562489395237</v>
      </c>
    </row>
    <row r="137">
      <c r="V137" s="161">
        <f>'Quarterly returns'!A68</f>
        <v>44561.0</v>
      </c>
      <c r="W137" s="162">
        <f>W136*(1+'Quarterly returns'!Z68)</f>
        <v>2.88332385163386</v>
      </c>
      <c r="X137" s="162">
        <f>X136*(1+'Quarterly returns'!AA68)</f>
        <v>2.85220731816518</v>
      </c>
      <c r="Y137" s="162">
        <f>Y136*(1+'Quarterly returns'!AB68)</f>
        <v>2.88311049457785</v>
      </c>
      <c r="Z137" s="162">
        <f>Z136*(1+INDEX('RBA 5Y yield'!$B$5:$B$661,MATCH(V136,'RBA 5Y yield'!$A$5:$A$661,1))+Inputs!$B$24)^0.25</f>
        <v>3.00972984918924</v>
      </c>
    </row>
    <row r="138">
      <c r="V138" s="161">
        <f>'Quarterly returns'!A69</f>
        <v>44651.0</v>
      </c>
      <c r="W138" s="162">
        <f>W137*(1+'Quarterly returns'!Z69)</f>
        <v>2.80030234008614</v>
      </c>
      <c r="X138" s="162">
        <f>X137*(1+'Quarterly returns'!AA69)</f>
        <v>2.76036977590576</v>
      </c>
      <c r="Y138" s="162">
        <f>Y137*(1+'Quarterly returns'!AB69)</f>
        <v>2.7806897728118</v>
      </c>
      <c r="Z138" s="162">
        <f>Z137*(1+INDEX('RBA 5Y yield'!$B$5:$B$661,MATCH(V137,'RBA 5Y yield'!$A$5:$A$661,1))+Inputs!$B$24)^0.25</f>
        <v>3.04901352990455</v>
      </c>
    </row>
    <row r="139">
      <c r="V139" s="161">
        <f>'Quarterly returns'!A70</f>
        <v>44742.0</v>
      </c>
      <c r="W139" s="162">
        <f>W138*(1+'Quarterly returns'!Z70)</f>
        <v>2.57021611770191</v>
      </c>
      <c r="X139" s="162">
        <f>X138*(1+'Quarterly returns'!AA70)</f>
        <v>2.57533090834025</v>
      </c>
      <c r="Y139" s="162">
        <f>Y138*(1+'Quarterly returns'!AB70)</f>
        <v>2.59218272096619</v>
      </c>
      <c r="Z139" s="162">
        <f>Z138*(1+INDEX('RBA 5Y yield'!$B$5:$B$661,MATCH(V138,'RBA 5Y yield'!$A$5:$A$661,1))+Inputs!$B$24)^0.25</f>
        <v>3.09528543231308</v>
      </c>
    </row>
    <row r="140">
      <c r="V140" s="161">
        <f>'Quarterly returns'!A71</f>
        <v>44834.0</v>
      </c>
      <c r="W140" s="162">
        <f>W139*(1+'Quarterly returns'!Z71)</f>
        <v>2.57313986171307</v>
      </c>
      <c r="X140" s="162">
        <f>X139*(1+'Quarterly returns'!AA71)</f>
        <v>2.56070983302975</v>
      </c>
      <c r="Y140" s="162">
        <f>Y139*(1+'Quarterly returns'!AB71)</f>
        <v>2.58834567179432</v>
      </c>
      <c r="Z140" s="162">
        <f>Z139*(1+INDEX('RBA 5Y yield'!$B$5:$B$661,MATCH(V139,'RBA 5Y yield'!$A$5:$A$661,1))+Inputs!$B$24)^0.25</f>
        <v>3.1517210313275</v>
      </c>
    </row>
    <row r="141">
      <c r="V141" s="161">
        <f>'Quarterly returns'!A72</f>
        <v>44925.0</v>
      </c>
      <c r="W141" s="162">
        <f>W140*(1+'Quarterly returns'!Z72)</f>
        <v>2.67399037436046</v>
      </c>
      <c r="X141" s="162">
        <f>X140*(1+'Quarterly returns'!AA72)</f>
        <v>2.63950679515166</v>
      </c>
      <c r="Y141" s="162">
        <f>Y140*(1+'Quarterly returns'!AB72)</f>
        <v>2.66484361284711</v>
      </c>
      <c r="Z141" s="162">
        <f>Z140*(1+INDEX('RBA 5Y yield'!$B$5:$B$661,MATCH(V140,'RBA 5Y yield'!$A$5:$A$661,1))+Inputs!$B$24)^0.25</f>
        <v>3.209252777138</v>
      </c>
    </row>
    <row r="142">
      <c r="V142" s="161">
        <f>'Quarterly returns'!A73</f>
        <v>45016.0</v>
      </c>
      <c r="W142" s="162">
        <f>W141*(1+'Quarterly returns'!Z73)</f>
        <v>2.79390139448099</v>
      </c>
      <c r="X142" s="162">
        <f>X141*(1+'Quarterly returns'!AA73)</f>
        <v>2.76156444852579</v>
      </c>
      <c r="Y142" s="162">
        <f>Y141*(1+'Quarterly returns'!AB73)</f>
        <v>2.79464333419573</v>
      </c>
      <c r="Z142" s="162">
        <f>Z141*(1+INDEX('RBA 5Y yield'!$B$5:$B$661,MATCH(V141,'RBA 5Y yield'!$A$5:$A$661,1))+Inputs!$B$24)^0.25</f>
        <v>3.26720378431287</v>
      </c>
    </row>
    <row r="143">
      <c r="V143" s="161">
        <f>'Quarterly returns'!A74</f>
        <v>45107.0</v>
      </c>
      <c r="W143" s="162">
        <f>W142*(1+'Quarterly returns'!Z74)</f>
        <v>2.8428884801798</v>
      </c>
      <c r="X143" s="162">
        <f>X142*(1+'Quarterly returns'!AA74)</f>
        <v>2.82452019555344</v>
      </c>
      <c r="Y143" s="162">
        <f>Y142*(1+'Quarterly returns'!AB74)</f>
        <v>2.86052298923812</v>
      </c>
      <c r="Z143" s="162">
        <f>Z142*(1+INDEX('RBA 5Y yield'!$B$5:$B$661,MATCH(V142,'RBA 5Y yield'!$A$5:$A$661,1))+Inputs!$B$24)^0.25</f>
        <v>3.32451240783542</v>
      </c>
    </row>
    <row r="144">
      <c r="V144" s="161">
        <f>'Quarterly returns'!A75</f>
        <v>45198.0</v>
      </c>
      <c r="W144" s="162">
        <f>W143*(1+'Quarterly returns'!Z75)</f>
        <v>2.82499265616996</v>
      </c>
      <c r="X144" s="162">
        <f>X143*(1+'Quarterly returns'!AA75)</f>
        <v>2.83569718529404</v>
      </c>
      <c r="Y144" s="162">
        <f>Y143*(1+'Quarterly returns'!AB75)</f>
        <v>2.85908867901673</v>
      </c>
      <c r="Z144" s="162">
        <f>Z143*(1+INDEX('RBA 5Y yield'!$B$5:$B$661,MATCH(V143,'RBA 5Y yield'!$A$5:$A$661,1))+Inputs!$B$24)^0.25</f>
        <v>3.38736895546439</v>
      </c>
    </row>
    <row r="145">
      <c r="V145" s="161">
        <f>'Quarterly returns'!A76</f>
        <v>45289.0</v>
      </c>
      <c r="W145" s="162">
        <f>W144*(1+'Quarterly returns'!Z76)</f>
        <v>2.99990584618504</v>
      </c>
      <c r="X145" s="162">
        <f>X144*(1+'Quarterly returns'!AA76)</f>
        <v>2.96789960136576</v>
      </c>
      <c r="Y145" s="162">
        <f>Y144*(1+'Quarterly returns'!AB76)</f>
        <v>3.00230985211433</v>
      </c>
      <c r="Z145" s="162">
        <f>Z144*(1+INDEX('RBA 5Y yield'!$B$5:$B$661,MATCH(V144,'RBA 5Y yield'!$A$5:$A$661,1))+Inputs!$B$24)^0.25</f>
        <v>3.45203820626077</v>
      </c>
    </row>
    <row r="146">
      <c r="V146" s="161">
        <f>'Quarterly returns'!A77</f>
        <v>45380.0</v>
      </c>
      <c r="W146" s="162">
        <f>W145*(1+'Quarterly returns'!Z77)</f>
        <v>3.17500227975215</v>
      </c>
      <c r="X146" s="162">
        <f>X145*(1+'Quarterly returns'!AA77)</f>
        <v>3.16382977545538</v>
      </c>
      <c r="Y146" s="162">
        <f>Y145*(1+'Quarterly returns'!AB77)</f>
        <v>3.21746417930505</v>
      </c>
      <c r="Z146" s="162">
        <f>Z145*(1+INDEX('RBA 5Y yield'!$B$5:$B$661,MATCH(V145,'RBA 5Y yield'!$A$5:$A$661,1))+Inputs!$B$24)^0.25</f>
        <v>3.52115853442302</v>
      </c>
    </row>
    <row r="147">
      <c r="V147" s="161">
        <f>'Quarterly returns'!A78</f>
        <v>45471.0</v>
      </c>
      <c r="W147" s="162">
        <f>W146*(1+'Quarterly returns'!Z78)</f>
        <v>3.15046881446324</v>
      </c>
      <c r="X147" s="162">
        <f>X146*(1+'Quarterly returns'!AA78)</f>
        <v>3.14424453744007</v>
      </c>
      <c r="Y147" s="162">
        <f>Y146*(1+'Quarterly returns'!AB78)</f>
        <v>3.20589496127168</v>
      </c>
      <c r="Z147" s="162">
        <f>Z146*(1+INDEX('RBA 5Y yield'!$B$5:$B$661,MATCH(V146,'RBA 5Y yield'!$A$5:$A$661,1))+Inputs!$B$24)^0.25</f>
        <v>3.58772474794801</v>
      </c>
    </row>
    <row r="148">
      <c r="V148" s="161">
        <f>'Quarterly returns'!A79</f>
        <v>45565.0</v>
      </c>
      <c r="W148" s="162">
        <f>W147*(1+'Quarterly returns'!Z79)</f>
        <v>3.31375590255882</v>
      </c>
      <c r="X148" s="162">
        <f>X147*(1+'Quarterly returns'!AA79)</f>
        <v>3.27321317934125</v>
      </c>
      <c r="Y148" s="162">
        <f>Y147*(1+'Quarterly returns'!AB79)</f>
        <v>3.3381667141145</v>
      </c>
      <c r="Z148" s="162">
        <f>Z147*(1+INDEX('RBA 5Y yield'!$B$5:$B$661,MATCH(V147,'RBA 5Y yield'!$A$5:$A$661,1))+Inputs!$B$24)^0.25</f>
        <v>3.65759116438627</v>
      </c>
    </row>
    <row r="149">
      <c r="V149" s="161">
        <f>'Quarterly returns'!A80</f>
        <v>45657.0</v>
      </c>
      <c r="W149" s="162">
        <f>W148*(1+'Quarterly returns'!Z80)</f>
        <v>3.40734483157993</v>
      </c>
      <c r="X149" s="162">
        <f>X148*(1+'Quarterly returns'!AA80)</f>
        <v>3.40169828581817</v>
      </c>
      <c r="Y149" s="162">
        <f>Y148*(1+'Quarterly returns'!AB80)</f>
        <v>3.49750104568354</v>
      </c>
      <c r="Z149" s="162">
        <f>Z148*(1+INDEX('RBA 5Y yield'!$B$5:$B$661,MATCH(V148,'RBA 5Y yield'!$A$5:$A$661,1))+Inputs!$B$24)^0.25</f>
        <v>3.72483336270832</v>
      </c>
    </row>
    <row r="150">
      <c r="A150" s="152" t="inlineStr">
        <is>
          <t>Figure 6. Five-year outcomes (forecast-adjusted bootstrap)</t>
        </is>
      </c>
      <c r="B150" s="153" t="n"/>
      <c r="C150" s="153" t="n"/>
      <c r="D150" s="153" t="n"/>
      <c r="E150" s="153" t="n"/>
      <c r="F150" s="153" t="n"/>
      <c r="G150" s="153" t="n"/>
      <c r="H150" s="153" t="n"/>
      <c r="I150" s="153" t="n"/>
      <c r="J150" s="153" t="n"/>
      <c r="K150" s="153" t="n"/>
      <c r="L150" s="154" t="n"/>
      <c r="N150" s="155" t="inlineStr">
        <is>
          <t>Chart data, figure 6</t>
        </is>
      </c>
      <c r="V150" s="161">
        <f>'Quarterly returns'!A81</f>
        <v>45747.0</v>
      </c>
      <c r="W150" s="162">
        <f>W149*(1+'Quarterly returns'!Z81)</f>
        <v>3.35246226394807</v>
      </c>
      <c r="X150" s="162">
        <f>X149*(1+'Quarterly returns'!AA81)</f>
        <v>3.35484924721047</v>
      </c>
      <c r="Y150" s="162">
        <f>Y149*(1+'Quarterly returns'!AB81)</f>
        <v>3.45260480239973</v>
      </c>
      <c r="Z150" s="162">
        <f>Z149*(1+INDEX('RBA 5Y yield'!$B$5:$B$661,MATCH(V149,'RBA 5Y yield'!$A$5:$A$661,1))+Inputs!$B$24)^0.25</f>
        <v>3.79661375289827</v>
      </c>
    </row>
    <row r="151" ht="28" customHeight="1">
      <c r="N151" s="156" t="inlineStr">
        <is>
          <t>5-year return</t>
        </is>
      </c>
      <c r="O151" s="157" t="inlineStr">
        <is>
          <t>Current fund</t>
        </is>
      </c>
      <c r="P151" s="157" t="inlineStr">
        <is>
          <t>Recommended</t>
        </is>
      </c>
      <c r="Q151" s="157" t="inlineStr">
        <is>
          <t>Bin from</t>
        </is>
      </c>
      <c r="R151" s="157" t="inlineStr">
        <is>
          <t>Bin to</t>
        </is>
      </c>
      <c r="V151" s="161">
        <f>'Quarterly returns'!A82</f>
        <v>45838.0</v>
      </c>
      <c r="W151" s="162">
        <f>W150*(1+'Quarterly returns'!Z82)</f>
        <v>3.51470703846782</v>
      </c>
      <c r="X151" s="162">
        <f>X150*(1+'Quarterly returns'!AA82)</f>
        <v>3.49144977459412</v>
      </c>
      <c r="Y151" s="162">
        <f>Y150*(1+'Quarterly returns'!AB82)</f>
        <v>3.58880975888848</v>
      </c>
      <c r="Z151" s="162">
        <f>Z150*(1+INDEX('RBA 5Y yield'!$B$5:$B$661,MATCH(V150,'RBA 5Y yield'!$A$5:$A$661,1))+Inputs!$B$24)^0.25</f>
        <v>3.869517444386</v>
      </c>
    </row>
    <row r="152">
      <c r="N152" s="158" t="str">
        <f>TEXT(Q152,"0%")&amp;" to "&amp;TEXT(R152,"0%")</f>
        <v>-30% to -20%</v>
      </c>
      <c r="O152" s="163">
        <f>COUNTIFS(Bootstrap!G$102:G$1101,"&gt;="&amp;$Q152,Bootstrap!G$102:G$1101,"&lt;"&amp;$R152)</f>
        <v>13</v>
      </c>
      <c r="P152" s="163">
        <f>COUNTIFS(Bootstrap!I$102:I$1101,"&gt;="&amp;$Q152,Bootstrap!I$102:I$1101,"&lt;"&amp;$R152)</f>
        <v>10</v>
      </c>
      <c r="Q152" s="160" t="n">
        <v>-0.3</v>
      </c>
      <c r="R152" s="160" t="n">
        <v>-0.2</v>
      </c>
      <c r="V152" s="161">
        <f>'Quarterly returns'!A83</f>
        <v>45930.0</v>
      </c>
      <c r="W152" s="162">
        <f>W151*(1+'Quarterly returns'!Z83)</f>
        <v>3.65047315330014</v>
      </c>
      <c r="X152" s="162">
        <f>X151*(1+'Quarterly returns'!AA83)</f>
        <v>3.6274682710558</v>
      </c>
      <c r="Y152" s="162">
        <f>Y151*(1+'Quarterly returns'!AB83)</f>
        <v>3.74892940734324</v>
      </c>
      <c r="Z152" s="162">
        <f>Z151*(1+INDEX('RBA 5Y yield'!$B$5:$B$661,MATCH(V151,'RBA 5Y yield'!$A$5:$A$661,1))+Inputs!$B$24)^0.25</f>
        <v>3.94032598004625</v>
      </c>
    </row>
    <row r="153">
      <c r="N153" s="158" t="str">
        <f>TEXT(Q153,"0%")&amp;" to "&amp;TEXT(R153,"0%")</f>
        <v>-20% to -10%</v>
      </c>
      <c r="O153" s="163">
        <f>COUNTIFS(Bootstrap!G$102:G$1101,"&gt;="&amp;$Q153,Bootstrap!G$102:G$1101,"&lt;"&amp;$R153)</f>
        <v>17</v>
      </c>
      <c r="P153" s="163">
        <f>COUNTIFS(Bootstrap!I$102:I$1101,"&gt;="&amp;$Q153,Bootstrap!I$102:I$1101,"&lt;"&amp;$R153)</f>
        <v>20</v>
      </c>
      <c r="Q153" s="160" t="n">
        <v>-0.2</v>
      </c>
      <c r="R153" s="160" t="n">
        <v>-0.09999999999999998</v>
      </c>
      <c r="V153" s="161">
        <f>'Quarterly returns'!A84</f>
        <v>46022.0</v>
      </c>
      <c r="W153" s="162">
        <f>W152*(1+'Quarterly returns'!Z84)</f>
        <v>3.65239855391926</v>
      </c>
      <c r="X153" s="162">
        <f>X152*(1+'Quarterly returns'!AA84)</f>
        <v>3.65051063488089</v>
      </c>
      <c r="Y153" s="162">
        <f>Y152*(1+'Quarterly returns'!AB84)</f>
        <v>3.7760373517135</v>
      </c>
      <c r="Z153" s="162">
        <f>Z152*(1+INDEX('RBA 5Y yield'!$B$5:$B$661,MATCH(V152,'RBA 5Y yield'!$A$5:$A$661,1))+Inputs!$B$24)^0.25</f>
        <v>4.01365181750997</v>
      </c>
    </row>
    <row r="154">
      <c r="N154" s="158" t="str">
        <f>TEXT(Q154,"0%")&amp;" to "&amp;TEXT(R154,"0%")</f>
        <v>-10% to 0%</v>
      </c>
      <c r="O154" s="163">
        <f>COUNTIFS(Bootstrap!G$102:G$1101,"&gt;="&amp;$Q154,Bootstrap!G$102:G$1101,"&lt;"&amp;$R154)</f>
        <v>43</v>
      </c>
      <c r="P154" s="163">
        <f>COUNTIFS(Bootstrap!I$102:I$1101,"&gt;="&amp;$Q154,Bootstrap!I$102:I$1101,"&lt;"&amp;$R154)</f>
        <v>39</v>
      </c>
      <c r="Q154" s="160" t="n">
        <v>-0.09999999999999998</v>
      </c>
      <c r="R154" s="160" t="n">
        <v>2.775557561562891e-17</v>
      </c>
      <c r="V154" s="161">
        <f>'Quarterly returns'!A85</f>
        <v>46112.0</v>
      </c>
      <c r="W154" s="162">
        <f>W153*(1+'Quarterly returns'!Z85)</f>
        <v>3.56399687545207</v>
      </c>
      <c r="X154" s="162">
        <f>X153*(1+'Quarterly returns'!AA85)</f>
        <v>3.56471648421703</v>
      </c>
      <c r="Y154" s="162">
        <f>Y153*(1+'Quarterly returns'!AB85)</f>
        <v>3.71090719745603</v>
      </c>
      <c r="Z154" s="162">
        <f>Z153*(1+INDEX('RBA 5Y yield'!$B$5:$B$661,MATCH(V153,'RBA 5Y yield'!$A$5:$A$661,1))+Inputs!$B$24)^0.25</f>
        <v>4.094026816916</v>
      </c>
    </row>
    <row r="155">
      <c r="N155" s="158" t="str">
        <f>TEXT(Q155,"0%")&amp;" to "&amp;TEXT(R155,"0%")</f>
        <v>0% to 10%</v>
      </c>
      <c r="O155" s="163">
        <f>COUNTIFS(Bootstrap!G$102:G$1101,"&gt;="&amp;$Q155,Bootstrap!G$102:G$1101,"&lt;"&amp;$R155)</f>
        <v>72</v>
      </c>
      <c r="P155" s="163">
        <f>COUNTIFS(Bootstrap!I$102:I$1101,"&gt;="&amp;$Q155,Bootstrap!I$102:I$1101,"&lt;"&amp;$R155)</f>
        <v>68</v>
      </c>
      <c r="Q155" s="160" t="n">
        <v>5.551115123125783e-17</v>
      </c>
      <c r="R155" s="160" t="n">
        <v>0.1000000000000001</v>
      </c>
    </row>
    <row r="156">
      <c r="N156" s="158" t="str">
        <f>TEXT(Q156,"0%")&amp;" to "&amp;TEXT(R156,"0%")</f>
        <v>10% to 20%</v>
      </c>
      <c r="O156" s="163">
        <f>COUNTIFS(Bootstrap!G$102:G$1101,"&gt;="&amp;$Q156,Bootstrap!G$102:G$1101,"&lt;"&amp;$R156)</f>
        <v>96</v>
      </c>
      <c r="P156" s="163">
        <f>COUNTIFS(Bootstrap!I$102:I$1101,"&gt;="&amp;$Q156,Bootstrap!I$102:I$1101,"&lt;"&amp;$R156)</f>
        <v>105</v>
      </c>
      <c r="Q156" s="160" t="n">
        <v>0.1</v>
      </c>
      <c r="R156" s="160" t="n">
        <v>0.2</v>
      </c>
    </row>
    <row r="157">
      <c r="N157" s="158" t="str">
        <f>TEXT(Q157,"0%")&amp;" to "&amp;TEXT(R157,"0%")</f>
        <v>20% to 30%</v>
      </c>
      <c r="O157" s="163">
        <f>COUNTIFS(Bootstrap!G$102:G$1101,"&gt;="&amp;$Q157,Bootstrap!G$102:G$1101,"&lt;"&amp;$R157)</f>
        <v>135</v>
      </c>
      <c r="P157" s="163">
        <f>COUNTIFS(Bootstrap!I$102:I$1101,"&gt;="&amp;$Q157,Bootstrap!I$102:I$1101,"&lt;"&amp;$R157)</f>
        <v>130</v>
      </c>
      <c r="Q157" s="160" t="n">
        <v>0.2</v>
      </c>
      <c r="R157" s="160" t="n">
        <v>0.3</v>
      </c>
    </row>
    <row r="158">
      <c r="N158" s="158" t="str">
        <f>TEXT(Q158,"0%")&amp;" to "&amp;TEXT(R158,"0%")</f>
        <v>30% to 40%</v>
      </c>
      <c r="O158" s="163">
        <f>COUNTIFS(Bootstrap!G$102:G$1101,"&gt;="&amp;$Q158,Bootstrap!G$102:G$1101,"&lt;"&amp;$R158)</f>
        <v>126</v>
      </c>
      <c r="P158" s="163">
        <f>COUNTIFS(Bootstrap!I$102:I$1101,"&gt;="&amp;$Q158,Bootstrap!I$102:I$1101,"&lt;"&amp;$R158)</f>
        <v>132</v>
      </c>
      <c r="Q158" s="160" t="n">
        <v>0.3000000000000001</v>
      </c>
      <c r="R158" s="160" t="n">
        <v>0.4000000000000001</v>
      </c>
    </row>
    <row r="159">
      <c r="N159" s="158" t="str">
        <f>TEXT(Q159,"0%")&amp;" to "&amp;TEXT(R159,"0%")</f>
        <v>40% to 50%</v>
      </c>
      <c r="O159" s="163">
        <f>COUNTIFS(Bootstrap!G$102:G$1101,"&gt;="&amp;$Q159,Bootstrap!G$102:G$1101,"&lt;"&amp;$R159)</f>
        <v>147</v>
      </c>
      <c r="P159" s="163">
        <f>COUNTIFS(Bootstrap!I$102:I$1101,"&gt;="&amp;$Q159,Bootstrap!I$102:I$1101,"&lt;"&amp;$R159)</f>
        <v>140</v>
      </c>
      <c r="Q159" s="160" t="n">
        <v>0.4000000000000001</v>
      </c>
      <c r="R159" s="160" t="n">
        <v>0.5000000000000001</v>
      </c>
    </row>
    <row r="160">
      <c r="N160" s="158" t="str">
        <f>TEXT(Q160,"0%")&amp;" to "&amp;TEXT(R160,"0%")</f>
        <v>50% to 60%</v>
      </c>
      <c r="O160" s="163">
        <f>COUNTIFS(Bootstrap!G$102:G$1101,"&gt;="&amp;$Q160,Bootstrap!G$102:G$1101,"&lt;"&amp;$R160)</f>
        <v>110</v>
      </c>
      <c r="P160" s="163">
        <f>COUNTIFS(Bootstrap!I$102:I$1101,"&gt;="&amp;$Q160,Bootstrap!I$102:I$1101,"&lt;"&amp;$R160)</f>
        <v>120</v>
      </c>
      <c r="Q160" s="160" t="n">
        <v>0.5</v>
      </c>
      <c r="R160" s="160" t="n">
        <v>0.6</v>
      </c>
    </row>
    <row r="161">
      <c r="N161" s="158" t="str">
        <f>TEXT(Q161,"0%")&amp;" to "&amp;TEXT(R161,"0%")</f>
        <v>60% to 70%</v>
      </c>
      <c r="O161" s="163">
        <f>COUNTIFS(Bootstrap!G$102:G$1101,"&gt;="&amp;$Q161,Bootstrap!G$102:G$1101,"&lt;"&amp;$R161)</f>
        <v>92</v>
      </c>
      <c r="P161" s="163">
        <f>COUNTIFS(Bootstrap!I$102:I$1101,"&gt;="&amp;$Q161,Bootstrap!I$102:I$1101,"&lt;"&amp;$R161)</f>
        <v>84</v>
      </c>
      <c r="Q161" s="160" t="n">
        <v>0.6000000000000001</v>
      </c>
      <c r="R161" s="160" t="n">
        <v>0.7000000000000001</v>
      </c>
    </row>
    <row r="162">
      <c r="N162" s="158" t="str">
        <f>TEXT(Q162,"0%")&amp;" to "&amp;TEXT(R162,"0%")</f>
        <v>70% to 80%</v>
      </c>
      <c r="O162" s="163">
        <f>COUNTIFS(Bootstrap!G$102:G$1101,"&gt;="&amp;$Q162,Bootstrap!G$102:G$1101,"&lt;"&amp;$R162)</f>
        <v>69</v>
      </c>
      <c r="P162" s="163">
        <f>COUNTIFS(Bootstrap!I$102:I$1101,"&gt;="&amp;$Q162,Bootstrap!I$102:I$1101,"&lt;"&amp;$R162)</f>
        <v>65</v>
      </c>
      <c r="Q162" s="160" t="n">
        <v>0.7</v>
      </c>
      <c r="R162" s="160" t="n">
        <v>0.7999999999999999</v>
      </c>
    </row>
    <row r="163">
      <c r="N163" s="158" t="str">
        <f>TEXT(Q163,"0%")&amp;" to "&amp;TEXT(R163,"0%")</f>
        <v>80% to 90%</v>
      </c>
      <c r="O163" s="163">
        <f>COUNTIFS(Bootstrap!G$102:G$1101,"&gt;="&amp;$Q163,Bootstrap!G$102:G$1101,"&lt;"&amp;$R163)</f>
        <v>41</v>
      </c>
      <c r="P163" s="163">
        <f>COUNTIFS(Bootstrap!I$102:I$1101,"&gt;="&amp;$Q163,Bootstrap!I$102:I$1101,"&lt;"&amp;$R163)</f>
        <v>42</v>
      </c>
      <c r="Q163" s="160" t="n">
        <v>0.8</v>
      </c>
      <c r="R163" s="160" t="n">
        <v>0.9</v>
      </c>
    </row>
    <row r="164">
      <c r="N164" s="158" t="str">
        <f>TEXT(Q164,"0%")&amp;" to "&amp;TEXT(R164,"0%")</f>
        <v>90% to 100%</v>
      </c>
      <c r="O164" s="163">
        <f>COUNTIFS(Bootstrap!G$102:G$1101,"&gt;="&amp;$Q164,Bootstrap!G$102:G$1101,"&lt;"&amp;$R164)</f>
        <v>16</v>
      </c>
      <c r="P164" s="163">
        <f>COUNTIFS(Bootstrap!I$102:I$1101,"&gt;="&amp;$Q164,Bootstrap!I$102:I$1101,"&lt;"&amp;$R164)</f>
        <v>23</v>
      </c>
      <c r="Q164" s="160" t="n">
        <v>0.9000000000000001</v>
      </c>
      <c r="R164" s="160" t="n">
        <v>1</v>
      </c>
    </row>
    <row r="165">
      <c r="N165" s="158" t="str">
        <f>TEXT(Q165,"0%")&amp;" to "&amp;TEXT(R165,"0%")</f>
        <v>100% to 110%</v>
      </c>
      <c r="O165" s="163">
        <f>COUNTIFS(Bootstrap!G$102:G$1101,"&gt;="&amp;$Q165,Bootstrap!G$102:G$1101,"&lt;"&amp;$R165)</f>
        <v>14</v>
      </c>
      <c r="P165" s="163">
        <f>COUNTIFS(Bootstrap!I$102:I$1101,"&gt;="&amp;$Q165,Bootstrap!I$102:I$1101,"&lt;"&amp;$R165)</f>
        <v>9</v>
      </c>
      <c r="Q165" s="160" t="n">
        <v>1</v>
      </c>
      <c r="R165" s="160" t="n">
        <v>1.1</v>
      </c>
    </row>
    <row r="166">
      <c r="N166" s="158" t="str">
        <f>TEXT(Q166,"0%")&amp;" to "&amp;TEXT(R166,"0%")</f>
        <v>110% to 120%</v>
      </c>
      <c r="O166" s="163">
        <f>COUNTIFS(Bootstrap!G$102:G$1101,"&gt;="&amp;$Q166,Bootstrap!G$102:G$1101,"&lt;"&amp;$R166)</f>
        <v>2</v>
      </c>
      <c r="P166" s="163">
        <f>COUNTIFS(Bootstrap!I$102:I$1101,"&gt;="&amp;$Q166,Bootstrap!I$102:I$1101,"&lt;"&amp;$R166)</f>
        <v>6</v>
      </c>
      <c r="Q166" s="160" t="n">
        <v>1.1</v>
      </c>
      <c r="R166" s="160" t="n">
        <v>1.2</v>
      </c>
    </row>
    <row r="176">
      <c r="A176" s="152" t="inlineStr">
        <is>
          <t>Figure 7. How far the return target is out of reach</t>
        </is>
      </c>
      <c r="B176" s="153" t="n"/>
      <c r="C176" s="153" t="n"/>
      <c r="D176" s="153" t="n"/>
      <c r="E176" s="153" t="n"/>
      <c r="F176" s="153" t="n"/>
      <c r="G176" s="153" t="n"/>
      <c r="H176" s="153" t="n"/>
      <c r="I176" s="153" t="n"/>
      <c r="J176" s="153" t="n"/>
      <c r="K176" s="153" t="n"/>
      <c r="L176" s="154" t="n"/>
      <c r="N176" s="155" t="inlineStr">
        <is>
          <t>Chart data, figure 7</t>
        </is>
      </c>
    </row>
    <row r="177" ht="28" customHeight="1">
      <c r="N177" s="156" t="inlineStr">
        <is>
          <t>Setting</t>
        </is>
      </c>
      <c r="O177" s="157" t="inlineStr">
        <is>
          <t>Expected return (compound)</t>
        </is>
      </c>
      <c r="P177" s="157" t="inlineStr">
        <is>
          <t>Return target</t>
        </is>
      </c>
    </row>
    <row r="178">
      <c r="N178" s="158" t="str">
        <f>Portfolio!B42</f>
        <v>Base (recommended)</v>
      </c>
      <c r="O178" s="159">
        <f>Portfolio!B55-Portfolio!B56^2/2</f>
        <v>0.0669596785505359</v>
      </c>
      <c r="P178" s="159">
        <f>Inputs!$B$25</f>
        <v>0.08988</v>
      </c>
    </row>
    <row r="179">
      <c r="N179" s="158" t="str">
        <f>Portfolio!C42</f>
        <v>TE limit 1.5%</v>
      </c>
      <c r="O179" s="159">
        <f>Portfolio!C55-Portfolio!C56^2/2</f>
        <v>0.067558706213528</v>
      </c>
      <c r="P179" s="159">
        <f>Inputs!$B$25</f>
        <v>0.08988</v>
      </c>
    </row>
    <row r="180">
      <c r="N180" s="158" t="str">
        <f>Portfolio!D42</f>
        <v>No TE limit</v>
      </c>
      <c r="O180" s="159">
        <f>Portfolio!D55-Portfolio!D56^2/2</f>
        <v>0.068076194751236</v>
      </c>
      <c r="P180" s="159">
        <f>Inputs!$B$25</f>
        <v>0.08988</v>
      </c>
    </row>
    <row r="181">
      <c r="N181" s="158" t="str">
        <f>Portfolio!E42</f>
        <v>Equity max 72%</v>
      </c>
      <c r="O181" s="159">
        <f>Portfolio!E55-Portfolio!E56^2/2</f>
        <v>0.066960671175669</v>
      </c>
      <c r="P181" s="159">
        <f>Inputs!$B$25</f>
        <v>0.08988</v>
      </c>
    </row>
    <row r="182">
      <c r="N182" s="158" t="str">
        <f>Portfolio!F42</f>
        <v>Alternatives fixed by scorecard</v>
      </c>
      <c r="O182" s="159">
        <f>Portfolio!F55-Portfolio!F56^2/2</f>
        <v>0.0662356533917832</v>
      </c>
      <c r="P182" s="159">
        <f>Inputs!$B$25</f>
        <v>0.08988</v>
      </c>
    </row>
    <row r="183">
      <c r="N183" s="158" t="str">
        <f>Portfolio!G42</f>
        <v>Long-only only</v>
      </c>
      <c r="O183" s="159">
        <f>Portfolio!G55-Portfolio!G56^2/2</f>
        <v>0.0650007999796828</v>
      </c>
      <c r="P183" s="159">
        <f>Inputs!$B$25</f>
        <v>0.08988</v>
      </c>
    </row>
    <row r="202">
      <c r="A202" s="152" t="inlineStr">
        <is>
          <t>Figure 8. US$150 oil: estimates by method</t>
        </is>
      </c>
      <c r="B202" s="153" t="n"/>
      <c r="C202" s="153" t="n"/>
      <c r="D202" s="153" t="n"/>
      <c r="E202" s="153" t="n"/>
      <c r="F202" s="153" t="n"/>
      <c r="G202" s="153" t="n"/>
      <c r="H202" s="153" t="n"/>
      <c r="I202" s="153" t="n"/>
      <c r="J202" s="153" t="n"/>
      <c r="K202" s="153" t="n"/>
      <c r="L202" s="154" t="n"/>
      <c r="N202" s="155" t="inlineStr">
        <is>
          <t>Chart data, figure 8</t>
        </is>
      </c>
    </row>
    <row r="203" ht="28" customHeight="1">
      <c r="N203" s="156" t="inlineStr">
        <is>
          <t>Estimate</t>
        </is>
      </c>
      <c r="O203" s="157" t="inlineStr">
        <is>
          <t>Current fund</t>
        </is>
      </c>
      <c r="P203" s="157" t="inlineStr">
        <is>
          <t>Benchmark</t>
        </is>
      </c>
      <c r="Q203" s="157" t="inlineStr">
        <is>
          <t>Recommended</t>
        </is>
      </c>
    </row>
    <row r="204">
      <c r="N204" s="158" t="inlineStr">
        <is>
          <t>1990 Gulf War, scaled</t>
        </is>
      </c>
      <c r="O204" s="160">
        <f>Oil!D43</f>
        <v>-0.0615639137193719</v>
      </c>
      <c r="P204" s="160">
        <f>Oil!D44</f>
        <v>-0.0517640156922182</v>
      </c>
      <c r="Q204" s="160">
        <f>Oil!D45</f>
        <v>-0.0596875580408782</v>
      </c>
    </row>
    <row r="205">
      <c r="N205" s="158" t="inlineStr">
        <is>
          <t>2022 Ukraine, scaled</t>
        </is>
      </c>
      <c r="O205" s="160">
        <f>Oil!E43</f>
        <v>-0.103654702289953</v>
      </c>
      <c r="P205" s="160">
        <f>Oil!E44</f>
        <v>-0.0960564783237981</v>
      </c>
      <c r="Q205" s="160">
        <f>Oil!E45</f>
        <v>-0.107590261472912</v>
      </c>
    </row>
    <row r="206">
      <c r="N206" s="158" t="inlineStr">
        <is>
          <t>Central case</t>
        </is>
      </c>
      <c r="O206" s="160">
        <f>Oil!F43</f>
        <v>-0.0826093080046623</v>
      </c>
      <c r="P206" s="160">
        <f>Oil!F44</f>
        <v>-0.0739102470080081</v>
      </c>
      <c r="Q206" s="160">
        <f>Oil!F45</f>
        <v>-0.0836389097568949</v>
      </c>
    </row>
    <row r="207">
      <c r="N207" s="158" t="inlineStr">
        <is>
          <t>Central case + commodity tilt</t>
        </is>
      </c>
      <c r="Q207" s="160">
        <f>Oil!D60</f>
        <v>-0.0752375418703422</v>
      </c>
    </row>
    <row r="228">
      <c r="A228" s="152" t="inlineStr">
        <is>
          <t>Figure 9. Oil and equity returns by horizon</t>
        </is>
      </c>
      <c r="B228" s="153" t="n"/>
      <c r="C228" s="153" t="n"/>
      <c r="D228" s="153" t="n"/>
      <c r="E228" s="153" t="n"/>
      <c r="F228" s="153" t="n"/>
      <c r="G228" s="153" t="n"/>
      <c r="H228" s="153" t="n"/>
      <c r="I228" s="153" t="n"/>
      <c r="J228" s="153" t="n"/>
      <c r="K228" s="153" t="n"/>
      <c r="L228" s="154" t="n"/>
      <c r="N228" s="155" t="inlineStr">
        <is>
          <t>Chart data, figure 9</t>
        </is>
      </c>
    </row>
    <row r="229" ht="28" customHeight="1">
      <c r="N229" s="156" t="inlineStr">
        <is>
          <t>Horizon</t>
        </is>
      </c>
      <c r="O229" s="157" t="inlineStr">
        <is>
          <t>US equities</t>
        </is>
      </c>
      <c r="P229" s="157" t="inlineStr">
        <is>
          <t>Australian equities</t>
        </is>
      </c>
      <c r="Q229" s="157" t="inlineStr">
        <is>
          <t>US t-stat (adj.)</t>
        </is>
      </c>
      <c r="R229" s="157" t="inlineStr">
        <is>
          <t>Aus t-stat (adj.)</t>
        </is>
      </c>
    </row>
    <row r="230">
      <c r="N230" s="158" t="inlineStr">
        <is>
          <t>1 month</t>
        </is>
      </c>
      <c r="O230" s="470">
        <f>Oil!C11</f>
        <v>0.0332915764868484</v>
      </c>
      <c r="P230" s="470">
        <f>Oil!C14</f>
        <v>0.067087054081971</v>
      </c>
      <c r="Q230" s="162">
        <f>Oil!E11</f>
        <v>1.70558634611111</v>
      </c>
      <c r="R230" s="162">
        <f>Oil!E14</f>
        <v>3.00352206898345</v>
      </c>
    </row>
    <row r="231">
      <c r="N231" s="158" t="inlineStr">
        <is>
          <t>12 months</t>
        </is>
      </c>
      <c r="O231" s="470">
        <f>Oil!C12</f>
        <v>0.0203019386459009</v>
      </c>
      <c r="P231" s="470">
        <f>Oil!C15</f>
        <v>0.100821792475989</v>
      </c>
      <c r="Q231" s="162">
        <f>Oil!E12</f>
        <v>0.308885088886545</v>
      </c>
      <c r="R231" s="162">
        <f>Oil!E15</f>
        <v>1.47582380834466</v>
      </c>
    </row>
    <row r="232">
      <c r="N232" s="158" t="inlineStr">
        <is>
          <t>60 months</t>
        </is>
      </c>
      <c r="O232" s="470">
        <f>Oil!C13</f>
        <v>-0.229981268370374</v>
      </c>
      <c r="P232" s="470">
        <f>Oil!C16</f>
        <v>0.0875718078465469</v>
      </c>
      <c r="Q232" s="162">
        <f>Oil!E13</f>
        <v>-1.55423325828416</v>
      </c>
      <c r="R232" s="162">
        <f>Oil!E16</f>
        <v>0.578735073703811</v>
      </c>
    </row>
    <row r="254">
      <c r="A254" s="152" t="inlineStr">
        <is>
          <t>Figure 10. Rolling 5-year return against the target</t>
        </is>
      </c>
      <c r="B254" s="153" t="n"/>
      <c r="C254" s="153" t="n"/>
      <c r="D254" s="153" t="n"/>
      <c r="E254" s="153" t="n"/>
      <c r="F254" s="153" t="n"/>
      <c r="G254" s="153" t="n"/>
      <c r="H254" s="153" t="n"/>
      <c r="I254" s="153" t="n"/>
      <c r="J254" s="153" t="n"/>
      <c r="K254" s="153" t="n"/>
      <c r="L254" s="154" t="n"/>
      <c r="AB254" s="155" t="inlineStr">
        <is>
          <t>Chart data, figure 10</t>
        </is>
      </c>
    </row>
    <row r="255" ht="28" customHeight="1">
      <c r="AB255" s="156" t="inlineStr">
        <is>
          <t>Window end</t>
        </is>
      </c>
      <c r="AC255" s="157" t="inlineStr">
        <is>
          <t>Current fund</t>
        </is>
      </c>
      <c r="AD255" s="157" t="inlineStr">
        <is>
          <t>Recommended</t>
        </is>
      </c>
      <c r="AE255" s="157" t="inlineStr">
        <is>
          <t>Target: yield + 4%</t>
        </is>
      </c>
    </row>
    <row r="256">
      <c r="AB256" s="161">
        <f>'Track record'!A5</f>
        <v>40633.0</v>
      </c>
      <c r="AC256" s="159">
        <f>'Track record'!D5</f>
        <v>0.016978037174755</v>
      </c>
      <c r="AD256" s="159">
        <f>'Track record'!F5</f>
        <v>0.00585852860639502</v>
      </c>
      <c r="AE256" s="159">
        <f>'Track record'!C5</f>
        <v>0.092976</v>
      </c>
    </row>
    <row r="257">
      <c r="AB257" s="161">
        <f>'Track record'!A6</f>
        <v>40724.0</v>
      </c>
      <c r="AC257" s="159">
        <f>'Track record'!D6</f>
        <v>0.016606290142108</v>
      </c>
      <c r="AD257" s="159">
        <f>'Track record'!F6</f>
        <v>0.00661362313660452</v>
      </c>
      <c r="AE257" s="159">
        <f>'Track record'!C6</f>
        <v>0.097483</v>
      </c>
    </row>
    <row r="258">
      <c r="AB258" s="161">
        <f>'Track record'!A7</f>
        <v>40816.0</v>
      </c>
      <c r="AC258" s="159">
        <f>'Track record'!D7</f>
        <v>-0.00129227161690382</v>
      </c>
      <c r="AD258" s="159">
        <f>'Track record'!F7</f>
        <v>-0.00974634503696059</v>
      </c>
      <c r="AE258" s="159">
        <f>'Track record'!C7</f>
        <v>0.098402</v>
      </c>
    </row>
    <row r="259">
      <c r="AB259" s="161">
        <f>'Track record'!A8</f>
        <v>40907.0</v>
      </c>
      <c r="AC259" s="159">
        <f>'Track record'!D8</f>
        <v>-0.00794130056552755</v>
      </c>
      <c r="AD259" s="159">
        <f>'Track record'!F8</f>
        <v>-0.0144764769919513</v>
      </c>
      <c r="AE259" s="159">
        <f>'Track record'!C8</f>
        <v>0.097957</v>
      </c>
    </row>
    <row r="260">
      <c r="AB260" s="161">
        <f>'Track record'!A9</f>
        <v>40998.0</v>
      </c>
      <c r="AC260" s="159">
        <f>'Track record'!D9</f>
        <v>-0.00136375556285828</v>
      </c>
      <c r="AD260" s="159">
        <f>'Track record'!F9</f>
        <v>-0.00549361920297442</v>
      </c>
      <c r="AE260" s="159">
        <f>'Track record'!C9</f>
        <v>0.09965</v>
      </c>
    </row>
    <row r="261">
      <c r="AB261" s="161">
        <f>'Track record'!A10</f>
        <v>41089.0</v>
      </c>
      <c r="AC261" s="159">
        <f>'Track record'!D10</f>
        <v>-0.00740014618513252</v>
      </c>
      <c r="AD261" s="159">
        <f>'Track record'!F10</f>
        <v>-0.0114380245145982</v>
      </c>
      <c r="AE261" s="159">
        <f>'Track record'!C10</f>
        <v>0.100717</v>
      </c>
    </row>
    <row r="262">
      <c r="AB262" s="161">
        <f>'Track record'!A11</f>
        <v>41180.0</v>
      </c>
      <c r="AC262" s="159">
        <f>'Track record'!D11</f>
        <v>-0.000962519117137406</v>
      </c>
      <c r="AD262" s="159">
        <f>'Track record'!F11</f>
        <v>-0.00479026882345301</v>
      </c>
      <c r="AE262" s="159">
        <f>'Track record'!C11</f>
        <v>0.101316</v>
      </c>
    </row>
    <row r="263">
      <c r="AB263" s="161">
        <f>'Track record'!A12</f>
        <v>41274.0</v>
      </c>
      <c r="AC263" s="159">
        <f>'Track record'!D12</f>
        <v>0.0108732028752319</v>
      </c>
      <c r="AD263" s="159">
        <f>'Track record'!F12</f>
        <v>0.00474808000879934</v>
      </c>
      <c r="AE263" s="159">
        <f>'Track record'!C12</f>
        <v>0.104637</v>
      </c>
    </row>
    <row r="264">
      <c r="AB264" s="161">
        <f>'Track record'!A13</f>
        <v>41362.0</v>
      </c>
      <c r="AC264" s="159">
        <f>'Track record'!D13</f>
        <v>0.0425080298557103</v>
      </c>
      <c r="AD264" s="159">
        <f>'Track record'!F13</f>
        <v>0.0355820978537538</v>
      </c>
      <c r="AE264" s="159">
        <f>'Track record'!C13</f>
        <v>0.101003</v>
      </c>
    </row>
    <row r="265">
      <c r="AB265" s="161">
        <f>'Track record'!A14</f>
        <v>41453.0</v>
      </c>
      <c r="AC265" s="159">
        <f>'Track record'!D14</f>
        <v>0.0542921362702009</v>
      </c>
      <c r="AD265" s="159">
        <f>'Track record'!F14</f>
        <v>0.0521794020187334</v>
      </c>
      <c r="AE265" s="159">
        <f>'Track record'!C14</f>
        <v>0.106903</v>
      </c>
    </row>
    <row r="266">
      <c r="AB266" s="161">
        <f>'Track record'!A15</f>
        <v>41547.0</v>
      </c>
      <c r="AC266" s="159">
        <f>'Track record'!D15</f>
        <v>0.0646871579083959</v>
      </c>
      <c r="AD266" s="159">
        <f>'Track record'!F15</f>
        <v>0.0588423063936139</v>
      </c>
      <c r="AE266" s="159">
        <f>'Track record'!C15</f>
        <v>0.095364</v>
      </c>
    </row>
    <row r="267">
      <c r="AB267" s="161">
        <f>'Track record'!A16</f>
        <v>41639.0</v>
      </c>
      <c r="AC267" s="159">
        <f>'Track record'!D16</f>
        <v>0.100211481290078</v>
      </c>
      <c r="AD267" s="159">
        <f>'Track record'!F16</f>
        <v>0.0959276469693511</v>
      </c>
      <c r="AE267" s="159">
        <f>'Track record'!C16</f>
        <v>0.077221</v>
      </c>
    </row>
    <row r="268">
      <c r="AB268" s="161">
        <f>'Track record'!A17</f>
        <v>41729.0</v>
      </c>
      <c r="AC268" s="159">
        <f>'Track record'!D17</f>
        <v>0.11371663002122</v>
      </c>
      <c r="AD268" s="159">
        <f>'Track record'!F17</f>
        <v>0.108242375364112</v>
      </c>
      <c r="AE268" s="159">
        <f>'Track record'!C17</f>
        <v>0.077286</v>
      </c>
    </row>
    <row r="269">
      <c r="AB269" s="161">
        <f>'Track record'!A18</f>
        <v>41820.0</v>
      </c>
      <c r="AC269" s="159">
        <f>'Track record'!D18</f>
        <v>0.105855936810166</v>
      </c>
      <c r="AD269" s="159">
        <f>'Track record'!F18</f>
        <v>0.103219712306001</v>
      </c>
      <c r="AE269" s="159">
        <f>'Track record'!C18</f>
        <v>0.091021</v>
      </c>
    </row>
    <row r="270">
      <c r="AB270" s="161">
        <f>'Track record'!A19</f>
        <v>41912.0</v>
      </c>
      <c r="AC270" s="159">
        <f>'Track record'!D19</f>
        <v>0.08630080976999</v>
      </c>
      <c r="AD270" s="159">
        <f>'Track record'!F19</f>
        <v>0.0904153841370445</v>
      </c>
      <c r="AE270" s="159">
        <f>'Track record'!C19</f>
        <v>0.091395</v>
      </c>
    </row>
    <row r="271">
      <c r="AB271" s="161">
        <f>'Track record'!A20</f>
        <v>42004.0</v>
      </c>
      <c r="AC271" s="159">
        <f>'Track record'!D20</f>
        <v>0.0934115476497721</v>
      </c>
      <c r="AD271" s="159">
        <f>'Track record'!F20</f>
        <v>0.0974577396348848</v>
      </c>
      <c r="AE271" s="159">
        <f>'Track record'!C20</f>
        <v>0.0915</v>
      </c>
    </row>
    <row r="272">
      <c r="AB272" s="161">
        <f>'Track record'!A21</f>
        <v>42094.0</v>
      </c>
      <c r="AC272" s="159">
        <f>'Track record'!D21</f>
        <v>0.107195110677715</v>
      </c>
      <c r="AD272" s="159">
        <f>'Track record'!F21</f>
        <v>0.112159698759999</v>
      </c>
      <c r="AE272" s="159">
        <f>'Track record'!C21</f>
        <v>0.0934</v>
      </c>
    </row>
    <row r="273">
      <c r="AB273" s="161">
        <f>'Track record'!A22</f>
        <v>42185.0</v>
      </c>
      <c r="AC273" s="159">
        <f>'Track record'!D22</f>
        <v>0.106982660742449</v>
      </c>
      <c r="AD273" s="159">
        <f>'Track record'!F22</f>
        <v>0.111545378263051</v>
      </c>
      <c r="AE273" s="159">
        <f>'Track record'!C22</f>
        <v>0.089725</v>
      </c>
    </row>
    <row r="274">
      <c r="AB274" s="161">
        <f>'Track record'!A23</f>
        <v>42277.0</v>
      </c>
      <c r="AC274" s="159">
        <f>'Track record'!D23</f>
        <v>0.0993313341157522</v>
      </c>
      <c r="AD274" s="159">
        <f>'Track record'!F23</f>
        <v>0.107558178750444</v>
      </c>
      <c r="AE274" s="159">
        <f>'Track record'!C23</f>
        <v>0.088075</v>
      </c>
    </row>
    <row r="275">
      <c r="AB275" s="161">
        <f>'Track record'!A24</f>
        <v>42369.0</v>
      </c>
      <c r="AC275" s="159">
        <f>'Track record'!D24</f>
        <v>0.100950148899825</v>
      </c>
      <c r="AD275" s="159">
        <f>'Track record'!F24</f>
        <v>0.107348581501317</v>
      </c>
      <c r="AE275" s="159">
        <f>'Track record'!C24</f>
        <v>0.0933</v>
      </c>
    </row>
    <row r="276">
      <c r="AB276" s="161">
        <f>'Track record'!A25</f>
        <v>42460.0</v>
      </c>
      <c r="AC276" s="159">
        <f>'Track record'!D25</f>
        <v>0.091516221306114</v>
      </c>
      <c r="AD276" s="159">
        <f>'Track record'!F25</f>
        <v>0.0966887714305771</v>
      </c>
      <c r="AE276" s="159">
        <f>'Track record'!C25</f>
        <v>0.092075</v>
      </c>
    </row>
    <row r="277">
      <c r="AB277" s="161">
        <f>'Track record'!A26</f>
        <v>42551.0</v>
      </c>
      <c r="AC277" s="159">
        <f>'Track record'!D26</f>
        <v>0.10483096586237</v>
      </c>
      <c r="AD277" s="159">
        <f>'Track record'!F26</f>
        <v>0.111884859378617</v>
      </c>
      <c r="AE277" s="159">
        <f>'Track record'!C26</f>
        <v>0.08885</v>
      </c>
    </row>
    <row r="278">
      <c r="AB278" s="161">
        <f>'Track record'!A27</f>
        <v>42643.0</v>
      </c>
      <c r="AC278" s="159">
        <f>'Track record'!D27</f>
        <v>0.12191211802145</v>
      </c>
      <c r="AD278" s="159">
        <f>'Track record'!F27</f>
        <v>0.127109871522744</v>
      </c>
      <c r="AE278" s="159">
        <f>'Track record'!C27</f>
        <v>0.077875</v>
      </c>
    </row>
    <row r="279">
      <c r="AB279" s="161">
        <f>'Track record'!A28</f>
        <v>42734.0</v>
      </c>
      <c r="AC279" s="159">
        <f>'Track record'!D28</f>
        <v>0.125387910310119</v>
      </c>
      <c r="AD279" s="159">
        <f>'Track record'!F28</f>
        <v>0.132490693240204</v>
      </c>
      <c r="AE279" s="159">
        <f>'Track record'!C28</f>
        <v>0.075725</v>
      </c>
    </row>
    <row r="280">
      <c r="A280" s="152" t="inlineStr">
        <is>
          <t>Figure 11. Portfolio construction methods</t>
        </is>
      </c>
      <c r="B280" s="153" t="n"/>
      <c r="C280" s="153" t="n"/>
      <c r="D280" s="153" t="n"/>
      <c r="E280" s="153" t="n"/>
      <c r="F280" s="153" t="n"/>
      <c r="G280" s="153" t="n"/>
      <c r="H280" s="153" t="n"/>
      <c r="I280" s="153" t="n"/>
      <c r="J280" s="153" t="n"/>
      <c r="K280" s="153" t="n"/>
      <c r="L280" s="154" t="n"/>
      <c r="N280" s="155" t="inlineStr">
        <is>
          <t>Chart data, figure 11</t>
        </is>
      </c>
      <c r="AB280" s="161">
        <f>'Track record'!A29</f>
        <v>42825.0</v>
      </c>
      <c r="AC280" s="159">
        <f>'Track record'!D29</f>
        <v>0.114009314370936</v>
      </c>
      <c r="AD280" s="159">
        <f>'Track record'!F29</f>
        <v>0.119013156319756</v>
      </c>
      <c r="AE280" s="159">
        <f>'Track record'!C29</f>
        <v>0.0762</v>
      </c>
    </row>
    <row r="281" ht="28" customHeight="1">
      <c r="N281" s="156" t="inlineStr">
        <is>
          <t>Portfolio</t>
        </is>
      </c>
      <c r="O281" s="157" t="inlineStr">
        <is>
          <t>Expected return (arithmetic)</t>
        </is>
      </c>
      <c r="P281" s="157" t="inlineStr">
        <is>
          <t>Volatility</t>
        </is>
      </c>
      <c r="Q281" s="157" t="inlineStr">
        <is>
          <t>Tracking error</t>
        </is>
      </c>
      <c r="AB281" s="161">
        <f>'Track record'!A30</f>
        <v>42916.0</v>
      </c>
      <c r="AC281" s="159">
        <f>'Track record'!D30</f>
        <v>0.117558059001635</v>
      </c>
      <c r="AD281" s="159">
        <f>'Track record'!F30</f>
        <v>0.124489186577227</v>
      </c>
      <c r="AE281" s="159">
        <f>'Track record'!C30</f>
        <v>0.0675</v>
      </c>
    </row>
    <row r="282">
      <c r="N282" s="158" t="str">
        <f>Methods!A22</f>
        <v>Robust MVO</v>
      </c>
      <c r="O282" s="159">
        <f>Methods!B22</f>
        <v>0.0700321062587087</v>
      </c>
      <c r="P282" s="159">
        <f>Methods!C22</f>
        <v>0.0783891281769718</v>
      </c>
      <c r="Q282" s="159">
        <f>Methods!E22</f>
        <v>0.0110023822192608</v>
      </c>
      <c r="AB282" s="161">
        <f>'Track record'!A31</f>
        <v>43007.0</v>
      </c>
      <c r="AC282" s="159">
        <f>'Track record'!D31</f>
        <v>0.108583780780966</v>
      </c>
      <c r="AD282" s="159">
        <f>'Track record'!F31</f>
        <v>0.11691026575855</v>
      </c>
      <c r="AE282" s="159">
        <f>'Track record'!C31</f>
        <v>0.068175</v>
      </c>
    </row>
    <row r="283">
      <c r="N283" s="158" t="str">
        <f>Methods!A23</f>
        <v>Sample MVO</v>
      </c>
      <c r="O283" s="159">
        <f>Methods!B23</f>
        <v>0.0699118836330803</v>
      </c>
      <c r="P283" s="159">
        <f>Methods!C23</f>
        <v>0.078033812785194</v>
      </c>
      <c r="Q283" s="159">
        <f>Methods!E23</f>
        <v>0.01063713359279</v>
      </c>
      <c r="AB283" s="161">
        <f>'Track record'!A32</f>
        <v>43098.0</v>
      </c>
      <c r="AC283" s="159">
        <f>'Track record'!D32</f>
        <v>0.110741456752355</v>
      </c>
      <c r="AD283" s="159">
        <f>'Track record'!F32</f>
        <v>0.119833710393759</v>
      </c>
      <c r="AE283" s="159">
        <f>'Track record'!C32</f>
        <v>0.06825</v>
      </c>
    </row>
    <row r="284">
      <c r="N284" s="158" t="str">
        <f>Methods!A24</f>
        <v>Resampled MVO</v>
      </c>
      <c r="O284" s="159">
        <f>Methods!B24</f>
        <v>0.0680775395926901</v>
      </c>
      <c r="P284" s="159">
        <f>Methods!C24</f>
        <v>0.0743193111754299</v>
      </c>
      <c r="Q284" s="159">
        <f>Methods!E24</f>
        <v>0.00549254498116541</v>
      </c>
      <c r="AB284" s="161">
        <f>'Track record'!A33</f>
        <v>43189.0</v>
      </c>
      <c r="AC284" s="159">
        <f>'Track record'!D33</f>
        <v>0.0935481627862906</v>
      </c>
      <c r="AD284" s="159">
        <f>'Track record'!F33</f>
        <v>0.105009936580836</v>
      </c>
      <c r="AE284" s="159">
        <f>'Track record'!C33</f>
        <v>0.0702</v>
      </c>
    </row>
    <row r="285">
      <c r="N285" s="158" t="str">
        <f>Methods!A25</f>
        <v>Minimum variance</v>
      </c>
      <c r="O285" s="159">
        <f>Methods!B25</f>
        <v>0.0634813665404129</v>
      </c>
      <c r="P285" s="159">
        <f>Methods!C25</f>
        <v>0.0595134073977176</v>
      </c>
      <c r="Q285" s="159">
        <f>Methods!E25</f>
        <v>0.0110070692691524</v>
      </c>
      <c r="AB285" s="161">
        <f>'Track record'!A34</f>
        <v>43280.0</v>
      </c>
      <c r="AC285" s="159">
        <f>'Track record'!D34</f>
        <v>0.100108637430805</v>
      </c>
      <c r="AD285" s="159">
        <f>'Track record'!F34</f>
        <v>0.106314038456049</v>
      </c>
      <c r="AE285" s="159">
        <f>'Track record'!C34</f>
        <v>0.067875</v>
      </c>
    </row>
    <row r="286">
      <c r="N286" s="158" t="str">
        <f>Methods!A26</f>
        <v>Risk parity</v>
      </c>
      <c r="O286" s="159">
        <f>Methods!B26</f>
        <v>0.0665703239383462</v>
      </c>
      <c r="P286" s="159">
        <f>Methods!C26</f>
        <v>0.0665089375133541</v>
      </c>
      <c r="Q286" s="159">
        <f>Methods!E26</f>
        <v>0.010999556058269</v>
      </c>
      <c r="AB286" s="161">
        <f>'Track record'!A35</f>
        <v>43371.0</v>
      </c>
      <c r="AC286" s="159">
        <f>'Track record'!D35</f>
        <v>0.0947856925508592</v>
      </c>
      <c r="AD286" s="159">
        <f>'Track record'!F35</f>
        <v>0.103498797848041</v>
      </c>
      <c r="AE286" s="159">
        <f>'Track record'!C35</f>
        <v>0.07331</v>
      </c>
    </row>
    <row r="287">
      <c r="N287" s="158" t="str">
        <f>Methods!A27</f>
        <v>Current fund</v>
      </c>
      <c r="O287" s="159">
        <f>Methods!B27</f>
        <v>0.069624614709126</v>
      </c>
      <c r="P287" s="159">
        <f>Methods!C27</f>
        <v>0.0838339641597338</v>
      </c>
      <c r="Q287" s="159">
        <f>Methods!E27</f>
        <v>0.0215850264140928</v>
      </c>
      <c r="AB287" s="161">
        <f>'Track record'!A36</f>
        <v>43465.0</v>
      </c>
      <c r="AC287" s="159">
        <f>'Track record'!D36</f>
        <v>0.0726242502027477</v>
      </c>
      <c r="AD287" s="159">
        <f>'Track record'!F36</f>
        <v>0.0775745510138415</v>
      </c>
      <c r="AE287" s="159">
        <f>'Track record'!C36</f>
        <v>0.07461</v>
      </c>
    </row>
    <row r="288">
      <c r="N288" s="158" t="str">
        <f>Methods!A28</f>
        <v>Benchmark</v>
      </c>
      <c r="O288" s="159">
        <f>Methods!B28</f>
        <v>0.0662554639579687</v>
      </c>
      <c r="P288" s="159">
        <f>Methods!C28</f>
        <v>0.0701341120083923</v>
      </c>
      <c r="Q288" s="159">
        <f>Methods!E28</f>
        <v>0</v>
      </c>
      <c r="AB288" s="161">
        <f>'Track record'!A37</f>
        <v>43553.0</v>
      </c>
      <c r="AC288" s="159">
        <f>'Track record'!D37</f>
        <v>0.0884501018920803</v>
      </c>
      <c r="AD288" s="159">
        <f>'Track record'!F37</f>
        <v>0.0956641731471324</v>
      </c>
      <c r="AE288" s="159">
        <f>'Track record'!C37</f>
        <v>0.07411</v>
      </c>
    </row>
    <row r="289">
      <c r="AB289" s="161">
        <f>'Track record'!A38</f>
        <v>43644.0</v>
      </c>
      <c r="AC289" s="159">
        <f>'Track record'!D38</f>
        <v>0.094922730778962</v>
      </c>
      <c r="AD289" s="159">
        <f>'Track record'!F38</f>
        <v>0.100419342543409</v>
      </c>
      <c r="AE289" s="159">
        <f>'Track record'!C38</f>
        <v>0.07118</v>
      </c>
    </row>
    <row r="290">
      <c r="AB290" s="161">
        <f>'Track record'!A39</f>
        <v>43738.0</v>
      </c>
      <c r="AC290" s="159">
        <f>'Track record'!D39</f>
        <v>0.0976791780299084</v>
      </c>
      <c r="AD290" s="159">
        <f>'Track record'!F39</f>
        <v>0.101047844962693</v>
      </c>
      <c r="AE290" s="159">
        <f>'Track record'!C39</f>
        <v>0.07041</v>
      </c>
    </row>
    <row r="291">
      <c r="AB291" s="161">
        <f>'Track record'!A40</f>
        <v>43830.0</v>
      </c>
      <c r="AC291" s="159">
        <f>'Track record'!D40</f>
        <v>0.0856183633581686</v>
      </c>
      <c r="AD291" s="159">
        <f>'Track record'!F40</f>
        <v>0.0900491694272827</v>
      </c>
      <c r="AE291" s="159">
        <f>'Track record'!C40</f>
        <v>0.06435</v>
      </c>
    </row>
    <row r="292">
      <c r="AB292" s="161">
        <f>'Track record'!A41</f>
        <v>43921.0</v>
      </c>
      <c r="AC292" s="159">
        <f>'Track record'!D41</f>
        <v>0.0407143499180884</v>
      </c>
      <c r="AD292" s="159">
        <f>'Track record'!F41</f>
        <v>0.0475121303961086</v>
      </c>
      <c r="AE292" s="159">
        <f>'Track record'!C41</f>
        <v>0.05978</v>
      </c>
    </row>
    <row r="293">
      <c r="AB293" s="161">
        <f>'Track record'!A42</f>
        <v>44012.0</v>
      </c>
      <c r="AC293" s="159">
        <f>'Track record'!D42</f>
        <v>0.0658228207965195</v>
      </c>
      <c r="AD293" s="159">
        <f>'Track record'!F42</f>
        <v>0.0675580401174238</v>
      </c>
      <c r="AE293" s="159">
        <f>'Track record'!C42</f>
        <v>0.06288</v>
      </c>
    </row>
    <row r="294">
      <c r="AB294" s="161">
        <f>'Track record'!A43</f>
        <v>44104.0</v>
      </c>
      <c r="AC294" s="159">
        <f>'Track record'!D43</f>
        <v>0.068891537599858</v>
      </c>
      <c r="AD294" s="159">
        <f>'Track record'!F43</f>
        <v>0.0711652012405903</v>
      </c>
      <c r="AE294" s="159">
        <f>'Track record'!C43</f>
        <v>0.06101</v>
      </c>
    </row>
    <row r="295">
      <c r="AB295" s="161">
        <f>'Track record'!A44</f>
        <v>44196.0</v>
      </c>
      <c r="AC295" s="159">
        <f>'Track record'!D44</f>
        <v>0.0761503295778188</v>
      </c>
      <c r="AD295" s="159">
        <f>'Track record'!F44</f>
        <v>0.0793862969542025</v>
      </c>
      <c r="AE295" s="159">
        <f>'Track record'!C44</f>
        <v>0.06284</v>
      </c>
    </row>
    <row r="296">
      <c r="AB296" s="161">
        <f>'Track record'!A45</f>
        <v>44286.0</v>
      </c>
      <c r="AC296" s="159">
        <f>'Track record'!D45</f>
        <v>0.0865352831133426</v>
      </c>
      <c r="AD296" s="159">
        <f>'Track record'!F45</f>
        <v>0.0925493626518439</v>
      </c>
      <c r="AE296" s="159">
        <f>'Track record'!C45</f>
        <v>0.06134</v>
      </c>
    </row>
    <row r="297">
      <c r="AB297" s="161">
        <f>'Track record'!A46</f>
        <v>44377.0</v>
      </c>
      <c r="AC297" s="159">
        <f>'Track record'!D46</f>
        <v>0.092191073738332</v>
      </c>
      <c r="AD297" s="159">
        <f>'Track record'!F46</f>
        <v>0.0977262507458807</v>
      </c>
      <c r="AE297" s="159">
        <f>'Track record'!C46</f>
        <v>0.05721</v>
      </c>
    </row>
    <row r="298">
      <c r="AB298" s="161">
        <f>'Track record'!A47</f>
        <v>44469.0</v>
      </c>
      <c r="AC298" s="159">
        <f>'Track record'!D47</f>
        <v>0.0917570364994655</v>
      </c>
      <c r="AD298" s="159">
        <f>'Track record'!F47</f>
        <v>0.0981538939229272</v>
      </c>
      <c r="AE298" s="159">
        <f>'Track record'!C47</f>
        <v>0.05695</v>
      </c>
    </row>
    <row r="299">
      <c r="AB299" s="161">
        <f>'Track record'!A48</f>
        <v>44561.0</v>
      </c>
      <c r="AC299" s="159">
        <f>'Track record'!D48</f>
        <v>0.0913459207695624</v>
      </c>
      <c r="AD299" s="159">
        <f>'Track record'!F48</f>
        <v>0.0962416753781976</v>
      </c>
      <c r="AE299" s="159">
        <f>'Track record'!C48</f>
        <v>0.06016</v>
      </c>
    </row>
    <row r="300">
      <c r="AB300" s="161">
        <f>'Track record'!A49</f>
        <v>44651.0</v>
      </c>
      <c r="AC300" s="159">
        <f>'Track record'!D49</f>
        <v>0.0814711080242343</v>
      </c>
      <c r="AD300" s="159">
        <f>'Track record'!F49</f>
        <v>0.0861128368451358</v>
      </c>
      <c r="AE300" s="159">
        <f>'Track record'!C49</f>
        <v>0.06294</v>
      </c>
    </row>
    <row r="301">
      <c r="AB301" s="161">
        <f>'Track record'!A50</f>
        <v>44742.0</v>
      </c>
      <c r="AC301" s="159">
        <f>'Track record'!D50</f>
        <v>0.0627471418572676</v>
      </c>
      <c r="AD301" s="159">
        <f>'Track record'!F50</f>
        <v>0.0692886147610028</v>
      </c>
      <c r="AE301" s="159">
        <f>'Track record'!C50</f>
        <v>0.05987</v>
      </c>
    </row>
    <row r="302">
      <c r="AB302" s="161">
        <f>'Track record'!A51</f>
        <v>44834.0</v>
      </c>
      <c r="AC302" s="159">
        <f>'Track record'!D51</f>
        <v>0.0615648705368588</v>
      </c>
      <c r="AD302" s="159">
        <f>'Track record'!F51</f>
        <v>0.0664423734382889</v>
      </c>
      <c r="AE302" s="159">
        <f>'Track record'!C51</f>
        <v>0.06186</v>
      </c>
    </row>
    <row r="303">
      <c r="AB303" s="161">
        <f>'Track record'!A52</f>
        <v>44925.0</v>
      </c>
      <c r="AC303" s="159">
        <f>'Track record'!D52</f>
        <v>0.0592592357625863</v>
      </c>
      <c r="AD303" s="159">
        <f>'Track record'!F52</f>
        <v>0.0621291415334693</v>
      </c>
      <c r="AE303" s="159">
        <f>'Track record'!C52</f>
        <v>0.06172</v>
      </c>
    </row>
    <row r="304">
      <c r="AB304" s="161">
        <f>'Track record'!A53</f>
        <v>45016.0</v>
      </c>
      <c r="AC304" s="159">
        <f>'Track record'!D53</f>
        <v>0.0725570829134441</v>
      </c>
      <c r="AD304" s="159">
        <f>'Track record'!F53</f>
        <v>0.0746676313053201</v>
      </c>
      <c r="AE304" s="159">
        <f>'Track record'!C53</f>
        <v>0.06415</v>
      </c>
    </row>
    <row r="305">
      <c r="AB305" s="161">
        <f>'Track record'!A54</f>
        <v>45107.0</v>
      </c>
      <c r="AC305" s="159">
        <f>'Track record'!D54</f>
        <v>0.0635225028181534</v>
      </c>
      <c r="AD305" s="159">
        <f>'Track record'!F54</f>
        <v>0.0674821706901108</v>
      </c>
      <c r="AE305" s="159">
        <f>'Track record'!C54</f>
        <v>0.06415</v>
      </c>
    </row>
    <row r="306">
      <c r="A306" s="152" t="inlineStr">
        <is>
          <t>Figure 12. Expected returns against 20-year history</t>
        </is>
      </c>
      <c r="B306" s="153" t="n"/>
      <c r="C306" s="153" t="n"/>
      <c r="D306" s="153" t="n"/>
      <c r="E306" s="153" t="n"/>
      <c r="F306" s="153" t="n"/>
      <c r="G306" s="153" t="n"/>
      <c r="H306" s="153" t="n"/>
      <c r="I306" s="153" t="n"/>
      <c r="J306" s="153" t="n"/>
      <c r="K306" s="153" t="n"/>
      <c r="L306" s="154" t="n"/>
      <c r="N306" s="155" t="inlineStr">
        <is>
          <t>Chart data, figure 12</t>
        </is>
      </c>
      <c r="AB306" s="161">
        <f>'Track record'!A55</f>
        <v>45198.0</v>
      </c>
      <c r="AC306" s="159">
        <f>'Track record'!D55</f>
        <v>0.0566641853144647</v>
      </c>
      <c r="AD306" s="159">
        <f>'Track record'!F55</f>
        <v>0.0607714670725033</v>
      </c>
      <c r="AE306" s="159">
        <f>'Track record'!C55</f>
        <v>0.06239</v>
      </c>
    </row>
    <row r="307" ht="28" customHeight="1">
      <c r="N307" s="156" t="inlineStr">
        <is>
          <t>Asset class</t>
        </is>
      </c>
      <c r="O307" s="157" t="inlineStr">
        <is>
          <t>Net forecast (5-year, compound)</t>
        </is>
      </c>
      <c r="P307" s="157" t="inlineStr">
        <is>
          <t>20-year history</t>
        </is>
      </c>
      <c r="AB307" s="161">
        <f>'Track record'!A56</f>
        <v>45289.0</v>
      </c>
      <c r="AC307" s="159">
        <f>'Track record'!D56</f>
        <v>0.0816350225045768</v>
      </c>
      <c r="AD307" s="159">
        <f>'Track record'!F56</f>
        <v>0.0845931664640542</v>
      </c>
      <c r="AE307" s="159">
        <f>'Track record'!C56</f>
        <v>0.06097</v>
      </c>
    </row>
    <row r="308">
      <c r="N308" s="158" t="inlineStr">
        <is>
          <t>Australian Equities</t>
        </is>
      </c>
      <c r="O308" s="159">
        <f>Forecast!M139</f>
        <v>0.0659685493090504</v>
      </c>
      <c r="P308" s="159">
        <f>Forecast!B25</f>
        <v>0.0695012498741834</v>
      </c>
      <c r="AB308" s="161">
        <f>'Track record'!A57</f>
        <v>45380.0</v>
      </c>
      <c r="AC308" s="159">
        <f>'Track record'!D57</f>
        <v>0.075567495901431</v>
      </c>
      <c r="AD308" s="159">
        <f>'Track record'!F57</f>
        <v>0.0806192033823101</v>
      </c>
      <c r="AE308" s="159">
        <f>'Track record'!C57</f>
        <v>0.05743</v>
      </c>
    </row>
    <row r="309">
      <c r="N309" s="158" t="inlineStr">
        <is>
          <t>World Equities</t>
        </is>
      </c>
      <c r="O309" s="159">
        <f>Forecast!M140</f>
        <v>0.0691721485435256</v>
      </c>
      <c r="P309" s="159">
        <f>Forecast!B26</f>
        <v>0.088450812806028</v>
      </c>
      <c r="AB309" s="161">
        <f>'Track record'!A58</f>
        <v>45471.0</v>
      </c>
      <c r="AC309" s="159">
        <f>'Track record'!D58</f>
        <v>0.063303175698348</v>
      </c>
      <c r="AD309" s="159">
        <f>'Track record'!F58</f>
        <v>0.0702218094271458</v>
      </c>
      <c r="AE309" s="159">
        <f>'Track record'!C58</f>
        <v>0.05291</v>
      </c>
    </row>
    <row r="310">
      <c r="N310" s="158" t="inlineStr">
        <is>
          <t>Emerging Markets</t>
        </is>
      </c>
      <c r="O310" s="159">
        <f>Forecast!M141</f>
        <v>0.0651835954559237</v>
      </c>
      <c r="P310" s="159">
        <f>Forecast!B27</f>
        <v>0.0799889275290706</v>
      </c>
      <c r="AB310" s="161">
        <f>'Track record'!A59</f>
        <v>45565.0</v>
      </c>
      <c r="AC310" s="159">
        <f>'Track record'!D59</f>
        <v>0.0659450155701542</v>
      </c>
      <c r="AD310" s="159">
        <f>'Track record'!F59</f>
        <v>0.0704777837616346</v>
      </c>
      <c r="AE310" s="159">
        <f>'Track record'!C59</f>
        <v>0.0481</v>
      </c>
    </row>
    <row r="311">
      <c r="N311" s="158" t="inlineStr">
        <is>
          <t>Listed Property</t>
        </is>
      </c>
      <c r="O311" s="159">
        <f>Forecast!M142</f>
        <v>0.0650701212719445</v>
      </c>
      <c r="P311" s="159">
        <f>Forecast!B28</f>
        <v>0.0537534457401672</v>
      </c>
      <c r="AB311" s="161">
        <f>'Track record'!A60</f>
        <v>45657.0</v>
      </c>
      <c r="AC311" s="159">
        <f>'Track record'!D60</f>
        <v>0.0712993967116014</v>
      </c>
      <c r="AD311" s="159">
        <f>'Track record'!F60</f>
        <v>0.0785226940507577</v>
      </c>
      <c r="AE311" s="159">
        <f>'Track record'!C60</f>
        <v>0.04874</v>
      </c>
    </row>
    <row r="312">
      <c r="N312" s="158" t="inlineStr">
        <is>
          <t>Commodities</t>
        </is>
      </c>
      <c r="O312" s="159">
        <f>Forecast!M143</f>
        <v>0.0396761928036509</v>
      </c>
      <c r="P312" s="159">
        <f>Forecast!B29</f>
        <v>-0.0067382599487994</v>
      </c>
      <c r="AB312" s="161">
        <f>'Track record'!A61</f>
        <v>45747.0</v>
      </c>
      <c r="AC312" s="159">
        <f>'Track record'!D61</f>
        <v>0.0957793381302665</v>
      </c>
      <c r="AD312" s="159">
        <f>'Track record'!F61</f>
        <v>0.100566072870217</v>
      </c>
      <c r="AE312" s="159">
        <f>'Track record'!C61</f>
        <v>0.045</v>
      </c>
    </row>
    <row r="313">
      <c r="N313" s="158" t="inlineStr">
        <is>
          <t>Direct Property</t>
        </is>
      </c>
      <c r="O313" s="159">
        <f>Forecast!M144</f>
        <v>0.0396806588323298</v>
      </c>
      <c r="P313" s="159">
        <f>Forecast!B30</f>
        <v>0.0606084874190023</v>
      </c>
      <c r="AB313" s="161">
        <f>'Track record'!A62</f>
        <v>45838.0</v>
      </c>
      <c r="AC313" s="159">
        <f>'Track record'!D62</f>
        <v>0.0889967758903518</v>
      </c>
      <c r="AD313" s="159">
        <f>'Track record'!F62</f>
        <v>0.09501988422701</v>
      </c>
      <c r="AE313" s="159">
        <f>'Track record'!C62</f>
        <v>0.04403</v>
      </c>
    </row>
    <row r="314">
      <c r="N314" s="158" t="inlineStr">
        <is>
          <t>Hedge Funds</t>
        </is>
      </c>
      <c r="O314" s="159">
        <f>Forecast!M145</f>
        <v>0.0346848999655106</v>
      </c>
      <c r="P314" s="159">
        <f>Forecast!B31</f>
        <v>0.0765513454906872</v>
      </c>
      <c r="AB314" s="161">
        <f>'Track record'!A63</f>
        <v>45930.0</v>
      </c>
      <c r="AC314" s="159">
        <f>'Track record'!D63</f>
        <v>0.0953153323474878</v>
      </c>
      <c r="AD314" s="159">
        <f>'Track record'!F63</f>
        <v>0.101779188969977</v>
      </c>
      <c r="AE314" s="159">
        <f>'Track record'!C63</f>
        <v>0.04393</v>
      </c>
    </row>
    <row r="315">
      <c r="N315" s="158" t="inlineStr">
        <is>
          <t>Private Equity</t>
        </is>
      </c>
      <c r="O315" s="159">
        <f>Forecast!M146</f>
        <v>0.043410241030186</v>
      </c>
      <c r="P315" s="159">
        <f>Forecast!B32</f>
        <v>0.10687219699712</v>
      </c>
      <c r="AB315" s="161">
        <f>'Track record'!A64</f>
        <v>46022.0</v>
      </c>
      <c r="AC315" s="159">
        <f>'Track record'!D64</f>
        <v>0.0808329649467359</v>
      </c>
      <c r="AD315" s="159">
        <f>'Track record'!F64</f>
        <v>0.0903696617905627</v>
      </c>
      <c r="AE315" s="159">
        <f>'Track record'!C64</f>
        <v>0.04343</v>
      </c>
    </row>
    <row r="316">
      <c r="N316" s="158" t="inlineStr">
        <is>
          <t>Australian Fixed Income</t>
        </is>
      </c>
      <c r="O316" s="159">
        <f>Forecast!M147</f>
        <v>0.0493022538146198</v>
      </c>
      <c r="P316" s="159">
        <f>Forecast!B33</f>
        <v>0.0396063048407955</v>
      </c>
      <c r="AB316" s="161">
        <f>'Track record'!A65</f>
        <v>46112.0</v>
      </c>
      <c r="AC316" s="159">
        <f>'Track record'!D65</f>
        <v>0.0690594602203125</v>
      </c>
      <c r="AD316" s="159">
        <f>'Track record'!F65</f>
        <v>0.0785360132940838</v>
      </c>
      <c r="AE316" s="159">
        <f>'Track record'!C65</f>
        <v>0.04708</v>
      </c>
    </row>
    <row r="317">
      <c r="N317" s="158" t="inlineStr">
        <is>
          <t>World Fixed Income</t>
        </is>
      </c>
      <c r="O317" s="159">
        <f>Forecast!M148</f>
        <v>0.0524732697316071</v>
      </c>
      <c r="P317" s="159">
        <f>Forecast!B34</f>
        <v>0.0430209428987427</v>
      </c>
    </row>
    <row r="318">
      <c r="N318" s="158" t="inlineStr">
        <is>
          <t>Cash</t>
        </is>
      </c>
      <c r="O318" s="159">
        <f>Forecast!M149</f>
        <v>0.0476501883489648</v>
      </c>
      <c r="P318" s="159">
        <f>Forecast!B35</f>
        <v>0.0330591494495724</v>
      </c>
    </row>
    <row r="332">
      <c r="A332" s="152" t="inlineStr">
        <is>
          <t>Figure 13. Forecast stress test</t>
        </is>
      </c>
      <c r="B332" s="153" t="n"/>
      <c r="C332" s="153" t="n"/>
      <c r="D332" s="153" t="n"/>
      <c r="E332" s="153" t="n"/>
      <c r="F332" s="153" t="n"/>
      <c r="G332" s="153" t="n"/>
      <c r="H332" s="153" t="n"/>
      <c r="I332" s="153" t="n"/>
      <c r="J332" s="153" t="n"/>
      <c r="K332" s="153" t="n"/>
      <c r="L332" s="154" t="n"/>
      <c r="N332" s="155" t="inlineStr">
        <is>
          <t>Chart data, figure 13</t>
        </is>
      </c>
    </row>
    <row r="333" ht="28" customHeight="1">
      <c r="N333" s="156" t="inlineStr">
        <is>
          <t>Asset class</t>
        </is>
      </c>
      <c r="O333" s="157" t="inlineStr">
        <is>
          <t>Forecast 1% lower</t>
        </is>
      </c>
      <c r="P333" s="157" t="inlineStr">
        <is>
          <t>Forecast 1% higher</t>
        </is>
      </c>
    </row>
    <row r="334">
      <c r="N334" s="158" t="inlineStr">
        <is>
          <t>Australian Equities</t>
        </is>
      </c>
      <c r="O334" s="159">
        <f>Validation!G68-Validation!$B$66</f>
        <v>0.001262</v>
      </c>
      <c r="P334" s="159">
        <f>Validation!F68-Validation!$B$66</f>
        <v>-0.001262</v>
      </c>
    </row>
    <row r="335">
      <c r="N335" s="158" t="inlineStr">
        <is>
          <t>World Equities</t>
        </is>
      </c>
      <c r="O335" s="159">
        <f>Validation!G69-Validation!$B$66</f>
        <v>-0.00079</v>
      </c>
      <c r="P335" s="159">
        <f>Validation!F69-Validation!$B$66</f>
        <v>0.00079</v>
      </c>
    </row>
    <row r="336">
      <c r="N336" s="158" t="inlineStr">
        <is>
          <t>Emerging Markets</t>
        </is>
      </c>
      <c r="O336" s="159">
        <f>Validation!G70-Validation!$B$66</f>
        <v>-0.000672</v>
      </c>
      <c r="P336" s="159">
        <f>Validation!F70-Validation!$B$66</f>
        <v>0.000672</v>
      </c>
    </row>
    <row r="337">
      <c r="N337" s="158" t="inlineStr">
        <is>
          <t>Listed Property</t>
        </is>
      </c>
      <c r="O337" s="159">
        <f>Validation!G71-Validation!$B$66</f>
        <v>0.000133</v>
      </c>
      <c r="P337" s="159">
        <f>Validation!F71-Validation!$B$66</f>
        <v>-0.000133</v>
      </c>
    </row>
    <row r="338">
      <c r="N338" s="158" t="inlineStr">
        <is>
          <t>Commodities</t>
        </is>
      </c>
      <c r="O338" s="159">
        <f>Validation!G72-Validation!$B$66</f>
        <v>-0.000244</v>
      </c>
      <c r="P338" s="159">
        <f>Validation!F72-Validation!$B$66</f>
        <v>0.000244</v>
      </c>
    </row>
    <row r="339">
      <c r="N339" s="158" t="inlineStr">
        <is>
          <t>Direct Property</t>
        </is>
      </c>
      <c r="O339" s="159">
        <f>Validation!G73-Validation!$B$66</f>
        <v>0</v>
      </c>
      <c r="P339" s="159">
        <f>Validation!F73-Validation!$B$66</f>
        <v>0</v>
      </c>
    </row>
    <row r="340">
      <c r="N340" s="158" t="inlineStr">
        <is>
          <t>Hedge Funds</t>
        </is>
      </c>
      <c r="O340" s="159">
        <f>Validation!G74-Validation!$B$66</f>
        <v>0</v>
      </c>
      <c r="P340" s="159">
        <f>Validation!F74-Validation!$B$66</f>
        <v>0</v>
      </c>
    </row>
    <row r="341">
      <c r="N341" s="158" t="inlineStr">
        <is>
          <t>Private Equity</t>
        </is>
      </c>
      <c r="O341" s="159">
        <f>Validation!G75-Validation!$B$66</f>
        <v>0</v>
      </c>
      <c r="P341" s="159">
        <f>Validation!F75-Validation!$B$66</f>
        <v>0</v>
      </c>
    </row>
    <row r="342">
      <c r="N342" s="158" t="inlineStr">
        <is>
          <t>Australian Fixed Income</t>
        </is>
      </c>
      <c r="O342" s="159">
        <f>Validation!G76-Validation!$B$66</f>
        <v>0.0003</v>
      </c>
      <c r="P342" s="159">
        <f>Validation!F76-Validation!$B$66</f>
        <v>-0.0003</v>
      </c>
    </row>
    <row r="343">
      <c r="N343" s="158" t="inlineStr">
        <is>
          <t>World Fixed Income</t>
        </is>
      </c>
      <c r="O343" s="159">
        <f>Validation!G77-Validation!$B$66</f>
        <v>-0.000489</v>
      </c>
      <c r="P343" s="159">
        <f>Validation!F77-Validation!$B$66</f>
        <v>0.000489</v>
      </c>
    </row>
    <row r="344">
      <c r="N344" s="158" t="inlineStr">
        <is>
          <t>Cash</t>
        </is>
      </c>
      <c r="O344" s="159">
        <f>Validation!G78-Validation!$B$66</f>
        <v>0.0005</v>
      </c>
      <c r="P344" s="159">
        <f>Validation!F78-Validation!$B$66</f>
        <v>-0.0005</v>
      </c>
    </row>
    <row r="358">
      <c r="A358" s="152" t="inlineStr">
        <is>
          <t>Figure 14. Rolling 5-year active return, net of fees</t>
        </is>
      </c>
      <c r="B358" s="153" t="n"/>
      <c r="C358" s="153" t="n"/>
      <c r="D358" s="153" t="n"/>
      <c r="E358" s="153" t="n"/>
      <c r="F358" s="153" t="n"/>
      <c r="G358" s="153" t="n"/>
      <c r="H358" s="153" t="n"/>
      <c r="I358" s="153" t="n"/>
      <c r="J358" s="153" t="n"/>
      <c r="K358" s="153" t="n"/>
      <c r="L358" s="154" t="n"/>
      <c r="AB358" s="155" t="inlineStr">
        <is>
          <t>Chart data, figure 14</t>
        </is>
      </c>
    </row>
    <row r="359">
      <c r="AB359" s="156" t="inlineStr">
        <is>
          <t>Window end</t>
        </is>
      </c>
      <c r="AC359" s="157" t="inlineStr">
        <is>
          <t>Active return (current less benchmark)</t>
        </is>
      </c>
      <c r="AD359" s="157" t="inlineStr">
        <is>
          <t>Zero</t>
        </is>
      </c>
    </row>
    <row r="360">
      <c r="AB360" s="161">
        <f>Performance!N65</f>
        <v>40633.0</v>
      </c>
      <c r="AC360" s="159">
        <f>Performance!AO65</f>
        <v>0.00116588782403615</v>
      </c>
      <c r="AD360" s="159" t="n">
        <v>0</v>
      </c>
    </row>
    <row r="361">
      <c r="AB361" s="161">
        <f>Performance!N66</f>
        <v>40662.0</v>
      </c>
      <c r="AC361" s="159">
        <f>Performance!AO66</f>
        <v>0.000704697258105957</v>
      </c>
      <c r="AD361" s="159" t="n">
        <v>0</v>
      </c>
    </row>
    <row r="362">
      <c r="AB362" s="161">
        <f>Performance!N67</f>
        <v>40694.0</v>
      </c>
      <c r="AC362" s="159">
        <f>Performance!AO67</f>
        <v>0.00102900602732614</v>
      </c>
      <c r="AD362" s="159" t="n">
        <v>0</v>
      </c>
    </row>
    <row r="363">
      <c r="AB363" s="161">
        <f>Performance!N68</f>
        <v>40724.0</v>
      </c>
      <c r="AC363" s="159">
        <f>Performance!AO68</f>
        <v>0.000947076467530339</v>
      </c>
      <c r="AD363" s="159" t="n">
        <v>0</v>
      </c>
    </row>
    <row r="364">
      <c r="AB364" s="161">
        <f>Performance!N69</f>
        <v>40753.0</v>
      </c>
      <c r="AC364" s="159">
        <f>Performance!AO69</f>
        <v>0.000773925821398347</v>
      </c>
      <c r="AD364" s="159" t="n">
        <v>0</v>
      </c>
    </row>
    <row r="365">
      <c r="AB365" s="161">
        <f>Performance!N70</f>
        <v>40786.0</v>
      </c>
      <c r="AC365" s="159">
        <f>Performance!AO70</f>
        <v>-0.000351211091266235</v>
      </c>
      <c r="AD365" s="159" t="n">
        <v>0</v>
      </c>
    </row>
    <row r="366">
      <c r="AB366" s="161">
        <f>Performance!N71</f>
        <v>40816.0</v>
      </c>
      <c r="AC366" s="159">
        <f>Performance!AO71</f>
        <v>-0.00243636072947695</v>
      </c>
      <c r="AD366" s="159" t="n">
        <v>0</v>
      </c>
    </row>
    <row r="367">
      <c r="AB367" s="161">
        <f>Performance!N72</f>
        <v>40847.0</v>
      </c>
      <c r="AC367" s="159">
        <f>Performance!AO72</f>
        <v>-0.00209992882739962</v>
      </c>
      <c r="AD367" s="159" t="n">
        <v>0</v>
      </c>
    </row>
    <row r="368">
      <c r="AB368" s="161">
        <f>Performance!N73</f>
        <v>40877.0</v>
      </c>
      <c r="AC368" s="159">
        <f>Performance!AO73</f>
        <v>-0.00415191741035847</v>
      </c>
      <c r="AD368" s="159" t="n">
        <v>0</v>
      </c>
    </row>
    <row r="369">
      <c r="AB369" s="161">
        <f>Performance!N74</f>
        <v>40907.0</v>
      </c>
      <c r="AC369" s="159">
        <f>Performance!AO74</f>
        <v>-0.0049210585030528</v>
      </c>
      <c r="AD369" s="159" t="n">
        <v>0</v>
      </c>
    </row>
    <row r="370">
      <c r="AB370" s="161">
        <f>Performance!N75</f>
        <v>40939.0</v>
      </c>
      <c r="AC370" s="159">
        <f>Performance!AO75</f>
        <v>-0.00427637367665579</v>
      </c>
      <c r="AD370" s="159" t="n">
        <v>0</v>
      </c>
    </row>
    <row r="371">
      <c r="AB371" s="161">
        <f>Performance!N76</f>
        <v>40968.0</v>
      </c>
      <c r="AC371" s="159">
        <f>Performance!AO76</f>
        <v>-0.00471896803282712</v>
      </c>
      <c r="AD371" s="159" t="n">
        <v>0</v>
      </c>
    </row>
    <row r="372">
      <c r="AB372" s="161">
        <f>Performance!N77</f>
        <v>40998.0</v>
      </c>
      <c r="AC372" s="159">
        <f>Performance!AO77</f>
        <v>-0.00532838929192425</v>
      </c>
      <c r="AD372" s="159" t="n">
        <v>0</v>
      </c>
    </row>
    <row r="373">
      <c r="AB373" s="161">
        <f>Performance!N78</f>
        <v>41029.0</v>
      </c>
      <c r="AC373" s="159">
        <f>Performance!AO78</f>
        <v>-0.00531287058835417</v>
      </c>
      <c r="AD373" s="159" t="n">
        <v>0</v>
      </c>
    </row>
    <row r="374">
      <c r="AB374" s="161">
        <f>Performance!N79</f>
        <v>41060.0</v>
      </c>
      <c r="AC374" s="159">
        <f>Performance!AO79</f>
        <v>-0.00761216844453505</v>
      </c>
      <c r="AD374" s="159" t="n">
        <v>0</v>
      </c>
    </row>
    <row r="375">
      <c r="AB375" s="161">
        <f>Performance!N80</f>
        <v>41089.0</v>
      </c>
      <c r="AC375" s="159">
        <f>Performance!AO80</f>
        <v>-0.00543176093817788</v>
      </c>
      <c r="AD375" s="159" t="n">
        <v>0</v>
      </c>
    </row>
    <row r="376">
      <c r="AB376" s="161">
        <f>Performance!N81</f>
        <v>41121.0</v>
      </c>
      <c r="AC376" s="159">
        <f>Performance!AO81</f>
        <v>-0.00295850276481102</v>
      </c>
      <c r="AD376" s="159" t="n">
        <v>0</v>
      </c>
    </row>
    <row r="377">
      <c r="AB377" s="161">
        <f>Performance!N82</f>
        <v>41152.0</v>
      </c>
      <c r="AC377" s="159">
        <f>Performance!AO82</f>
        <v>-0.0033172839878981</v>
      </c>
      <c r="AD377" s="159" t="n">
        <v>0</v>
      </c>
    </row>
    <row r="378">
      <c r="AB378" s="161">
        <f>Performance!N83</f>
        <v>41180.0</v>
      </c>
      <c r="AC378" s="159">
        <f>Performance!AO83</f>
        <v>-0.00453250660358473</v>
      </c>
      <c r="AD378" s="159" t="n">
        <v>0</v>
      </c>
    </row>
    <row r="379">
      <c r="AB379" s="161">
        <f>Performance!N84</f>
        <v>41213.0</v>
      </c>
      <c r="AC379" s="159">
        <f>Performance!AO84</f>
        <v>-0.0035288088960953</v>
      </c>
      <c r="AD379" s="159" t="n">
        <v>0</v>
      </c>
    </row>
    <row r="380">
      <c r="AB380" s="161">
        <f>Performance!N85</f>
        <v>41243.0</v>
      </c>
      <c r="AC380" s="159">
        <f>Performance!AO85</f>
        <v>-0.0029603447328197</v>
      </c>
      <c r="AD380" s="159" t="n">
        <v>0</v>
      </c>
    </row>
    <row r="381">
      <c r="AB381" s="161">
        <f>Performance!N86</f>
        <v>41274.0</v>
      </c>
      <c r="AC381" s="159">
        <f>Performance!AO86</f>
        <v>-0.000513193472384765</v>
      </c>
      <c r="AD381" s="159" t="n">
        <v>0</v>
      </c>
    </row>
    <row r="382">
      <c r="AB382" s="161">
        <f>Performance!N87</f>
        <v>41305.0</v>
      </c>
      <c r="AC382" s="159">
        <f>Performance!AO87</f>
        <v>0.00271298991345748</v>
      </c>
      <c r="AD382" s="159" t="n">
        <v>0</v>
      </c>
    </row>
    <row r="383">
      <c r="AB383" s="161">
        <f>Performance!N88</f>
        <v>41333.0</v>
      </c>
      <c r="AC383" s="159">
        <f>Performance!AO88</f>
        <v>0.00442631482514555</v>
      </c>
      <c r="AD383" s="159" t="n">
        <v>0</v>
      </c>
    </row>
    <row r="384">
      <c r="A384" s="152" t="inlineStr">
        <is>
          <t>Figure 15. Attribution of active return, net of fees</t>
        </is>
      </c>
      <c r="B384" s="153" t="n"/>
      <c r="C384" s="153" t="n"/>
      <c r="D384" s="153" t="n"/>
      <c r="E384" s="153" t="n"/>
      <c r="F384" s="153" t="n"/>
      <c r="G384" s="153" t="n"/>
      <c r="H384" s="153" t="n"/>
      <c r="I384" s="153" t="n"/>
      <c r="J384" s="153" t="n"/>
      <c r="K384" s="153" t="n"/>
      <c r="L384" s="154" t="n"/>
      <c r="N384" s="155" t="inlineStr">
        <is>
          <t>Chart data, figure 15</t>
        </is>
      </c>
      <c r="AB384" s="161">
        <f>Performance!N89</f>
        <v>41362.0</v>
      </c>
      <c r="AC384" s="159">
        <f>Performance!AO89</f>
        <v>0.00458051805489457</v>
      </c>
      <c r="AD384" s="159" t="n">
        <v>0</v>
      </c>
    </row>
    <row r="385">
      <c r="N385" s="156" t="inlineStr">
        <is>
          <t>Source</t>
        </is>
      </c>
      <c r="O385" s="157" t="inlineStr">
        <is>
          <t>Mar-21 to Mar-26</t>
        </is>
      </c>
      <c r="P385" s="157" t="inlineStr">
        <is>
          <t>20 years</t>
        </is>
      </c>
      <c r="AB385" s="161">
        <f>Performance!N90</f>
        <v>41394.0</v>
      </c>
      <c r="AC385" s="159">
        <f>Performance!AO90</f>
        <v>0.00526613602872628</v>
      </c>
      <c r="AD385" s="159" t="n">
        <v>0</v>
      </c>
    </row>
    <row r="386">
      <c r="N386" s="158" t="inlineStr">
        <is>
          <t>Australian Equities</t>
        </is>
      </c>
      <c r="O386" s="159">
        <f>Performance!F48</f>
        <v>0.00176718705193474</v>
      </c>
      <c r="P386" s="159">
        <f>Performance!H48</f>
        <v>0.00128447164889666</v>
      </c>
      <c r="AB386" s="161">
        <f>Performance!N91</f>
        <v>41425.0</v>
      </c>
      <c r="AC386" s="159">
        <f>Performance!AO91</f>
        <v>0.00248321593532452</v>
      </c>
      <c r="AD386" s="159" t="n">
        <v>0</v>
      </c>
    </row>
    <row r="387">
      <c r="N387" s="158" t="inlineStr">
        <is>
          <t>World Equities</t>
        </is>
      </c>
      <c r="O387" s="159">
        <f>Performance!F49</f>
        <v>-0.00237109741562797</v>
      </c>
      <c r="P387" s="159">
        <f>Performance!H49</f>
        <v>-0.000931982215305578</v>
      </c>
      <c r="AB387" s="161">
        <f>Performance!N92</f>
        <v>41453.0</v>
      </c>
      <c r="AC387" s="159">
        <f>Performance!AO92</f>
        <v>0.00276817038909094</v>
      </c>
      <c r="AD387" s="159" t="n">
        <v>0</v>
      </c>
    </row>
    <row r="388">
      <c r="N388" s="158" t="inlineStr">
        <is>
          <t>Emerging Markets</t>
        </is>
      </c>
      <c r="O388" s="159">
        <f>Performance!F50</f>
        <v>-0.000454446993499525</v>
      </c>
      <c r="P388" s="159">
        <f>Performance!H50</f>
        <v>-0.000421446126860492</v>
      </c>
      <c r="AB388" s="161">
        <f>Performance!N93</f>
        <v>41486.0</v>
      </c>
      <c r="AC388" s="159">
        <f>Performance!AO93</f>
        <v>0.00438603176235408</v>
      </c>
      <c r="AD388" s="159" t="n">
        <v>0</v>
      </c>
    </row>
    <row r="389">
      <c r="N389" s="158" t="inlineStr">
        <is>
          <t>Listed Property</t>
        </is>
      </c>
      <c r="O389" s="159">
        <f>Performance!F51</f>
        <v>-3.09550525051984e-05</v>
      </c>
      <c r="P389" s="159">
        <f>Performance!H51</f>
        <v>-0.000121831417758848</v>
      </c>
      <c r="AB389" s="161">
        <f>Performance!N94</f>
        <v>41516.0</v>
      </c>
      <c r="AC389" s="159">
        <f>Performance!AO94</f>
        <v>0.00396977934192977</v>
      </c>
      <c r="AD389" s="159" t="n">
        <v>0</v>
      </c>
    </row>
    <row r="390">
      <c r="N390" s="158" t="inlineStr">
        <is>
          <t>Commodities</t>
        </is>
      </c>
      <c r="O390" s="159">
        <f>Performance!F52</f>
        <v>-0.00290580159472362</v>
      </c>
      <c r="P390" s="159">
        <f>Performance!H52</f>
        <v>0.00111334619304292</v>
      </c>
      <c r="AB390" s="161">
        <f>Performance!N95</f>
        <v>41547.0</v>
      </c>
      <c r="AC390" s="159">
        <f>Performance!AO95</f>
        <v>0.00662600635295862</v>
      </c>
      <c r="AD390" s="159" t="n">
        <v>0</v>
      </c>
    </row>
    <row r="391">
      <c r="N391" s="158" t="inlineStr">
        <is>
          <t>Direct Property</t>
        </is>
      </c>
      <c r="O391" s="159">
        <f>Performance!F53</f>
        <v>0.000673482009565222</v>
      </c>
      <c r="P391" s="159">
        <f>Performance!H53</f>
        <v>0.000295007861793121</v>
      </c>
      <c r="AB391" s="161">
        <f>Performance!N96</f>
        <v>41578.0</v>
      </c>
      <c r="AC391" s="159">
        <f>Performance!AO96</f>
        <v>0.0123145498383384</v>
      </c>
      <c r="AD391" s="159" t="n">
        <v>0</v>
      </c>
    </row>
    <row r="392">
      <c r="N392" s="158" t="inlineStr">
        <is>
          <t>Hedge Funds</t>
        </is>
      </c>
      <c r="O392" s="159">
        <f>Performance!F54</f>
        <v>-0.000254533951209719</v>
      </c>
      <c r="P392" s="159">
        <f>Performance!H54</f>
        <v>-0.000227074334714879</v>
      </c>
      <c r="AB392" s="161">
        <f>Performance!N97</f>
        <v>41607.0</v>
      </c>
      <c r="AC392" s="159">
        <f>Performance!AO97</f>
        <v>0.013474659409132</v>
      </c>
      <c r="AD392" s="159" t="n">
        <v>0</v>
      </c>
    </row>
    <row r="393">
      <c r="N393" s="158" t="inlineStr">
        <is>
          <t>Private Equity</t>
        </is>
      </c>
      <c r="O393" s="159">
        <f>Performance!F55</f>
        <v>-0.00161597270404602</v>
      </c>
      <c r="P393" s="159">
        <f>Performance!H55</f>
        <v>-0.00139047502150378</v>
      </c>
      <c r="AB393" s="161">
        <f>Performance!N98</f>
        <v>41639.0</v>
      </c>
      <c r="AC393" s="159">
        <f>Performance!AO98</f>
        <v>0.0100830829601564</v>
      </c>
      <c r="AD393" s="159" t="n">
        <v>0</v>
      </c>
    </row>
    <row r="394">
      <c r="N394" s="158" t="inlineStr">
        <is>
          <t>Australian Fixed Income</t>
        </is>
      </c>
      <c r="O394" s="159">
        <f>Performance!F56</f>
        <v>-0.00075990172604261</v>
      </c>
      <c r="P394" s="159">
        <f>Performance!H56</f>
        <v>-0.000293307149077873</v>
      </c>
      <c r="AB394" s="161">
        <f>Performance!N99</f>
        <v>41670.0</v>
      </c>
      <c r="AC394" s="159">
        <f>Performance!AO99</f>
        <v>0.011868303952459</v>
      </c>
      <c r="AD394" s="159" t="n">
        <v>0</v>
      </c>
    </row>
    <row r="395">
      <c r="N395" s="158" t="inlineStr">
        <is>
          <t>World Fixed Income</t>
        </is>
      </c>
      <c r="O395" s="159">
        <f>Performance!F57</f>
        <v>0.00261047305772783</v>
      </c>
      <c r="P395" s="159">
        <f>Performance!H57</f>
        <v>0.000785428118184659</v>
      </c>
      <c r="AB395" s="161">
        <f>Performance!N100</f>
        <v>41698.0</v>
      </c>
      <c r="AC395" s="159">
        <f>Performance!AO100</f>
        <v>0.0149528815464672</v>
      </c>
      <c r="AD395" s="159" t="n">
        <v>0</v>
      </c>
    </row>
    <row r="396">
      <c r="N396" s="158" t="inlineStr">
        <is>
          <t>Cash</t>
        </is>
      </c>
      <c r="O396" s="159">
        <f>Performance!F58</f>
        <v>-0.00192877642061596</v>
      </c>
      <c r="P396" s="159">
        <f>Performance!H58</f>
        <v>-0.00145712574182186</v>
      </c>
      <c r="AB396" s="161">
        <f>Performance!N101</f>
        <v>41729.0</v>
      </c>
      <c r="AC396" s="159">
        <f>Performance!AO101</f>
        <v>0.0121324662074218</v>
      </c>
      <c r="AD396" s="159" t="n">
        <v>0</v>
      </c>
    </row>
    <row r="397">
      <c r="N397" s="158" t="inlineStr">
        <is>
          <t>Fee difference</t>
        </is>
      </c>
      <c r="O397" s="159">
        <f>Performance!F59</f>
        <v>0.00226</v>
      </c>
      <c r="P397" s="159">
        <f>Performance!H59</f>
        <v>0.00226</v>
      </c>
      <c r="AB397" s="161">
        <f>Performance!N102</f>
        <v>41759.0</v>
      </c>
      <c r="AC397" s="159">
        <f>Performance!AO102</f>
        <v>0.0102345021848234</v>
      </c>
      <c r="AD397" s="159" t="n">
        <v>0</v>
      </c>
    </row>
    <row r="398">
      <c r="AB398" s="161">
        <f>Performance!N103</f>
        <v>41789.0</v>
      </c>
      <c r="AC398" s="159">
        <f>Performance!AO103</f>
        <v>0.0102954395668191</v>
      </c>
      <c r="AD398" s="159" t="n">
        <v>0</v>
      </c>
    </row>
    <row r="399">
      <c r="AB399" s="161">
        <f>Performance!N104</f>
        <v>41820.0</v>
      </c>
      <c r="AC399" s="159">
        <f>Performance!AO104</f>
        <v>0.00831434542335696</v>
      </c>
      <c r="AD399" s="159" t="n">
        <v>0</v>
      </c>
    </row>
    <row r="400">
      <c r="AB400" s="161">
        <f>Performance!N105</f>
        <v>41851.0</v>
      </c>
      <c r="AC400" s="159">
        <f>Performance!AO105</f>
        <v>0.00757693791156955</v>
      </c>
      <c r="AD400" s="159" t="n">
        <v>0</v>
      </c>
    </row>
    <row r="401">
      <c r="AB401" s="161">
        <f>Performance!N106</f>
        <v>41880.0</v>
      </c>
      <c r="AC401" s="159">
        <f>Performance!AO106</f>
        <v>0.00493355584123711</v>
      </c>
      <c r="AD401" s="159" t="n">
        <v>0</v>
      </c>
    </row>
    <row r="402">
      <c r="AB402" s="161">
        <f>Performance!N107</f>
        <v>41912.0</v>
      </c>
      <c r="AC402" s="159">
        <f>Performance!AO107</f>
        <v>0.000826604299028588</v>
      </c>
      <c r="AD402" s="159" t="n">
        <v>0</v>
      </c>
    </row>
    <row r="403">
      <c r="AB403" s="161">
        <f>Performance!N108</f>
        <v>41943.0</v>
      </c>
      <c r="AC403" s="159">
        <f>Performance!AO108</f>
        <v>0.00320160160358074</v>
      </c>
      <c r="AD403" s="159" t="n">
        <v>0</v>
      </c>
    </row>
    <row r="404">
      <c r="AB404" s="161">
        <f>Performance!N109</f>
        <v>41971.0</v>
      </c>
      <c r="AC404" s="159">
        <f>Performance!AO109</f>
        <v>0.00157675577790006</v>
      </c>
      <c r="AD404" s="159" t="n">
        <v>0</v>
      </c>
    </row>
    <row r="405">
      <c r="AB405" s="161">
        <f>Performance!N110</f>
        <v>42004.0</v>
      </c>
      <c r="AC405" s="159">
        <f>Performance!AO110</f>
        <v>0.00203802365345296</v>
      </c>
      <c r="AD405" s="159" t="n">
        <v>0</v>
      </c>
    </row>
    <row r="406">
      <c r="AB406" s="161">
        <f>Performance!N111</f>
        <v>42034.0</v>
      </c>
      <c r="AC406" s="159">
        <f>Performance!AO111</f>
        <v>0.00418403952943747</v>
      </c>
      <c r="AD406" s="159" t="n">
        <v>0</v>
      </c>
    </row>
    <row r="407">
      <c r="AB407" s="161">
        <f>Performance!N112</f>
        <v>42062.0</v>
      </c>
      <c r="AC407" s="159">
        <f>Performance!AO112</f>
        <v>0.00468391041131699</v>
      </c>
      <c r="AD407" s="159" t="n">
        <v>0</v>
      </c>
    </row>
    <row r="408">
      <c r="AB408" s="161">
        <f>Performance!N113</f>
        <v>42094.0</v>
      </c>
      <c r="AC408" s="159">
        <f>Performance!AO113</f>
        <v>0.0028029369800644</v>
      </c>
      <c r="AD408" s="159" t="n">
        <v>0</v>
      </c>
    </row>
    <row r="409">
      <c r="AB409" s="161">
        <f>Performance!N114</f>
        <v>42124.0</v>
      </c>
      <c r="AC409" s="159">
        <f>Performance!AO114</f>
        <v>0.0015866016607049</v>
      </c>
      <c r="AD409" s="159" t="n">
        <v>0</v>
      </c>
    </row>
    <row r="410">
      <c r="AB410" s="161">
        <f>Performance!N115</f>
        <v>42153.0</v>
      </c>
      <c r="AC410" s="159">
        <f>Performance!AO115</f>
        <v>0.00413737795275693</v>
      </c>
      <c r="AD410" s="159" t="n">
        <v>0</v>
      </c>
    </row>
    <row r="411">
      <c r="AB411" s="161">
        <f>Performance!N116</f>
        <v>42185.0</v>
      </c>
      <c r="AC411" s="159">
        <f>Performance!AO116</f>
        <v>0.00284381315617632</v>
      </c>
      <c r="AD411" s="159" t="n">
        <v>0</v>
      </c>
    </row>
    <row r="412">
      <c r="AB412" s="161">
        <f>Performance!N117</f>
        <v>42216.0</v>
      </c>
      <c r="AC412" s="159">
        <f>Performance!AO117</f>
        <v>0.00326425038991673</v>
      </c>
      <c r="AD412" s="159" t="n">
        <v>0</v>
      </c>
    </row>
    <row r="413">
      <c r="AB413" s="161">
        <f>Performance!N118</f>
        <v>42247.0</v>
      </c>
      <c r="AC413" s="159">
        <f>Performance!AO118</f>
        <v>0.00119646315687261</v>
      </c>
      <c r="AD413" s="159" t="n">
        <v>0</v>
      </c>
    </row>
    <row r="414">
      <c r="AB414" s="161">
        <f>Performance!N119</f>
        <v>42277.0</v>
      </c>
      <c r="AC414" s="159">
        <f>Performance!AO119</f>
        <v>-0.000836878658544427</v>
      </c>
      <c r="AD414" s="159" t="n">
        <v>0</v>
      </c>
    </row>
    <row r="415">
      <c r="AB415" s="161">
        <f>Performance!N120</f>
        <v>42307.0</v>
      </c>
      <c r="AC415" s="159">
        <f>Performance!AO120</f>
        <v>-0.000359307387540531</v>
      </c>
      <c r="AD415" s="159" t="n">
        <v>0</v>
      </c>
    </row>
    <row r="416">
      <c r="AB416" s="161">
        <f>Performance!N121</f>
        <v>42338.0</v>
      </c>
      <c r="AC416" s="159">
        <f>Performance!AO121</f>
        <v>0.000589971606860251</v>
      </c>
      <c r="AD416" s="159" t="n">
        <v>0</v>
      </c>
    </row>
    <row r="417">
      <c r="AB417" s="161">
        <f>Performance!N122</f>
        <v>42369.0</v>
      </c>
      <c r="AC417" s="159">
        <f>Performance!AO122</f>
        <v>0.000671524841392657</v>
      </c>
      <c r="AD417" s="159" t="n">
        <v>0</v>
      </c>
    </row>
    <row r="418">
      <c r="AB418" s="161">
        <f>Performance!N123</f>
        <v>42398.0</v>
      </c>
      <c r="AC418" s="159">
        <f>Performance!AO123</f>
        <v>-0.00040329292524377</v>
      </c>
      <c r="AD418" s="159" t="n">
        <v>0</v>
      </c>
    </row>
    <row r="419">
      <c r="AB419" s="161">
        <f>Performance!N124</f>
        <v>42429.0</v>
      </c>
      <c r="AC419" s="159">
        <f>Performance!AO124</f>
        <v>-0.00140604049846105</v>
      </c>
      <c r="AD419" s="159" t="n">
        <v>0</v>
      </c>
    </row>
    <row r="420">
      <c r="AB420" s="161">
        <f>Performance!N125</f>
        <v>42460.0</v>
      </c>
      <c r="AC420" s="159">
        <f>Performance!AO125</f>
        <v>0.000570902082472458</v>
      </c>
      <c r="AD420" s="159" t="n">
        <v>0</v>
      </c>
    </row>
    <row r="421">
      <c r="AB421" s="161">
        <f>Performance!N126</f>
        <v>42489.0</v>
      </c>
      <c r="AC421" s="159">
        <f>Performance!AO126</f>
        <v>0.000652129229762766</v>
      </c>
      <c r="AD421" s="159" t="n">
        <v>0</v>
      </c>
    </row>
    <row r="422">
      <c r="AB422" s="161">
        <f>Performance!N127</f>
        <v>42521.0</v>
      </c>
      <c r="AC422" s="159">
        <f>Performance!AO127</f>
        <v>0.00152339124834344</v>
      </c>
      <c r="AD422" s="159" t="n">
        <v>0</v>
      </c>
    </row>
    <row r="423">
      <c r="AB423" s="161">
        <f>Performance!N128</f>
        <v>42551.0</v>
      </c>
      <c r="AC423" s="159">
        <f>Performance!AO128</f>
        <v>0.00139362279373456</v>
      </c>
      <c r="AD423" s="159" t="n">
        <v>0</v>
      </c>
    </row>
    <row r="424">
      <c r="AB424" s="161">
        <f>Performance!N129</f>
        <v>42580.0</v>
      </c>
      <c r="AC424" s="159">
        <f>Performance!AO129</f>
        <v>0.00417109685217065</v>
      </c>
      <c r="AD424" s="159" t="n">
        <v>0</v>
      </c>
    </row>
    <row r="425">
      <c r="AB425" s="161">
        <f>Performance!N130</f>
        <v>42613.0</v>
      </c>
      <c r="AC425" s="159">
        <f>Performance!AO130</f>
        <v>0.00320315860158149</v>
      </c>
      <c r="AD425" s="159" t="n">
        <v>0</v>
      </c>
    </row>
    <row r="426">
      <c r="AB426" s="161">
        <f>Performance!N131</f>
        <v>42643.0</v>
      </c>
      <c r="AC426" s="159">
        <f>Performance!AO131</f>
        <v>0.00540124921284502</v>
      </c>
      <c r="AD426" s="159" t="n">
        <v>0</v>
      </c>
    </row>
    <row r="427">
      <c r="AB427" s="161">
        <f>Performance!N132</f>
        <v>42674.0</v>
      </c>
      <c r="AC427" s="159">
        <f>Performance!AO132</f>
        <v>0.00192717673270471</v>
      </c>
      <c r="AD427" s="159" t="n">
        <v>0</v>
      </c>
    </row>
    <row r="428">
      <c r="AB428" s="161">
        <f>Performance!N133</f>
        <v>42704.0</v>
      </c>
      <c r="AC428" s="159">
        <f>Performance!AO133</f>
        <v>0.0036235089014065</v>
      </c>
      <c r="AD428" s="159" t="n">
        <v>0</v>
      </c>
    </row>
    <row r="429">
      <c r="AB429" s="161">
        <f>Performance!N134</f>
        <v>42734.0</v>
      </c>
      <c r="AC429" s="159">
        <f>Performance!AO134</f>
        <v>0.00451423000386853</v>
      </c>
      <c r="AD429" s="159" t="n">
        <v>0</v>
      </c>
    </row>
    <row r="430">
      <c r="AB430" s="161">
        <f>Performance!N135</f>
        <v>42766.0</v>
      </c>
      <c r="AC430" s="159">
        <f>Performance!AO135</f>
        <v>0.00296840654252994</v>
      </c>
      <c r="AD430" s="159" t="n">
        <v>0</v>
      </c>
    </row>
    <row r="431">
      <c r="AB431" s="161">
        <f>Performance!N136</f>
        <v>42794.0</v>
      </c>
      <c r="AC431" s="159">
        <f>Performance!AO136</f>
        <v>0.0035285851751099</v>
      </c>
      <c r="AD431" s="159" t="n">
        <v>0</v>
      </c>
    </row>
    <row r="432">
      <c r="AB432" s="161">
        <f>Performance!N137</f>
        <v>42825.0</v>
      </c>
      <c r="AC432" s="159">
        <f>Performance!AO137</f>
        <v>0.00392467785287742</v>
      </c>
      <c r="AD432" s="159" t="n">
        <v>0</v>
      </c>
    </row>
    <row r="433">
      <c r="AB433" s="161">
        <f>Performance!N138</f>
        <v>42853.0</v>
      </c>
      <c r="AC433" s="159">
        <f>Performance!AO138</f>
        <v>0.00298265359006367</v>
      </c>
      <c r="AD433" s="159" t="n">
        <v>0</v>
      </c>
    </row>
    <row r="434">
      <c r="AB434" s="161">
        <f>Performance!N139</f>
        <v>42886.0</v>
      </c>
      <c r="AC434" s="159">
        <f>Performance!AO139</f>
        <v>0.00370199003777993</v>
      </c>
      <c r="AD434" s="159" t="n">
        <v>0</v>
      </c>
    </row>
    <row r="435">
      <c r="AB435" s="161">
        <f>Performance!N140</f>
        <v>42916.0</v>
      </c>
      <c r="AC435" s="159">
        <f>Performance!AO140</f>
        <v>0.00315337063259191</v>
      </c>
      <c r="AD435" s="159" t="n">
        <v>0</v>
      </c>
    </row>
    <row r="436">
      <c r="AB436" s="161">
        <f>Performance!N141</f>
        <v>42947.0</v>
      </c>
      <c r="AC436" s="159">
        <f>Performance!AO141</f>
        <v>0.00186999169195601</v>
      </c>
      <c r="AD436" s="159" t="n">
        <v>0</v>
      </c>
    </row>
    <row r="437">
      <c r="AB437" s="161">
        <f>Performance!N142</f>
        <v>42978.0</v>
      </c>
      <c r="AC437" s="159">
        <f>Performance!AO142</f>
        <v>0.00178291882904702</v>
      </c>
      <c r="AD437" s="159" t="n">
        <v>0</v>
      </c>
    </row>
    <row r="438">
      <c r="AB438" s="161">
        <f>Performance!N143</f>
        <v>43007.0</v>
      </c>
      <c r="AC438" s="159">
        <f>Performance!AO143</f>
        <v>0.000777889421216926</v>
      </c>
      <c r="AD438" s="159" t="n">
        <v>0</v>
      </c>
    </row>
    <row r="439">
      <c r="AB439" s="161">
        <f>Performance!N144</f>
        <v>43039.0</v>
      </c>
      <c r="AC439" s="159">
        <f>Performance!AO144</f>
        <v>-0.000333128520783266</v>
      </c>
      <c r="AD439" s="159" t="n">
        <v>0</v>
      </c>
    </row>
    <row r="440">
      <c r="AB440" s="161">
        <f>Performance!N145</f>
        <v>43069.0</v>
      </c>
      <c r="AC440" s="159">
        <f>Performance!AO145</f>
        <v>0.000428736113832429</v>
      </c>
      <c r="AD440" s="159" t="n">
        <v>0</v>
      </c>
    </row>
    <row r="441">
      <c r="AB441" s="161">
        <f>Performance!N146</f>
        <v>43098.0</v>
      </c>
      <c r="AC441" s="159">
        <f>Performance!AO146</f>
        <v>-4.62222488679664e-05</v>
      </c>
      <c r="AD441" s="159" t="n">
        <v>0</v>
      </c>
    </row>
    <row r="442">
      <c r="AB442" s="161">
        <f>Performance!N147</f>
        <v>43131.0</v>
      </c>
      <c r="AC442" s="159">
        <f>Performance!AO147</f>
        <v>-0.00181442553087607</v>
      </c>
      <c r="AD442" s="159" t="n">
        <v>0</v>
      </c>
    </row>
    <row r="443">
      <c r="AB443" s="161">
        <f>Performance!N148</f>
        <v>43159.0</v>
      </c>
      <c r="AC443" s="159">
        <f>Performance!AO148</f>
        <v>-0.00344618181196776</v>
      </c>
      <c r="AD443" s="159" t="n">
        <v>0</v>
      </c>
    </row>
    <row r="444">
      <c r="AB444" s="161">
        <f>Performance!N149</f>
        <v>43189.0</v>
      </c>
      <c r="AC444" s="159">
        <f>Performance!AO149</f>
        <v>-0.0039428728412132</v>
      </c>
      <c r="AD444" s="159" t="n">
        <v>0</v>
      </c>
    </row>
    <row r="445">
      <c r="AB445" s="161">
        <f>Performance!N150</f>
        <v>43220.0</v>
      </c>
      <c r="AC445" s="159">
        <f>Performance!AO150</f>
        <v>-0.00485908711069705</v>
      </c>
      <c r="AD445" s="159" t="n">
        <v>0</v>
      </c>
    </row>
    <row r="446">
      <c r="AB446" s="161">
        <f>Performance!N151</f>
        <v>43251.0</v>
      </c>
      <c r="AC446" s="159">
        <f>Performance!AO151</f>
        <v>-0.00149415598535985</v>
      </c>
      <c r="AD446" s="159" t="n">
        <v>0</v>
      </c>
    </row>
    <row r="447">
      <c r="AB447" s="161">
        <f>Performance!N152</f>
        <v>43280.0</v>
      </c>
      <c r="AC447" s="159">
        <f>Performance!AO152</f>
        <v>0.000971096668242799</v>
      </c>
      <c r="AD447" s="159" t="n">
        <v>0</v>
      </c>
    </row>
    <row r="448">
      <c r="AB448" s="161">
        <f>Performance!N153</f>
        <v>43312.0</v>
      </c>
      <c r="AC448" s="159">
        <f>Performance!AO153</f>
        <v>0.00042817309040788</v>
      </c>
      <c r="AD448" s="159" t="n">
        <v>0</v>
      </c>
    </row>
    <row r="449">
      <c r="AB449" s="161">
        <f>Performance!N154</f>
        <v>43343.0</v>
      </c>
      <c r="AC449" s="159">
        <f>Performance!AO154</f>
        <v>0.000324562160649577</v>
      </c>
      <c r="AD449" s="159" t="n">
        <v>0</v>
      </c>
    </row>
    <row r="450">
      <c r="AB450" s="161">
        <f>Performance!N155</f>
        <v>43371.0</v>
      </c>
      <c r="AC450" s="159">
        <f>Performance!AO155</f>
        <v>-0.00098979540880495</v>
      </c>
      <c r="AD450" s="159" t="n">
        <v>0</v>
      </c>
    </row>
    <row r="451">
      <c r="AB451" s="161">
        <f>Performance!N156</f>
        <v>43404.0</v>
      </c>
      <c r="AC451" s="159">
        <f>Performance!AO156</f>
        <v>-0.00326613884116056</v>
      </c>
      <c r="AD451" s="159" t="n">
        <v>0</v>
      </c>
    </row>
    <row r="452">
      <c r="AB452" s="161">
        <f>Performance!N157</f>
        <v>43434.0</v>
      </c>
      <c r="AC452" s="159">
        <f>Performance!AO157</f>
        <v>-0.00189380867463429</v>
      </c>
      <c r="AD452" s="159" t="n">
        <v>0</v>
      </c>
    </row>
    <row r="453">
      <c r="AB453" s="161">
        <f>Performance!N158</f>
        <v>43465.0</v>
      </c>
      <c r="AC453" s="159">
        <f>Performance!AO158</f>
        <v>-0.000151490731826298</v>
      </c>
      <c r="AD453" s="159" t="n">
        <v>0</v>
      </c>
    </row>
    <row r="454">
      <c r="AB454" s="161">
        <f>Performance!N159</f>
        <v>43496.0</v>
      </c>
      <c r="AC454" s="159">
        <f>Performance!AO159</f>
        <v>0.00121412633690876</v>
      </c>
      <c r="AD454" s="159" t="n">
        <v>0</v>
      </c>
    </row>
    <row r="455">
      <c r="AB455" s="161">
        <f>Performance!N160</f>
        <v>43524.0</v>
      </c>
      <c r="AC455" s="159">
        <f>Performance!AO160</f>
        <v>0.000936583771937727</v>
      </c>
      <c r="AD455" s="159" t="n">
        <v>0</v>
      </c>
    </row>
    <row r="456">
      <c r="AB456" s="161">
        <f>Performance!N161</f>
        <v>43553.0</v>
      </c>
      <c r="AC456" s="159">
        <f>Performance!AO161</f>
        <v>0.00123947116097467</v>
      </c>
      <c r="AD456" s="159" t="n">
        <v>0</v>
      </c>
    </row>
    <row r="457">
      <c r="AB457" s="161">
        <f>Performance!N162</f>
        <v>43585.0</v>
      </c>
      <c r="AC457" s="159">
        <f>Performance!AO162</f>
        <v>0.000980795397772516</v>
      </c>
      <c r="AD457" s="159" t="n">
        <v>0</v>
      </c>
    </row>
    <row r="458">
      <c r="AB458" s="161">
        <f>Performance!N163</f>
        <v>43616.0</v>
      </c>
      <c r="AC458" s="159">
        <f>Performance!AO163</f>
        <v>0.00247909497841037</v>
      </c>
      <c r="AD458" s="159" t="n">
        <v>0</v>
      </c>
    </row>
    <row r="459">
      <c r="AB459" s="161">
        <f>Performance!N164</f>
        <v>43644.0</v>
      </c>
      <c r="AC459" s="159">
        <f>Performance!AO164</f>
        <v>0.00365648241713012</v>
      </c>
      <c r="AD459" s="159" t="n">
        <v>0</v>
      </c>
    </row>
    <row r="460">
      <c r="AB460" s="161">
        <f>Performance!N165</f>
        <v>43677.0</v>
      </c>
      <c r="AC460" s="159">
        <f>Performance!AO165</f>
        <v>0.00292545912709863</v>
      </c>
      <c r="AD460" s="159" t="n">
        <v>0</v>
      </c>
    </row>
    <row r="461">
      <c r="AB461" s="161">
        <f>Performance!N166</f>
        <v>43707.0</v>
      </c>
      <c r="AC461" s="159">
        <f>Performance!AO166</f>
        <v>0.0024638126336447</v>
      </c>
      <c r="AD461" s="159" t="n">
        <v>0</v>
      </c>
    </row>
    <row r="462">
      <c r="AB462" s="161">
        <f>Performance!N167</f>
        <v>43738.0</v>
      </c>
      <c r="AC462" s="159">
        <f>Performance!AO167</f>
        <v>0.0055427611681409</v>
      </c>
      <c r="AD462" s="159" t="n">
        <v>0</v>
      </c>
    </row>
    <row r="463">
      <c r="AB463" s="161">
        <f>Performance!N168</f>
        <v>43769.0</v>
      </c>
      <c r="AC463" s="159">
        <f>Performance!AO168</f>
        <v>0.00365829322059197</v>
      </c>
      <c r="AD463" s="159" t="n">
        <v>0</v>
      </c>
    </row>
    <row r="464">
      <c r="AB464" s="161">
        <f>Performance!N169</f>
        <v>43798.0</v>
      </c>
      <c r="AC464" s="159">
        <f>Performance!AO169</f>
        <v>0.00507378523451751</v>
      </c>
      <c r="AD464" s="159" t="n">
        <v>0</v>
      </c>
    </row>
    <row r="465">
      <c r="AB465" s="161">
        <f>Performance!N170</f>
        <v>43830.0</v>
      </c>
      <c r="AC465" s="159">
        <f>Performance!AO170</f>
        <v>0.00305381054589349</v>
      </c>
      <c r="AD465" s="159" t="n">
        <v>0</v>
      </c>
    </row>
    <row r="466">
      <c r="AB466" s="161">
        <f>Performance!N171</f>
        <v>43861.0</v>
      </c>
      <c r="AC466" s="159">
        <f>Performance!AO171</f>
        <v>0.00334552144003197</v>
      </c>
      <c r="AD466" s="159" t="n">
        <v>0</v>
      </c>
    </row>
    <row r="467">
      <c r="AB467" s="161">
        <f>Performance!N172</f>
        <v>43889.0</v>
      </c>
      <c r="AC467" s="159">
        <f>Performance!AO172</f>
        <v>-0.000477895130245098</v>
      </c>
      <c r="AD467" s="159" t="n">
        <v>0</v>
      </c>
    </row>
    <row r="468">
      <c r="AB468" s="161">
        <f>Performance!N173</f>
        <v>43921.0</v>
      </c>
      <c r="AC468" s="159">
        <f>Performance!AO173</f>
        <v>-0.00595747125880708</v>
      </c>
      <c r="AD468" s="159" t="n">
        <v>0</v>
      </c>
    </row>
    <row r="469">
      <c r="AB469" s="161">
        <f>Performance!N174</f>
        <v>43951.0</v>
      </c>
      <c r="AC469" s="159">
        <f>Performance!AO174</f>
        <v>-0.000880908060895802</v>
      </c>
      <c r="AD469" s="159" t="n">
        <v>0</v>
      </c>
    </row>
    <row r="470">
      <c r="AB470" s="161">
        <f>Performance!N175</f>
        <v>43980.0</v>
      </c>
      <c r="AC470" s="159">
        <f>Performance!AO175</f>
        <v>-0.000282057588611773</v>
      </c>
      <c r="AD470" s="159" t="n">
        <v>0</v>
      </c>
    </row>
    <row r="471">
      <c r="AB471" s="161">
        <f>Performance!N176</f>
        <v>44012.0</v>
      </c>
      <c r="AC471" s="159">
        <f>Performance!AO176</f>
        <v>0.00244962033708385</v>
      </c>
      <c r="AD471" s="159" t="n">
        <v>0</v>
      </c>
    </row>
    <row r="472">
      <c r="AB472" s="161">
        <f>Performance!N177</f>
        <v>44043.0</v>
      </c>
      <c r="AC472" s="159">
        <f>Performance!AO177</f>
        <v>0.000583458186079744</v>
      </c>
      <c r="AD472" s="159" t="n">
        <v>0</v>
      </c>
    </row>
    <row r="473">
      <c r="AB473" s="161">
        <f>Performance!N178</f>
        <v>44074.0</v>
      </c>
      <c r="AC473" s="159">
        <f>Performance!AO178</f>
        <v>0.00358715564545964</v>
      </c>
      <c r="AD473" s="159" t="n">
        <v>0</v>
      </c>
    </row>
    <row r="474">
      <c r="AB474" s="161">
        <f>Performance!N179</f>
        <v>44104.0</v>
      </c>
      <c r="AC474" s="159">
        <f>Performance!AO179</f>
        <v>0.00235932267682948</v>
      </c>
      <c r="AD474" s="159" t="n">
        <v>0</v>
      </c>
    </row>
    <row r="475">
      <c r="AB475" s="161">
        <f>Performance!N180</f>
        <v>44134.0</v>
      </c>
      <c r="AC475" s="159">
        <f>Performance!AO180</f>
        <v>0.00195091214417764</v>
      </c>
      <c r="AD475" s="159" t="n">
        <v>0</v>
      </c>
    </row>
    <row r="476">
      <c r="AB476" s="161">
        <f>Performance!N181</f>
        <v>44165.0</v>
      </c>
      <c r="AC476" s="159">
        <f>Performance!AO181</f>
        <v>0.0042337503828207</v>
      </c>
      <c r="AD476" s="159" t="n">
        <v>0</v>
      </c>
    </row>
    <row r="477">
      <c r="AB477" s="161">
        <f>Performance!N182</f>
        <v>44196.0</v>
      </c>
      <c r="AC477" s="159">
        <f>Performance!AO182</f>
        <v>0.00269432945083725</v>
      </c>
      <c r="AD477" s="159" t="n">
        <v>0</v>
      </c>
    </row>
    <row r="478">
      <c r="AB478" s="161">
        <f>Performance!N183</f>
        <v>44225.0</v>
      </c>
      <c r="AC478" s="159">
        <f>Performance!AO183</f>
        <v>0.00350208729928192</v>
      </c>
      <c r="AD478" s="159" t="n">
        <v>0</v>
      </c>
    </row>
    <row r="479">
      <c r="AB479" s="161">
        <f>Performance!N184</f>
        <v>44253.0</v>
      </c>
      <c r="AC479" s="159">
        <f>Performance!AO184</f>
        <v>0.00382250043809185</v>
      </c>
      <c r="AD479" s="159" t="n">
        <v>0</v>
      </c>
    </row>
    <row r="480">
      <c r="AB480" s="161">
        <f>Performance!N185</f>
        <v>44286.0</v>
      </c>
      <c r="AC480" s="159">
        <f>Performance!AO185</f>
        <v>0.00143357610512873</v>
      </c>
      <c r="AD480" s="159" t="n">
        <v>0</v>
      </c>
    </row>
    <row r="481">
      <c r="AB481" s="161">
        <f>Performance!N186</f>
        <v>44316.0</v>
      </c>
      <c r="AC481" s="159">
        <f>Performance!AO186</f>
        <v>0.00203742649389049</v>
      </c>
      <c r="AD481" s="159" t="n">
        <v>0</v>
      </c>
    </row>
    <row r="482">
      <c r="AB482" s="161">
        <f>Performance!N187</f>
        <v>44347.0</v>
      </c>
      <c r="AC482" s="159">
        <f>Performance!AO187</f>
        <v>0.00185629913230323</v>
      </c>
      <c r="AD482" s="159" t="n">
        <v>0</v>
      </c>
    </row>
    <row r="483">
      <c r="AB483" s="161">
        <f>Performance!N188</f>
        <v>44377.0</v>
      </c>
      <c r="AC483" s="159">
        <f>Performance!AO188</f>
        <v>0.00144491497758792</v>
      </c>
      <c r="AD483" s="159" t="n">
        <v>0</v>
      </c>
    </row>
    <row r="484">
      <c r="AB484" s="161">
        <f>Performance!N189</f>
        <v>44407.0</v>
      </c>
      <c r="AC484" s="159">
        <f>Performance!AO189</f>
        <v>-0.000475750984371359</v>
      </c>
      <c r="AD484" s="159" t="n">
        <v>0</v>
      </c>
    </row>
    <row r="485">
      <c r="AB485" s="161">
        <f>Performance!N190</f>
        <v>44439.0</v>
      </c>
      <c r="AC485" s="159">
        <f>Performance!AO190</f>
        <v>0.00125696823002563</v>
      </c>
      <c r="AD485" s="159" t="n">
        <v>0</v>
      </c>
    </row>
    <row r="486">
      <c r="AB486" s="161">
        <f>Performance!N191</f>
        <v>44469.0</v>
      </c>
      <c r="AC486" s="159">
        <f>Performance!AO191</f>
        <v>-0.000641555109090808</v>
      </c>
      <c r="AD486" s="159" t="n">
        <v>0</v>
      </c>
    </row>
    <row r="487">
      <c r="AB487" s="161">
        <f>Performance!N192</f>
        <v>44498.0</v>
      </c>
      <c r="AC487" s="159">
        <f>Performance!AO192</f>
        <v>0.000773002147471891</v>
      </c>
      <c r="AD487" s="159" t="n">
        <v>0</v>
      </c>
    </row>
    <row r="488">
      <c r="AB488" s="161">
        <f>Performance!N193</f>
        <v>44530.0</v>
      </c>
      <c r="AC488" s="159">
        <f>Performance!AO193</f>
        <v>0.000301741886487905</v>
      </c>
      <c r="AD488" s="159" t="n">
        <v>0</v>
      </c>
    </row>
    <row r="489">
      <c r="AB489" s="161">
        <f>Performance!N194</f>
        <v>44561.0</v>
      </c>
      <c r="AC489" s="159">
        <f>Performance!AO194</f>
        <v>9.69834201989261e-05</v>
      </c>
      <c r="AD489" s="159" t="n">
        <v>0</v>
      </c>
    </row>
    <row r="490">
      <c r="AB490" s="161">
        <f>Performance!N195</f>
        <v>44592.0</v>
      </c>
      <c r="AC490" s="159">
        <f>Performance!AO195</f>
        <v>-0.0030459235447764</v>
      </c>
      <c r="AD490" s="159" t="n">
        <v>0</v>
      </c>
    </row>
    <row r="491">
      <c r="AB491" s="161">
        <f>Performance!N196</f>
        <v>44620.0</v>
      </c>
      <c r="AC491" s="159">
        <f>Performance!AO196</f>
        <v>-0.00249392817333116</v>
      </c>
      <c r="AD491" s="159" t="n">
        <v>0</v>
      </c>
    </row>
    <row r="492">
      <c r="AB492" s="161">
        <f>Performance!N197</f>
        <v>44651.0</v>
      </c>
      <c r="AC492" s="159">
        <f>Performance!AO197</f>
        <v>-0.000523533948918464</v>
      </c>
      <c r="AD492" s="159" t="n">
        <v>0</v>
      </c>
    </row>
    <row r="493">
      <c r="AB493" s="161">
        <f>Performance!N198</f>
        <v>44680.0</v>
      </c>
      <c r="AC493" s="159">
        <f>Performance!AO198</f>
        <v>-0.00098574751157221</v>
      </c>
      <c r="AD493" s="159" t="n">
        <v>0</v>
      </c>
    </row>
    <row r="494">
      <c r="AB494" s="161">
        <f>Performance!N199</f>
        <v>44712.0</v>
      </c>
      <c r="AC494" s="159">
        <f>Performance!AO199</f>
        <v>-0.00139852774656002</v>
      </c>
      <c r="AD494" s="159" t="n">
        <v>0</v>
      </c>
    </row>
    <row r="495">
      <c r="AB495" s="161">
        <f>Performance!N200</f>
        <v>44742.0</v>
      </c>
      <c r="AC495" s="159">
        <f>Performance!AO200</f>
        <v>-0.00357334745718463</v>
      </c>
      <c r="AD495" s="159" t="n">
        <v>0</v>
      </c>
    </row>
    <row r="496">
      <c r="AB496" s="161">
        <f>Performance!N201</f>
        <v>44771.0</v>
      </c>
      <c r="AC496" s="159">
        <f>Performance!AO201</f>
        <v>-0.00131726587399039</v>
      </c>
      <c r="AD496" s="159" t="n">
        <v>0</v>
      </c>
    </row>
    <row r="497">
      <c r="AB497" s="161">
        <f>Performance!N202</f>
        <v>44804.0</v>
      </c>
      <c r="AC497" s="159">
        <f>Performance!AO202</f>
        <v>-0.00104791448321495</v>
      </c>
      <c r="AD497" s="159" t="n">
        <v>0</v>
      </c>
    </row>
    <row r="498">
      <c r="AB498" s="161">
        <f>Performance!N203</f>
        <v>44834.0</v>
      </c>
      <c r="AC498" s="159">
        <f>Performance!AO203</f>
        <v>-0.00202523275568622</v>
      </c>
      <c r="AD498" s="159" t="n">
        <v>0</v>
      </c>
    </row>
    <row r="499">
      <c r="AB499" s="161">
        <f>Performance!N204</f>
        <v>44865.0</v>
      </c>
      <c r="AC499" s="159">
        <f>Performance!AO204</f>
        <v>-0.00100145699760112</v>
      </c>
      <c r="AD499" s="159" t="n">
        <v>0</v>
      </c>
    </row>
    <row r="500">
      <c r="AB500" s="161">
        <f>Performance!N205</f>
        <v>44895.0</v>
      </c>
      <c r="AC500" s="159">
        <f>Performance!AO205</f>
        <v>0.00021280290909842</v>
      </c>
      <c r="AD500" s="159" t="n">
        <v>0</v>
      </c>
    </row>
    <row r="501">
      <c r="AB501" s="161">
        <f>Performance!N206</f>
        <v>44925.0</v>
      </c>
      <c r="AC501" s="159">
        <f>Performance!AO206</f>
        <v>-0.000991011559219102</v>
      </c>
      <c r="AD501" s="159" t="n">
        <v>0</v>
      </c>
    </row>
    <row r="502">
      <c r="AB502" s="161">
        <f>Performance!N207</f>
        <v>44957.0</v>
      </c>
      <c r="AC502" s="159">
        <f>Performance!AO207</f>
        <v>0.00187483490727725</v>
      </c>
      <c r="AD502" s="159" t="n">
        <v>0</v>
      </c>
    </row>
    <row r="503">
      <c r="AB503" s="161">
        <f>Performance!N208</f>
        <v>44985.0</v>
      </c>
      <c r="AC503" s="159">
        <f>Performance!AO208</f>
        <v>0.000812378398914904</v>
      </c>
      <c r="AD503" s="159" t="n">
        <v>0</v>
      </c>
    </row>
    <row r="504">
      <c r="AB504" s="161">
        <f>Performance!N209</f>
        <v>45016.0</v>
      </c>
      <c r="AC504" s="159">
        <f>Performance!AO209</f>
        <v>0.000975859455917494</v>
      </c>
      <c r="AD504" s="159" t="n">
        <v>0</v>
      </c>
    </row>
    <row r="505">
      <c r="AB505" s="161">
        <f>Performance!N210</f>
        <v>45044.0</v>
      </c>
      <c r="AC505" s="159">
        <f>Performance!AO210</f>
        <v>0.000721119501912559</v>
      </c>
      <c r="AD505" s="159" t="n">
        <v>0</v>
      </c>
    </row>
    <row r="506">
      <c r="AB506" s="161">
        <f>Performance!N211</f>
        <v>45077.0</v>
      </c>
      <c r="AC506" s="159">
        <f>Performance!AO211</f>
        <v>-0.000261031002426027</v>
      </c>
      <c r="AD506" s="159" t="n">
        <v>0</v>
      </c>
    </row>
    <row r="507">
      <c r="AB507" s="161">
        <f>Performance!N212</f>
        <v>45107.0</v>
      </c>
      <c r="AC507" s="159">
        <f>Performance!AO212</f>
        <v>-0.00148036423771902</v>
      </c>
      <c r="AD507" s="159" t="n">
        <v>0</v>
      </c>
    </row>
    <row r="508">
      <c r="AB508" s="161">
        <f>Performance!N213</f>
        <v>45138.0</v>
      </c>
      <c r="AC508" s="159">
        <f>Performance!AO213</f>
        <v>-0.00144978168293686</v>
      </c>
      <c r="AD508" s="159" t="n">
        <v>0</v>
      </c>
    </row>
    <row r="509">
      <c r="AB509" s="161">
        <f>Performance!N214</f>
        <v>45169.0</v>
      </c>
      <c r="AC509" s="159">
        <f>Performance!AO214</f>
        <v>-0.00235500367953256</v>
      </c>
      <c r="AD509" s="159" t="n">
        <v>0</v>
      </c>
    </row>
    <row r="510">
      <c r="AB510" s="161">
        <f>Performance!N215</f>
        <v>45198.0</v>
      </c>
      <c r="AC510" s="159">
        <f>Performance!AO215</f>
        <v>-0.00340003173092796</v>
      </c>
      <c r="AD510" s="159" t="n">
        <v>0</v>
      </c>
    </row>
    <row r="511">
      <c r="AB511" s="161">
        <f>Performance!N216</f>
        <v>45230.0</v>
      </c>
      <c r="AC511" s="159">
        <f>Performance!AO216</f>
        <v>-0.00339637261249215</v>
      </c>
      <c r="AD511" s="159" t="n">
        <v>0</v>
      </c>
    </row>
    <row r="512">
      <c r="AB512" s="161">
        <f>Performance!N217</f>
        <v>45260.0</v>
      </c>
      <c r="AC512" s="159">
        <f>Performance!AO217</f>
        <v>-0.00155911017637767</v>
      </c>
      <c r="AD512" s="159" t="n">
        <v>0</v>
      </c>
    </row>
    <row r="513">
      <c r="AB513" s="161">
        <f>Performance!N218</f>
        <v>45289.0</v>
      </c>
      <c r="AC513" s="159">
        <f>Performance!AO218</f>
        <v>-8.56586719804042e-05</v>
      </c>
      <c r="AD513" s="159" t="n">
        <v>0</v>
      </c>
    </row>
    <row r="514">
      <c r="AB514" s="161">
        <f>Performance!N219</f>
        <v>45322.0</v>
      </c>
      <c r="AC514" s="159">
        <f>Performance!AO219</f>
        <v>-0.0015447045828223</v>
      </c>
      <c r="AD514" s="159" t="n">
        <v>0</v>
      </c>
    </row>
    <row r="515">
      <c r="AB515" s="161">
        <f>Performance!N220</f>
        <v>45351.0</v>
      </c>
      <c r="AC515" s="159">
        <f>Performance!AO220</f>
        <v>-0.00328473397569762</v>
      </c>
      <c r="AD515" s="159" t="n">
        <v>0</v>
      </c>
    </row>
    <row r="516">
      <c r="AB516" s="161">
        <f>Performance!N221</f>
        <v>45380.0</v>
      </c>
      <c r="AC516" s="159">
        <f>Performance!AO221</f>
        <v>-0.0039148162520497</v>
      </c>
      <c r="AD516" s="159" t="n">
        <v>0</v>
      </c>
    </row>
    <row r="517">
      <c r="AB517" s="161">
        <f>Performance!N222</f>
        <v>45412.0</v>
      </c>
      <c r="AC517" s="159">
        <f>Performance!AO222</f>
        <v>-0.00534378908875488</v>
      </c>
      <c r="AD517" s="159" t="n">
        <v>0</v>
      </c>
    </row>
    <row r="518">
      <c r="AB518" s="161">
        <f>Performance!N223</f>
        <v>45443.0</v>
      </c>
      <c r="AC518" s="159">
        <f>Performance!AO223</f>
        <v>-0.00634103781603734</v>
      </c>
      <c r="AD518" s="159" t="n">
        <v>0</v>
      </c>
    </row>
    <row r="519">
      <c r="AB519" s="161">
        <f>Performance!N224</f>
        <v>45471.0</v>
      </c>
      <c r="AC519" s="159">
        <f>Performance!AO224</f>
        <v>-0.00636745202267508</v>
      </c>
      <c r="AD519" s="159" t="n">
        <v>0</v>
      </c>
    </row>
    <row r="520">
      <c r="AB520" s="161">
        <f>Performance!N225</f>
        <v>45504.0</v>
      </c>
      <c r="AC520" s="159">
        <f>Performance!AO225</f>
        <v>-0.00582608323312828</v>
      </c>
      <c r="AD520" s="159" t="n">
        <v>0</v>
      </c>
    </row>
    <row r="521">
      <c r="AB521" s="161">
        <f>Performance!N226</f>
        <v>45534.0</v>
      </c>
      <c r="AC521" s="159">
        <f>Performance!AO226</f>
        <v>-0.00465819522922573</v>
      </c>
      <c r="AD521" s="159" t="n">
        <v>0</v>
      </c>
    </row>
    <row r="522">
      <c r="AB522" s="161">
        <f>Performance!N227</f>
        <v>45565.0</v>
      </c>
      <c r="AC522" s="159">
        <f>Performance!AO227</f>
        <v>-0.00438009562124142</v>
      </c>
      <c r="AD522" s="159" t="n">
        <v>0</v>
      </c>
    </row>
    <row r="523">
      <c r="AB523" s="161">
        <f>Performance!N228</f>
        <v>45596.0</v>
      </c>
      <c r="AC523" s="159">
        <f>Performance!AO228</f>
        <v>-0.0055426281018085</v>
      </c>
      <c r="AD523" s="159" t="n">
        <v>0</v>
      </c>
    </row>
    <row r="524">
      <c r="AB524" s="161">
        <f>Performance!N229</f>
        <v>45625.0</v>
      </c>
      <c r="AC524" s="159">
        <f>Performance!AO229</f>
        <v>-0.0047511900043824</v>
      </c>
      <c r="AD524" s="159" t="n">
        <v>0</v>
      </c>
    </row>
    <row r="525">
      <c r="AB525" s="161">
        <f>Performance!N230</f>
        <v>45657.0</v>
      </c>
      <c r="AC525" s="159">
        <f>Performance!AO230</f>
        <v>-0.0054873558260804</v>
      </c>
      <c r="AD525" s="159" t="n">
        <v>0</v>
      </c>
    </row>
    <row r="526">
      <c r="AB526" s="161">
        <f>Performance!N231</f>
        <v>45688.0</v>
      </c>
      <c r="AC526" s="159">
        <f>Performance!AO231</f>
        <v>-0.00561323466936448</v>
      </c>
      <c r="AD526" s="159" t="n">
        <v>0</v>
      </c>
    </row>
    <row r="527">
      <c r="AB527" s="161">
        <f>Performance!N232</f>
        <v>45716.0</v>
      </c>
      <c r="AC527" s="159">
        <f>Performance!AO232</f>
        <v>-0.00433211388091515</v>
      </c>
      <c r="AD527" s="159" t="n">
        <v>0</v>
      </c>
    </row>
    <row r="528">
      <c r="AB528" s="161">
        <f>Performance!N233</f>
        <v>45747.0</v>
      </c>
      <c r="AC528" s="159">
        <f>Performance!AO233</f>
        <v>0.00139034298251528</v>
      </c>
      <c r="AD528" s="159" t="n">
        <v>0</v>
      </c>
    </row>
    <row r="529">
      <c r="AB529" s="161">
        <f>Performance!N234</f>
        <v>45777.0</v>
      </c>
      <c r="AC529" s="159">
        <f>Performance!AO234</f>
        <v>-0.000751978326394287</v>
      </c>
      <c r="AD529" s="159" t="n">
        <v>0</v>
      </c>
    </row>
    <row r="530">
      <c r="AB530" s="161">
        <f>Performance!N235</f>
        <v>45807.0</v>
      </c>
      <c r="AC530" s="159">
        <f>Performance!AO235</f>
        <v>-0.000739141619479078</v>
      </c>
      <c r="AD530" s="159" t="n">
        <v>0</v>
      </c>
    </row>
    <row r="531">
      <c r="AB531" s="161">
        <f>Performance!N236</f>
        <v>45838.0</v>
      </c>
      <c r="AC531" s="159">
        <f>Performance!AO236</f>
        <v>-0.00193144694056779</v>
      </c>
      <c r="AD531" s="159" t="n">
        <v>0</v>
      </c>
    </row>
    <row r="532">
      <c r="AB532" s="161">
        <f>Performance!N237</f>
        <v>45869.0</v>
      </c>
      <c r="AC532" s="159">
        <f>Performance!AO237</f>
        <v>-0.00177869831401201</v>
      </c>
      <c r="AD532" s="159" t="n">
        <v>0</v>
      </c>
    </row>
    <row r="533">
      <c r="AB533" s="161">
        <f>Performance!N238</f>
        <v>45898.0</v>
      </c>
      <c r="AC533" s="159">
        <f>Performance!AO238</f>
        <v>-0.00142056773666877</v>
      </c>
      <c r="AD533" s="159" t="n">
        <v>0</v>
      </c>
    </row>
    <row r="534">
      <c r="AB534" s="161">
        <f>Performance!N239</f>
        <v>45930.0</v>
      </c>
      <c r="AC534" s="159">
        <f>Performance!AO239</f>
        <v>-0.000635072116636826</v>
      </c>
      <c r="AD534" s="159" t="n">
        <v>0</v>
      </c>
    </row>
    <row r="535">
      <c r="AB535" s="161">
        <f>Performance!N240</f>
        <v>45961.0</v>
      </c>
      <c r="AC535" s="159">
        <f>Performance!AO240</f>
        <v>-0.00194865486243301</v>
      </c>
      <c r="AD535" s="159" t="n">
        <v>0</v>
      </c>
    </row>
    <row r="536">
      <c r="AB536" s="161">
        <f>Performance!N241</f>
        <v>45989.0</v>
      </c>
      <c r="AC536" s="159">
        <f>Performance!AO241</f>
        <v>-0.00506437893533707</v>
      </c>
      <c r="AD536" s="159" t="n">
        <v>0</v>
      </c>
    </row>
    <row r="537">
      <c r="AB537" s="161">
        <f>Performance!N242</f>
        <v>46022.0</v>
      </c>
      <c r="AC537" s="159">
        <f>Performance!AO242</f>
        <v>-0.00452146155872413</v>
      </c>
      <c r="AD537" s="159" t="n">
        <v>0</v>
      </c>
    </row>
    <row r="538">
      <c r="AB538" s="161">
        <f>Performance!N243</f>
        <v>46052.0</v>
      </c>
      <c r="AC538" s="159">
        <f>Performance!AO243</f>
        <v>-0.00359546277899914</v>
      </c>
      <c r="AD538" s="159" t="n">
        <v>0</v>
      </c>
    </row>
    <row r="539">
      <c r="AB539" s="161">
        <f>Performance!N244</f>
        <v>46080.0</v>
      </c>
      <c r="AC539" s="159">
        <f>Performance!AO244</f>
        <v>-0.00262273428520099</v>
      </c>
      <c r="AD539" s="159" t="n">
        <v>0</v>
      </c>
    </row>
    <row r="540">
      <c r="AB540" s="161">
        <f>Performance!N245</f>
        <v>46112.0</v>
      </c>
      <c r="AC540" s="159">
        <f>Performance!AO245</f>
        <v>-0.00433725306025656</v>
      </c>
      <c r="AD540" s="159" t="n">
        <v>0</v>
      </c>
    </row>
  </sheetData>
  <pageMargins left="0.75" right="0.75" top="1" bottom="1" header="0.5" footer="0.5"/>
  <pageSetup orientation="landscape" fitToHeight="0"/>
  <drawing xmlns:r="http://schemas.openxmlformats.org/officeDocument/2006/relationships" r:id="rId1"/>
</worksheet>
</file>

<file path=xl/worksheets/sheet3.xml><?xml version="1.0" encoding="utf-8"?>
<worksheet xmlns="http://schemas.openxmlformats.org/spreadsheetml/2006/main">
  <sheetPr>
    <tabColor rgb="FF1F4E79"/>
    <outlinePr summaryBelow="1" summaryRight="1"/>
    <pageSetUpPr fitToPage="1"/>
  </sheetPr>
  <dimension ref="A1:J80"/>
  <sheetViews>
    <sheetView showGridLines="0" topLeftCell="A19" workbookViewId="0">
      <selection activeCell="C38" sqref="C38:C49"/>
    </sheetView>
  </sheetViews>
  <sheetFormatPr baseColWidth="10" defaultColWidth="8.83203125" defaultRowHeight="15"/>
  <cols>
    <col width="40" customWidth="1" min="1" max="1"/>
    <col width="13" customWidth="1" min="2" max="2"/>
    <col width="24" customWidth="1" min="3" max="3"/>
    <col width="12" customWidth="1" min="4" max="6"/>
    <col width="11" customWidth="1" min="7" max="8"/>
    <col width="3" customWidth="1" min="9" max="9"/>
    <col width="30" customWidth="1" min="10" max="10"/>
  </cols>
  <sheetData>
    <row r="1" ht="19" customHeight="1">
      <c r="A1" s="53" t="inlineStr">
        <is>
          <t>Inputs</t>
        </is>
      </c>
    </row>
    <row r="3">
      <c r="A3" s="165" t="inlineStr">
        <is>
          <t>1. Asset classes (linked to Fund balance sheet and Fee schedule)</t>
        </is>
      </c>
      <c r="B3" s="166" t="n"/>
      <c r="C3" s="166" t="n"/>
      <c r="D3" s="166" t="n"/>
      <c r="E3" s="166" t="n"/>
      <c r="F3" s="166" t="n"/>
      <c r="G3" s="166" t="n"/>
      <c r="H3" s="167" t="n"/>
    </row>
    <row r="4">
      <c r="A4" s="168" t="inlineStr">
        <is>
          <t>Asset class</t>
        </is>
      </c>
      <c r="B4" s="169" t="inlineStr">
        <is>
          <t>Current fund</t>
        </is>
      </c>
      <c r="C4" s="169" t="inlineStr">
        <is>
          <t>Benchmark</t>
        </is>
      </c>
      <c r="D4" s="169" t="inlineStr">
        <is>
          <t>Fee (p.a.)</t>
        </is>
      </c>
      <c r="E4" s="169" t="inlineStr">
        <is>
          <t>Lower bound</t>
        </is>
      </c>
      <c r="F4" s="169" t="inlineStr">
        <is>
          <t>Upper bound</t>
        </is>
      </c>
      <c r="G4" s="169" t="inlineStr">
        <is>
          <t>Equity (1/0)</t>
        </is>
      </c>
      <c r="H4" s="170" t="inlineStr">
        <is>
          <t>Illiquid (1/0)</t>
        </is>
      </c>
      <c r="J4" s="171" t="inlineStr">
        <is>
          <t>Blue = input</t>
        </is>
      </c>
    </row>
    <row r="5">
      <c r="A5" s="172" t="inlineStr">
        <is>
          <t>Australian Equities</t>
        </is>
      </c>
      <c r="B5" s="68">
        <f>N('Fund balance sheet'!C7)</f>
        <v>0.4</v>
      </c>
      <c r="C5" s="68">
        <f>N('Fund balance sheet'!D7)</f>
        <v>0.25</v>
      </c>
      <c r="D5" s="72">
        <f>'Fee schedule'!B6</f>
        <v>0.001</v>
      </c>
      <c r="E5" s="173" t="n">
        <v>0.15</v>
      </c>
      <c r="F5" s="173" t="n">
        <v>0.35</v>
      </c>
      <c r="G5" s="174" t="n">
        <v>1</v>
      </c>
      <c r="H5" s="175" t="n">
        <v>0</v>
      </c>
      <c r="J5" s="158" t="inlineStr">
        <is>
          <t>Black = formula</t>
        </is>
      </c>
    </row>
    <row r="6">
      <c r="A6" s="172" t="inlineStr">
        <is>
          <t>World Equities</t>
        </is>
      </c>
      <c r="B6" s="68">
        <f>N('Fund balance sheet'!C8)</f>
        <v>0.2</v>
      </c>
      <c r="C6" s="68">
        <f>N('Fund balance sheet'!D8)</f>
        <v>0.24</v>
      </c>
      <c r="D6" s="72">
        <f>'Fee schedule'!B7</f>
        <v>0.0015</v>
      </c>
      <c r="E6" s="173" t="n">
        <v>0.15</v>
      </c>
      <c r="F6" s="173" t="n">
        <v>0.35</v>
      </c>
      <c r="G6" s="174" t="n">
        <v>1</v>
      </c>
      <c r="H6" s="175" t="n">
        <v>0</v>
      </c>
      <c r="J6" s="176" t="inlineStr">
        <is>
          <t>Yellow = Solver decision cell</t>
        </is>
      </c>
    </row>
    <row r="7">
      <c r="A7" s="172" t="inlineStr">
        <is>
          <t>Emerging Markets</t>
        </is>
      </c>
      <c r="B7" s="68">
        <f>N('Fund balance sheet'!C9)</f>
        <v>0</v>
      </c>
      <c r="C7" s="68">
        <f>N('Fund balance sheet'!D9)</f>
        <v>0.03</v>
      </c>
      <c r="D7" s="72">
        <f>'Fee schedule'!B8</f>
        <v>0.002</v>
      </c>
      <c r="E7" s="173" t="n">
        <v>0</v>
      </c>
      <c r="F7" s="173" t="n">
        <v>0.08</v>
      </c>
      <c r="G7" s="174" t="n">
        <v>1</v>
      </c>
      <c r="H7" s="175" t="n">
        <v>0</v>
      </c>
    </row>
    <row r="8">
      <c r="A8" s="172" t="inlineStr">
        <is>
          <t>Listed Property</t>
        </is>
      </c>
      <c r="B8" s="68">
        <f>N('Fund balance sheet'!C19)</f>
        <v>0.1</v>
      </c>
      <c r="C8" s="68">
        <f>N('Fund balance sheet'!D19)</f>
        <v>0.07</v>
      </c>
      <c r="D8" s="72">
        <f>'Fee schedule'!B9</f>
        <v>0.0015</v>
      </c>
      <c r="E8" s="173" t="n">
        <v>0</v>
      </c>
      <c r="F8" s="173" t="n">
        <v>0.12</v>
      </c>
      <c r="G8" s="174" t="n">
        <v>0</v>
      </c>
      <c r="H8" s="175" t="n">
        <v>0</v>
      </c>
    </row>
    <row r="9">
      <c r="A9" s="172" t="inlineStr">
        <is>
          <t>Commodities</t>
        </is>
      </c>
      <c r="B9" s="68">
        <f>N('Fund balance sheet'!C26)</f>
        <v>0</v>
      </c>
      <c r="C9" s="68">
        <f>N('Fund balance sheet'!D26)</f>
        <v>0.02</v>
      </c>
      <c r="D9" s="72">
        <f>'Fee schedule'!B17</f>
        <v>0.0025</v>
      </c>
      <c r="E9" s="173" t="n">
        <v>0</v>
      </c>
      <c r="F9" s="173" t="n">
        <v>0.08</v>
      </c>
      <c r="G9" s="174" t="n">
        <v>0</v>
      </c>
      <c r="H9" s="175" t="n">
        <v>0</v>
      </c>
    </row>
    <row r="10">
      <c r="A10" s="172" t="inlineStr">
        <is>
          <t>Direct Property</t>
        </is>
      </c>
      <c r="B10" s="68">
        <f>N('Fund balance sheet'!C20)</f>
        <v>0</v>
      </c>
      <c r="C10" s="68">
        <f>N('Fund balance sheet'!D20)</f>
        <v>0.05</v>
      </c>
      <c r="D10" s="72">
        <f>'Fee schedule'!B14</f>
        <v>0.012</v>
      </c>
      <c r="E10" s="173" t="n">
        <v>0</v>
      </c>
      <c r="F10" s="173" t="n">
        <v>0.1</v>
      </c>
      <c r="G10" s="174" t="n">
        <v>0</v>
      </c>
      <c r="H10" s="175" t="n">
        <v>1</v>
      </c>
    </row>
    <row r="11">
      <c r="A11" s="172" t="inlineStr">
        <is>
          <t>Hedge Funds</t>
        </is>
      </c>
      <c r="B11" s="68">
        <f>N('Fund balance sheet'!C24)</f>
        <v>0</v>
      </c>
      <c r="C11" s="68">
        <f>N('Fund balance sheet'!D24)</f>
        <v>0.03</v>
      </c>
      <c r="D11" s="72">
        <f>'Fee schedule'!B15</f>
        <v>0.025</v>
      </c>
      <c r="E11" s="173" t="n">
        <v>0</v>
      </c>
      <c r="F11" s="173" t="n">
        <v>0.08</v>
      </c>
      <c r="G11" s="174" t="n">
        <v>0</v>
      </c>
      <c r="H11" s="175" t="n">
        <v>1</v>
      </c>
    </row>
    <row r="12">
      <c r="A12" s="172" t="inlineStr">
        <is>
          <t>Private Equity</t>
        </is>
      </c>
      <c r="B12" s="68">
        <f>N('Fund balance sheet'!C25)</f>
        <v>0</v>
      </c>
      <c r="C12" s="68">
        <f>N('Fund balance sheet'!D25)</f>
        <v>0.03</v>
      </c>
      <c r="D12" s="72">
        <f>'Fee schedule'!B16</f>
        <v>0.03</v>
      </c>
      <c r="E12" s="173" t="n">
        <v>0</v>
      </c>
      <c r="F12" s="173" t="n">
        <v>0.08</v>
      </c>
      <c r="G12" s="174" t="n">
        <v>0</v>
      </c>
      <c r="H12" s="175" t="n">
        <v>1</v>
      </c>
    </row>
    <row r="13">
      <c r="A13" s="172" t="inlineStr">
        <is>
          <t>Australian Fixed Income</t>
        </is>
      </c>
      <c r="B13" s="68">
        <f>N('Fund balance sheet'!C13)</f>
        <v>0.15</v>
      </c>
      <c r="C13" s="68">
        <f>N('Fund balance sheet'!D13)</f>
        <v>0.14</v>
      </c>
      <c r="D13" s="72">
        <f>'Fee schedule'!B10</f>
        <v>0.001</v>
      </c>
      <c r="E13" s="173" t="n">
        <v>0.12</v>
      </c>
      <c r="F13" s="173" t="n">
        <v>0.25</v>
      </c>
      <c r="G13" s="174" t="n">
        <v>0</v>
      </c>
      <c r="H13" s="175" t="n">
        <v>0</v>
      </c>
    </row>
    <row r="14">
      <c r="A14" s="172" t="inlineStr">
        <is>
          <t>World Fixed Income</t>
        </is>
      </c>
      <c r="B14" s="68">
        <f>N('Fund balance sheet'!C14)</f>
        <v>0.08</v>
      </c>
      <c r="C14" s="68">
        <f>N('Fund balance sheet'!D14)</f>
        <v>0.11</v>
      </c>
      <c r="D14" s="72">
        <f>'Fee schedule'!B11</f>
        <v>0.0015</v>
      </c>
      <c r="E14" s="173" t="n">
        <v>0.05</v>
      </c>
      <c r="F14" s="173" t="n">
        <v>0.2</v>
      </c>
      <c r="G14" s="174" t="n">
        <v>0</v>
      </c>
      <c r="H14" s="175" t="n">
        <v>0</v>
      </c>
    </row>
    <row r="15">
      <c r="A15" s="172" t="inlineStr">
        <is>
          <t>Cash</t>
        </is>
      </c>
      <c r="B15" s="68">
        <f>N('Fund balance sheet'!C15)</f>
        <v>0.07</v>
      </c>
      <c r="C15" s="68">
        <f>N('Fund balance sheet'!D15)</f>
        <v>0.03</v>
      </c>
      <c r="D15" s="72">
        <f>'Fee schedule'!B5</f>
        <v>0</v>
      </c>
      <c r="E15" s="173" t="n">
        <v>0.02</v>
      </c>
      <c r="F15" s="173" t="n">
        <v>0.1</v>
      </c>
      <c r="G15" s="174" t="n">
        <v>0</v>
      </c>
      <c r="H15" s="175" t="n">
        <v>0</v>
      </c>
    </row>
    <row r="16">
      <c r="A16" s="177" t="inlineStr">
        <is>
          <t>Total</t>
        </is>
      </c>
      <c r="B16" s="178">
        <f>SUM(B5:B15)</f>
        <v>1</v>
      </c>
      <c r="C16" s="178">
        <f>SUM(C5:C15)</f>
        <v>1</v>
      </c>
      <c r="D16" s="179" t="n"/>
      <c r="E16" s="179" t="n"/>
      <c r="F16" s="179" t="n"/>
      <c r="G16" s="179" t="n"/>
      <c r="H16" s="180" t="n"/>
    </row>
    <row r="18">
      <c r="A18" s="732" t="inlineStr">
        <is>
          <t>Australian fixed income floor 12%: home-currency defensive anchor; keeps the bond split stable against resampling (Methods section 3).</t>
        </is>
      </c>
    </row>
    <row r="20">
      <c r="A20" s="181" t="inlineStr">
        <is>
          <t>2. Mandate and constraints</t>
        </is>
      </c>
      <c r="B20" s="182" t="n"/>
      <c r="C20" s="183" t="n"/>
    </row>
    <row r="21">
      <c r="A21" s="184" t="inlineStr">
        <is>
          <t>Parameter</t>
        </is>
      </c>
      <c r="B21" s="185" t="inlineStr">
        <is>
          <t>Value</t>
        </is>
      </c>
      <c r="C21" s="186" t="inlineStr">
        <is>
          <t>Source</t>
        </is>
      </c>
    </row>
    <row r="22">
      <c r="A22" s="187" t="inlineStr">
        <is>
          <t>Funds under management (A$m)</t>
        </is>
      </c>
      <c r="B22" s="188">
        <f>'Fund balance sheet'!B29</f>
        <v>3000</v>
      </c>
      <c r="C22" s="416" t="inlineStr">
        <is>
          <t>Fund balance sheet</t>
        </is>
      </c>
    </row>
    <row r="23">
      <c r="A23" s="187" t="inlineStr">
        <is>
          <t>5-year bond yield</t>
        </is>
      </c>
      <c r="B23" s="189" t="n">
        <v>0.04988</v>
      </c>
      <c r="C23" s="416" t="inlineStr">
        <is>
          <t>RBA F2, 22-Sep-26</t>
        </is>
      </c>
    </row>
    <row r="24">
      <c r="A24" s="187" t="inlineStr">
        <is>
          <t>Target spread</t>
        </is>
      </c>
      <c r="B24" s="189" t="n">
        <v>0.04</v>
      </c>
      <c r="C24" s="416" t="inlineStr">
        <is>
          <t>Brief</t>
        </is>
      </c>
    </row>
    <row r="25">
      <c r="A25" s="187" t="inlineStr">
        <is>
          <t>Required return (yield + spread)</t>
        </is>
      </c>
      <c r="B25" s="72">
        <f>B23+B24</f>
        <v>0.08988</v>
      </c>
      <c r="C25" s="416" t="inlineStr">
        <is>
          <t>Calc</t>
        </is>
      </c>
    </row>
    <row r="26">
      <c r="A26" s="187" t="inlineStr">
        <is>
          <t>Australian cash rate</t>
        </is>
      </c>
      <c r="B26" s="189" t="n">
        <v>0.046</v>
      </c>
      <c r="C26" s="416" t="inlineStr">
        <is>
          <t>RBA, 29-Sep-26</t>
        </is>
      </c>
    </row>
    <row r="27">
      <c r="A27" s="187" t="inlineStr">
        <is>
          <t>Tracking error limit</t>
        </is>
      </c>
      <c r="B27" s="189" t="n">
        <v>0.015</v>
      </c>
      <c r="C27" s="416" t="inlineStr">
        <is>
          <t>Brief</t>
        </is>
      </c>
    </row>
    <row r="28">
      <c r="A28" s="187" t="inlineStr">
        <is>
          <t>5-year loss probability limit</t>
        </is>
      </c>
      <c r="B28" s="173" t="n">
        <v>0.25</v>
      </c>
      <c r="C28" s="416" t="inlineStr">
        <is>
          <t>Brief</t>
        </is>
      </c>
    </row>
    <row r="29">
      <c r="A29" s="187" t="inlineStr">
        <is>
          <t>Equity band (+/-)</t>
        </is>
      </c>
      <c r="B29" s="173" t="n">
        <v>0.1</v>
      </c>
      <c r="C29" s="416" t="inlineStr">
        <is>
          <t>Brief</t>
        </is>
      </c>
    </row>
    <row r="30">
      <c r="A30" s="187" t="inlineStr">
        <is>
          <t>Benchmark equity weight</t>
        </is>
      </c>
      <c r="B30" s="68">
        <f>SUMPRODUCT(C5:C15,G5:G15)</f>
        <v>0.52</v>
      </c>
      <c r="C30" s="416" t="inlineStr">
        <is>
          <t>Calc</t>
        </is>
      </c>
    </row>
    <row r="31">
      <c r="A31" s="187" t="inlineStr">
        <is>
          <t>Equity minimum</t>
        </is>
      </c>
      <c r="B31" s="68">
        <f>B30-B29</f>
        <v>0.42</v>
      </c>
      <c r="C31" s="416" t="inlineStr">
        <is>
          <t>Calc</t>
        </is>
      </c>
    </row>
    <row r="32">
      <c r="A32" s="187" t="inlineStr">
        <is>
          <t>Equity maximum</t>
        </is>
      </c>
      <c r="B32" s="68">
        <f>B30+B29</f>
        <v>0.62</v>
      </c>
      <c r="C32" s="416" t="inlineStr">
        <is>
          <t>Calc</t>
        </is>
      </c>
    </row>
    <row r="33">
      <c r="A33" s="187" t="inlineStr">
        <is>
          <t>Illiquid maximum</t>
        </is>
      </c>
      <c r="B33" s="173" t="n">
        <v>0.3</v>
      </c>
      <c r="C33" s="416" t="inlineStr">
        <is>
          <t>Brief</t>
        </is>
      </c>
    </row>
    <row r="34">
      <c r="A34" s="190" t="inlineStr">
        <is>
          <t>Cash minimum</t>
        </is>
      </c>
      <c r="B34" s="191" t="n">
        <v>0.02</v>
      </c>
      <c r="C34" s="417" t="inlineStr">
        <is>
          <t>Brief</t>
        </is>
      </c>
    </row>
    <row r="36">
      <c r="A36" s="136" t="inlineStr">
        <is>
          <t>3. Model settings</t>
        </is>
      </c>
      <c r="B36" s="137" t="n"/>
      <c r="C36" s="138" t="n"/>
    </row>
    <row r="37">
      <c r="A37" s="139" t="inlineStr">
        <is>
          <t>Parameter</t>
        </is>
      </c>
      <c r="B37" s="140" t="inlineStr">
        <is>
          <t>Value</t>
        </is>
      </c>
      <c r="C37" s="141" t="inlineStr">
        <is>
          <t>Source</t>
        </is>
      </c>
    </row>
    <row r="38">
      <c r="A38" s="142" t="inlineStr">
        <is>
          <t>Shrinkage intensity</t>
        </is>
      </c>
      <c r="B38" s="173" t="n">
        <v>0.35</v>
      </c>
      <c r="C38" s="418" t="inlineStr">
        <is>
          <t>Ledoit-Wolf (2004)</t>
        </is>
      </c>
    </row>
    <row r="39">
      <c r="A39" s="142" t="inlineStr">
        <is>
          <t>Direct property smoothing</t>
        </is>
      </c>
      <c r="B39" s="192" t="n">
        <v>0.65</v>
      </c>
      <c r="C39" s="418" t="inlineStr">
        <is>
          <t>Lag-1 autocorrelation</t>
        </is>
      </c>
    </row>
    <row r="40">
      <c r="A40" s="142" t="inlineStr">
        <is>
          <t>Private equity smoothing</t>
        </is>
      </c>
      <c r="B40" s="192" t="n">
        <v>0.24</v>
      </c>
      <c r="C40" s="418" t="inlineStr">
        <is>
          <t>Lag-1 autocorrelation</t>
        </is>
      </c>
    </row>
    <row r="41">
      <c r="A41" s="142" t="inlineStr">
        <is>
          <t>Risk aversion (delta)</t>
        </is>
      </c>
      <c r="B41" s="193" t="n">
        <v>4</v>
      </c>
      <c r="C41" s="418" t="inlineStr">
        <is>
          <t>Black-Litterman</t>
        </is>
      </c>
    </row>
    <row r="42">
      <c r="A42" s="142" t="inlineStr">
        <is>
          <t>Max confidence in building blocks</t>
        </is>
      </c>
      <c r="B42" s="173" t="n">
        <v>0.65</v>
      </c>
      <c r="C42" s="418" t="inlineStr">
        <is>
          <t>Judgement</t>
        </is>
      </c>
    </row>
    <row r="43">
      <c r="A43" s="142" t="inlineStr">
        <is>
          <t>Min confidence in building blocks</t>
        </is>
      </c>
      <c r="B43" s="173" t="n">
        <v>0.2</v>
      </c>
      <c r="C43" s="418" t="inlineStr">
        <is>
          <t>Judgement</t>
        </is>
      </c>
    </row>
    <row r="44">
      <c r="A44" s="142" t="inlineStr">
        <is>
          <t>Method dispersion at min confidence</t>
        </is>
      </c>
      <c r="B44" s="189" t="n">
        <v>0.04</v>
      </c>
      <c r="C44" s="418" t="inlineStr">
        <is>
          <t>Judgement</t>
        </is>
      </c>
    </row>
    <row r="45">
      <c r="A45" s="142" t="inlineStr">
        <is>
          <t>TE limit in optimiser</t>
        </is>
      </c>
      <c r="B45" s="189" t="n">
        <v>0.011</v>
      </c>
      <c r="C45" s="418" t="inlineStr">
        <is>
          <t>Calibrated: bootstrap TE &lt; 1.5%</t>
        </is>
      </c>
    </row>
    <row r="46">
      <c r="A46" s="142" t="inlineStr">
        <is>
          <t>Equal Aus/world equity returns (1 = yes)</t>
        </is>
      </c>
      <c r="B46" s="174" t="n">
        <v>1</v>
      </c>
      <c r="C46" s="418" t="inlineStr">
        <is>
          <t>Lecture 5</t>
        </is>
      </c>
    </row>
    <row r="47">
      <c r="A47" s="142" t="inlineStr">
        <is>
          <t>Stage 2 overweight cap</t>
        </is>
      </c>
      <c r="B47" s="173" t="n">
        <v>0.02</v>
      </c>
      <c r="C47" s="418" t="inlineStr">
        <is>
          <t>Judgement</t>
        </is>
      </c>
    </row>
    <row r="48">
      <c r="A48" s="142" t="inlineStr">
        <is>
          <t>Bootstrap seed</t>
        </is>
      </c>
      <c r="B48" s="174" t="n">
        <v>20261016</v>
      </c>
      <c r="C48" s="418" t="inlineStr">
        <is>
          <t>Fixed seed</t>
        </is>
      </c>
    </row>
    <row r="49">
      <c r="A49" s="146" t="inlineStr">
        <is>
          <t>Selected method (1 Robust, 2 Sample, 3 Resampled, 4 Min var, 5 Risk parity)</t>
        </is>
      </c>
      <c r="B49" s="194" t="n">
        <v>1</v>
      </c>
      <c r="C49" s="419" t="inlineStr">
        <is>
          <t>Methods tab</t>
        </is>
      </c>
    </row>
    <row r="52">
      <c r="A52" s="449" t="inlineStr">
        <is>
          <t>4. Implementation: one-way transaction costs (judgement, indicative)</t>
        </is>
      </c>
      <c r="B52" s="450" t="n"/>
      <c r="C52" s="451" t="n"/>
    </row>
    <row r="53">
      <c r="A53" s="453" t="inlineStr">
        <is>
          <t>Asset class</t>
        </is>
      </c>
      <c r="B53" s="454" t="inlineStr">
        <is>
          <t>Cost (one-way)</t>
        </is>
      </c>
      <c r="C53" s="455" t="inlineStr">
        <is>
          <t>Basis</t>
        </is>
      </c>
    </row>
    <row r="54">
      <c r="A54" s="457" t="inlineStr">
        <is>
          <t>Australian Equities</t>
        </is>
      </c>
      <c r="B54" s="471" t="n">
        <v>0.001</v>
      </c>
      <c r="C54" s="459" t="inlineStr">
        <is>
          <t>Brokerage + spread</t>
        </is>
      </c>
    </row>
    <row r="55">
      <c r="A55" s="457" t="inlineStr">
        <is>
          <t>World Equities</t>
        </is>
      </c>
      <c r="B55" s="471" t="n">
        <v>0.001</v>
      </c>
      <c r="C55" s="459" t="inlineStr">
        <is>
          <t>Brokerage + spread</t>
        </is>
      </c>
    </row>
    <row r="56">
      <c r="A56" s="457" t="inlineStr">
        <is>
          <t>Emerging Markets</t>
        </is>
      </c>
      <c r="B56" s="471" t="n">
        <v>0.0025</v>
      </c>
      <c r="C56" s="459" t="inlineStr">
        <is>
          <t>Wider spreads</t>
        </is>
      </c>
    </row>
    <row r="57">
      <c r="A57" s="457" t="inlineStr">
        <is>
          <t>Listed Property</t>
        </is>
      </c>
      <c r="B57" s="471" t="n">
        <v>0.002</v>
      </c>
      <c r="C57" s="459" t="inlineStr">
        <is>
          <t>Spread</t>
        </is>
      </c>
    </row>
    <row r="58">
      <c r="A58" s="457" t="inlineStr">
        <is>
          <t>Commodities</t>
        </is>
      </c>
      <c r="B58" s="471" t="n">
        <v>0.001</v>
      </c>
      <c r="C58" s="459" t="inlineStr">
        <is>
          <t>Futures roll + spread</t>
        </is>
      </c>
    </row>
    <row r="59">
      <c r="A59" s="457" t="inlineStr">
        <is>
          <t>Direct Property</t>
        </is>
      </c>
      <c r="B59" s="471" t="n">
        <v>0.015</v>
      </c>
      <c r="C59" s="459" t="inlineStr">
        <is>
          <t>Unlisted fund buy spread</t>
        </is>
      </c>
    </row>
    <row r="60">
      <c r="A60" s="457" t="inlineStr">
        <is>
          <t>Hedge Funds</t>
        </is>
      </c>
      <c r="B60" s="471" t="n">
        <v>0.005</v>
      </c>
      <c r="C60" s="459" t="inlineStr">
        <is>
          <t>Fund buy spread</t>
        </is>
      </c>
    </row>
    <row r="61">
      <c r="A61" s="457" t="inlineStr">
        <is>
          <t>Private Equity</t>
        </is>
      </c>
      <c r="B61" s="471" t="n">
        <v>0.01</v>
      </c>
      <c r="C61" s="459" t="inlineStr">
        <is>
          <t>Secondary or commitment costs</t>
        </is>
      </c>
    </row>
    <row r="62">
      <c r="A62" s="457" t="inlineStr">
        <is>
          <t>Australian Fixed Income</t>
        </is>
      </c>
      <c r="B62" s="471" t="n">
        <v>0.001</v>
      </c>
      <c r="C62" s="459" t="inlineStr">
        <is>
          <t>Spread</t>
        </is>
      </c>
    </row>
    <row r="63">
      <c r="A63" s="457" t="inlineStr">
        <is>
          <t>World Fixed Income</t>
        </is>
      </c>
      <c r="B63" s="471" t="n">
        <v>0.0015</v>
      </c>
      <c r="C63" s="459" t="inlineStr">
        <is>
          <t>Spread (hedged)</t>
        </is>
      </c>
    </row>
    <row r="64">
      <c r="A64" s="463" t="inlineStr">
        <is>
          <t>Cash</t>
        </is>
      </c>
      <c r="B64" s="472" t="n">
        <v>0</v>
      </c>
      <c r="C64" s="465" t="inlineStr">
        <is>
          <t>None</t>
        </is>
      </c>
    </row>
    <row r="67">
      <c r="A67" s="473" t="inlineStr">
        <is>
          <t>5. Transition and tax parameters</t>
        </is>
      </c>
      <c r="B67" s="474" t="n"/>
      <c r="C67" s="475" t="n"/>
    </row>
    <row r="68">
      <c r="A68" s="476" t="inlineStr">
        <is>
          <t>Parameter</t>
        </is>
      </c>
      <c r="B68" s="477" t="inlineStr">
        <is>
          <t>Value</t>
        </is>
      </c>
      <c r="C68" s="478" t="inlineStr">
        <is>
          <t>Source</t>
        </is>
      </c>
    </row>
    <row r="69">
      <c r="A69" s="479" t="inlineStr">
        <is>
          <t>Years to amortise transition costs</t>
        </is>
      </c>
      <c r="B69" s="480" t="n">
        <v>5</v>
      </c>
      <c r="C69" s="481" t="inlineStr">
        <is>
          <t>SIP horizon</t>
        </is>
      </c>
    </row>
    <row r="70">
      <c r="A70" s="479" t="inlineStr">
        <is>
          <t>Direct property funded by end of year 1</t>
        </is>
      </c>
      <c r="B70" s="482" t="n">
        <v>0.5</v>
      </c>
      <c r="C70" s="481" t="inlineStr">
        <is>
          <t>Judgement: unlisted fund queues</t>
        </is>
      </c>
    </row>
    <row r="71">
      <c r="A71" s="479" t="inlineStr">
        <is>
          <t>Direct property funded by end of year 2</t>
        </is>
      </c>
      <c r="B71" s="482" t="n">
        <v>1</v>
      </c>
      <c r="C71" s="481" t="inlineStr">
        <is>
          <t>Judgement</t>
        </is>
      </c>
    </row>
    <row r="72">
      <c r="A72" s="479" t="inlineStr">
        <is>
          <t>Private equity funded by end of year 1</t>
        </is>
      </c>
      <c r="B72" s="482" t="n">
        <v>0.3333333333333333</v>
      </c>
      <c r="C72" s="481" t="inlineStr">
        <is>
          <t>Commitments drawn over 3 years</t>
        </is>
      </c>
    </row>
    <row r="73">
      <c r="A73" s="479" t="inlineStr">
        <is>
          <t>Private equity funded by end of year 2</t>
        </is>
      </c>
      <c r="B73" s="482" t="n">
        <v>0.6666666666666666</v>
      </c>
      <c r="C73" s="481" t="inlineStr">
        <is>
          <t>Commitments drawn over 3 years</t>
        </is>
      </c>
    </row>
    <row r="74">
      <c r="A74" s="479" t="inlineStr">
        <is>
          <t>Private equity funded by end of year 3</t>
        </is>
      </c>
      <c r="B74" s="482" t="n">
        <v>1</v>
      </c>
      <c r="C74" s="481" t="inlineStr">
        <is>
          <t>Commitments drawn over 3 years</t>
        </is>
      </c>
    </row>
    <row r="75">
      <c r="A75" s="479" t="inlineStr">
        <is>
          <t>Unfunded direct property: share held in listed property</t>
        </is>
      </c>
      <c r="B75" s="482" t="n">
        <v>0.8</v>
      </c>
      <c r="C75" s="481" t="inlineStr">
        <is>
          <t>Judgement: listed property is the closest liquid proxy</t>
        </is>
      </c>
    </row>
    <row r="76">
      <c r="A76" s="479" t="inlineStr">
        <is>
          <t>Unfunded private equity held in</t>
        </is>
      </c>
      <c r="B76" s="484" t="inlineStr">
        <is>
          <t>Cash</t>
        </is>
      </c>
      <c r="C76" s="481" t="inlineStr">
        <is>
          <t>Liquid reserve for capital calls</t>
        </is>
      </c>
    </row>
    <row r="77">
      <c r="A77" s="479" t="inlineStr">
        <is>
          <t>Australian equity dividend yield (trailing)</t>
        </is>
      </c>
      <c r="B77" s="483">
        <f>Forecast!B41</f>
        <v>0.0343</v>
      </c>
      <c r="C77" s="481" t="inlineStr">
        <is>
          <t>Forecast tab</t>
        </is>
      </c>
    </row>
    <row r="78">
      <c r="A78" s="479" t="inlineStr">
        <is>
          <t>Share of dividends franked</t>
        </is>
      </c>
      <c r="B78" s="482" t="n">
        <v>0.7</v>
      </c>
      <c r="C78" s="481" t="inlineStr">
        <is>
          <t>Judgement: ASX franking level c.70%</t>
        </is>
      </c>
    </row>
    <row r="79">
      <c r="A79" s="479" t="inlineStr">
        <is>
          <t>Company tax rate</t>
        </is>
      </c>
      <c r="B79" s="482" t="n">
        <v>0.3</v>
      </c>
      <c r="C79" s="481" t="inlineStr">
        <is>
          <t>Australian company tax rate</t>
        </is>
      </c>
    </row>
    <row r="80">
      <c r="A80" s="485" t="inlineStr">
        <is>
          <t>Share of franking value the fund captures</t>
        </is>
      </c>
      <c r="B80" s="486" t="n">
        <v>1</v>
      </c>
      <c r="C80" s="487" t="inlineStr">
        <is>
          <t>Super fund taxed at 15% uses credits in full</t>
        </is>
      </c>
    </row>
  </sheetData>
  <pageMargins left="0.75" right="0.75" top="1" bottom="1" header="0.5" footer="0.5"/>
  <pageSetup orientation="landscape" fitToHeight="0"/>
</worksheet>
</file>

<file path=xl/worksheets/sheet4.xml><?xml version="1.0" encoding="utf-8"?>
<worksheet xmlns="http://schemas.openxmlformats.org/spreadsheetml/2006/main">
  <sheetPr>
    <tabColor rgb="FF375623"/>
    <outlinePr summaryBelow="1" summaryRight="1"/>
    <pageSetUpPr fitToPage="1"/>
  </sheetPr>
  <dimension ref="A1:M19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4" customWidth="1" min="1" max="1"/>
    <col width="13" customWidth="1" min="2" max="3"/>
    <col width="12" customWidth="1" min="4" max="4"/>
    <col width="13" customWidth="1" min="5" max="5"/>
    <col width="10" customWidth="1" min="6" max="6"/>
    <col width="13" customWidth="1" min="7" max="7"/>
    <col width="12" customWidth="1" min="8" max="9"/>
    <col width="3" customWidth="1" min="10" max="10"/>
    <col width="40" customWidth="1" min="11" max="11"/>
    <col width="10" customWidth="1" min="12" max="12"/>
  </cols>
  <sheetData>
    <row r="1" ht="19" customHeight="1">
      <c r="A1" s="53" t="inlineStr">
        <is>
          <t>Forecast</t>
        </is>
      </c>
    </row>
    <row r="3">
      <c r="A3" s="58" t="inlineStr">
        <is>
          <t>1. Summary</t>
        </is>
      </c>
      <c r="B3" s="59" t="n"/>
      <c r="C3" s="59" t="n"/>
      <c r="D3" s="59" t="n"/>
      <c r="E3" s="59" t="n"/>
      <c r="F3" s="59" t="n"/>
      <c r="G3" s="59" t="n"/>
      <c r="H3" s="59" t="n"/>
      <c r="I3" s="60" t="n"/>
    </row>
    <row r="4">
      <c r="A4" s="195" t="n"/>
      <c r="B4" s="77" t="n"/>
      <c r="C4" s="77" t="n"/>
      <c r="D4" s="77" t="n"/>
      <c r="E4" s="77" t="n"/>
      <c r="F4" s="77" t="n"/>
      <c r="G4" s="77" t="n"/>
      <c r="H4" s="77" t="n"/>
      <c r="I4" s="196" t="n"/>
    </row>
    <row r="5" ht="42" customHeight="1">
      <c r="A5" s="64" t="inlineStr">
        <is>
          <t>Asset class</t>
        </is>
      </c>
      <c r="B5" s="65" t="inlineStr">
        <is>
          <t>Building-block composite (gross, arithmetic)</t>
        </is>
      </c>
      <c r="C5" s="65" t="inlineStr">
        <is>
          <t>Equilibrium prior</t>
        </is>
      </c>
      <c r="D5" s="65" t="inlineStr">
        <is>
          <t>Confidence</t>
        </is>
      </c>
      <c r="E5" s="65" t="inlineStr">
        <is>
          <t>Gross forecast</t>
        </is>
      </c>
      <c r="F5" s="65" t="inlineStr">
        <is>
          <t>Fee</t>
        </is>
      </c>
      <c r="G5" s="65" t="inlineStr">
        <is>
          <t>Net forecast</t>
        </is>
      </c>
      <c r="H5" s="65" t="inlineStr">
        <is>
          <t>Volatility</t>
        </is>
      </c>
      <c r="I5" s="66" t="inlineStr">
        <is>
          <t>View dispersion</t>
        </is>
      </c>
    </row>
    <row r="6">
      <c r="A6" s="71" t="inlineStr">
        <is>
          <t>Australian Equities</t>
        </is>
      </c>
      <c r="B6" s="72">
        <f>G139</f>
        <v>0.0780088160873178</v>
      </c>
      <c r="C6" s="72">
        <f>Inputs!$B$23+Inputs!$B$41*SUMPRODUCT(MMULT(Risk!$B$41:$L$41,Inputs!$C$5:$C$15))</f>
        <v>0.0854344212387013</v>
      </c>
      <c r="D6" s="68">
        <f>Inputs!$B$42-(Inputs!$B$42-Inputs!$B$43)*MIN(1,I6/Inputs!$B$44)</f>
        <v>0.407202798640508</v>
      </c>
      <c r="E6" s="72">
        <f>IF(Inputs!$B$46=1,AVERAGE((D6*B6+(1-D6)*C6),(D7*B7+(1-D7)*C7)),(D6*B6+(1-D6)*C6))</f>
        <v>0.0787981251772048</v>
      </c>
      <c r="F6" s="72">
        <f>Inputs!D5</f>
        <v>0.001</v>
      </c>
      <c r="G6" s="96">
        <f>E6-F6</f>
        <v>0.0777981251772048</v>
      </c>
      <c r="H6" s="68">
        <f>Risk!M41</f>
        <v>0.153815316975615</v>
      </c>
      <c r="I6" s="197">
        <f>I139</f>
        <v>0.0215819734541771</v>
      </c>
    </row>
    <row r="7">
      <c r="A7" s="71" t="inlineStr">
        <is>
          <t>World Equities</t>
        </is>
      </c>
      <c r="B7" s="72">
        <f>G140</f>
        <v>0.069574728570954</v>
      </c>
      <c r="C7" s="72">
        <f>Inputs!$B$23+Inputs!$B$41*SUMPRODUCT(MMULT(Risk!$B$42:$L$42,Inputs!$C$5:$C$15))</f>
        <v>0.0779734319004612</v>
      </c>
      <c r="D7" s="68">
        <f>Inputs!$B$42-(Inputs!$B$42-Inputs!$B$43)*MIN(1,I7/Inputs!$B$44)</f>
        <v>0.331941190935454</v>
      </c>
      <c r="E7" s="72">
        <f>IF(Inputs!$B$46=1,AVERAGE((D6*B6+(1-D6)*C6),(D7*B7+(1-D7)*C7)),(D7*B7+(1-D7)*C7))</f>
        <v>0.0787981251772048</v>
      </c>
      <c r="F7" s="72">
        <f>Inputs!D6</f>
        <v>0.0015</v>
      </c>
      <c r="G7" s="96">
        <f>E7-F7</f>
        <v>0.0772981251772048</v>
      </c>
      <c r="H7" s="68">
        <f>Risk!M42</f>
        <v>0.127483148954512</v>
      </c>
      <c r="I7" s="197">
        <f>I140</f>
        <v>0.0282718941390708</v>
      </c>
    </row>
    <row r="8">
      <c r="A8" s="71" t="inlineStr">
        <is>
          <t>Emerging Markets</t>
        </is>
      </c>
      <c r="B8" s="72">
        <f>G141</f>
        <v>0.0791794676403643</v>
      </c>
      <c r="C8" s="72">
        <f>Inputs!$B$23+Inputs!$B$41*SUMPRODUCT(MMULT(Risk!$B$43:$L$43,Inputs!$C$5:$C$15))</f>
        <v>0.0666794991283773</v>
      </c>
      <c r="D8" s="68">
        <f>Inputs!$B$42-(Inputs!$B$42-Inputs!$B$43)*MIN(1,I8/Inputs!$B$44)</f>
        <v>0.48125</v>
      </c>
      <c r="E8" s="72">
        <f>(D8*B8+(1-D8)*C8)</f>
        <v>0.0726951089747711</v>
      </c>
      <c r="F8" s="72">
        <f>Inputs!D7</f>
        <v>0.002</v>
      </c>
      <c r="G8" s="96">
        <f>E8-F8</f>
        <v>0.0706951089747711</v>
      </c>
      <c r="H8" s="68">
        <f>Risk!M43</f>
        <v>0.104990604521046</v>
      </c>
      <c r="I8" s="197">
        <f>I141</f>
        <v>0.015</v>
      </c>
    </row>
    <row r="9">
      <c r="A9" s="71" t="inlineStr">
        <is>
          <t>Listed Property</t>
        </is>
      </c>
      <c r="B9" s="72">
        <f>G142</f>
        <v>0.0827828991168178</v>
      </c>
      <c r="C9" s="72">
        <f>Inputs!$B$23+Inputs!$B$41*SUMPRODUCT(MMULT(Risk!$B$44:$L$44,Inputs!$C$5:$C$15))</f>
        <v>0.0786240301887002</v>
      </c>
      <c r="D9" s="68">
        <f>Inputs!$B$42-(Inputs!$B$42-Inputs!$B$43)*MIN(1,I9/Inputs!$B$44)</f>
        <v>0.48125</v>
      </c>
      <c r="E9" s="72">
        <f>(D9*B9+(1-D9)*C9)</f>
        <v>0.0806254858603568</v>
      </c>
      <c r="F9" s="72">
        <f>Inputs!D8</f>
        <v>0.0015</v>
      </c>
      <c r="G9" s="96">
        <f>E9-F9</f>
        <v>0.0791254858603568</v>
      </c>
      <c r="H9" s="68">
        <f>Risk!M44</f>
        <v>0.167662545539618</v>
      </c>
      <c r="I9" s="197">
        <f>I142</f>
        <v>0.015</v>
      </c>
    </row>
    <row r="10">
      <c r="A10" s="71" t="inlineStr">
        <is>
          <t>Commodities</t>
        </is>
      </c>
      <c r="B10" s="72">
        <f>G143</f>
        <v>0.0864785737366982</v>
      </c>
      <c r="C10" s="72">
        <f>Inputs!$B$23+Inputs!$B$41*SUMPRODUCT(MMULT(Risk!$B$45:$L$45,Inputs!$C$5:$C$15))</f>
        <v>0.0660075814510995</v>
      </c>
      <c r="D10" s="68">
        <f>Inputs!$B$42-(Inputs!$B$42-Inputs!$B$43)*MIN(1,I10/Inputs!$B$44)</f>
        <v>0.3125</v>
      </c>
      <c r="E10" s="72">
        <f>(D10*B10+(1-D10)*C10)</f>
        <v>0.0724047665403491</v>
      </c>
      <c r="F10" s="72">
        <f>Inputs!D9</f>
        <v>0.0025</v>
      </c>
      <c r="G10" s="96">
        <f>E10-F10</f>
        <v>0.0699047665403491</v>
      </c>
      <c r="H10" s="68">
        <f>Risk!M45</f>
        <v>0.245880351946625</v>
      </c>
      <c r="I10" s="197">
        <f>I143</f>
        <v>0.03</v>
      </c>
    </row>
    <row r="11">
      <c r="A11" s="71" t="inlineStr">
        <is>
          <t>Direct Property</t>
        </is>
      </c>
      <c r="B11" s="72">
        <f>G144</f>
        <v>0.0540809740407705</v>
      </c>
      <c r="C11" s="72">
        <f>Inputs!$B$23+Inputs!$B$41*SUMPRODUCT(MMULT(Risk!$B$46:$L$46,Inputs!$C$5:$C$15))</f>
        <v>0.0578095437598451</v>
      </c>
      <c r="D11" s="68">
        <f>Inputs!$B$42-(Inputs!$B$42-Inputs!$B$43)*MIN(1,I11/Inputs!$B$44)</f>
        <v>0.425</v>
      </c>
      <c r="E11" s="72">
        <f>(D11*B11+(1-D11)*C11)</f>
        <v>0.0562249016292384</v>
      </c>
      <c r="F11" s="72">
        <f>Inputs!D10</f>
        <v>0.012</v>
      </c>
      <c r="G11" s="96">
        <f>E11-F11</f>
        <v>0.0442249016292384</v>
      </c>
      <c r="H11" s="68">
        <f>Risk!M46</f>
        <v>0.0953335491514781</v>
      </c>
      <c r="I11" s="197">
        <f>I144</f>
        <v>0.02</v>
      </c>
    </row>
    <row r="12">
      <c r="A12" s="71" t="inlineStr">
        <is>
          <t>Hedge Funds</t>
        </is>
      </c>
      <c r="B12" s="72">
        <f>G145</f>
        <v>0.079280701597842</v>
      </c>
      <c r="C12" s="72">
        <f>Inputs!$B$23+Inputs!$B$41*SUMPRODUCT(MMULT(Risk!$B$47:$L$47,Inputs!$C$5:$C$15))</f>
        <v>0.0497012873151713</v>
      </c>
      <c r="D12" s="68">
        <f>Inputs!$B$42-(Inputs!$B$42-Inputs!$B$43)*MIN(1,I12/Inputs!$B$44)</f>
        <v>0.425</v>
      </c>
      <c r="E12" s="72">
        <f>(D12*B12+(1-D12)*C12)</f>
        <v>0.0622725383853063</v>
      </c>
      <c r="F12" s="72">
        <f>Inputs!D11</f>
        <v>0.025</v>
      </c>
      <c r="G12" s="96">
        <f>E12-F12</f>
        <v>0.0372725383853063</v>
      </c>
      <c r="H12" s="68">
        <f>Risk!M47</f>
        <v>0.0719393969921317</v>
      </c>
      <c r="I12" s="197">
        <f>I145</f>
        <v>0.02</v>
      </c>
    </row>
    <row r="13">
      <c r="A13" s="71" t="inlineStr">
        <is>
          <t>Private Equity</t>
        </is>
      </c>
      <c r="B13" s="72">
        <f>G146</f>
        <v>0.112546282091573</v>
      </c>
      <c r="C13" s="72">
        <f>Inputs!$B$23+Inputs!$B$41*SUMPRODUCT(MMULT(Risk!$B$48:$L$48,Inputs!$C$5:$C$15))</f>
        <v>0.0673968111176913</v>
      </c>
      <c r="D13" s="68">
        <f>Inputs!$B$42-(Inputs!$B$42-Inputs!$B$43)*MIN(1,I13/Inputs!$B$44)</f>
        <v>0.3125</v>
      </c>
      <c r="E13" s="72">
        <f>(D13*B13+(1-D13)*C13)</f>
        <v>0.0815060207970293</v>
      </c>
      <c r="F13" s="72">
        <f>Inputs!D12</f>
        <v>0.03</v>
      </c>
      <c r="G13" s="96">
        <f>E13-F13</f>
        <v>0.0515060207970293</v>
      </c>
      <c r="H13" s="68">
        <f>Risk!M48</f>
        <v>0.127246059010433</v>
      </c>
      <c r="I13" s="197">
        <f>I146</f>
        <v>0.03</v>
      </c>
    </row>
    <row r="14">
      <c r="A14" s="71" t="inlineStr">
        <is>
          <t>Australian Fixed Income</t>
        </is>
      </c>
      <c r="B14" s="72">
        <f>G147</f>
        <v>0.0514026580405122</v>
      </c>
      <c r="C14" s="72">
        <f>Inputs!$B$23+Inputs!$B$41*SUMPRODUCT(MMULT(Risk!$B$49:$L$49,Inputs!$C$5:$C$15))</f>
        <v>0.0508873585346355</v>
      </c>
      <c r="D14" s="68">
        <f>Inputs!$B$42-(Inputs!$B$42-Inputs!$B$43)*MIN(1,I14/Inputs!$B$44)</f>
        <v>0.61625</v>
      </c>
      <c r="E14" s="72">
        <f>(D14*B14+(1-D14)*C14)</f>
        <v>0.051204911855132</v>
      </c>
      <c r="F14" s="72">
        <f>Inputs!D13</f>
        <v>0.001</v>
      </c>
      <c r="G14" s="96">
        <f>E14-F14</f>
        <v>0.050204911855132</v>
      </c>
      <c r="H14" s="68">
        <f>Risk!M49</f>
        <v>0.0424890112973275</v>
      </c>
      <c r="I14" s="197">
        <f>I147</f>
        <v>0.003</v>
      </c>
    </row>
    <row r="15">
      <c r="A15" s="71" t="inlineStr">
        <is>
          <t>World Fixed Income</t>
        </is>
      </c>
      <c r="B15" s="72">
        <f>G148</f>
        <v>0.0571930231815936</v>
      </c>
      <c r="C15" s="72">
        <f>Inputs!$B$23+Inputs!$B$41*SUMPRODUCT(MMULT(Risk!$B$50:$L$50,Inputs!$C$5:$C$15))</f>
        <v>0.0512893179055495</v>
      </c>
      <c r="D15" s="68">
        <f>Inputs!$B$42-(Inputs!$B$42-Inputs!$B$43)*MIN(1,I15/Inputs!$B$44)</f>
        <v>0.59375</v>
      </c>
      <c r="E15" s="72">
        <f>(D15*B15+(1-D15)*C15)</f>
        <v>0.0547946429132007</v>
      </c>
      <c r="F15" s="72">
        <f>Inputs!D14</f>
        <v>0.0015</v>
      </c>
      <c r="G15" s="96">
        <f>E15-F15</f>
        <v>0.0532946429132007</v>
      </c>
      <c r="H15" s="68">
        <f>Risk!M50</f>
        <v>0.0405308075812358</v>
      </c>
      <c r="I15" s="197">
        <f>I148</f>
        <v>0.005</v>
      </c>
    </row>
    <row r="16">
      <c r="A16" s="71" t="inlineStr">
        <is>
          <t>Cash</t>
        </is>
      </c>
      <c r="B16" s="72">
        <f>G149</f>
        <v>0.046488137443057</v>
      </c>
      <c r="C16" s="72">
        <f>Inputs!$B$23+Inputs!$B$41*SUMPRODUCT(MMULT(Risk!$B$51:$L$51,Inputs!$C$5:$C$15))</f>
        <v>0.0496417227172325</v>
      </c>
      <c r="D16" s="68">
        <f>Inputs!$B$42-(Inputs!$B$42-Inputs!$B$43)*MIN(1,I16/Inputs!$B$44)</f>
        <v>0.61625</v>
      </c>
      <c r="E16" s="72">
        <f>(D16*B16+(1-D16)*C16)</f>
        <v>0.0476983257920219</v>
      </c>
      <c r="F16" s="72">
        <f>Inputs!D15</f>
        <v>0</v>
      </c>
      <c r="G16" s="96">
        <f>E16-F16</f>
        <v>0.0476983257920219</v>
      </c>
      <c r="H16" s="68">
        <f>Risk!M51</f>
        <v>0.00981197666701638</v>
      </c>
      <c r="I16" s="197">
        <f>I149</f>
        <v>0.003</v>
      </c>
    </row>
    <row r="17">
      <c r="A17" s="195" t="n"/>
      <c r="B17" s="77" t="n"/>
      <c r="C17" s="77" t="n"/>
      <c r="D17" s="77" t="n"/>
      <c r="E17" s="77" t="n"/>
      <c r="F17" s="77" t="n"/>
      <c r="G17" s="77" t="n"/>
      <c r="H17" s="77" t="n"/>
      <c r="I17" s="196" t="n"/>
    </row>
    <row r="18">
      <c r="A18" s="198" t="inlineStr">
        <is>
          <t>Best single-asset forecast (compound)</t>
        </is>
      </c>
      <c r="B18" s="77" t="n"/>
      <c r="C18" s="77" t="n"/>
      <c r="D18" s="77" t="n"/>
      <c r="E18" s="77" t="n"/>
      <c r="F18" s="77" t="n"/>
      <c r="G18" s="96">
        <f>MAX(M139:M149)</f>
        <v>0.0691721485435256</v>
      </c>
      <c r="H18" s="77" t="n"/>
      <c r="I18" s="196" t="n"/>
    </row>
    <row r="19">
      <c r="A19" s="198" t="inlineStr">
        <is>
          <t>Return target (bond yield + 4%)</t>
        </is>
      </c>
      <c r="B19" s="77" t="n"/>
      <c r="C19" s="77" t="n"/>
      <c r="D19" s="77" t="n"/>
      <c r="E19" s="77" t="n"/>
      <c r="F19" s="77" t="n"/>
      <c r="G19" s="96">
        <f>Inputs!$B$25</f>
        <v>0.08988</v>
      </c>
      <c r="H19" s="77" t="n"/>
      <c r="I19" s="196" t="n"/>
    </row>
    <row r="20">
      <c r="A20" s="199" t="inlineStr">
        <is>
          <t>Target reachable?</t>
        </is>
      </c>
      <c r="B20" s="200" t="n"/>
      <c r="C20" s="200" t="n"/>
      <c r="D20" s="200" t="n"/>
      <c r="E20" s="200" t="n"/>
      <c r="F20" s="200" t="n"/>
      <c r="G20" s="201" t="str">
        <f>IF(G18&gt;=G19,"YES","NO")</f>
        <v>NO</v>
      </c>
      <c r="H20" s="200" t="n"/>
      <c r="I20" s="202" t="n"/>
    </row>
    <row r="23">
      <c r="A23" s="548" t="inlineStr">
        <is>
          <t>2. Historical returns (adjusted quarterly data)</t>
        </is>
      </c>
      <c r="B23" s="549" t="n"/>
      <c r="C23" s="549" t="n"/>
      <c r="D23" s="549" t="n"/>
      <c r="E23" s="549" t="n"/>
      <c r="F23" s="549" t="n"/>
      <c r="G23" s="550" t="n"/>
      <c r="H23" s="665" t="n"/>
      <c r="K23" s="665" t="n"/>
      <c r="L23" s="665" t="n"/>
    </row>
    <row r="24" ht="28" customHeight="1">
      <c r="A24" s="551" t="inlineStr">
        <is>
          <t>Asset class</t>
        </is>
      </c>
      <c r="B24" s="552" t="inlineStr">
        <is>
          <t>20-year CAGR</t>
        </is>
      </c>
      <c r="C24" s="552" t="inlineStr">
        <is>
          <t>10-year CAGR</t>
        </is>
      </c>
      <c r="D24" s="552" t="inlineStr">
        <is>
          <t>5-year CAGR</t>
        </is>
      </c>
      <c r="E24" s="552" t="inlineStr">
        <is>
          <t>Excess vs cash, 20y</t>
        </is>
      </c>
      <c r="F24" s="552" t="inlineStr">
        <is>
          <t>Excess vs cash, 10y</t>
        </is>
      </c>
      <c r="G24" s="553" t="inlineStr">
        <is>
          <t>Excess vs cash, 5y</t>
        </is>
      </c>
      <c r="H24" s="665" t="n"/>
      <c r="K24" s="665" t="n"/>
      <c r="L24" s="665" t="n"/>
    </row>
    <row r="25">
      <c r="A25" s="595" t="inlineStr">
        <is>
          <t>Australian Equities</t>
        </is>
      </c>
      <c r="B25" s="433">
        <f>EXP(SUMPRODUCT(LN(1+'Quarterly returns'!N$6:N$85))*4/80)-1</f>
        <v>0.0695012498741834</v>
      </c>
      <c r="C25" s="433">
        <f>EXP(SUMPRODUCT(LN(1+'Quarterly returns'!N$46:N$85))*4/40)-1</f>
        <v>0.0945997680765176</v>
      </c>
      <c r="D25" s="433">
        <f>EXP(SUMPRODUCT(LN(1+'Quarterly returns'!N$66:N$85))*4/20)-1</f>
        <v>0.0836422003611634</v>
      </c>
      <c r="E25" s="433">
        <f>B25-B$35</f>
        <v>0.0364421004246109</v>
      </c>
      <c r="F25" s="433">
        <f>C25-C$35</f>
        <v>0.0727342171288792</v>
      </c>
      <c r="G25" s="666">
        <f>D25-D$35</f>
        <v>0.0547304159800692</v>
      </c>
      <c r="H25" s="665" t="n"/>
      <c r="K25" s="665" t="n"/>
      <c r="L25" s="665" t="n"/>
    </row>
    <row r="26">
      <c r="A26" s="595" t="inlineStr">
        <is>
          <t>World Equities</t>
        </is>
      </c>
      <c r="B26" s="433">
        <f>EXP(SUMPRODUCT(LN(1+'Quarterly returns'!O$6:O$85))*4/80)-1</f>
        <v>0.088450812806028</v>
      </c>
      <c r="C26" s="433">
        <f>EXP(SUMPRODUCT(LN(1+'Quarterly returns'!O$46:O$85))*4/40)-1</f>
        <v>0.140098239398659</v>
      </c>
      <c r="D26" s="433">
        <f>EXP(SUMPRODUCT(LN(1+'Quarterly returns'!O$66:O$85))*4/20)-1</f>
        <v>0.13819307408824</v>
      </c>
      <c r="E26" s="433">
        <f>B26-B$35</f>
        <v>0.0553916633564555</v>
      </c>
      <c r="F26" s="433">
        <f>C26-C$35</f>
        <v>0.11823268845102</v>
      </c>
      <c r="G26" s="666">
        <f>D26-D$35</f>
        <v>0.109281289707146</v>
      </c>
      <c r="H26" s="665" t="n"/>
      <c r="K26" s="665" t="n"/>
      <c r="L26" s="665" t="n"/>
    </row>
    <row r="27">
      <c r="A27" s="595" t="inlineStr">
        <is>
          <t>Emerging Markets</t>
        </is>
      </c>
      <c r="B27" s="433">
        <f>EXP(SUMPRODUCT(LN(1+'Quarterly returns'!P$6:P$85))*4/80)-1</f>
        <v>0.0799889275290706</v>
      </c>
      <c r="C27" s="433">
        <f>EXP(SUMPRODUCT(LN(1+'Quarterly returns'!P$46:P$85))*4/40)-1</f>
        <v>0.112227143578981</v>
      </c>
      <c r="D27" s="433">
        <f>EXP(SUMPRODUCT(LN(1+'Quarterly returns'!P$66:P$85))*4/20)-1</f>
        <v>0.0897394891209269</v>
      </c>
      <c r="E27" s="433">
        <f>B27-B$35</f>
        <v>0.0469297780794982</v>
      </c>
      <c r="F27" s="433">
        <f>C27-C$35</f>
        <v>0.0903615926313428</v>
      </c>
      <c r="G27" s="666">
        <f>D27-D$35</f>
        <v>0.0608277047398327</v>
      </c>
      <c r="H27" s="665" t="n"/>
      <c r="K27" s="665" t="n"/>
      <c r="L27" s="665" t="n"/>
    </row>
    <row r="28">
      <c r="A28" s="595" t="inlineStr">
        <is>
          <t>Listed Property</t>
        </is>
      </c>
      <c r="B28" s="433">
        <f>EXP(SUMPRODUCT(LN(1+'Quarterly returns'!Q$6:Q$85))*4/80)-1</f>
        <v>0.0537534457401672</v>
      </c>
      <c r="C28" s="433">
        <f>EXP(SUMPRODUCT(LN(1+'Quarterly returns'!Q$46:Q$85))*4/40)-1</f>
        <v>0.0597620846796652</v>
      </c>
      <c r="D28" s="433">
        <f>EXP(SUMPRODUCT(LN(1+'Quarterly returns'!Q$66:Q$85))*4/20)-1</f>
        <v>0.0704287940077719</v>
      </c>
      <c r="E28" s="433">
        <f>B28-B$35</f>
        <v>0.0206942962905947</v>
      </c>
      <c r="F28" s="433">
        <f>C28-C$35</f>
        <v>0.0378965337320267</v>
      </c>
      <c r="G28" s="666">
        <f>D28-D$35</f>
        <v>0.0415170096266777</v>
      </c>
      <c r="H28" s="665" t="n"/>
      <c r="K28" s="665" t="n"/>
      <c r="L28" s="665" t="n"/>
    </row>
    <row r="29">
      <c r="A29" s="595" t="inlineStr">
        <is>
          <t>Commodities</t>
        </is>
      </c>
      <c r="B29" s="433">
        <f>EXP(SUMPRODUCT(LN(1+'Quarterly returns'!R$6:R$85))*4/80)-1</f>
        <v>-0.0067382599487994</v>
      </c>
      <c r="C29" s="433">
        <f>EXP(SUMPRODUCT(LN(1+'Quarterly returns'!R$46:R$85))*4/40)-1</f>
        <v>0.112727198896262</v>
      </c>
      <c r="D29" s="433">
        <f>EXP(SUMPRODUCT(LN(1+'Quarterly returns'!R$66:R$85))*4/20)-1</f>
        <v>0.221235037913963</v>
      </c>
      <c r="E29" s="433">
        <f>B29-B$35</f>
        <v>-0.0397974093983718</v>
      </c>
      <c r="F29" s="433">
        <f>C29-C$35</f>
        <v>0.0908616479486235</v>
      </c>
      <c r="G29" s="666">
        <f>D29-D$35</f>
        <v>0.192323253532869</v>
      </c>
      <c r="H29" s="665" t="n"/>
      <c r="K29" s="665" t="n"/>
      <c r="L29" s="665" t="n"/>
    </row>
    <row r="30">
      <c r="A30" s="595" t="inlineStr">
        <is>
          <t>Direct Property</t>
        </is>
      </c>
      <c r="B30" s="433">
        <f>EXP(SUMPRODUCT(LN(1+'Quarterly returns'!S$6:S$85))*4/80)-1</f>
        <v>0.0606084874190023</v>
      </c>
      <c r="C30" s="433">
        <f>EXP(SUMPRODUCT(LN(1+'Quarterly returns'!S$46:S$85))*4/40)-1</f>
        <v>0.0566362127923676</v>
      </c>
      <c r="D30" s="433">
        <f>EXP(SUMPRODUCT(LN(1+'Quarterly returns'!S$66:S$85))*4/20)-1</f>
        <v>0.0464655114379713</v>
      </c>
      <c r="E30" s="433">
        <f>B30-B$35</f>
        <v>0.0275493379694298</v>
      </c>
      <c r="F30" s="433">
        <f>C30-C$35</f>
        <v>0.0347706618447292</v>
      </c>
      <c r="G30" s="666">
        <f>D30-D$35</f>
        <v>0.0175537270568771</v>
      </c>
      <c r="H30" s="665" t="n"/>
      <c r="K30" s="665" t="n"/>
      <c r="L30" s="665" t="n"/>
    </row>
    <row r="31">
      <c r="A31" s="595" t="inlineStr">
        <is>
          <t>Hedge Funds</t>
        </is>
      </c>
      <c r="B31" s="433">
        <f>EXP(SUMPRODUCT(LN(1+'Quarterly returns'!T$6:T$85))*4/80)-1</f>
        <v>0.0765513454906872</v>
      </c>
      <c r="C31" s="433">
        <f>EXP(SUMPRODUCT(LN(1+'Quarterly returns'!T$46:T$85))*4/40)-1</f>
        <v>0.0750663691174316</v>
      </c>
      <c r="D31" s="433">
        <f>EXP(SUMPRODUCT(LN(1+'Quarterly returns'!T$66:T$85))*4/20)-1</f>
        <v>0.0836988476464775</v>
      </c>
      <c r="E31" s="433">
        <f>B31-B$35</f>
        <v>0.0434921960411148</v>
      </c>
      <c r="F31" s="433">
        <f>C31-C$35</f>
        <v>0.0532008181697932</v>
      </c>
      <c r="G31" s="666">
        <f>D31-D$35</f>
        <v>0.0547870632653833</v>
      </c>
      <c r="H31" s="665" t="n"/>
      <c r="K31" s="665" t="n"/>
      <c r="L31" s="665" t="n"/>
    </row>
    <row r="32">
      <c r="A32" s="595" t="inlineStr">
        <is>
          <t>Private Equity</t>
        </is>
      </c>
      <c r="B32" s="433">
        <f>EXP(SUMPRODUCT(LN(1+'Quarterly returns'!U$6:U$85))*4/80)-1</f>
        <v>0.10687219699712</v>
      </c>
      <c r="C32" s="433">
        <f>EXP(SUMPRODUCT(LN(1+'Quarterly returns'!U$46:U$85))*4/40)-1</f>
        <v>0.109205140706657</v>
      </c>
      <c r="D32" s="433">
        <f>EXP(SUMPRODUCT(LN(1+'Quarterly returns'!U$66:U$85))*4/20)-1</f>
        <v>0.102267876516756</v>
      </c>
      <c r="E32" s="433">
        <f>B32-B$35</f>
        <v>0.073813047547548</v>
      </c>
      <c r="F32" s="433">
        <f>C32-C$35</f>
        <v>0.087339589759019</v>
      </c>
      <c r="G32" s="666">
        <f>D32-D$35</f>
        <v>0.073356092135662</v>
      </c>
      <c r="H32" s="665" t="n"/>
      <c r="K32" s="665" t="n"/>
      <c r="L32" s="665" t="n"/>
    </row>
    <row r="33">
      <c r="A33" s="595" t="inlineStr">
        <is>
          <t>Australian Fixed Income</t>
        </is>
      </c>
      <c r="B33" s="433">
        <f>EXP(SUMPRODUCT(LN(1+'Quarterly returns'!V$6:V$85))*4/80)-1</f>
        <v>0.0396063048407955</v>
      </c>
      <c r="C33" s="433">
        <f>EXP(SUMPRODUCT(LN(1+'Quarterly returns'!V$46:V$85))*4/40)-1</f>
        <v>0.0165608190403004</v>
      </c>
      <c r="D33" s="433">
        <f>EXP(SUMPRODUCT(LN(1+'Quarterly returns'!V$66:V$85))*4/20)-1</f>
        <v>-0.000897824399882397</v>
      </c>
      <c r="E33" s="433">
        <f>B33-B$35</f>
        <v>0.00654715539122308</v>
      </c>
      <c r="F33" s="433">
        <f>C33-C$35</f>
        <v>-0.00530473190733805</v>
      </c>
      <c r="G33" s="666">
        <f>D33-D$35</f>
        <v>-0.0298096087809766</v>
      </c>
      <c r="H33" s="665" t="n"/>
      <c r="K33" s="665" t="n"/>
      <c r="L33" s="665" t="n"/>
    </row>
    <row r="34">
      <c r="A34" s="595" t="inlineStr">
        <is>
          <t>World Fixed Income</t>
        </is>
      </c>
      <c r="B34" s="433">
        <f>EXP(SUMPRODUCT(LN(1+'Quarterly returns'!W$6:W$85))*4/80)-1</f>
        <v>0.0430209428987427</v>
      </c>
      <c r="C34" s="433">
        <f>EXP(SUMPRODUCT(LN(1+'Quarterly returns'!W$46:W$85))*4/40)-1</f>
        <v>0.00939813736649442</v>
      </c>
      <c r="D34" s="433">
        <f>EXP(SUMPRODUCT(LN(1+'Quarterly returns'!W$66:W$85))*4/20)-1</f>
        <v>-0.0113844590083486</v>
      </c>
      <c r="E34" s="433">
        <f>B34-B$35</f>
        <v>0.00996179344917025</v>
      </c>
      <c r="F34" s="433">
        <f>C34-C$35</f>
        <v>-0.012467413581144</v>
      </c>
      <c r="G34" s="666">
        <f>D34-D$35</f>
        <v>-0.0402962433894428</v>
      </c>
      <c r="H34" s="665" t="n"/>
      <c r="K34" s="665" t="n"/>
      <c r="L34" s="665" t="n"/>
    </row>
    <row r="35">
      <c r="A35" s="598" t="inlineStr">
        <is>
          <t>Cash</t>
        </is>
      </c>
      <c r="B35" s="645">
        <f>EXP(SUMPRODUCT(LN(1+'Quarterly returns'!X$6:X$85))*4/80)-1</f>
        <v>0.0330591494495724</v>
      </c>
      <c r="C35" s="645">
        <f>EXP(SUMPRODUCT(LN(1+'Quarterly returns'!X$46:X$85))*4/40)-1</f>
        <v>0.0218655509476384</v>
      </c>
      <c r="D35" s="645">
        <f>EXP(SUMPRODUCT(LN(1+'Quarterly returns'!X$66:X$85))*4/20)-1</f>
        <v>0.0289117843810942</v>
      </c>
      <c r="E35" s="645">
        <f>B35-B$35</f>
        <v>0</v>
      </c>
      <c r="F35" s="645">
        <f>C35-C$35</f>
        <v>0</v>
      </c>
      <c r="G35" s="667">
        <f>D35-D$35</f>
        <v>0</v>
      </c>
      <c r="H35" s="665" t="n"/>
      <c r="K35" s="665" t="n"/>
      <c r="L35" s="665" t="n"/>
    </row>
    <row r="36">
      <c r="K36" s="665" t="n"/>
      <c r="L36" s="665" t="n"/>
    </row>
    <row r="37">
      <c r="K37" s="665" t="n"/>
      <c r="L37" s="665" t="n"/>
    </row>
    <row r="38">
      <c r="A38" s="165" t="inlineStr">
        <is>
          <t>3. Implied equity returns</t>
        </is>
      </c>
      <c r="B38" s="166" t="n"/>
      <c r="C38" s="166" t="n"/>
      <c r="D38" s="167" t="n"/>
      <c r="K38" s="665" t="n"/>
      <c r="L38" s="665" t="n"/>
    </row>
    <row r="39" ht="28" customHeight="1">
      <c r="A39" s="168" t="inlineStr">
        <is>
          <t>Item</t>
        </is>
      </c>
      <c r="B39" s="169" t="inlineStr">
        <is>
          <t>Australian equities</t>
        </is>
      </c>
      <c r="C39" s="169" t="inlineStr">
        <is>
          <t>World equities</t>
        </is>
      </c>
      <c r="D39" s="170" t="inlineStr">
        <is>
          <t>Source</t>
        </is>
      </c>
      <c r="K39" s="665" t="n"/>
      <c r="L39" s="665" t="n"/>
    </row>
    <row r="40">
      <c r="A40" s="172" t="inlineStr">
        <is>
          <t>As at</t>
        </is>
      </c>
      <c r="B40" s="488" t="n">
        <v>46265</v>
      </c>
      <c r="C40" s="488" t="n">
        <v>46265</v>
      </c>
      <c r="D40" s="217" t="n"/>
      <c r="K40" s="665" t="n"/>
      <c r="L40" s="665" t="n"/>
    </row>
    <row r="41">
      <c r="A41" s="172" t="inlineStr">
        <is>
          <t>Dividend yield (trailing)</t>
        </is>
      </c>
      <c r="B41" s="189" t="n">
        <v>0.0343</v>
      </c>
      <c r="C41" s="189" t="n">
        <v>0.015</v>
      </c>
      <c r="D41" s="218" t="inlineStr">
        <is>
          <t>Market data</t>
        </is>
      </c>
      <c r="K41" s="665" t="n"/>
      <c r="L41" s="665" t="n"/>
    </row>
    <row r="42">
      <c r="A42" s="172" t="inlineStr">
        <is>
          <t>P/E (trailing)</t>
        </is>
      </c>
      <c r="B42" s="193" t="n">
        <v>20.39</v>
      </c>
      <c r="C42" s="193" t="n">
        <v>23.2</v>
      </c>
      <c r="D42" s="217" t="n"/>
      <c r="K42" s="665" t="n"/>
      <c r="L42" s="665" t="n"/>
    </row>
    <row r="43">
      <c r="A43" s="172" t="inlineStr">
        <is>
          <t>P/E (forward)</t>
        </is>
      </c>
      <c r="B43" s="193" t="n">
        <v>18.82</v>
      </c>
      <c r="C43" s="193" t="n">
        <v>18.55</v>
      </c>
      <c r="D43" s="217" t="n"/>
      <c r="K43" s="665" t="n"/>
      <c r="L43" s="665" t="n"/>
    </row>
    <row r="44">
      <c r="A44" s="172" t="inlineStr">
        <is>
          <t>Expected inflation</t>
        </is>
      </c>
      <c r="B44" s="72">
        <f>$B$58</f>
        <v>0.0275</v>
      </c>
      <c r="C44" s="72">
        <f>$B$59</f>
        <v>0.025</v>
      </c>
      <c r="D44" s="218" t="inlineStr">
        <is>
          <t>Section 4</t>
        </is>
      </c>
      <c r="K44" s="665" t="n"/>
      <c r="L44" s="665" t="n"/>
    </row>
    <row r="45">
      <c r="A45" s="172" t="inlineStr">
        <is>
          <t>Real growth</t>
        </is>
      </c>
      <c r="B45" s="72">
        <f>$B$65</f>
        <v>0.02</v>
      </c>
      <c r="C45" s="72">
        <f>$B$70</f>
        <v>0.018</v>
      </c>
      <c r="D45" s="218" t="inlineStr">
        <is>
          <t>Section 4</t>
        </is>
      </c>
      <c r="K45" s="665" t="n"/>
      <c r="L45" s="665" t="n"/>
    </row>
    <row r="46">
      <c r="A46" s="172" t="inlineStr">
        <is>
          <t>Forward dividend yield</t>
        </is>
      </c>
      <c r="B46" s="72">
        <f>B41*B42/B43</f>
        <v>0.0371613708820404</v>
      </c>
      <c r="C46" s="72">
        <f>C41*C42/C43</f>
        <v>0.0187601078167116</v>
      </c>
      <c r="D46" s="217" t="n"/>
      <c r="K46" s="665" t="n"/>
      <c r="L46" s="665" t="n"/>
    </row>
    <row r="47">
      <c r="A47" s="172" t="inlineStr">
        <is>
          <t>Nominal growth</t>
        </is>
      </c>
      <c r="B47" s="72">
        <f>B44+B45</f>
        <v>0.0475</v>
      </c>
      <c r="C47" s="72">
        <f>C44+C45</f>
        <v>0.043</v>
      </c>
      <c r="D47" s="217" t="n"/>
      <c r="K47" s="665" t="n"/>
      <c r="L47" s="665" t="n"/>
    </row>
    <row r="48">
      <c r="A48" s="172" t="inlineStr">
        <is>
          <t>DDM: D1/P0 + g</t>
        </is>
      </c>
      <c r="B48" s="72">
        <f>B46+B47</f>
        <v>0.0846613708820404</v>
      </c>
      <c r="C48" s="72">
        <f>C46+C47</f>
        <v>0.0617601078167116</v>
      </c>
      <c r="D48" s="217" t="n"/>
    </row>
    <row r="49">
      <c r="A49" s="172" t="inlineStr">
        <is>
          <t>Earnings yield + inflation</t>
        </is>
      </c>
      <c r="B49" s="72">
        <f>1/B43+B44</f>
        <v>0.080634962805526</v>
      </c>
      <c r="C49" s="72">
        <f>1/C43+C44</f>
        <v>0.0789083557951482</v>
      </c>
      <c r="D49" s="217" t="n"/>
    </row>
    <row r="50">
      <c r="A50" s="177" t="inlineStr">
        <is>
          <t>Implied return (average; cross-check on section 5b)</t>
        </is>
      </c>
      <c r="B50" s="220">
        <f>AVERAGE(B48:B49)</f>
        <v>0.0826481668437832</v>
      </c>
      <c r="C50" s="220">
        <f>AVERAGE(C48:C49)</f>
        <v>0.0703342318059299</v>
      </c>
      <c r="D50" s="180" t="n"/>
    </row>
    <row r="53">
      <c r="A53" s="668" t="inlineStr">
        <is>
          <t>4. Market and economic inputs, Sep-2026 (blue = sourced or judgement input)</t>
        </is>
      </c>
      <c r="B53" s="669" t="n"/>
      <c r="C53" s="669" t="n"/>
      <c r="D53" s="669" t="n"/>
      <c r="E53" s="669" t="n"/>
      <c r="F53" s="669" t="n"/>
      <c r="G53" s="669" t="n"/>
      <c r="H53" s="669" t="n"/>
      <c r="I53" s="670" t="n"/>
    </row>
    <row r="54">
      <c r="A54" s="671" t="inlineStr">
        <is>
          <t>Input</t>
        </is>
      </c>
      <c r="B54" s="672" t="inlineStr">
        <is>
          <t>Value</t>
        </is>
      </c>
      <c r="C54" s="673" t="inlineStr">
        <is>
          <t>Source</t>
        </is>
      </c>
      <c r="D54" s="674" t="n"/>
      <c r="E54" s="674" t="n"/>
      <c r="F54" s="674" t="n"/>
      <c r="G54" s="674" t="n"/>
      <c r="H54" s="674" t="n"/>
      <c r="I54" s="675" t="n"/>
    </row>
    <row r="55">
      <c r="A55" s="676" t="inlineStr">
        <is>
          <t>AU cash rate (RBA target)</t>
        </is>
      </c>
      <c r="B55" s="433">
        <f>Inputs!$B$26</f>
        <v>0.046</v>
      </c>
      <c r="C55" s="677" t="inlineStr">
        <is>
          <t>RBA, 29-Sep-26 (Inputs B26)</t>
        </is>
      </c>
      <c r="D55" s="606" t="n"/>
      <c r="E55" s="606" t="n"/>
      <c r="F55" s="606" t="n"/>
      <c r="G55" s="606" t="n"/>
      <c r="H55" s="606" t="n"/>
      <c r="I55" s="607" t="n"/>
    </row>
    <row r="56">
      <c r="A56" s="676" t="inlineStr">
        <is>
          <t>AU 5-year government bond yield</t>
        </is>
      </c>
      <c r="B56" s="433">
        <f>Inputs!$B$23</f>
        <v>0.04988</v>
      </c>
      <c r="C56" s="677" t="inlineStr">
        <is>
          <t>RBA F2, 22-Sep-26 (Inputs B23)</t>
        </is>
      </c>
      <c r="D56" s="606" t="n"/>
      <c r="E56" s="606" t="n"/>
      <c r="F56" s="606" t="n"/>
      <c r="G56" s="606" t="n"/>
      <c r="H56" s="606" t="n"/>
      <c r="I56" s="607" t="n"/>
    </row>
    <row r="57">
      <c r="A57" s="676" t="inlineStr">
        <is>
          <t>AU 5-year term premium</t>
        </is>
      </c>
      <c r="B57" s="471" t="n">
        <v>0.003</v>
      </c>
      <c r="C57" s="677" t="inlineStr">
        <is>
          <t>Judgement; Hambur &amp; Finlay (2018), RBA RDP 2018-02, find small positive term premia</t>
        </is>
      </c>
      <c r="D57" s="606" t="n"/>
      <c r="E57" s="606" t="n"/>
      <c r="F57" s="606" t="n"/>
      <c r="G57" s="606" t="n"/>
      <c r="H57" s="606" t="n"/>
      <c r="I57" s="607" t="n"/>
    </row>
    <row r="58">
      <c r="A58" s="676" t="inlineStr">
        <is>
          <t>Australian inflation, 5-year average</t>
        </is>
      </c>
      <c r="B58" s="471" t="n">
        <v>0.0275</v>
      </c>
      <c r="C58" s="677" t="inlineStr">
        <is>
          <t>RBA Statement on Monetary Policy, Aug-2026: inflation back to 2.5% by early 2028</t>
        </is>
      </c>
      <c r="D58" s="606" t="n"/>
      <c r="E58" s="606" t="n"/>
      <c r="F58" s="606" t="n"/>
      <c r="G58" s="606" t="n"/>
      <c r="H58" s="606" t="n"/>
      <c r="I58" s="607" t="n"/>
    </row>
    <row r="59">
      <c r="A59" s="676" t="inlineStr">
        <is>
          <t>Foreign inflation, 5-year average</t>
        </is>
      </c>
      <c r="B59" s="471" t="n">
        <v>0.025</v>
      </c>
      <c r="C59" s="677" t="inlineStr">
        <is>
          <t>Judgement: above 2% targets near term (Fed, ECB and BoJ all raised rates in Sep-2026)</t>
        </is>
      </c>
      <c r="D59" s="606" t="n"/>
      <c r="E59" s="606" t="n"/>
      <c r="F59" s="606" t="n"/>
      <c r="G59" s="606" t="n"/>
      <c r="H59" s="606" t="n"/>
      <c r="I59" s="607" t="n"/>
    </row>
    <row r="60">
      <c r="A60" s="676" t="inlineStr">
        <is>
          <t>Equity premium over bills (geometric, long run)</t>
        </is>
      </c>
      <c r="B60" s="471" t="n">
        <v>0.035</v>
      </c>
      <c r="C60" s="677" t="inlineStr">
        <is>
          <t>Dimson, Marsh &amp; Staunton, UBS Global Investment Returns Yearbook 2026: c.3.5% p.a.</t>
        </is>
      </c>
      <c r="D60" s="606" t="n"/>
      <c r="E60" s="606" t="n"/>
      <c r="F60" s="606" t="n"/>
      <c r="G60" s="606" t="n"/>
      <c r="H60" s="606" t="n"/>
      <c r="I60" s="607" t="n"/>
    </row>
    <row r="61">
      <c r="A61" s="676" t="inlineStr">
        <is>
          <t>Share of the P/E gap closed over 5 years</t>
        </is>
      </c>
      <c r="B61" s="678" t="n">
        <v>0.5</v>
      </c>
      <c r="C61" s="677" t="inlineStr">
        <is>
          <t>Judgement; Campbell &amp; Shiller (1998): valuations mean-revert slowly</t>
        </is>
      </c>
      <c r="D61" s="606" t="n"/>
      <c r="E61" s="606" t="n"/>
      <c r="F61" s="606" t="n"/>
      <c r="G61" s="606" t="n"/>
      <c r="H61" s="606" t="n"/>
      <c r="I61" s="607" t="n"/>
    </row>
    <row r="62">
      <c r="A62" s="676" t="inlineStr">
        <is>
          <t>Australian equities: forward dividend yield</t>
        </is>
      </c>
      <c r="B62" s="433">
        <f>$B$46</f>
        <v>0.0371613708820404</v>
      </c>
      <c r="C62" s="677" t="inlineStr">
        <is>
          <t>Section 3 (market data, 31-Aug-26)</t>
        </is>
      </c>
      <c r="D62" s="606" t="n"/>
      <c r="E62" s="606" t="n"/>
      <c r="F62" s="606" t="n"/>
      <c r="G62" s="606" t="n"/>
      <c r="H62" s="606" t="n"/>
      <c r="I62" s="607" t="n"/>
    </row>
    <row r="63">
      <c r="A63" s="676" t="inlineStr">
        <is>
          <t>Australian equities: forward P/E</t>
        </is>
      </c>
      <c r="B63" s="679">
        <f>$B$43</f>
        <v>18.82</v>
      </c>
      <c r="C63" s="677" t="inlineStr">
        <is>
          <t>Section 3 (market data, 31-Aug-26)</t>
        </is>
      </c>
      <c r="D63" s="606" t="n"/>
      <c r="E63" s="606" t="n"/>
      <c r="F63" s="606" t="n"/>
      <c r="G63" s="606" t="n"/>
      <c r="H63" s="606" t="n"/>
      <c r="I63" s="607" t="n"/>
    </row>
    <row r="64">
      <c r="A64" s="676" t="inlineStr">
        <is>
          <t>Australian equities: long-run average forward P/E</t>
        </is>
      </c>
      <c r="B64" s="680" t="n">
        <v>14.8</v>
      </c>
      <c r="C64" s="677" t="inlineStr">
        <is>
          <t>Judgement: long-run average forward P/E (IG, ASX 200 outlook 2026: 14.8x)</t>
        </is>
      </c>
      <c r="D64" s="606" t="n"/>
      <c r="E64" s="606" t="n"/>
      <c r="F64" s="606" t="n"/>
      <c r="G64" s="606" t="n"/>
      <c r="H64" s="606" t="n"/>
      <c r="I64" s="607" t="n"/>
    </row>
    <row r="65">
      <c r="A65" s="676" t="inlineStr">
        <is>
          <t>Australian equities: real earnings growth</t>
        </is>
      </c>
      <c r="B65" s="471" t="n">
        <v>0.02</v>
      </c>
      <c r="C65" s="677" t="inlineStr">
        <is>
          <t>Judgement: about potential GDP growth (RBA SMP Aug-2026)</t>
        </is>
      </c>
      <c r="D65" s="606" t="n"/>
      <c r="E65" s="606" t="n"/>
      <c r="F65" s="606" t="n"/>
      <c r="G65" s="606" t="n"/>
      <c r="H65" s="606" t="n"/>
      <c r="I65" s="607" t="n"/>
    </row>
    <row r="66">
      <c r="A66" s="676" t="inlineStr">
        <is>
          <t>Australian equities: net dilution</t>
        </is>
      </c>
      <c r="B66" s="471" t="n">
        <v>0.01</v>
      </c>
      <c r="C66" s="677" t="inlineStr">
        <is>
          <t>Bernstein &amp; Arnott (2003): c.2% p.a.; judgement 1% (DRPs offset by buybacks)</t>
        </is>
      </c>
      <c r="D66" s="606" t="n"/>
      <c r="E66" s="606" t="n"/>
      <c r="F66" s="606" t="n"/>
      <c r="G66" s="606" t="n"/>
      <c r="H66" s="606" t="n"/>
      <c r="I66" s="607" t="n"/>
    </row>
    <row r="67">
      <c r="A67" s="676" t="inlineStr">
        <is>
          <t>World equities: forward dividend yield</t>
        </is>
      </c>
      <c r="B67" s="433">
        <f>$C$46</f>
        <v>0.0187601078167116</v>
      </c>
      <c r="C67" s="677" t="inlineStr">
        <is>
          <t>Section 3 (market data, 31-Aug-26)</t>
        </is>
      </c>
      <c r="D67" s="606" t="n"/>
      <c r="E67" s="606" t="n"/>
      <c r="F67" s="606" t="n"/>
      <c r="G67" s="606" t="n"/>
      <c r="H67" s="606" t="n"/>
      <c r="I67" s="607" t="n"/>
    </row>
    <row r="68">
      <c r="A68" s="676" t="inlineStr">
        <is>
          <t>World equities: forward P/E</t>
        </is>
      </c>
      <c r="B68" s="679">
        <f>$C$43</f>
        <v>18.55</v>
      </c>
      <c r="C68" s="677" t="inlineStr">
        <is>
          <t>Section 3 (market data, 31-Aug-26)</t>
        </is>
      </c>
      <c r="D68" s="606" t="n"/>
      <c r="E68" s="606" t="n"/>
      <c r="F68" s="606" t="n"/>
      <c r="G68" s="606" t="n"/>
      <c r="H68" s="606" t="n"/>
      <c r="I68" s="607" t="n"/>
    </row>
    <row r="69">
      <c r="A69" s="676" t="inlineStr">
        <is>
          <t>World equities: long-run average forward P/E</t>
        </is>
      </c>
      <c r="B69" s="680" t="n">
        <v>15.5</v>
      </c>
      <c r="C69" s="677" t="inlineStr">
        <is>
          <t>Judgement: long-run average forward P/E for MSCI World</t>
        </is>
      </c>
      <c r="D69" s="606" t="n"/>
      <c r="E69" s="606" t="n"/>
      <c r="F69" s="606" t="n"/>
      <c r="G69" s="606" t="n"/>
      <c r="H69" s="606" t="n"/>
      <c r="I69" s="607" t="n"/>
    </row>
    <row r="70">
      <c r="A70" s="676" t="inlineStr">
        <is>
          <t>World equities: real earnings growth</t>
        </is>
      </c>
      <c r="B70" s="471" t="n">
        <v>0.018</v>
      </c>
      <c r="C70" s="677" t="inlineStr">
        <is>
          <t>Judgement: developed-market potential growth</t>
        </is>
      </c>
      <c r="D70" s="606" t="n"/>
      <c r="E70" s="606" t="n"/>
      <c r="F70" s="606" t="n"/>
      <c r="G70" s="606" t="n"/>
      <c r="H70" s="606" t="n"/>
      <c r="I70" s="607" t="n"/>
    </row>
    <row r="71">
      <c r="A71" s="676" t="inlineStr">
        <is>
          <t>World equities: net dilution</t>
        </is>
      </c>
      <c r="B71" s="471" t="n">
        <v>0.005</v>
      </c>
      <c r="C71" s="677" t="inlineStr">
        <is>
          <t>Judgement: US buybacks offset issuance elsewhere; Bernstein &amp; Arnott (2003)</t>
        </is>
      </c>
      <c r="D71" s="606" t="n"/>
      <c r="E71" s="606" t="n"/>
      <c r="F71" s="606" t="n"/>
      <c r="G71" s="606" t="n"/>
      <c r="H71" s="606" t="n"/>
      <c r="I71" s="607" t="n"/>
    </row>
    <row r="72">
      <c r="A72" s="676" t="inlineStr">
        <is>
          <t>Emerging markets: dividend yield</t>
        </is>
      </c>
      <c r="B72" s="471" t="n">
        <v>0.02</v>
      </c>
      <c r="C72" s="677" t="inlineStr">
        <is>
          <t>iShares MSCI EM ETF trailing 12-month yield, May-2026</t>
        </is>
      </c>
      <c r="D72" s="606" t="n"/>
      <c r="E72" s="606" t="n"/>
      <c r="F72" s="606" t="n"/>
      <c r="G72" s="606" t="n"/>
      <c r="H72" s="606" t="n"/>
      <c r="I72" s="607" t="n"/>
    </row>
    <row r="73">
      <c r="A73" s="676" t="inlineStr">
        <is>
          <t>Emerging markets: forward P/E</t>
        </is>
      </c>
      <c r="B73" s="680" t="n">
        <v>11.6</v>
      </c>
      <c r="C73" s="677" t="inlineStr">
        <is>
          <t>Siblis Research, Jan-2026</t>
        </is>
      </c>
      <c r="D73" s="606" t="n"/>
      <c r="E73" s="606" t="n"/>
      <c r="F73" s="606" t="n"/>
      <c r="G73" s="606" t="n"/>
      <c r="H73" s="606" t="n"/>
      <c r="I73" s="607" t="n"/>
    </row>
    <row r="74">
      <c r="A74" s="676" t="inlineStr">
        <is>
          <t>Emerging markets: long-run average forward P/E</t>
        </is>
      </c>
      <c r="B74" s="680" t="n">
        <v>12</v>
      </c>
      <c r="C74" s="677" t="inlineStr">
        <is>
          <t>Judgement: long-run average forward P/E for MSCI EM</t>
        </is>
      </c>
      <c r="D74" s="606" t="n"/>
      <c r="E74" s="606" t="n"/>
      <c r="F74" s="606" t="n"/>
      <c r="G74" s="606" t="n"/>
      <c r="H74" s="606" t="n"/>
      <c r="I74" s="607" t="n"/>
    </row>
    <row r="75">
      <c r="A75" s="676" t="inlineStr">
        <is>
          <t>Emerging markets: real earnings growth</t>
        </is>
      </c>
      <c r="B75" s="471" t="n">
        <v>0.035</v>
      </c>
      <c r="C75" s="677" t="inlineStr">
        <is>
          <t>Judgement: EM potential growth</t>
        </is>
      </c>
      <c r="D75" s="606" t="n"/>
      <c r="E75" s="606" t="n"/>
      <c r="F75" s="606" t="n"/>
      <c r="G75" s="606" t="n"/>
      <c r="H75" s="606" t="n"/>
      <c r="I75" s="607" t="n"/>
    </row>
    <row r="76">
      <c r="A76" s="676" t="inlineStr">
        <is>
          <t>Emerging markets: net dilution</t>
        </is>
      </c>
      <c r="B76" s="471" t="n">
        <v>0.02</v>
      </c>
      <c r="C76" s="677" t="inlineStr">
        <is>
          <t>Bernstein &amp; Arnott (2003): c.2% p.a.</t>
        </is>
      </c>
      <c r="D76" s="606" t="n"/>
      <c r="E76" s="606" t="n"/>
      <c r="F76" s="606" t="n"/>
      <c r="G76" s="606" t="n"/>
      <c r="H76" s="606" t="n"/>
      <c r="I76" s="607" t="n"/>
    </row>
    <row r="77">
      <c r="A77" s="676" t="inlineStr">
        <is>
          <t>Listed property: REIT dividend yield</t>
        </is>
      </c>
      <c r="B77" s="471" t="n">
        <v>0.0368</v>
      </c>
      <c r="C77" s="677" t="inlineStr">
        <is>
          <t>Nareit, FTSE Nareit All Equity REITs, Aug-2026</t>
        </is>
      </c>
      <c r="D77" s="606" t="n"/>
      <c r="E77" s="606" t="n"/>
      <c r="F77" s="606" t="n"/>
      <c r="G77" s="606" t="n"/>
      <c r="H77" s="606" t="n"/>
      <c r="I77" s="607" t="n"/>
    </row>
    <row r="78">
      <c r="A78" s="676" t="inlineStr">
        <is>
          <t>Listed property: net issuance</t>
        </is>
      </c>
      <c r="B78" s="471" t="n">
        <v>0.01</v>
      </c>
      <c r="C78" s="677" t="inlineStr">
        <is>
          <t>Judgement: REITs fund growth with new equity</t>
        </is>
      </c>
      <c r="D78" s="606" t="n"/>
      <c r="E78" s="606" t="n"/>
      <c r="F78" s="606" t="n"/>
      <c r="G78" s="606" t="n"/>
      <c r="H78" s="606" t="n"/>
      <c r="I78" s="607" t="n"/>
    </row>
    <row r="79">
      <c r="A79" s="676" t="inlineStr">
        <is>
          <t>Listed property: real rent growth</t>
        </is>
      </c>
      <c r="B79" s="471" t="n">
        <v>0.005</v>
      </c>
      <c r="C79" s="677" t="inlineStr">
        <is>
          <t>Judgement</t>
        </is>
      </c>
      <c r="D79" s="606" t="n"/>
      <c r="E79" s="606" t="n"/>
      <c r="F79" s="606" t="n"/>
      <c r="G79" s="606" t="n"/>
      <c r="H79" s="606" t="n"/>
      <c r="I79" s="607" t="n"/>
    </row>
    <row r="80">
      <c r="A80" s="676" t="inlineStr">
        <is>
          <t>Direct property: gross rental yield</t>
        </is>
      </c>
      <c r="B80" s="471" t="n">
        <v>0.0379</v>
      </c>
      <c r="C80" s="677" t="inlineStr">
        <is>
          <t>Cotality, national dwellings, Aug-2026</t>
        </is>
      </c>
      <c r="D80" s="606" t="n"/>
      <c r="E80" s="606" t="n"/>
      <c r="F80" s="606" t="n"/>
      <c r="G80" s="606" t="n"/>
      <c r="H80" s="606" t="n"/>
      <c r="I80" s="607" t="n"/>
    </row>
    <row r="81">
      <c r="A81" s="676" t="inlineStr">
        <is>
          <t>Direct property: running costs (% of value)</t>
        </is>
      </c>
      <c r="B81" s="471" t="n">
        <v>0.015</v>
      </c>
      <c r="C81" s="677" t="inlineStr">
        <is>
          <t>Fox &amp; Tulip (2014), RBA RDP 2014-06</t>
        </is>
      </c>
      <c r="D81" s="606" t="n"/>
      <c r="E81" s="606" t="n"/>
      <c r="F81" s="606" t="n"/>
      <c r="G81" s="606" t="n"/>
      <c r="H81" s="606" t="n"/>
      <c r="I81" s="607" t="n"/>
    </row>
    <row r="82">
      <c r="A82" s="676" t="inlineStr">
        <is>
          <t>Direct property: depreciation (% of value)</t>
        </is>
      </c>
      <c r="B82" s="471" t="n">
        <v>0.011</v>
      </c>
      <c r="C82" s="677" t="inlineStr">
        <is>
          <t>Fox &amp; Tulip (2014), RBA RDP 2014-06</t>
        </is>
      </c>
      <c r="D82" s="606" t="n"/>
      <c r="E82" s="606" t="n"/>
      <c r="F82" s="606" t="n"/>
      <c r="G82" s="606" t="n"/>
      <c r="H82" s="606" t="n"/>
      <c r="I82" s="607" t="n"/>
    </row>
    <row r="83">
      <c r="A83" s="676" t="inlineStr">
        <is>
          <t>Direct property: real rent growth</t>
        </is>
      </c>
      <c r="B83" s="471" t="n">
        <v>0.005</v>
      </c>
      <c r="C83" s="677" t="inlineStr">
        <is>
          <t>Judgement</t>
        </is>
      </c>
      <c r="D83" s="606" t="n"/>
      <c r="E83" s="606" t="n"/>
      <c r="F83" s="606" t="n"/>
      <c r="G83" s="606" t="n"/>
      <c r="H83" s="606" t="n"/>
      <c r="I83" s="607" t="n"/>
    </row>
    <row r="84">
      <c r="A84" s="676" t="inlineStr">
        <is>
          <t>Australian fixed income: yield to maturity</t>
        </is>
      </c>
      <c r="B84" s="471" t="n">
        <v>0.051</v>
      </c>
      <c r="C84" s="677" t="inlineStr">
        <is>
          <t>Vanguard VAF fact sheet 2026 (Bloomberg AusBond Composite)</t>
        </is>
      </c>
      <c r="D84" s="606" t="n"/>
      <c r="E84" s="606" t="n"/>
      <c r="F84" s="606" t="n"/>
      <c r="G84" s="606" t="n"/>
      <c r="H84" s="606" t="n"/>
      <c r="I84" s="607" t="n"/>
    </row>
    <row r="85">
      <c r="A85" s="676" t="inlineStr">
        <is>
          <t>Australian fixed income: duration (years)</t>
        </is>
      </c>
      <c r="B85" s="680" t="n">
        <v>4.9</v>
      </c>
      <c r="C85" s="677" t="inlineStr">
        <is>
          <t>Vanguard VAF fact sheet 2026</t>
        </is>
      </c>
      <c r="D85" s="606" t="n"/>
      <c r="E85" s="606" t="n"/>
      <c r="F85" s="606" t="n"/>
      <c r="G85" s="606" t="n"/>
      <c r="H85" s="606" t="n"/>
      <c r="I85" s="607" t="n"/>
    </row>
    <row r="86">
      <c r="A86" s="676" t="inlineStr">
        <is>
          <t>Australian fixed income: expected credit losses</t>
        </is>
      </c>
      <c r="B86" s="471" t="n">
        <v>0.0005</v>
      </c>
      <c r="C86" s="677" t="inlineStr">
        <is>
          <t>Judgement: AA+ average quality</t>
        </is>
      </c>
      <c r="D86" s="606" t="n"/>
      <c r="E86" s="606" t="n"/>
      <c r="F86" s="606" t="n"/>
      <c r="G86" s="606" t="n"/>
      <c r="H86" s="606" t="n"/>
      <c r="I86" s="607" t="n"/>
    </row>
    <row r="87">
      <c r="A87" s="676" t="inlineStr">
        <is>
          <t>US 10-year Treasury yield</t>
        </is>
      </c>
      <c r="B87" s="471" t="n">
        <v>0.0508</v>
      </c>
      <c r="C87" s="677" t="inlineStr">
        <is>
          <t>Weekly average, end Sep-2026 (FRED DGS10 / Advisor Perspectives)</t>
        </is>
      </c>
      <c r="D87" s="606" t="n"/>
      <c r="E87" s="606" t="n"/>
      <c r="F87" s="606" t="n"/>
      <c r="G87" s="606" t="n"/>
      <c r="H87" s="606" t="n"/>
      <c r="I87" s="607" t="n"/>
    </row>
    <row r="88">
      <c r="A88" s="676" t="inlineStr">
        <is>
          <t>US policy rate (midpoint)</t>
        </is>
      </c>
      <c r="B88" s="471" t="n">
        <v>0.03875</v>
      </c>
      <c r="C88" s="677" t="inlineStr">
        <is>
          <t>FOMC, 16-Sep-26: 3.75% to 4.00%</t>
        </is>
      </c>
      <c r="D88" s="606" t="n"/>
      <c r="E88" s="606" t="n"/>
      <c r="F88" s="606" t="n"/>
      <c r="G88" s="606" t="n"/>
      <c r="H88" s="606" t="n"/>
      <c r="I88" s="607" t="n"/>
    </row>
    <row r="89">
      <c r="A89" s="676" t="inlineStr">
        <is>
          <t>Germany 10-year Bund yield</t>
        </is>
      </c>
      <c r="B89" s="471" t="n">
        <v>0.036</v>
      </c>
      <c r="C89" s="677" t="inlineStr">
        <is>
          <t>29-Sep-26 (Trading Economics)</t>
        </is>
      </c>
      <c r="D89" s="606" t="n"/>
      <c r="E89" s="606" t="n"/>
      <c r="F89" s="606" t="n"/>
      <c r="G89" s="606" t="n"/>
      <c r="H89" s="606" t="n"/>
      <c r="I89" s="607" t="n"/>
    </row>
    <row r="90">
      <c r="A90" s="676" t="inlineStr">
        <is>
          <t>ECB deposit facility rate</t>
        </is>
      </c>
      <c r="B90" s="471" t="n">
        <v>0.025</v>
      </c>
      <c r="C90" s="677" t="inlineStr">
        <is>
          <t>ECB, 10-Sep-26</t>
        </is>
      </c>
      <c r="D90" s="606" t="n"/>
      <c r="E90" s="606" t="n"/>
      <c r="F90" s="606" t="n"/>
      <c r="G90" s="606" t="n"/>
      <c r="H90" s="606" t="n"/>
      <c r="I90" s="607" t="n"/>
    </row>
    <row r="91">
      <c r="A91" s="676" t="inlineStr">
        <is>
          <t>Japan 10-year JGB yield</t>
        </is>
      </c>
      <c r="B91" s="471" t="n">
        <v>0.0308</v>
      </c>
      <c r="C91" s="677" t="inlineStr">
        <is>
          <t>28-Sep-26 (Trading Economics)</t>
        </is>
      </c>
      <c r="D91" s="606" t="n"/>
      <c r="E91" s="606" t="n"/>
      <c r="F91" s="606" t="n"/>
      <c r="G91" s="606" t="n"/>
      <c r="H91" s="606" t="n"/>
      <c r="I91" s="607" t="n"/>
    </row>
    <row r="92">
      <c r="A92" s="676" t="inlineStr">
        <is>
          <t>Bank of Japan policy rate</t>
        </is>
      </c>
      <c r="B92" s="471" t="n">
        <v>0.0125</v>
      </c>
      <c r="C92" s="677" t="inlineStr">
        <is>
          <t>Bank of Japan, 18-Sep-26</t>
        </is>
      </c>
      <c r="D92" s="606" t="n"/>
      <c r="E92" s="606" t="n"/>
      <c r="F92" s="606" t="n"/>
      <c r="G92" s="606" t="n"/>
      <c r="H92" s="606" t="n"/>
      <c r="I92" s="607" t="n"/>
    </row>
    <row r="93">
      <c r="A93" s="676" t="inlineStr">
        <is>
          <t>UK 10-year gilt yield</t>
        </is>
      </c>
      <c r="B93" s="471" t="n">
        <v>0.0538</v>
      </c>
      <c r="C93" s="677" t="inlineStr">
        <is>
          <t>25-Sep-26 (Trading Economics)</t>
        </is>
      </c>
      <c r="D93" s="606" t="n"/>
      <c r="E93" s="606" t="n"/>
      <c r="F93" s="606" t="n"/>
      <c r="G93" s="606" t="n"/>
      <c r="H93" s="606" t="n"/>
      <c r="I93" s="607" t="n"/>
    </row>
    <row r="94">
      <c r="A94" s="676" t="inlineStr">
        <is>
          <t>Bank of England Bank Rate</t>
        </is>
      </c>
      <c r="B94" s="471" t="n">
        <v>0.0375</v>
      </c>
      <c r="C94" s="677" t="inlineStr">
        <is>
          <t>Bank of England, Sep-2026</t>
        </is>
      </c>
      <c r="D94" s="606" t="n"/>
      <c r="E94" s="606" t="n"/>
      <c r="F94" s="606" t="n"/>
      <c r="G94" s="606" t="n"/>
      <c r="H94" s="606" t="n"/>
      <c r="I94" s="607" t="n"/>
    </row>
    <row r="95">
      <c r="A95" s="676" t="inlineStr">
        <is>
          <t>World bonds: United States weight</t>
        </is>
      </c>
      <c r="B95" s="482" t="n">
        <v>0.397</v>
      </c>
      <c r="C95" s="677" t="inlineStr">
        <is>
          <t>Vanguard VIF fact sheet, country allocation</t>
        </is>
      </c>
      <c r="D95" s="606" t="n"/>
      <c r="E95" s="606" t="n"/>
      <c r="F95" s="606" t="n"/>
      <c r="G95" s="606" t="n"/>
      <c r="H95" s="606" t="n"/>
      <c r="I95" s="607" t="n"/>
    </row>
    <row r="96">
      <c r="A96" s="676" t="inlineStr">
        <is>
          <t>World bonds: Japan weight</t>
        </is>
      </c>
      <c r="B96" s="482" t="n">
        <v>0.155</v>
      </c>
      <c r="C96" s="677" t="inlineStr">
        <is>
          <t>Vanguard VIF fact sheet</t>
        </is>
      </c>
      <c r="D96" s="606" t="n"/>
      <c r="E96" s="606" t="n"/>
      <c r="F96" s="606" t="n"/>
      <c r="G96" s="606" t="n"/>
      <c r="H96" s="606" t="n"/>
      <c r="I96" s="607" t="n"/>
    </row>
    <row r="97">
      <c r="A97" s="676" t="inlineStr">
        <is>
          <t>World bonds: United Kingdom weight</t>
        </is>
      </c>
      <c r="B97" s="482" t="n">
        <v>0.061</v>
      </c>
      <c r="C97" s="677" t="inlineStr">
        <is>
          <t>Vanguard VIF fact sheet</t>
        </is>
      </c>
      <c r="D97" s="606" t="n"/>
      <c r="E97" s="606" t="n"/>
      <c r="F97" s="606" t="n"/>
      <c r="G97" s="606" t="n"/>
      <c r="H97" s="606" t="n"/>
      <c r="I97" s="607" t="n"/>
    </row>
    <row r="98">
      <c r="A98" s="676" t="inlineStr">
        <is>
          <t>World bonds: euro area and other weight</t>
        </is>
      </c>
      <c r="B98" s="483">
        <f>1-$B$95-$B$96-$B$97</f>
        <v>0.387</v>
      </c>
      <c r="C98" s="677" t="inlineStr">
        <is>
          <t>Remainder, priced at Bund rates (conservative)</t>
        </is>
      </c>
      <c r="D98" s="606" t="n"/>
      <c r="E98" s="606" t="n"/>
      <c r="F98" s="606" t="n"/>
      <c r="G98" s="606" t="n"/>
      <c r="H98" s="606" t="n"/>
      <c r="I98" s="607" t="n"/>
    </row>
    <row r="99">
      <c r="A99" s="676" t="inlineStr">
        <is>
          <t>World bonds: duration and basis adjustment</t>
        </is>
      </c>
      <c r="B99" s="471" t="n">
        <v>-0.0025</v>
      </c>
      <c r="C99" s="677" t="inlineStr">
        <is>
          <t>Judgement: 10-year yields overstate a 6.7-year duration index (-0.15%); basis and costs (-0.10%)</t>
        </is>
      </c>
      <c r="D99" s="606" t="n"/>
      <c r="E99" s="606" t="n"/>
      <c r="F99" s="606" t="n"/>
      <c r="G99" s="606" t="n"/>
      <c r="H99" s="606" t="n"/>
      <c r="I99" s="607" t="n"/>
    </row>
    <row r="100">
      <c r="A100" s="676" t="inlineStr">
        <is>
          <t>Commodities: excess return over collateral</t>
        </is>
      </c>
      <c r="B100" s="471" t="n">
        <v>0.015</v>
      </c>
      <c r="C100" s="677" t="inlineStr">
        <is>
          <t>Levine et al. (2018): 3.3% geometric for a diversified index; Erb &amp; Harvey (2006): c.0% for the average commodity</t>
        </is>
      </c>
      <c r="D100" s="606" t="n"/>
      <c r="E100" s="606" t="n"/>
      <c r="F100" s="606" t="n"/>
      <c r="G100" s="606" t="n"/>
      <c r="H100" s="606" t="n"/>
      <c r="I100" s="607" t="n"/>
    </row>
    <row r="101">
      <c r="A101" s="676" t="inlineStr">
        <is>
          <t>Hedge funds: equity beta</t>
        </is>
      </c>
      <c r="B101" s="681" t="n">
        <v>0.35</v>
      </c>
      <c r="C101" s="677" t="inlineStr">
        <is>
          <t>Judgement from factor-model literature (Fung &amp; Hsieh 2004); data estimate in section 5c</t>
        </is>
      </c>
      <c r="D101" s="606" t="n"/>
      <c r="E101" s="606" t="n"/>
      <c r="F101" s="606" t="n"/>
      <c r="G101" s="606" t="n"/>
      <c r="H101" s="606" t="n"/>
      <c r="I101" s="607" t="n"/>
    </row>
    <row r="102">
      <c r="A102" s="676" t="inlineStr">
        <is>
          <t>Hedge funds: net alpha</t>
        </is>
      </c>
      <c r="B102" s="471" t="n">
        <v>0</v>
      </c>
      <c r="C102" s="677" t="inlineStr">
        <is>
          <t>Dichev &amp; Yu (2011): investors earn 3-7% less than fund returns</t>
        </is>
      </c>
      <c r="D102" s="606" t="n"/>
      <c r="E102" s="606" t="n"/>
      <c r="F102" s="606" t="n"/>
      <c r="G102" s="606" t="n"/>
      <c r="H102" s="606" t="n"/>
      <c r="I102" s="607" t="n"/>
    </row>
    <row r="103">
      <c r="A103" s="676" t="inlineStr">
        <is>
          <t>Private equity: equity beta</t>
        </is>
      </c>
      <c r="B103" s="681" t="n">
        <v>1.2</v>
      </c>
      <c r="C103" s="677" t="inlineStr">
        <is>
          <t>Korteweg (2019) survey: 0.7 to 3.2; Axelson, Sorensen &amp; Stromberg (2014); judgement</t>
        </is>
      </c>
      <c r="D103" s="606" t="n"/>
      <c r="E103" s="606" t="n"/>
      <c r="F103" s="606" t="n"/>
      <c r="G103" s="606" t="n"/>
      <c r="H103" s="606" t="n"/>
      <c r="I103" s="607" t="n"/>
    </row>
    <row r="104">
      <c r="A104" s="682" t="inlineStr">
        <is>
          <t>Private equity: net premium over levered public equity</t>
        </is>
      </c>
      <c r="B104" s="683" t="n">
        <v>0.01</v>
      </c>
      <c r="C104" s="684" t="inlineStr">
        <is>
          <t>Harris, Jenkinson &amp; Kaplan (2014): &gt;3% p.a. (1984-2008 vintages); judgement 1% for recent vintages</t>
        </is>
      </c>
      <c r="D104" s="685" t="n"/>
      <c r="E104" s="685" t="n"/>
      <c r="F104" s="685" t="n"/>
      <c r="G104" s="685" t="n"/>
      <c r="H104" s="685" t="n"/>
      <c r="I104" s="686" t="n"/>
    </row>
    <row r="105">
      <c r="A105" s="665" t="n"/>
      <c r="B105" s="665" t="n"/>
      <c r="C105" s="665" t="n"/>
      <c r="D105" s="665" t="n"/>
      <c r="E105" s="665" t="n"/>
      <c r="F105" s="665" t="n"/>
      <c r="G105" s="665" t="n"/>
      <c r="H105" s="665" t="n"/>
      <c r="I105" s="665" t="n"/>
    </row>
    <row r="106">
      <c r="A106" s="665" t="n"/>
      <c r="B106" s="665" t="n"/>
      <c r="C106" s="665" t="n"/>
      <c r="D106" s="665" t="n"/>
      <c r="E106" s="665" t="n"/>
      <c r="F106" s="665" t="n"/>
      <c r="G106" s="665" t="n"/>
      <c r="H106" s="665" t="n"/>
      <c r="I106" s="665" t="n"/>
    </row>
    <row r="107">
      <c r="A107" s="504" t="inlineStr">
        <is>
          <t>5a. Yield, carry and factor builds (compound, p.a.)</t>
        </is>
      </c>
      <c r="B107" s="505" t="n"/>
      <c r="C107" s="505" t="n"/>
      <c r="D107" s="505" t="n"/>
      <c r="E107" s="505" t="n"/>
      <c r="F107" s="505" t="n"/>
      <c r="G107" s="505" t="n"/>
      <c r="H107" s="506" t="n"/>
      <c r="I107" s="665" t="n"/>
    </row>
    <row r="108" ht="40" customHeight="1">
      <c r="A108" s="507" t="inlineStr">
        <is>
          <t>Asset class</t>
        </is>
      </c>
      <c r="B108" s="508" t="inlineStr">
        <is>
          <t>Starting yield or income</t>
        </is>
      </c>
      <c r="C108" s="508" t="inlineStr">
        <is>
          <t>Growth or carry</t>
        </is>
      </c>
      <c r="D108" s="508" t="inlineStr">
        <is>
          <t>Adjustments</t>
        </is>
      </c>
      <c r="E108" s="508" t="inlineStr">
        <is>
          <t>Currency or hedge</t>
        </is>
      </c>
      <c r="F108" s="508" t="inlineStr">
        <is>
          <t>View A</t>
        </is>
      </c>
      <c r="G108" s="508" t="inlineStr">
        <is>
          <t>View B</t>
        </is>
      </c>
      <c r="H108" s="509" t="inlineStr">
        <is>
          <t>Method</t>
        </is>
      </c>
      <c r="I108" s="665" t="n"/>
    </row>
    <row r="109">
      <c r="A109" s="510" t="inlineStr">
        <is>
          <t>Cash</t>
        </is>
      </c>
      <c r="B109" s="433">
        <f>$B$56</f>
        <v>0.04988</v>
      </c>
      <c r="C109" s="433" t="n"/>
      <c r="D109" s="433">
        <f>-$B$57</f>
        <v>-0.003</v>
      </c>
      <c r="E109" s="433" t="n"/>
      <c r="F109" s="433">
        <f>SUM(B109:E109)</f>
        <v>0.04688</v>
      </c>
      <c r="G109" s="433">
        <f>$B$55</f>
        <v>0.046</v>
      </c>
      <c r="H109" s="687" t="inlineStr">
        <is>
          <t>Expectations hypothesis</t>
        </is>
      </c>
      <c r="I109" s="665" t="n"/>
    </row>
    <row r="110">
      <c r="A110" s="510" t="inlineStr">
        <is>
          <t>Australian Fixed Income</t>
        </is>
      </c>
      <c r="B110" s="433">
        <f>$B$84</f>
        <v>0.051</v>
      </c>
      <c r="C110" s="433" t="n"/>
      <c r="D110" s="433">
        <f>-$B$86</f>
        <v>-0.0005</v>
      </c>
      <c r="E110" s="433" t="n"/>
      <c r="F110" s="433">
        <f>SUM(B110:E110)</f>
        <v>0.0505</v>
      </c>
      <c r="G110" s="433" t="n"/>
      <c r="H110" s="687" t="inlineStr">
        <is>
          <t>Yield to maturity</t>
        </is>
      </c>
      <c r="I110" s="665" t="n"/>
    </row>
    <row r="111">
      <c r="A111" s="510" t="inlineStr">
        <is>
          <t>World Fixed Income</t>
        </is>
      </c>
      <c r="B111" s="433">
        <f>($B$95*$B$87+$B$96*$B$91+$B$97*$B$93+$B$98*$B$89)</f>
        <v>0.0421554</v>
      </c>
      <c r="C111" s="433" t="n"/>
      <c r="D111" s="433">
        <f>$B$99</f>
        <v>-0.0025</v>
      </c>
      <c r="E111" s="433">
        <f>$B$55-($B$95*$B$88+$B$96*$B$92+$B$97*$B$94+$B$98*$B$90)</f>
        <v>0.01671625</v>
      </c>
      <c r="F111" s="433">
        <f>SUM(B111:E111)</f>
        <v>0.05637165</v>
      </c>
      <c r="G111" s="433" t="n"/>
      <c r="H111" s="687" t="inlineStr">
        <is>
          <t>Covered interest parity</t>
        </is>
      </c>
      <c r="I111" s="665" t="n"/>
    </row>
    <row r="112">
      <c r="A112" s="510" t="inlineStr">
        <is>
          <t>Commodities</t>
        </is>
      </c>
      <c r="B112" s="433">
        <f>$B$88</f>
        <v>0.03875</v>
      </c>
      <c r="C112" s="433">
        <f>$B$100</f>
        <v>0.015</v>
      </c>
      <c r="D112" s="433" t="n"/>
      <c r="E112" s="433">
        <f>$B$58-$B$59</f>
        <v>0.0025</v>
      </c>
      <c r="F112" s="433">
        <f>SUM(B112:E112)</f>
        <v>0.05625</v>
      </c>
      <c r="G112" s="433" t="n"/>
      <c r="H112" s="687" t="inlineStr">
        <is>
          <t>Collateral + excess + PPP</t>
        </is>
      </c>
      <c r="I112" s="665" t="n"/>
    </row>
    <row r="113">
      <c r="A113" s="510" t="inlineStr">
        <is>
          <t>Direct Property</t>
        </is>
      </c>
      <c r="B113" s="433">
        <f>$B$80-$B$81-$B$82</f>
        <v>0.0119</v>
      </c>
      <c r="C113" s="433">
        <f>$B$58+$B$83</f>
        <v>0.0325</v>
      </c>
      <c r="D113" s="433" t="n">
        <v>0</v>
      </c>
      <c r="E113" s="433" t="n"/>
      <c r="F113" s="433">
        <f>SUM(B113:E113)</f>
        <v>0.0444</v>
      </c>
      <c r="G113" s="433">
        <f>$D$149+$B$131*$B$60</f>
        <v>0.0546734624877237</v>
      </c>
      <c r="H113" s="687" t="inlineStr">
        <is>
          <t>Cap-rate model; B: beta build-up</t>
        </is>
      </c>
      <c r="I113" s="665" t="n"/>
    </row>
    <row r="114">
      <c r="A114" s="510" t="inlineStr">
        <is>
          <t>Hedge Funds</t>
        </is>
      </c>
      <c r="B114" s="433">
        <f>$D$149</f>
        <v>0.04644</v>
      </c>
      <c r="C114" s="433">
        <f>$B$101*($D$140-$D$149)</f>
        <v>0.00525306317804619</v>
      </c>
      <c r="D114" s="433">
        <f>$B$102</f>
        <v>0</v>
      </c>
      <c r="E114" s="433" t="n"/>
      <c r="F114" s="433">
        <f>SUM(B114:E114)</f>
        <v>0.0516930631780462</v>
      </c>
      <c r="G114" s="433" t="n"/>
      <c r="H114" s="687" t="inlineStr">
        <is>
          <t>Factor model (net of fees)</t>
        </is>
      </c>
    </row>
    <row r="115">
      <c r="A115" s="516" t="inlineStr">
        <is>
          <t>Private Equity</t>
        </is>
      </c>
      <c r="B115" s="637">
        <f>$D$149</f>
        <v>0.04644</v>
      </c>
      <c r="C115" s="637">
        <f>$B$103*($D$140-$D$149)</f>
        <v>0.0180105023247298</v>
      </c>
      <c r="D115" s="637">
        <f>$B$104</f>
        <v>0.01</v>
      </c>
      <c r="E115" s="637" t="n"/>
      <c r="F115" s="637">
        <f>SUM(B115:E115)</f>
        <v>0.0744505023247298</v>
      </c>
      <c r="G115" s="637" t="n"/>
      <c r="H115" s="688" t="inlineStr">
        <is>
          <t>Levered equity (net of fees)</t>
        </is>
      </c>
    </row>
    <row r="119">
      <c r="A119" s="473" t="inlineStr">
        <is>
          <t>5b. Equities and listed property: Grinold-Kroner and risk-premium build-up (compound, p.a.; foreign returns in AUD via relative PPP)</t>
        </is>
      </c>
      <c r="B119" s="474" t="n"/>
      <c r="C119" s="474" t="n"/>
      <c r="D119" s="474" t="n"/>
      <c r="E119" s="474" t="n"/>
      <c r="F119" s="474" t="n"/>
      <c r="G119" s="474" t="n"/>
      <c r="H119" s="474" t="n"/>
      <c r="I119" s="475" t="n"/>
    </row>
    <row r="120" ht="40" customHeight="1">
      <c r="A120" s="476" t="inlineStr">
        <is>
          <t>Asset class</t>
        </is>
      </c>
      <c r="B120" s="477" t="inlineStr">
        <is>
          <t>Dividend yield</t>
        </is>
      </c>
      <c r="C120" s="477" t="inlineStr">
        <is>
          <t>Net dilution</t>
        </is>
      </c>
      <c r="D120" s="477" t="inlineStr">
        <is>
          <t>Real earnings growth</t>
        </is>
      </c>
      <c r="E120" s="477" t="inlineStr">
        <is>
          <t>Inflation (AUD)</t>
        </is>
      </c>
      <c r="F120" s="477" t="inlineStr">
        <is>
          <t>Repricing</t>
        </is>
      </c>
      <c r="G120" s="477" t="inlineStr">
        <is>
          <t>View A: Grinold-Kroner</t>
        </is>
      </c>
      <c r="H120" s="477" t="inlineStr">
        <is>
          <t>Beta to equity premium</t>
        </is>
      </c>
      <c r="I120" s="478" t="inlineStr">
        <is>
          <t>View B: cash + beta x premium</t>
        </is>
      </c>
    </row>
    <row r="121">
      <c r="A121" s="479" t="inlineStr">
        <is>
          <t>Australian Equities</t>
        </is>
      </c>
      <c r="B121" s="433">
        <f>$B$62</f>
        <v>0.0371613708820404</v>
      </c>
      <c r="C121" s="433">
        <f>-$B$66</f>
        <v>-0.01</v>
      </c>
      <c r="D121" s="433">
        <f>$B$65</f>
        <v>0.02</v>
      </c>
      <c r="E121" s="433">
        <f>$B$58</f>
        <v>0.0275</v>
      </c>
      <c r="F121" s="433">
        <f>($B$64/$B$63)^($B$61/5)-1</f>
        <v>-0.0237428904437137</v>
      </c>
      <c r="G121" s="433">
        <f>SUM(B121:F121)</f>
        <v>0.0509184804383267</v>
      </c>
      <c r="H121" s="435">
        <f>1</f>
        <v>1</v>
      </c>
      <c r="I121" s="689">
        <f>$D$149+H121*$B$60</f>
        <v>0.08144</v>
      </c>
    </row>
    <row r="122">
      <c r="A122" s="479" t="inlineStr">
        <is>
          <t>World Equities</t>
        </is>
      </c>
      <c r="B122" s="433">
        <f>$B$67</f>
        <v>0.0187601078167116</v>
      </c>
      <c r="C122" s="433">
        <f>-$B$71</f>
        <v>-0.005</v>
      </c>
      <c r="D122" s="433">
        <f>$B$70</f>
        <v>0.018</v>
      </c>
      <c r="E122" s="433">
        <f>$B$58</f>
        <v>0.0275</v>
      </c>
      <c r="F122" s="433">
        <f>($B$69/$B$68)^($B$61/5)-1</f>
        <v>-0.0178026039421619</v>
      </c>
      <c r="G122" s="433">
        <f>SUM(B122:F122)</f>
        <v>0.0414575038745497</v>
      </c>
      <c r="H122" s="435">
        <f>1</f>
        <v>1</v>
      </c>
      <c r="I122" s="689">
        <f>$D$149+H122*$B$60</f>
        <v>0.08144</v>
      </c>
    </row>
    <row r="123">
      <c r="A123" s="479" t="inlineStr">
        <is>
          <t>Emerging Markets</t>
        </is>
      </c>
      <c r="B123" s="433">
        <f>$B$72</f>
        <v>0.02</v>
      </c>
      <c r="C123" s="433">
        <f>-$B$76</f>
        <v>-0.02</v>
      </c>
      <c r="D123" s="433">
        <f>$B$75</f>
        <v>0.035</v>
      </c>
      <c r="E123" s="433">
        <f>$B$58</f>
        <v>0.0275</v>
      </c>
      <c r="F123" s="433">
        <f>($B$74/$B$73)^($B$61/5)-1</f>
        <v>0.00339590824303393</v>
      </c>
      <c r="G123" s="433">
        <f>SUM(B123:F123)</f>
        <v>0.0658959082430339</v>
      </c>
      <c r="H123" s="435">
        <f>1</f>
        <v>1</v>
      </c>
      <c r="I123" s="689">
        <f>$D$149+H123*$B$60</f>
        <v>0.08144</v>
      </c>
    </row>
    <row r="124">
      <c r="A124" s="485" t="inlineStr">
        <is>
          <t>Listed Property</t>
        </is>
      </c>
      <c r="B124" s="690">
        <f>$B$77</f>
        <v>0.0368</v>
      </c>
      <c r="C124" s="690">
        <f>-$B$78</f>
        <v>-0.01</v>
      </c>
      <c r="D124" s="690">
        <f>$B$79</f>
        <v>0.005</v>
      </c>
      <c r="E124" s="690">
        <f>$B$58</f>
        <v>0.0275</v>
      </c>
      <c r="F124" s="690" t="n">
        <v>0</v>
      </c>
      <c r="G124" s="690">
        <f>SUM(B124:F124)</f>
        <v>0.0593</v>
      </c>
      <c r="H124" s="691">
        <f>$B$130</f>
        <v>0.906144830194602</v>
      </c>
      <c r="I124" s="692">
        <f>$D$149+H124*$B$60</f>
        <v>0.0781550690568111</v>
      </c>
    </row>
    <row r="128">
      <c r="A128" s="548" t="inlineStr">
        <is>
          <t>5c. Betas to world equities (quarterly excess returns since 2006)</t>
        </is>
      </c>
      <c r="B128" s="549" t="n"/>
      <c r="C128" s="549" t="n"/>
      <c r="D128" s="549" t="n"/>
      <c r="E128" s="549" t="n"/>
      <c r="F128" s="550" t="n"/>
    </row>
    <row r="129">
      <c r="A129" s="551" t="inlineStr">
        <is>
          <t>Asset class</t>
        </is>
      </c>
      <c r="B129" s="552" t="inlineStr">
        <is>
          <t>Beta</t>
        </is>
      </c>
      <c r="C129" s="552" t="inlineStr">
        <is>
          <t>R-squared</t>
        </is>
      </c>
      <c r="D129" s="552" t="inlineStr">
        <is>
          <t>Quarters</t>
        </is>
      </c>
      <c r="E129" s="552" t="inlineStr">
        <is>
          <t>Used?</t>
        </is>
      </c>
      <c r="F129" s="553" t="inlineStr">
        <is>
          <t>Literature value</t>
        </is>
      </c>
    </row>
    <row r="130">
      <c r="A130" s="595" t="inlineStr">
        <is>
          <t>Listed Property</t>
        </is>
      </c>
      <c r="B130" s="435">
        <f>SLOPE('Quarterly returns'!$AG$6:$AG$85,'Quarterly returns'!$AF$6:$AF$85)</f>
        <v>0.906144830194602</v>
      </c>
      <c r="C130" s="435">
        <f>RSQ('Quarterly returns'!$AG$6:$AG$85,'Quarterly returns'!$AF$6:$AF$85)</f>
        <v>0.485075244163211</v>
      </c>
      <c r="D130" s="564">
        <f>COUNT('Quarterly returns'!$AG$6:$AG$85)</f>
        <v>80</v>
      </c>
      <c r="E130" s="484" t="inlineStr">
        <is>
          <t>Yes</t>
        </is>
      </c>
      <c r="F130" s="628" t="n"/>
    </row>
    <row r="131">
      <c r="A131" s="595" t="inlineStr">
        <is>
          <t>Direct Property</t>
        </is>
      </c>
      <c r="B131" s="435">
        <f>SLOPE('Quarterly returns'!$AH$6:$AH$85,'Quarterly returns'!$AF$6:$AF$85)</f>
        <v>0.235241785363535</v>
      </c>
      <c r="C131" s="435">
        <f>RSQ('Quarterly returns'!$AH$6:$AH$85,'Quarterly returns'!$AF$6:$AF$85)</f>
        <v>0.0996661110733362</v>
      </c>
      <c r="D131" s="564">
        <f>COUNT('Quarterly returns'!$AH$6:$AH$85)</f>
        <v>80</v>
      </c>
      <c r="E131" s="484" t="inlineStr">
        <is>
          <t>Yes</t>
        </is>
      </c>
      <c r="F131" s="628" t="n"/>
    </row>
    <row r="132">
      <c r="A132" s="595" t="inlineStr">
        <is>
          <t>Private Equity</t>
        </is>
      </c>
      <c r="B132" s="435">
        <f>SLOPE('Quarterly returns'!$AI$6:$AI$85,'Quarterly returns'!$AF$6:$AF$85)</f>
        <v>0.471948249829049</v>
      </c>
      <c r="C132" s="435">
        <f>RSQ('Quarterly returns'!$AI$6:$AI$85,'Quarterly returns'!$AF$6:$AF$85)</f>
        <v>0.228786382252921</v>
      </c>
      <c r="D132" s="564">
        <f>COUNT('Quarterly returns'!$AI$6:$AI$85)</f>
        <v>80</v>
      </c>
      <c r="E132" s="484" t="inlineStr">
        <is>
          <t>No: AUD index distorts beta</t>
        </is>
      </c>
      <c r="F132" s="628">
        <f>$B$103</f>
        <v>1.2</v>
      </c>
    </row>
    <row r="133">
      <c r="A133" s="598" t="inlineStr">
        <is>
          <t>Hedge Funds</t>
        </is>
      </c>
      <c r="B133" s="615">
        <f>SLOPE('Quarterly returns'!$AJ$6:$AJ$85,'Quarterly returns'!$AF$6:$AF$85)</f>
        <v>0.0039350414426059</v>
      </c>
      <c r="C133" s="615">
        <f>RSQ('Quarterly returns'!$AJ$6:$AJ$85,'Quarterly returns'!$AF$6:$AF$85)</f>
        <v>5.20202642496071e-05</v>
      </c>
      <c r="D133" s="693">
        <f>COUNT('Quarterly returns'!$AJ$6:$AJ$85)</f>
        <v>80</v>
      </c>
      <c r="E133" s="694" t="inlineStr">
        <is>
          <t>No: AUD index distorts beta</t>
        </is>
      </c>
      <c r="F133" s="646">
        <f>$B$101</f>
        <v>0.35</v>
      </c>
    </row>
    <row r="137">
      <c r="A137" s="531" t="inlineStr">
        <is>
          <t>6. Blend: compound views converted to arithmetic, then combined with the equilibrium prior (feeds section 1)</t>
        </is>
      </c>
      <c r="B137" s="532" t="n"/>
      <c r="C137" s="532" t="n"/>
      <c r="D137" s="532" t="n"/>
      <c r="E137" s="532" t="n"/>
      <c r="F137" s="532" t="n"/>
      <c r="G137" s="532" t="n"/>
      <c r="H137" s="532" t="n"/>
      <c r="I137" s="532" t="n"/>
      <c r="J137" s="532" t="n"/>
      <c r="K137" s="532" t="n"/>
      <c r="L137" s="532" t="n"/>
      <c r="M137" s="533" t="n"/>
    </row>
    <row r="138" ht="54" customHeight="1">
      <c r="A138" s="534" t="inlineStr">
        <is>
          <t>Asset class</t>
        </is>
      </c>
      <c r="B138" s="535" t="inlineStr">
        <is>
          <t>View A (compound)</t>
        </is>
      </c>
      <c r="C138" s="535" t="inlineStr">
        <is>
          <t>View B (compound)</t>
        </is>
      </c>
      <c r="D138" s="535" t="inlineStr">
        <is>
          <t>Composite (compound)</t>
        </is>
      </c>
      <c r="E138" s="535" t="inlineStr">
        <is>
          <t>Fee add-back (views net of fees)</t>
        </is>
      </c>
      <c r="F138" s="535" t="inlineStr">
        <is>
          <t>Volatility</t>
        </is>
      </c>
      <c r="G138" s="535" t="inlineStr">
        <is>
          <t>Composite (gross, arithmetic)</t>
        </is>
      </c>
      <c r="H138" s="535" t="inlineStr">
        <is>
          <t>Minimum view uncertainty</t>
        </is>
      </c>
      <c r="I138" s="535" t="inlineStr">
        <is>
          <t>View dispersion used</t>
        </is>
      </c>
      <c r="J138" s="535" t="inlineStr">
        <is>
          <t>Confidence</t>
        </is>
      </c>
      <c r="K138" s="535" t="inlineStr">
        <is>
          <t>Equilibrium prior</t>
        </is>
      </c>
      <c r="L138" s="535" t="inlineStr">
        <is>
          <t>Net forecast (arithmetic)</t>
        </is>
      </c>
      <c r="M138" s="536" t="inlineStr">
        <is>
          <t>Net forecast (compound)</t>
        </is>
      </c>
    </row>
    <row r="139">
      <c r="A139" s="537" t="inlineStr">
        <is>
          <t>Australian Equities</t>
        </is>
      </c>
      <c r="B139" s="433">
        <f>G121</f>
        <v>0.0509184804383267</v>
      </c>
      <c r="C139" s="433">
        <f>I121</f>
        <v>0.08144</v>
      </c>
      <c r="D139" s="433">
        <f>AVERAGE(B139:C139)</f>
        <v>0.0661792402191633</v>
      </c>
      <c r="E139" s="433" t="n">
        <v>0</v>
      </c>
      <c r="F139" s="483">
        <f>H6</f>
        <v>0.153815316975615</v>
      </c>
      <c r="G139" s="433">
        <f>D139+E139+F139^2/2</f>
        <v>0.0780088160873178</v>
      </c>
      <c r="H139" s="471" t="n">
        <v>0.01</v>
      </c>
      <c r="I139" s="433">
        <f>IF(COUNT(B139:C139)&gt;1,MAX(STDEV(B139:C139),H139),H139)</f>
        <v>0.0215819734541771</v>
      </c>
      <c r="J139" s="435">
        <f>D6</f>
        <v>0.407202798640508</v>
      </c>
      <c r="K139" s="433">
        <f>C6</f>
        <v>0.0854344212387013</v>
      </c>
      <c r="L139" s="433">
        <f>G6</f>
        <v>0.0777981251772048</v>
      </c>
      <c r="M139" s="695">
        <f>G6-F139^2/2</f>
        <v>0.0659685493090504</v>
      </c>
    </row>
    <row r="140">
      <c r="A140" s="537" t="inlineStr">
        <is>
          <t>World Equities</t>
        </is>
      </c>
      <c r="B140" s="433">
        <f>G122</f>
        <v>0.0414575038745497</v>
      </c>
      <c r="C140" s="433">
        <f>I122</f>
        <v>0.08144</v>
      </c>
      <c r="D140" s="433">
        <f>AVERAGE(B140:C140)</f>
        <v>0.0614487519372748</v>
      </c>
      <c r="E140" s="433" t="n">
        <v>0</v>
      </c>
      <c r="F140" s="483">
        <f>H7</f>
        <v>0.127483148954512</v>
      </c>
      <c r="G140" s="433">
        <f>D140+E140+F140^2/2</f>
        <v>0.069574728570954</v>
      </c>
      <c r="H140" s="471" t="n">
        <v>0.01</v>
      </c>
      <c r="I140" s="433">
        <f>IF(COUNT(B140:C140)&gt;1,MAX(STDEV(B140:C140),H140),H140)</f>
        <v>0.0282718941390708</v>
      </c>
      <c r="J140" s="435">
        <f>D7</f>
        <v>0.331941190935454</v>
      </c>
      <c r="K140" s="433">
        <f>C7</f>
        <v>0.0779734319004612</v>
      </c>
      <c r="L140" s="433">
        <f>G7</f>
        <v>0.0772981251772048</v>
      </c>
      <c r="M140" s="695">
        <f>G7-F140^2/2</f>
        <v>0.0691721485435256</v>
      </c>
    </row>
    <row r="141">
      <c r="A141" s="537" t="inlineStr">
        <is>
          <t>Emerging Markets</t>
        </is>
      </c>
      <c r="B141" s="433">
        <f>G123</f>
        <v>0.0658959082430339</v>
      </c>
      <c r="C141" s="433">
        <f>I123</f>
        <v>0.08144</v>
      </c>
      <c r="D141" s="433">
        <f>AVERAGE(B141:C141)</f>
        <v>0.073667954121517</v>
      </c>
      <c r="E141" s="433" t="n">
        <v>0</v>
      </c>
      <c r="F141" s="483">
        <f>H8</f>
        <v>0.104990604521046</v>
      </c>
      <c r="G141" s="433">
        <f>D141+E141+F141^2/2</f>
        <v>0.0791794676403643</v>
      </c>
      <c r="H141" s="471" t="n">
        <v>0.015</v>
      </c>
      <c r="I141" s="433">
        <f>IF(COUNT(B141:C141)&gt;1,MAX(STDEV(B141:C141),H141),H141)</f>
        <v>0.015</v>
      </c>
      <c r="J141" s="435">
        <f>D8</f>
        <v>0.48125</v>
      </c>
      <c r="K141" s="433">
        <f>C8</f>
        <v>0.0666794991283773</v>
      </c>
      <c r="L141" s="433">
        <f>G8</f>
        <v>0.0706951089747711</v>
      </c>
      <c r="M141" s="695">
        <f>G8-F141^2/2</f>
        <v>0.0651835954559237</v>
      </c>
    </row>
    <row r="142">
      <c r="A142" s="537" t="inlineStr">
        <is>
          <t>Listed Property</t>
        </is>
      </c>
      <c r="B142" s="433">
        <f>G124</f>
        <v>0.0593</v>
      </c>
      <c r="C142" s="433">
        <f>I124</f>
        <v>0.0781550690568111</v>
      </c>
      <c r="D142" s="433">
        <f>AVERAGE(B142:C142)</f>
        <v>0.0687275345284055</v>
      </c>
      <c r="E142" s="433" t="n">
        <v>0</v>
      </c>
      <c r="F142" s="483">
        <f>H9</f>
        <v>0.167662545539618</v>
      </c>
      <c r="G142" s="433">
        <f>D142+E142+F142^2/2</f>
        <v>0.0827828991168178</v>
      </c>
      <c r="H142" s="471" t="n">
        <v>0.015</v>
      </c>
      <c r="I142" s="433">
        <f>IF(COUNT(B142:C142)&gt;1,MAX(STDEV(B142:C142),H142),H142)</f>
        <v>0.015</v>
      </c>
      <c r="J142" s="435">
        <f>D9</f>
        <v>0.48125</v>
      </c>
      <c r="K142" s="433">
        <f>C9</f>
        <v>0.0786240301887002</v>
      </c>
      <c r="L142" s="433">
        <f>G9</f>
        <v>0.0791254858603568</v>
      </c>
      <c r="M142" s="695">
        <f>G9-F142^2/2</f>
        <v>0.0650701212719445</v>
      </c>
    </row>
    <row r="143">
      <c r="A143" s="537" t="inlineStr">
        <is>
          <t>Commodities</t>
        </is>
      </c>
      <c r="B143" s="433">
        <f>F112</f>
        <v>0.05625</v>
      </c>
      <c r="C143" s="433" t="n"/>
      <c r="D143" s="433">
        <f>AVERAGE(B143:C143)</f>
        <v>0.05625</v>
      </c>
      <c r="E143" s="433" t="n">
        <v>0</v>
      </c>
      <c r="F143" s="483">
        <f>H10</f>
        <v>0.245880351946625</v>
      </c>
      <c r="G143" s="433">
        <f>D143+E143+F143^2/2</f>
        <v>0.0864785737366982</v>
      </c>
      <c r="H143" s="471" t="n">
        <v>0.03</v>
      </c>
      <c r="I143" s="433">
        <f>IF(COUNT(B143:C143)&gt;1,MAX(STDEV(B143:C143),H143),H143)</f>
        <v>0.03</v>
      </c>
      <c r="J143" s="435">
        <f>D10</f>
        <v>0.3125</v>
      </c>
      <c r="K143" s="433">
        <f>C10</f>
        <v>0.0660075814510995</v>
      </c>
      <c r="L143" s="433">
        <f>G10</f>
        <v>0.0699047665403491</v>
      </c>
      <c r="M143" s="695">
        <f>G10-F143^2/2</f>
        <v>0.0396761928036509</v>
      </c>
    </row>
    <row r="144">
      <c r="A144" s="537" t="inlineStr">
        <is>
          <t>Direct Property</t>
        </is>
      </c>
      <c r="B144" s="433">
        <f>F113</f>
        <v>0.0444</v>
      </c>
      <c r="C144" s="433">
        <f>G113</f>
        <v>0.0546734624877237</v>
      </c>
      <c r="D144" s="433">
        <f>AVERAGE(B144:C144)</f>
        <v>0.0495367312438619</v>
      </c>
      <c r="E144" s="433" t="n">
        <v>0</v>
      </c>
      <c r="F144" s="483">
        <f>H11</f>
        <v>0.0953335491514781</v>
      </c>
      <c r="G144" s="433">
        <f>D144+E144+F144^2/2</f>
        <v>0.0540809740407705</v>
      </c>
      <c r="H144" s="471" t="n">
        <v>0.02</v>
      </c>
      <c r="I144" s="433">
        <f>IF(COUNT(B144:C144)&gt;1,MAX(STDEV(B144:C144),H144),H144)</f>
        <v>0.02</v>
      </c>
      <c r="J144" s="435">
        <f>D11</f>
        <v>0.425</v>
      </c>
      <c r="K144" s="433">
        <f>C11</f>
        <v>0.0578095437598451</v>
      </c>
      <c r="L144" s="433">
        <f>G11</f>
        <v>0.0442249016292384</v>
      </c>
      <c r="M144" s="695">
        <f>G11-F144^2/2</f>
        <v>0.0396806588323298</v>
      </c>
    </row>
    <row r="145">
      <c r="A145" s="537" t="inlineStr">
        <is>
          <t>Hedge Funds</t>
        </is>
      </c>
      <c r="B145" s="433">
        <f>F114</f>
        <v>0.0516930631780462</v>
      </c>
      <c r="C145" s="433" t="n"/>
      <c r="D145" s="433">
        <f>AVERAGE(B145:C145)</f>
        <v>0.0516930631780462</v>
      </c>
      <c r="E145" s="433">
        <f>F12</f>
        <v>0.025</v>
      </c>
      <c r="F145" s="483">
        <f>H12</f>
        <v>0.0719393969921317</v>
      </c>
      <c r="G145" s="433">
        <f>D145+E145+F145^2/2</f>
        <v>0.079280701597842</v>
      </c>
      <c r="H145" s="471" t="n">
        <v>0.02</v>
      </c>
      <c r="I145" s="433">
        <f>IF(COUNT(B145:C145)&gt;1,MAX(STDEV(B145:C145),H145),H145)</f>
        <v>0.02</v>
      </c>
      <c r="J145" s="435">
        <f>D12</f>
        <v>0.425</v>
      </c>
      <c r="K145" s="433">
        <f>C12</f>
        <v>0.0497012873151713</v>
      </c>
      <c r="L145" s="433">
        <f>G12</f>
        <v>0.0372725383853063</v>
      </c>
      <c r="M145" s="695">
        <f>G12-F145^2/2</f>
        <v>0.0346848999655106</v>
      </c>
    </row>
    <row r="146">
      <c r="A146" s="537" t="inlineStr">
        <is>
          <t>Private Equity</t>
        </is>
      </c>
      <c r="B146" s="433">
        <f>F115</f>
        <v>0.0744505023247298</v>
      </c>
      <c r="C146" s="433" t="n"/>
      <c r="D146" s="433">
        <f>AVERAGE(B146:C146)</f>
        <v>0.0744505023247298</v>
      </c>
      <c r="E146" s="433">
        <f>F13</f>
        <v>0.03</v>
      </c>
      <c r="F146" s="483">
        <f>H13</f>
        <v>0.127246059010433</v>
      </c>
      <c r="G146" s="433">
        <f>D146+E146+F146^2/2</f>
        <v>0.112546282091573</v>
      </c>
      <c r="H146" s="471" t="n">
        <v>0.03</v>
      </c>
      <c r="I146" s="433">
        <f>IF(COUNT(B146:C146)&gt;1,MAX(STDEV(B146:C146),H146),H146)</f>
        <v>0.03</v>
      </c>
      <c r="J146" s="435">
        <f>D13</f>
        <v>0.3125</v>
      </c>
      <c r="K146" s="433">
        <f>C13</f>
        <v>0.0673968111176913</v>
      </c>
      <c r="L146" s="433">
        <f>G13</f>
        <v>0.0515060207970293</v>
      </c>
      <c r="M146" s="695">
        <f>G13-F146^2/2</f>
        <v>0.043410241030186</v>
      </c>
    </row>
    <row r="147">
      <c r="A147" s="537" t="inlineStr">
        <is>
          <t>Australian Fixed Income</t>
        </is>
      </c>
      <c r="B147" s="433">
        <f>F110</f>
        <v>0.0505</v>
      </c>
      <c r="C147" s="433" t="n"/>
      <c r="D147" s="433">
        <f>AVERAGE(B147:C147)</f>
        <v>0.0505</v>
      </c>
      <c r="E147" s="433" t="n">
        <v>0</v>
      </c>
      <c r="F147" s="483">
        <f>H14</f>
        <v>0.0424890112973275</v>
      </c>
      <c r="G147" s="433">
        <f>D147+E147+F147^2/2</f>
        <v>0.0514026580405122</v>
      </c>
      <c r="H147" s="471" t="n">
        <v>0.003</v>
      </c>
      <c r="I147" s="433">
        <f>IF(COUNT(B147:C147)&gt;1,MAX(STDEV(B147:C147),H147),H147)</f>
        <v>0.003</v>
      </c>
      <c r="J147" s="435">
        <f>D14</f>
        <v>0.61625</v>
      </c>
      <c r="K147" s="433">
        <f>C14</f>
        <v>0.0508873585346355</v>
      </c>
      <c r="L147" s="433">
        <f>G14</f>
        <v>0.050204911855132</v>
      </c>
      <c r="M147" s="695">
        <f>G14-F147^2/2</f>
        <v>0.0493022538146198</v>
      </c>
    </row>
    <row r="148">
      <c r="A148" s="537" t="inlineStr">
        <is>
          <t>World Fixed Income</t>
        </is>
      </c>
      <c r="B148" s="433">
        <f>F111</f>
        <v>0.05637165</v>
      </c>
      <c r="C148" s="433" t="n"/>
      <c r="D148" s="433">
        <f>AVERAGE(B148:C148)</f>
        <v>0.05637165</v>
      </c>
      <c r="E148" s="433" t="n">
        <v>0</v>
      </c>
      <c r="F148" s="483">
        <f>H15</f>
        <v>0.0405308075812358</v>
      </c>
      <c r="G148" s="433">
        <f>D148+E148+F148^2/2</f>
        <v>0.0571930231815936</v>
      </c>
      <c r="H148" s="471" t="n">
        <v>0.005</v>
      </c>
      <c r="I148" s="433">
        <f>IF(COUNT(B148:C148)&gt;1,MAX(STDEV(B148:C148),H148),H148)</f>
        <v>0.005</v>
      </c>
      <c r="J148" s="435">
        <f>D15</f>
        <v>0.59375</v>
      </c>
      <c r="K148" s="433">
        <f>C15</f>
        <v>0.0512893179055495</v>
      </c>
      <c r="L148" s="433">
        <f>G15</f>
        <v>0.0532946429132007</v>
      </c>
      <c r="M148" s="695">
        <f>G15-F148^2/2</f>
        <v>0.0524732697316071</v>
      </c>
    </row>
    <row r="149">
      <c r="A149" s="539" t="inlineStr">
        <is>
          <t>Cash</t>
        </is>
      </c>
      <c r="B149" s="622">
        <f>F109</f>
        <v>0.04688</v>
      </c>
      <c r="C149" s="622">
        <f>G109</f>
        <v>0.046</v>
      </c>
      <c r="D149" s="622">
        <f>AVERAGE(B149:C149)</f>
        <v>0.04644</v>
      </c>
      <c r="E149" s="622" t="n">
        <v>0</v>
      </c>
      <c r="F149" s="540">
        <f>H16</f>
        <v>0.00981197666701638</v>
      </c>
      <c r="G149" s="622">
        <f>D149+E149+F149^2/2</f>
        <v>0.046488137443057</v>
      </c>
      <c r="H149" s="696" t="n">
        <v>0.003</v>
      </c>
      <c r="I149" s="622">
        <f>IF(COUNT(B149:C149)&gt;1,MAX(STDEV(B149:C149),H149),H149)</f>
        <v>0.003</v>
      </c>
      <c r="J149" s="571">
        <f>D16</f>
        <v>0.61625</v>
      </c>
      <c r="K149" s="622">
        <f>C16</f>
        <v>0.0496417227172325</v>
      </c>
      <c r="L149" s="622">
        <f>G16</f>
        <v>0.0476983257920219</v>
      </c>
      <c r="M149" s="697">
        <f>G16-F149^2/2</f>
        <v>0.0476501883489648</v>
      </c>
    </row>
    <row r="152">
      <c r="A152" s="449" t="inlineStr">
        <is>
          <t>7. Forecast uncertainty: 90% range for the 5-year annualised (compound) return</t>
        </is>
      </c>
      <c r="B152" s="450" t="n"/>
      <c r="C152" s="450" t="n"/>
      <c r="D152" s="450" t="n"/>
      <c r="E152" s="450" t="n"/>
      <c r="F152" s="450" t="n"/>
      <c r="G152" s="450" t="n"/>
      <c r="H152" s="451" t="n"/>
    </row>
    <row r="153" ht="40" customHeight="1">
      <c r="A153" s="453" t="inlineStr">
        <is>
          <t>Asset class</t>
        </is>
      </c>
      <c r="B153" s="454" t="inlineStr">
        <is>
          <t>Net forecast (compound)</t>
        </is>
      </c>
      <c r="C153" s="454" t="inlineStr">
        <is>
          <t>Volatility</t>
        </is>
      </c>
      <c r="D153" s="454" t="inlineStr">
        <is>
          <t>Sampling error (vol / sqrt 5)</t>
        </is>
      </c>
      <c r="E153" s="454" t="inlineStr">
        <is>
          <t>View dispersion</t>
        </is>
      </c>
      <c r="F153" s="454" t="inlineStr">
        <is>
          <t>Total standard error</t>
        </is>
      </c>
      <c r="G153" s="454" t="inlineStr">
        <is>
          <t>5th percentile</t>
        </is>
      </c>
      <c r="H153" s="455" t="inlineStr">
        <is>
          <t>95th percentile</t>
        </is>
      </c>
    </row>
    <row r="154">
      <c r="A154" s="457" t="inlineStr">
        <is>
          <t>Australian Equities</t>
        </is>
      </c>
      <c r="B154" s="433">
        <f>M139</f>
        <v>0.0659685493090504</v>
      </c>
      <c r="C154" s="483">
        <f>F139</f>
        <v>0.153815316975615</v>
      </c>
      <c r="D154" s="433">
        <f>C154/SQRT(5)</f>
        <v>0.0687883009476305</v>
      </c>
      <c r="E154" s="433">
        <f>I139</f>
        <v>0.0215819734541771</v>
      </c>
      <c r="F154" s="433">
        <f>SQRT(D154^2+E154^2)</f>
        <v>0.0720944652899138</v>
      </c>
      <c r="G154" s="483">
        <f>B154-1.645*F154</f>
        <v>-0.0526268460928578</v>
      </c>
      <c r="H154" s="698">
        <f>B154+1.645*F154</f>
        <v>0.184563944710959</v>
      </c>
    </row>
    <row r="155">
      <c r="A155" s="457" t="inlineStr">
        <is>
          <t>World Equities</t>
        </is>
      </c>
      <c r="B155" s="433">
        <f>M140</f>
        <v>0.0691721485435256</v>
      </c>
      <c r="C155" s="483">
        <f>F140</f>
        <v>0.127483148954512</v>
      </c>
      <c r="D155" s="433">
        <f>C155/SQRT(5)</f>
        <v>0.0570121974096042</v>
      </c>
      <c r="E155" s="433">
        <f>I140</f>
        <v>0.0282718941390708</v>
      </c>
      <c r="F155" s="433">
        <f>SQRT(D155^2+E155^2)</f>
        <v>0.0636371797904535</v>
      </c>
      <c r="G155" s="483">
        <f>B155-1.645*F155</f>
        <v>-0.0355110122117704</v>
      </c>
      <c r="H155" s="698">
        <f>B155+1.645*F155</f>
        <v>0.173855309298822</v>
      </c>
    </row>
    <row r="156">
      <c r="A156" s="457" t="inlineStr">
        <is>
          <t>Emerging Markets</t>
        </is>
      </c>
      <c r="B156" s="433">
        <f>M141</f>
        <v>0.0651835954559237</v>
      </c>
      <c r="C156" s="483">
        <f>F141</f>
        <v>0.104990604521046</v>
      </c>
      <c r="D156" s="433">
        <f>C156/SQRT(5)</f>
        <v>0.0469532257415712</v>
      </c>
      <c r="E156" s="433">
        <f>I141</f>
        <v>0.015</v>
      </c>
      <c r="F156" s="433">
        <f>SQRT(D156^2+E156^2)</f>
        <v>0.0492910276575661</v>
      </c>
      <c r="G156" s="483">
        <f>B156-1.645*F156</f>
        <v>-0.0159001450407725</v>
      </c>
      <c r="H156" s="698">
        <f>B156+1.645*F156</f>
        <v>0.14626733595262</v>
      </c>
    </row>
    <row r="157">
      <c r="A157" s="457" t="inlineStr">
        <is>
          <t>Listed Property</t>
        </is>
      </c>
      <c r="B157" s="433">
        <f>M142</f>
        <v>0.0650701212719445</v>
      </c>
      <c r="C157" s="483">
        <f>F142</f>
        <v>0.167662545539618</v>
      </c>
      <c r="D157" s="433">
        <f>C157/SQRT(5)</f>
        <v>0.0749809698214482</v>
      </c>
      <c r="E157" s="433">
        <f>I142</f>
        <v>0.015</v>
      </c>
      <c r="F157" s="433">
        <f>SQRT(D157^2+E157^2)</f>
        <v>0.0764666321696263</v>
      </c>
      <c r="G157" s="483">
        <f>B157-1.645*F157</f>
        <v>-0.0607174886470907</v>
      </c>
      <c r="H157" s="698">
        <f>B157+1.645*F157</f>
        <v>0.19085773119098</v>
      </c>
    </row>
    <row r="158">
      <c r="A158" s="457" t="inlineStr">
        <is>
          <t>Commodities</t>
        </is>
      </c>
      <c r="B158" s="433">
        <f>M143</f>
        <v>0.0396761928036509</v>
      </c>
      <c r="C158" s="483">
        <f>F143</f>
        <v>0.245880351946625</v>
      </c>
      <c r="D158" s="433">
        <f>C158/SQRT(5)</f>
        <v>0.109961036256845</v>
      </c>
      <c r="E158" s="433">
        <f>I143</f>
        <v>0.03</v>
      </c>
      <c r="F158" s="433">
        <f>SQRT(D158^2+E158^2)</f>
        <v>0.113979952161243</v>
      </c>
      <c r="G158" s="483">
        <f>B158-1.645*F158</f>
        <v>-0.147820828501594</v>
      </c>
      <c r="H158" s="698">
        <f>B158+1.645*F158</f>
        <v>0.227173214108896</v>
      </c>
    </row>
    <row r="159">
      <c r="A159" s="457" t="inlineStr">
        <is>
          <t>Direct Property</t>
        </is>
      </c>
      <c r="B159" s="433">
        <f>M144</f>
        <v>0.0396806588323298</v>
      </c>
      <c r="C159" s="483">
        <f>F144</f>
        <v>0.0953335491514781</v>
      </c>
      <c r="D159" s="433">
        <f>C159/SQRT(5)</f>
        <v>0.0426344592878045</v>
      </c>
      <c r="E159" s="433">
        <f>I144</f>
        <v>0.02</v>
      </c>
      <c r="F159" s="433">
        <f>SQRT(D159^2+E159^2)</f>
        <v>0.0470924316505684</v>
      </c>
      <c r="G159" s="483">
        <f>B159-1.645*F159</f>
        <v>-0.0377863912328552</v>
      </c>
      <c r="H159" s="698">
        <f>B159+1.645*F159</f>
        <v>0.117147708897515</v>
      </c>
    </row>
    <row r="160">
      <c r="A160" s="457" t="inlineStr">
        <is>
          <t>Hedge Funds</t>
        </is>
      </c>
      <c r="B160" s="433">
        <f>M145</f>
        <v>0.0346848999655106</v>
      </c>
      <c r="C160" s="483">
        <f>F145</f>
        <v>0.0719393969921317</v>
      </c>
      <c r="D160" s="433">
        <f>C160/SQRT(5)</f>
        <v>0.0321722763869501</v>
      </c>
      <c r="E160" s="433">
        <f>I145</f>
        <v>0.02</v>
      </c>
      <c r="F160" s="433">
        <f>SQRT(D160^2+E160^2)</f>
        <v>0.0378821246489463</v>
      </c>
      <c r="G160" s="483">
        <f>B160-1.645*F160</f>
        <v>-0.0276311950820061</v>
      </c>
      <c r="H160" s="698">
        <f>B160+1.645*F160</f>
        <v>0.0970009950130272</v>
      </c>
    </row>
    <row r="161">
      <c r="A161" s="457" t="inlineStr">
        <is>
          <t>Private Equity</t>
        </is>
      </c>
      <c r="B161" s="433">
        <f>M146</f>
        <v>0.043410241030186</v>
      </c>
      <c r="C161" s="483">
        <f>F146</f>
        <v>0.127246059010433</v>
      </c>
      <c r="D161" s="433">
        <f>C161/SQRT(5)</f>
        <v>0.0569061675632556</v>
      </c>
      <c r="E161" s="433">
        <f>I146</f>
        <v>0.03</v>
      </c>
      <c r="F161" s="433">
        <f>SQRT(D161^2+E161^2)</f>
        <v>0.0643297124720555</v>
      </c>
      <c r="G161" s="483">
        <f>B161-1.645*F161</f>
        <v>-0.0624121359863452</v>
      </c>
      <c r="H161" s="698">
        <f>B161+1.645*F161</f>
        <v>0.149232618046717</v>
      </c>
    </row>
    <row r="162">
      <c r="A162" s="457" t="inlineStr">
        <is>
          <t>Australian Fixed Income</t>
        </is>
      </c>
      <c r="B162" s="433">
        <f>M147</f>
        <v>0.0493022538146198</v>
      </c>
      <c r="C162" s="483">
        <f>F147</f>
        <v>0.0424890112973275</v>
      </c>
      <c r="D162" s="433">
        <f>C162/SQRT(5)</f>
        <v>0.0190016635115162</v>
      </c>
      <c r="E162" s="433">
        <f>I147</f>
        <v>0.003</v>
      </c>
      <c r="F162" s="433">
        <f>SQRT(D162^2+E162^2)</f>
        <v>0.0192370272184889</v>
      </c>
      <c r="G162" s="483">
        <f>B162-1.645*F162</f>
        <v>0.0176573440402055</v>
      </c>
      <c r="H162" s="698">
        <f>B162+1.645*F162</f>
        <v>0.0809471635890341</v>
      </c>
    </row>
    <row r="163">
      <c r="A163" s="457" t="inlineStr">
        <is>
          <t>World Fixed Income</t>
        </is>
      </c>
      <c r="B163" s="433">
        <f>M148</f>
        <v>0.0524732697316071</v>
      </c>
      <c r="C163" s="483">
        <f>F148</f>
        <v>0.0405308075812358</v>
      </c>
      <c r="D163" s="433">
        <f>C163/SQRT(5)</f>
        <v>0.0181259281869214</v>
      </c>
      <c r="E163" s="433">
        <f>I148</f>
        <v>0.005</v>
      </c>
      <c r="F163" s="433">
        <f>SQRT(D163^2+E163^2)</f>
        <v>0.0188029059625748</v>
      </c>
      <c r="G163" s="483">
        <f>B163-1.645*F163</f>
        <v>0.0215424894231715</v>
      </c>
      <c r="H163" s="698">
        <f>B163+1.645*F163</f>
        <v>0.0834040500400427</v>
      </c>
    </row>
    <row r="164">
      <c r="A164" s="463" t="inlineStr">
        <is>
          <t>Cash</t>
        </is>
      </c>
      <c r="B164" s="502">
        <f>M149</f>
        <v>0.0476501883489648</v>
      </c>
      <c r="C164" s="699">
        <f>F149</f>
        <v>0.00981197666701638</v>
      </c>
      <c r="D164" s="502">
        <f>C164/SQRT(5)</f>
        <v>0.00438804936421809</v>
      </c>
      <c r="E164" s="502">
        <f>I149</f>
        <v>0.003</v>
      </c>
      <c r="F164" s="502">
        <f>SQRT(D164^2+E164^2)</f>
        <v>0.00531554110348277</v>
      </c>
      <c r="G164" s="699">
        <f>B164-1.645*F164</f>
        <v>0.0389061232337357</v>
      </c>
      <c r="H164" s="700">
        <f>B164+1.645*F164</f>
        <v>0.056394253464194</v>
      </c>
    </row>
    <row r="167">
      <c r="A167" s="519" t="inlineStr">
        <is>
          <t>8. Comparison with the 20-year history and published assumptions</t>
        </is>
      </c>
      <c r="B167" s="520" t="n"/>
      <c r="C167" s="520" t="n"/>
      <c r="D167" s="520" t="n"/>
      <c r="E167" s="520" t="n"/>
      <c r="F167" s="520" t="n"/>
      <c r="G167" s="520" t="n"/>
      <c r="H167" s="520" t="n"/>
      <c r="I167" s="521" t="n"/>
    </row>
    <row r="168" ht="40" customHeight="1">
      <c r="A168" s="522" t="inlineStr">
        <is>
          <t>Asset class</t>
        </is>
      </c>
      <c r="B168" s="523" t="inlineStr">
        <is>
          <t>Net forecast (arithmetic)</t>
        </is>
      </c>
      <c r="C168" s="523" t="inlineStr">
        <is>
          <t>Net forecast (compound)</t>
        </is>
      </c>
      <c r="D168" s="523" t="inlineStr">
        <is>
          <t>20-year history (gross, compound)</t>
        </is>
      </c>
      <c r="E168" s="523" t="inlineStr">
        <is>
          <t>Forecast less history</t>
        </is>
      </c>
      <c r="F168" s="601" t="inlineStr">
        <is>
          <t>Published reference</t>
        </is>
      </c>
      <c r="G168" s="602" t="n"/>
      <c r="H168" s="602" t="n"/>
      <c r="I168" s="603" t="n"/>
    </row>
    <row r="169">
      <c r="A169" s="525" t="inlineStr">
        <is>
          <t>Australian Equities</t>
        </is>
      </c>
      <c r="B169" s="433">
        <f>L139</f>
        <v>0.0777981251772048</v>
      </c>
      <c r="C169" s="433">
        <f>M139</f>
        <v>0.0659685493090504</v>
      </c>
      <c r="D169" s="433">
        <f>B25</f>
        <v>0.0695012498741834</v>
      </c>
      <c r="E169" s="433">
        <f>C169-D169</f>
        <v>-0.00353270056513302</v>
      </c>
      <c r="F169" s="677" t="inlineStr">
        <is>
          <t>DMS (2026): equity premium c.3.5% over bills</t>
        </is>
      </c>
      <c r="G169" s="606" t="n"/>
      <c r="H169" s="606" t="n"/>
      <c r="I169" s="607" t="n"/>
    </row>
    <row r="170">
      <c r="A170" s="525" t="inlineStr">
        <is>
          <t>World Equities</t>
        </is>
      </c>
      <c r="B170" s="433">
        <f>L140</f>
        <v>0.0772981251772048</v>
      </c>
      <c r="C170" s="433">
        <f>M140</f>
        <v>0.0691721485435256</v>
      </c>
      <c r="D170" s="433">
        <f>B26</f>
        <v>0.088450812806028</v>
      </c>
      <c r="E170" s="433">
        <f>C170-D170</f>
        <v>-0.0192786642625024</v>
      </c>
      <c r="F170" s="677" t="inlineStr">
        <is>
          <t>J.P. Morgan 2026 LTCMA: global equities 7.0% (USD, 10-15 years)</t>
        </is>
      </c>
      <c r="G170" s="606" t="n"/>
      <c r="H170" s="606" t="n"/>
      <c r="I170" s="607" t="n"/>
    </row>
    <row r="171">
      <c r="A171" s="525" t="inlineStr">
        <is>
          <t>Emerging Markets</t>
        </is>
      </c>
      <c r="B171" s="433">
        <f>L141</f>
        <v>0.0706951089747711</v>
      </c>
      <c r="C171" s="433">
        <f>M141</f>
        <v>0.0651835954559237</v>
      </c>
      <c r="D171" s="433">
        <f>B27</f>
        <v>0.0799889275290706</v>
      </c>
      <c r="E171" s="433">
        <f>C171-D171</f>
        <v>-0.0148053320731469</v>
      </c>
      <c r="F171" s="677" t="inlineStr">
        <is>
          <t>J.P. Morgan 2026 LTCMA: global equities 7.0% (USD)</t>
        </is>
      </c>
      <c r="G171" s="606" t="n"/>
      <c r="H171" s="606" t="n"/>
      <c r="I171" s="607" t="n"/>
    </row>
    <row r="172">
      <c r="A172" s="525" t="inlineStr">
        <is>
          <t>Listed Property</t>
        </is>
      </c>
      <c r="B172" s="433">
        <f>L142</f>
        <v>0.0791254858603568</v>
      </c>
      <c r="C172" s="433">
        <f>M142</f>
        <v>0.0650701212719445</v>
      </c>
      <c r="D172" s="433">
        <f>B28</f>
        <v>0.0537534457401672</v>
      </c>
      <c r="E172" s="433">
        <f>C172-D172</f>
        <v>0.0113166755317773</v>
      </c>
      <c r="F172" s="677" t="inlineStr">
        <is>
          <t>Nareit: REIT dividend yield 3.7% (Aug-2026)</t>
        </is>
      </c>
      <c r="G172" s="606" t="n"/>
      <c r="H172" s="606" t="n"/>
      <c r="I172" s="607" t="n"/>
    </row>
    <row r="173">
      <c r="A173" s="525" t="inlineStr">
        <is>
          <t>Commodities</t>
        </is>
      </c>
      <c r="B173" s="433">
        <f>L143</f>
        <v>0.0699047665403491</v>
      </c>
      <c r="C173" s="433">
        <f>M143</f>
        <v>0.0396761928036509</v>
      </c>
      <c r="D173" s="433">
        <f>B29</f>
        <v>-0.0067382599487994</v>
      </c>
      <c r="E173" s="433">
        <f>C173-D173</f>
        <v>0.0464144527524503</v>
      </c>
      <c r="F173" s="677" t="inlineStr">
        <is>
          <t>Levine et al. (2018): 3.3% geometric excess, 1877-2015</t>
        </is>
      </c>
      <c r="G173" s="606" t="n"/>
      <c r="H173" s="606" t="n"/>
      <c r="I173" s="607" t="n"/>
    </row>
    <row r="174">
      <c r="A174" s="525" t="inlineStr">
        <is>
          <t>Direct Property</t>
        </is>
      </c>
      <c r="B174" s="433">
        <f>L144</f>
        <v>0.0442249016292384</v>
      </c>
      <c r="C174" s="433">
        <f>M144</f>
        <v>0.0396806588323298</v>
      </c>
      <c r="D174" s="433">
        <f>B30</f>
        <v>0.0606084874190023</v>
      </c>
      <c r="E174" s="433">
        <f>C174-D174</f>
        <v>-0.0209278285866725</v>
      </c>
      <c r="F174" s="677" t="inlineStr">
        <is>
          <t>Cotality: gross rental yield 3.79% (Aug-2026)</t>
        </is>
      </c>
      <c r="G174" s="606" t="n"/>
      <c r="H174" s="606" t="n"/>
      <c r="I174" s="607" t="n"/>
    </row>
    <row r="175">
      <c r="A175" s="525" t="inlineStr">
        <is>
          <t>Hedge Funds</t>
        </is>
      </c>
      <c r="B175" s="433">
        <f>L145</f>
        <v>0.0372725383853063</v>
      </c>
      <c r="C175" s="433">
        <f>M145</f>
        <v>0.0346848999655106</v>
      </c>
      <c r="D175" s="433">
        <f>B31</f>
        <v>0.0765513454906872</v>
      </c>
      <c r="E175" s="433">
        <f>C175-D175</f>
        <v>-0.0418664455251767</v>
      </c>
      <c r="F175" s="677" t="inlineStr">
        <is>
          <t>Dichev &amp; Yu (2011): investor returns 3-7% below fund returns</t>
        </is>
      </c>
      <c r="G175" s="606" t="n"/>
      <c r="H175" s="606" t="n"/>
      <c r="I175" s="607" t="n"/>
    </row>
    <row r="176">
      <c r="A176" s="525" t="inlineStr">
        <is>
          <t>Private Equity</t>
        </is>
      </c>
      <c r="B176" s="433">
        <f>L146</f>
        <v>0.0515060207970293</v>
      </c>
      <c r="C176" s="433">
        <f>M146</f>
        <v>0.043410241030186</v>
      </c>
      <c r="D176" s="433">
        <f>B32</f>
        <v>0.10687219699712</v>
      </c>
      <c r="E176" s="433">
        <f>C176-D176</f>
        <v>-0.0634619559669345</v>
      </c>
      <c r="F176" s="677" t="inlineStr">
        <is>
          <t>J.P. Morgan 2026 LTCMA: private equity 10.3% (USD)</t>
        </is>
      </c>
      <c r="G176" s="606" t="n"/>
      <c r="H176" s="606" t="n"/>
      <c r="I176" s="607" t="n"/>
    </row>
    <row r="177">
      <c r="A177" s="525" t="inlineStr">
        <is>
          <t>Australian Fixed Income</t>
        </is>
      </c>
      <c r="B177" s="433">
        <f>L147</f>
        <v>0.050204911855132</v>
      </c>
      <c r="C177" s="433">
        <f>M147</f>
        <v>0.0493022538146198</v>
      </c>
      <c r="D177" s="433">
        <f>B33</f>
        <v>0.0396063048407955</v>
      </c>
      <c r="E177" s="433">
        <f>C177-D177</f>
        <v>0.0096959489738243</v>
      </c>
      <c r="F177" s="677" t="inlineStr">
        <is>
          <t>Vanguard VAF: yield to maturity 5.10%</t>
        </is>
      </c>
      <c r="G177" s="606" t="n"/>
      <c r="H177" s="606" t="n"/>
      <c r="I177" s="607" t="n"/>
    </row>
    <row r="178">
      <c r="A178" s="525" t="inlineStr">
        <is>
          <t>World Fixed Income</t>
        </is>
      </c>
      <c r="B178" s="433">
        <f>L148</f>
        <v>0.0532946429132007</v>
      </c>
      <c r="C178" s="433">
        <f>M148</f>
        <v>0.0524732697316071</v>
      </c>
      <c r="D178" s="433">
        <f>B34</f>
        <v>0.0430209428987427</v>
      </c>
      <c r="E178" s="433">
        <f>C178-D178</f>
        <v>0.00945232683286438</v>
      </c>
      <c r="F178" s="677" t="inlineStr">
        <is>
          <t>Vanguard VIF: yield to maturity 5.15% (31-Mar-26)</t>
        </is>
      </c>
      <c r="G178" s="606" t="n"/>
      <c r="H178" s="606" t="n"/>
      <c r="I178" s="607" t="n"/>
    </row>
    <row r="179">
      <c r="A179" s="527" t="inlineStr">
        <is>
          <t>Cash</t>
        </is>
      </c>
      <c r="B179" s="529">
        <f>L149</f>
        <v>0.0476983257920219</v>
      </c>
      <c r="C179" s="529">
        <f>M149</f>
        <v>0.0476501883489648</v>
      </c>
      <c r="D179" s="529">
        <f>B35</f>
        <v>0.0330591494495724</v>
      </c>
      <c r="E179" s="529">
        <f>C179-D179</f>
        <v>0.0145910388993924</v>
      </c>
      <c r="F179" s="701" t="inlineStr">
        <is>
          <t>RBA cash rate 4.60% (29-Sep-26)</t>
        </is>
      </c>
      <c r="G179" s="610" t="n"/>
      <c r="H179" s="610" t="n"/>
      <c r="I179" s="611" t="n"/>
    </row>
    <row r="182">
      <c r="A182" s="440" t="inlineStr">
        <is>
          <t>9. Sensitivity: share of the P/E gap closed over 5 years (the most influential forecast judgement)</t>
        </is>
      </c>
      <c r="B182" s="441" t="n"/>
      <c r="C182" s="441" t="n"/>
      <c r="D182" s="441" t="n"/>
      <c r="E182" s="442" t="n"/>
      <c r="F182" s="665" t="n"/>
      <c r="G182" s="665" t="n"/>
      <c r="H182" s="665" t="n"/>
      <c r="I182" s="665" t="n"/>
    </row>
    <row r="183" ht="40" customHeight="1">
      <c r="A183" s="443" t="inlineStr">
        <is>
          <t>Share closed</t>
        </is>
      </c>
      <c r="B183" s="444" t="inlineStr">
        <is>
          <t>Australian equities net (compound)</t>
        </is>
      </c>
      <c r="C183" s="444" t="inlineStr">
        <is>
          <t>World equities net (compound)</t>
        </is>
      </c>
      <c r="D183" s="444" t="inlineStr">
        <is>
          <t>Emerging markets net (compound)</t>
        </is>
      </c>
      <c r="E183" s="445" t="inlineStr">
        <is>
          <t>Recommended portfolio (compound, weights held)</t>
        </is>
      </c>
      <c r="F183" s="665" t="n"/>
      <c r="G183" s="665" t="n"/>
      <c r="H183" s="665" t="n"/>
      <c r="I183" s="665" t="n"/>
    </row>
    <row r="184">
      <c r="A184" s="736" t="n">
        <v>0</v>
      </c>
      <c r="B184" s="433">
        <f>IF(Inputs!$B$46=1,(((Inputs!$B$42-(Inputs!$B$42-Inputs!$B$43)*MIN(1,MAX(ABS(($B$62-$B$66+$B$65+$B$58+($B$64/$B$63)^($A184/5)-1)-$I$121)/SQRT(2),$H$139)/Inputs!$B$44))*(((($B$62-$B$66+$B$65+$B$58+($B$64/$B$63)^($A184/5)-1)+$I$121)/2)+$H$6^2/2)+(1-(Inputs!$B$42-(Inputs!$B$42-Inputs!$B$43)*MIN(1,MAX(ABS(($B$62-$B$66+$B$65+$B$58+($B$64/$B$63)^($A184/5)-1)-$I$121)/SQRT(2),$H$139)/Inputs!$B$44)))*$C$6)+((Inputs!$B$42-(Inputs!$B$42-Inputs!$B$43)*MIN(1,MAX(ABS(($B$67-$B$71+$B$70+$B$58+($B$69/$B$68)^($A184/5)-1)-$I$122)/SQRT(2),$H$140)/Inputs!$B$44))*(((($B$67-$B$71+$B$70+$B$58+($B$69/$B$68)^($A184/5)-1)+$I$122)/2)+$H$7^2/2)+(1-(Inputs!$B$42-(Inputs!$B$42-Inputs!$B$43)*MIN(1,MAX(ABS(($B$67-$B$71+$B$70+$B$58+($B$69/$B$68)^($A184/5)-1)-$I$122)/SQRT(2),$H$140)/Inputs!$B$44)))*$C$7))/2,((Inputs!$B$42-(Inputs!$B$42-Inputs!$B$43)*MIN(1,MAX(ABS(($B$62-$B$66+$B$65+$B$58+($B$64/$B$63)^($A184/5)-1)-$I$121)/SQRT(2),$H$139)/Inputs!$B$44))*(((($B$62-$B$66+$B$65+$B$58+($B$64/$B$63)^($A184/5)-1)+$I$121)/2)+$H$6^2/2)+(1-(Inputs!$B$42-(Inputs!$B$42-Inputs!$B$43)*MIN(1,MAX(ABS(($B$62-$B$66+$B$65+$B$58+($B$64/$B$63)^($A184/5)-1)-$I$121)/SQRT(2),$H$139)/Inputs!$B$44)))*$C$6))-$F$6-$H$6^2/2</f>
        <v>0.0701881755362931</v>
      </c>
      <c r="C184" s="433">
        <f>IF(Inputs!$B$46=1,(((Inputs!$B$42-(Inputs!$B$42-Inputs!$B$43)*MIN(1,MAX(ABS(($B$62-$B$66+$B$65+$B$58+($B$64/$B$63)^($A184/5)-1)-$I$121)/SQRT(2),$H$139)/Inputs!$B$44))*(((($B$62-$B$66+$B$65+$B$58+($B$64/$B$63)^($A184/5)-1)+$I$121)/2)+$H$6^2/2)+(1-(Inputs!$B$42-(Inputs!$B$42-Inputs!$B$43)*MIN(1,MAX(ABS(($B$62-$B$66+$B$65+$B$58+($B$64/$B$63)^($A184/5)-1)-$I$121)/SQRT(2),$H$139)/Inputs!$B$44)))*$C$6)+((Inputs!$B$42-(Inputs!$B$42-Inputs!$B$43)*MIN(1,MAX(ABS(($B$67-$B$71+$B$70+$B$58+($B$69/$B$68)^($A184/5)-1)-$I$122)/SQRT(2),$H$140)/Inputs!$B$44))*(((($B$67-$B$71+$B$70+$B$58+($B$69/$B$68)^($A184/5)-1)+$I$122)/2)+$H$7^2/2)+(1-(Inputs!$B$42-(Inputs!$B$42-Inputs!$B$43)*MIN(1,MAX(ABS(($B$67-$B$71+$B$70+$B$58+($B$69/$B$68)^($A184/5)-1)-$I$122)/SQRT(2),$H$140)/Inputs!$B$44)))*$C$7))/2,((Inputs!$B$42-(Inputs!$B$42-Inputs!$B$43)*MIN(1,MAX(ABS(($B$67-$B$71+$B$70+$B$58+($B$69/$B$68)^($A184/5)-1)-$I$122)/SQRT(2),$H$140)/Inputs!$B$44))*(((($B$67-$B$71+$B$70+$B$58+($B$69/$B$68)^($A184/5)-1)+$I$122)/2)+$H$7^2/2)+(1-(Inputs!$B$42-(Inputs!$B$42-Inputs!$B$43)*MIN(1,MAX(ABS(($B$67-$B$71+$B$70+$B$58+($B$69/$B$68)^($A184/5)-1)-$I$122)/SQRT(2),$H$140)/Inputs!$B$44)))*$C$7))-$F$7-$H$7^2/2</f>
        <v>0.0733917747707684</v>
      </c>
      <c r="D184" s="433">
        <f>((Inputs!$B$42-(Inputs!$B$42-Inputs!$B$43)*MIN(1,MAX(ABS(($B$72-$B$76+$B$75+$B$58+($B$74/$B$73)^($A184/5)-1)-$I$123)/SQRT(2),$H$141)/Inputs!$B$44))*(((($B$72-$B$76+$B$75+$B$58+($B$74/$B$73)^($A184/5)-1)+$I$123)/2)+$H$8^2/2)+(1-(Inputs!$B$42-(Inputs!$B$42-Inputs!$B$43)*MIN(1,MAX(ABS(($B$72-$B$76+$B$75+$B$58+($B$74/$B$73)^($A184/5)-1)-$I$123)/SQRT(2),$H$141)/Inputs!$B$44)))*$C$8)-$F$8-$H$8^2/2</f>
        <v>0.0643664550349437</v>
      </c>
      <c r="E184" s="456">
        <f>Summary!$D$24+Portfolio!$E$6*(B184+$H$6^2/2-$G$6)+Portfolio!$E$7*(C184+$H$7^2/2-$G$7)+Portfolio!$E$8*(D184+$H$8^2/2-$G$8)</f>
        <v>0.0692373760926658</v>
      </c>
      <c r="F184" s="665" t="n"/>
      <c r="G184" s="665" t="n"/>
      <c r="H184" s="665" t="n"/>
      <c r="I184" s="665" t="n"/>
    </row>
    <row r="185">
      <c r="A185" s="736" t="n">
        <v>0.25</v>
      </c>
      <c r="B185" s="433">
        <f>IF(Inputs!$B$46=1,(((Inputs!$B$42-(Inputs!$B$42-Inputs!$B$43)*MIN(1,MAX(ABS(($B$62-$B$66+$B$65+$B$58+($B$64/$B$63)^($A185/5)-1)-$I$121)/SQRT(2),$H$139)/Inputs!$B$44))*(((($B$62-$B$66+$B$65+$B$58+($B$64/$B$63)^($A185/5)-1)+$I$121)/2)+$H$6^2/2)+(1-(Inputs!$B$42-(Inputs!$B$42-Inputs!$B$43)*MIN(1,MAX(ABS(($B$62-$B$66+$B$65+$B$58+($B$64/$B$63)^($A185/5)-1)-$I$121)/SQRT(2),$H$139)/Inputs!$B$44)))*$C$6)+((Inputs!$B$42-(Inputs!$B$42-Inputs!$B$43)*MIN(1,MAX(ABS(($B$67-$B$71+$B$70+$B$58+($B$69/$B$68)^($A185/5)-1)-$I$122)/SQRT(2),$H$140)/Inputs!$B$44))*(((($B$67-$B$71+$B$70+$B$58+($B$69/$B$68)^($A185/5)-1)+$I$122)/2)+$H$7^2/2)+(1-(Inputs!$B$42-(Inputs!$B$42-Inputs!$B$43)*MIN(1,MAX(ABS(($B$67-$B$71+$B$70+$B$58+($B$69/$B$68)^($A185/5)-1)-$I$122)/SQRT(2),$H$140)/Inputs!$B$44)))*$C$7))/2,((Inputs!$B$42-(Inputs!$B$42-Inputs!$B$43)*MIN(1,MAX(ABS(($B$62-$B$66+$B$65+$B$58+($B$64/$B$63)^($A185/5)-1)-$I$121)/SQRT(2),$H$139)/Inputs!$B$44))*(((($B$62-$B$66+$B$65+$B$58+($B$64/$B$63)^($A185/5)-1)+$I$121)/2)+$H$6^2/2)+(1-(Inputs!$B$42-(Inputs!$B$42-Inputs!$B$43)*MIN(1,MAX(ABS(($B$62-$B$66+$B$65+$B$58+($B$64/$B$63)^($A185/5)-1)-$I$121)/SQRT(2),$H$139)/Inputs!$B$44)))*$C$6))-$F$6-$H$6^2/2</f>
        <v>0.067693713659093</v>
      </c>
      <c r="C185" s="433">
        <f>IF(Inputs!$B$46=1,(((Inputs!$B$42-(Inputs!$B$42-Inputs!$B$43)*MIN(1,MAX(ABS(($B$62-$B$66+$B$65+$B$58+($B$64/$B$63)^($A185/5)-1)-$I$121)/SQRT(2),$H$139)/Inputs!$B$44))*(((($B$62-$B$66+$B$65+$B$58+($B$64/$B$63)^($A185/5)-1)+$I$121)/2)+$H$6^2/2)+(1-(Inputs!$B$42-(Inputs!$B$42-Inputs!$B$43)*MIN(1,MAX(ABS(($B$62-$B$66+$B$65+$B$58+($B$64/$B$63)^($A185/5)-1)-$I$121)/SQRT(2),$H$139)/Inputs!$B$44)))*$C$6)+((Inputs!$B$42-(Inputs!$B$42-Inputs!$B$43)*MIN(1,MAX(ABS(($B$67-$B$71+$B$70+$B$58+($B$69/$B$68)^($A185/5)-1)-$I$122)/SQRT(2),$H$140)/Inputs!$B$44))*(((($B$67-$B$71+$B$70+$B$58+($B$69/$B$68)^($A185/5)-1)+$I$122)/2)+$H$7^2/2)+(1-(Inputs!$B$42-(Inputs!$B$42-Inputs!$B$43)*MIN(1,MAX(ABS(($B$67-$B$71+$B$70+$B$58+($B$69/$B$68)^($A185/5)-1)-$I$122)/SQRT(2),$H$140)/Inputs!$B$44)))*$C$7))/2,((Inputs!$B$42-(Inputs!$B$42-Inputs!$B$43)*MIN(1,MAX(ABS(($B$67-$B$71+$B$70+$B$58+($B$69/$B$68)^($A185/5)-1)-$I$122)/SQRT(2),$H$140)/Inputs!$B$44))*(((($B$67-$B$71+$B$70+$B$58+($B$69/$B$68)^($A185/5)-1)+$I$122)/2)+$H$7^2/2)+(1-(Inputs!$B$42-(Inputs!$B$42-Inputs!$B$43)*MIN(1,MAX(ABS(($B$67-$B$71+$B$70+$B$58+($B$69/$B$68)^($A185/5)-1)-$I$122)/SQRT(2),$H$140)/Inputs!$B$44)))*$C$7))-$F$7-$H$7^2/2</f>
        <v>0.0708973128935683</v>
      </c>
      <c r="D185" s="433">
        <f>((Inputs!$B$42-(Inputs!$B$42-Inputs!$B$43)*MIN(1,MAX(ABS(($B$72-$B$76+$B$75+$B$58+($B$74/$B$73)^($A185/5)-1)-$I$123)/SQRT(2),$H$141)/Inputs!$B$44))*(((($B$72-$B$76+$B$75+$B$58+($B$74/$B$73)^($A185/5)-1)+$I$123)/2)+$H$8^2/2)+(1-(Inputs!$B$42-(Inputs!$B$42-Inputs!$B$43)*MIN(1,MAX(ABS(($B$72-$B$76+$B$75+$B$58+($B$74/$B$73)^($A185/5)-1)-$I$123)/SQRT(2),$H$141)/Inputs!$B$44)))*$C$8)-$F$8-$H$8^2/2</f>
        <v>0.064774678966414</v>
      </c>
      <c r="E185" s="456">
        <f>Summary!$D$24+Portfolio!$E$6*(B185+$H$6^2/2-$G$6)+Portfolio!$E$7*(C185+$H$7^2/2-$G$7)+Portfolio!$E$8*(D185+$H$8^2/2-$G$8)</f>
        <v>0.0678858702151444</v>
      </c>
      <c r="F185" s="665" t="n"/>
      <c r="G185" s="665" t="n"/>
      <c r="H185" s="665" t="n"/>
      <c r="I185" s="665" t="n"/>
    </row>
    <row r="186">
      <c r="A186" s="736" t="n">
        <v>0.5</v>
      </c>
      <c r="B186" s="433">
        <f>IF(Inputs!$B$46=1,(((Inputs!$B$42-(Inputs!$B$42-Inputs!$B$43)*MIN(1,MAX(ABS(($B$62-$B$66+$B$65+$B$58+($B$64/$B$63)^($A186/5)-1)-$I$121)/SQRT(2),$H$139)/Inputs!$B$44))*(((($B$62-$B$66+$B$65+$B$58+($B$64/$B$63)^($A186/5)-1)+$I$121)/2)+$H$6^2/2)+(1-(Inputs!$B$42-(Inputs!$B$42-Inputs!$B$43)*MIN(1,MAX(ABS(($B$62-$B$66+$B$65+$B$58+($B$64/$B$63)^($A186/5)-1)-$I$121)/SQRT(2),$H$139)/Inputs!$B$44)))*$C$6)+((Inputs!$B$42-(Inputs!$B$42-Inputs!$B$43)*MIN(1,MAX(ABS(($B$67-$B$71+$B$70+$B$58+($B$69/$B$68)^($A186/5)-1)-$I$122)/SQRT(2),$H$140)/Inputs!$B$44))*(((($B$67-$B$71+$B$70+$B$58+($B$69/$B$68)^($A186/5)-1)+$I$122)/2)+$H$7^2/2)+(1-(Inputs!$B$42-(Inputs!$B$42-Inputs!$B$43)*MIN(1,MAX(ABS(($B$67-$B$71+$B$70+$B$58+($B$69/$B$68)^($A186/5)-1)-$I$122)/SQRT(2),$H$140)/Inputs!$B$44)))*$C$7))/2,((Inputs!$B$42-(Inputs!$B$42-Inputs!$B$43)*MIN(1,MAX(ABS(($B$62-$B$66+$B$65+$B$58+($B$64/$B$63)^($A186/5)-1)-$I$121)/SQRT(2),$H$139)/Inputs!$B$44))*(((($B$62-$B$66+$B$65+$B$58+($B$64/$B$63)^($A186/5)-1)+$I$121)/2)+$H$6^2/2)+(1-(Inputs!$B$42-(Inputs!$B$42-Inputs!$B$43)*MIN(1,MAX(ABS(($B$62-$B$66+$B$65+$B$58+($B$64/$B$63)^($A186/5)-1)-$I$121)/SQRT(2),$H$139)/Inputs!$B$44)))*$C$6))-$F$6-$H$6^2/2</f>
        <v>0.0659685493090504</v>
      </c>
      <c r="C186" s="433">
        <f>IF(Inputs!$B$46=1,(((Inputs!$B$42-(Inputs!$B$42-Inputs!$B$43)*MIN(1,MAX(ABS(($B$62-$B$66+$B$65+$B$58+($B$64/$B$63)^($A186/5)-1)-$I$121)/SQRT(2),$H$139)/Inputs!$B$44))*(((($B$62-$B$66+$B$65+$B$58+($B$64/$B$63)^($A186/5)-1)+$I$121)/2)+$H$6^2/2)+(1-(Inputs!$B$42-(Inputs!$B$42-Inputs!$B$43)*MIN(1,MAX(ABS(($B$62-$B$66+$B$65+$B$58+($B$64/$B$63)^($A186/5)-1)-$I$121)/SQRT(2),$H$139)/Inputs!$B$44)))*$C$6)+((Inputs!$B$42-(Inputs!$B$42-Inputs!$B$43)*MIN(1,MAX(ABS(($B$67-$B$71+$B$70+$B$58+($B$69/$B$68)^($A186/5)-1)-$I$122)/SQRT(2),$H$140)/Inputs!$B$44))*(((($B$67-$B$71+$B$70+$B$58+($B$69/$B$68)^($A186/5)-1)+$I$122)/2)+$H$7^2/2)+(1-(Inputs!$B$42-(Inputs!$B$42-Inputs!$B$43)*MIN(1,MAX(ABS(($B$67-$B$71+$B$70+$B$58+($B$69/$B$68)^($A186/5)-1)-$I$122)/SQRT(2),$H$140)/Inputs!$B$44)))*$C$7))/2,((Inputs!$B$42-(Inputs!$B$42-Inputs!$B$43)*MIN(1,MAX(ABS(($B$67-$B$71+$B$70+$B$58+($B$69/$B$68)^($A186/5)-1)-$I$122)/SQRT(2),$H$140)/Inputs!$B$44))*(((($B$67-$B$71+$B$70+$B$58+($B$69/$B$68)^($A186/5)-1)+$I$122)/2)+$H$7^2/2)+(1-(Inputs!$B$42-(Inputs!$B$42-Inputs!$B$43)*MIN(1,MAX(ABS(($B$67-$B$71+$B$70+$B$58+($B$69/$B$68)^($A186/5)-1)-$I$122)/SQRT(2),$H$140)/Inputs!$B$44)))*$C$7))-$F$7-$H$7^2/2</f>
        <v>0.0691721485435256</v>
      </c>
      <c r="D186" s="433">
        <f>((Inputs!$B$42-(Inputs!$B$42-Inputs!$B$43)*MIN(1,MAX(ABS(($B$72-$B$76+$B$75+$B$58+($B$74/$B$73)^($A186/5)-1)-$I$123)/SQRT(2),$H$141)/Inputs!$B$44))*(((($B$72-$B$76+$B$75+$B$58+($B$74/$B$73)^($A186/5)-1)+$I$123)/2)+$H$8^2/2)+(1-(Inputs!$B$42-(Inputs!$B$42-Inputs!$B$43)*MIN(1,MAX(ABS(($B$72-$B$76+$B$75+$B$58+($B$74/$B$73)^($A186/5)-1)-$I$123)/SQRT(2),$H$141)/Inputs!$B$44)))*$C$8)-$F$8-$H$8^2/2</f>
        <v>0.0651835954559237</v>
      </c>
      <c r="E186" s="456">
        <f>Summary!$D$24+Portfolio!$E$6*(B186+$H$6^2/2-$G$6)+Portfolio!$E$7*(C186+$H$7^2/2-$G$7)+Portfolio!$E$8*(D186+$H$8^2/2-$G$8)</f>
        <v>0.0669596785505359</v>
      </c>
      <c r="F186" s="665" t="n"/>
      <c r="G186" s="665" t="n"/>
      <c r="H186" s="665" t="n"/>
      <c r="I186" s="665" t="n"/>
    </row>
    <row r="187">
      <c r="A187" s="736" t="n">
        <v>0.75</v>
      </c>
      <c r="B187" s="433">
        <f>IF(Inputs!$B$46=1,(((Inputs!$B$42-(Inputs!$B$42-Inputs!$B$43)*MIN(1,MAX(ABS(($B$62-$B$66+$B$65+$B$58+($B$64/$B$63)^($A187/5)-1)-$I$121)/SQRT(2),$H$139)/Inputs!$B$44))*(((($B$62-$B$66+$B$65+$B$58+($B$64/$B$63)^($A187/5)-1)+$I$121)/2)+$H$6^2/2)+(1-(Inputs!$B$42-(Inputs!$B$42-Inputs!$B$43)*MIN(1,MAX(ABS(($B$62-$B$66+$B$65+$B$58+($B$64/$B$63)^($A187/5)-1)-$I$121)/SQRT(2),$H$139)/Inputs!$B$44)))*$C$6)+((Inputs!$B$42-(Inputs!$B$42-Inputs!$B$43)*MIN(1,MAX(ABS(($B$67-$B$71+$B$70+$B$58+($B$69/$B$68)^($A187/5)-1)-$I$122)/SQRT(2),$H$140)/Inputs!$B$44))*(((($B$67-$B$71+$B$70+$B$58+($B$69/$B$68)^($A187/5)-1)+$I$122)/2)+$H$7^2/2)+(1-(Inputs!$B$42-(Inputs!$B$42-Inputs!$B$43)*MIN(1,MAX(ABS(($B$67-$B$71+$B$70+$B$58+($B$69/$B$68)^($A187/5)-1)-$I$122)/SQRT(2),$H$140)/Inputs!$B$44)))*$C$7))/2,((Inputs!$B$42-(Inputs!$B$42-Inputs!$B$43)*MIN(1,MAX(ABS(($B$62-$B$66+$B$65+$B$58+($B$64/$B$63)^($A187/5)-1)-$I$121)/SQRT(2),$H$139)/Inputs!$B$44))*(((($B$62-$B$66+$B$65+$B$58+($B$64/$B$63)^($A187/5)-1)+$I$121)/2)+$H$6^2/2)+(1-(Inputs!$B$42-(Inputs!$B$42-Inputs!$B$43)*MIN(1,MAX(ABS(($B$62-$B$66+$B$65+$B$58+($B$64/$B$63)^($A187/5)-1)-$I$121)/SQRT(2),$H$139)/Inputs!$B$44)))*$C$6))-$F$6-$H$6^2/2</f>
        <v>0.065114302275331</v>
      </c>
      <c r="C187" s="433">
        <f>IF(Inputs!$B$46=1,(((Inputs!$B$42-(Inputs!$B$42-Inputs!$B$43)*MIN(1,MAX(ABS(($B$62-$B$66+$B$65+$B$58+($B$64/$B$63)^($A187/5)-1)-$I$121)/SQRT(2),$H$139)/Inputs!$B$44))*(((($B$62-$B$66+$B$65+$B$58+($B$64/$B$63)^($A187/5)-1)+$I$121)/2)+$H$6^2/2)+(1-(Inputs!$B$42-(Inputs!$B$42-Inputs!$B$43)*MIN(1,MAX(ABS(($B$62-$B$66+$B$65+$B$58+($B$64/$B$63)^($A187/5)-1)-$I$121)/SQRT(2),$H$139)/Inputs!$B$44)))*$C$6)+((Inputs!$B$42-(Inputs!$B$42-Inputs!$B$43)*MIN(1,MAX(ABS(($B$67-$B$71+$B$70+$B$58+($B$69/$B$68)^($A187/5)-1)-$I$122)/SQRT(2),$H$140)/Inputs!$B$44))*(((($B$67-$B$71+$B$70+$B$58+($B$69/$B$68)^($A187/5)-1)+$I$122)/2)+$H$7^2/2)+(1-(Inputs!$B$42-(Inputs!$B$42-Inputs!$B$43)*MIN(1,MAX(ABS(($B$67-$B$71+$B$70+$B$58+($B$69/$B$68)^($A187/5)-1)-$I$122)/SQRT(2),$H$140)/Inputs!$B$44)))*$C$7))/2,((Inputs!$B$42-(Inputs!$B$42-Inputs!$B$43)*MIN(1,MAX(ABS(($B$67-$B$71+$B$70+$B$58+($B$69/$B$68)^($A187/5)-1)-$I$122)/SQRT(2),$H$140)/Inputs!$B$44))*(((($B$67-$B$71+$B$70+$B$58+($B$69/$B$68)^($A187/5)-1)+$I$122)/2)+$H$7^2/2)+(1-(Inputs!$B$42-(Inputs!$B$42-Inputs!$B$43)*MIN(1,MAX(ABS(($B$67-$B$71+$B$70+$B$58+($B$69/$B$68)^($A187/5)-1)-$I$122)/SQRT(2),$H$140)/Inputs!$B$44)))*$C$7))-$F$7-$H$7^2/2</f>
        <v>0.0683179015098062</v>
      </c>
      <c r="D187" s="433">
        <f>((Inputs!$B$42-(Inputs!$B$42-Inputs!$B$43)*MIN(1,MAX(ABS(($B$72-$B$76+$B$75+$B$58+($B$74/$B$73)^($A187/5)-1)-$I$123)/SQRT(2),$H$141)/Inputs!$B$44))*(((($B$72-$B$76+$B$75+$B$58+($B$74/$B$73)^($A187/5)-1)+$I$123)/2)+$H$8^2/2)+(1-(Inputs!$B$42-(Inputs!$B$42-Inputs!$B$43)*MIN(1,MAX(ABS(($B$72-$B$76+$B$75+$B$58+($B$74/$B$73)^($A187/5)-1)-$I$123)/SQRT(2),$H$141)/Inputs!$B$44)))*$C$8)-$F$8-$H$8^2/2</f>
        <v>0.0655932056784079</v>
      </c>
      <c r="E187" s="456">
        <f>Summary!$D$24+Portfolio!$E$6*(B187+$H$6^2/2-$G$6)+Portfolio!$E$7*(C187+$H$7^2/2-$G$7)+Portfolio!$E$8*(D187+$H$8^2/2-$G$8)</f>
        <v>0.0665149765972467</v>
      </c>
      <c r="F187" s="665" t="n"/>
      <c r="G187" s="665" t="n"/>
      <c r="H187" s="665" t="n"/>
      <c r="I187" s="665" t="n"/>
    </row>
    <row r="188">
      <c r="A188" s="737" t="n">
        <v>1</v>
      </c>
      <c r="B188" s="738">
        <f>IF(Inputs!$B$46=1,(((Inputs!$B$42-(Inputs!$B$42-Inputs!$B$43)*MIN(1,MAX(ABS(($B$62-$B$66+$B$65+$B$58+($B$64/$B$63)^($A188/5)-1)-$I$121)/SQRT(2),$H$139)/Inputs!$B$44))*(((($B$62-$B$66+$B$65+$B$58+($B$64/$B$63)^($A188/5)-1)+$I$121)/2)+$H$6^2/2)+(1-(Inputs!$B$42-(Inputs!$B$42-Inputs!$B$43)*MIN(1,MAX(ABS(($B$62-$B$66+$B$65+$B$58+($B$64/$B$63)^($A188/5)-1)-$I$121)/SQRT(2),$H$139)/Inputs!$B$44)))*$C$6)+((Inputs!$B$42-(Inputs!$B$42-Inputs!$B$43)*MIN(1,MAX(ABS(($B$67-$B$71+$B$70+$B$58+($B$69/$B$68)^($A188/5)-1)-$I$122)/SQRT(2),$H$140)/Inputs!$B$44))*(((($B$67-$B$71+$B$70+$B$58+($B$69/$B$68)^($A188/5)-1)+$I$122)/2)+$H$7^2/2)+(1-(Inputs!$B$42-(Inputs!$B$42-Inputs!$B$43)*MIN(1,MAX(ABS(($B$67-$B$71+$B$70+$B$58+($B$69/$B$68)^($A188/5)-1)-$I$122)/SQRT(2),$H$140)/Inputs!$B$44)))*$C$7))/2,((Inputs!$B$42-(Inputs!$B$42-Inputs!$B$43)*MIN(1,MAX(ABS(($B$62-$B$66+$B$65+$B$58+($B$64/$B$63)^($A188/5)-1)-$I$121)/SQRT(2),$H$139)/Inputs!$B$44))*(((($B$62-$B$66+$B$65+$B$58+($B$64/$B$63)^($A188/5)-1)+$I$121)/2)+$H$6^2/2)+(1-(Inputs!$B$42-(Inputs!$B$42-Inputs!$B$43)*MIN(1,MAX(ABS(($B$62-$B$66+$B$65+$B$58+($B$64/$B$63)^($A188/5)-1)-$I$121)/SQRT(2),$H$139)/Inputs!$B$44)))*$C$6))-$F$6-$H$6^2/2</f>
        <v>0.0650417749439219</v>
      </c>
      <c r="C188" s="738">
        <f>IF(Inputs!$B$46=1,(((Inputs!$B$42-(Inputs!$B$42-Inputs!$B$43)*MIN(1,MAX(ABS(($B$62-$B$66+$B$65+$B$58+($B$64/$B$63)^($A188/5)-1)-$I$121)/SQRT(2),$H$139)/Inputs!$B$44))*(((($B$62-$B$66+$B$65+$B$58+($B$64/$B$63)^($A188/5)-1)+$I$121)/2)+$H$6^2/2)+(1-(Inputs!$B$42-(Inputs!$B$42-Inputs!$B$43)*MIN(1,MAX(ABS(($B$62-$B$66+$B$65+$B$58+($B$64/$B$63)^($A188/5)-1)-$I$121)/SQRT(2),$H$139)/Inputs!$B$44)))*$C$6)+((Inputs!$B$42-(Inputs!$B$42-Inputs!$B$43)*MIN(1,MAX(ABS(($B$67-$B$71+$B$70+$B$58+($B$69/$B$68)^($A188/5)-1)-$I$122)/SQRT(2),$H$140)/Inputs!$B$44))*(((($B$67-$B$71+$B$70+$B$58+($B$69/$B$68)^($A188/5)-1)+$I$122)/2)+$H$7^2/2)+(1-(Inputs!$B$42-(Inputs!$B$42-Inputs!$B$43)*MIN(1,MAX(ABS(($B$67-$B$71+$B$70+$B$58+($B$69/$B$68)^($A188/5)-1)-$I$122)/SQRT(2),$H$140)/Inputs!$B$44)))*$C$7))/2,((Inputs!$B$42-(Inputs!$B$42-Inputs!$B$43)*MIN(1,MAX(ABS(($B$67-$B$71+$B$70+$B$58+($B$69/$B$68)^($A188/5)-1)-$I$122)/SQRT(2),$H$140)/Inputs!$B$44))*(((($B$67-$B$71+$B$70+$B$58+($B$69/$B$68)^($A188/5)-1)+$I$122)/2)+$H$7^2/2)+(1-(Inputs!$B$42-(Inputs!$B$42-Inputs!$B$43)*MIN(1,MAX(ABS(($B$67-$B$71+$B$70+$B$58+($B$69/$B$68)^($A188/5)-1)-$I$122)/SQRT(2),$H$140)/Inputs!$B$44)))*$C$7))-$F$7-$H$7^2/2</f>
        <v>0.0682453741783972</v>
      </c>
      <c r="D188" s="738">
        <f>((Inputs!$B$42-(Inputs!$B$42-Inputs!$B$43)*MIN(1,MAX(ABS(($B$72-$B$76+$B$75+$B$58+($B$74/$B$73)^($A188/5)-1)-$I$123)/SQRT(2),$H$141)/Inputs!$B$44))*(((($B$72-$B$76+$B$75+$B$58+($B$74/$B$73)^($A188/5)-1)+$I$123)/2)+$H$8^2/2)+(1-(Inputs!$B$42-(Inputs!$B$42-Inputs!$B$43)*MIN(1,MAX(ABS(($B$72-$B$76+$B$75+$B$58+($B$74/$B$73)^($A188/5)-1)-$I$123)/SQRT(2),$H$141)/Inputs!$B$44)))*$C$8)-$F$8-$H$8^2/2</f>
        <v>0.0660035108107951</v>
      </c>
      <c r="E188" s="462">
        <f>Summary!$D$24+Portfolio!$E$6*(B188+$H$6^2/2-$G$6)+Portfolio!$E$7*(C188+$H$7^2/2-$G$7)+Portfolio!$E$8*(D188+$H$8^2/2-$G$8)</f>
        <v>0.0665024559933402</v>
      </c>
      <c r="F188" s="665" t="n"/>
      <c r="G188" s="665" t="n"/>
      <c r="H188" s="665" t="n"/>
      <c r="I188" s="665" t="n"/>
    </row>
    <row r="189">
      <c r="A189" s="739" t="inlineStr">
        <is>
          <t>The 50% row reproduces section 1. Moving from 50% to 0% (no reversion) or 100% (full reversion) shows how much of the equity forecast rests on this judgement.</t>
        </is>
      </c>
      <c r="B189" s="665" t="n"/>
      <c r="C189" s="665" t="n"/>
      <c r="D189" s="665" t="n"/>
      <c r="E189" s="665" t="n"/>
      <c r="F189" s="665" t="n"/>
      <c r="G189" s="665" t="n"/>
      <c r="H189" s="665" t="n"/>
      <c r="I189" s="665" t="n"/>
    </row>
    <row r="190">
      <c r="A190" s="665" t="n"/>
      <c r="B190" s="665" t="n"/>
      <c r="C190" s="665" t="n"/>
      <c r="D190" s="665" t="n"/>
      <c r="E190" s="665" t="n"/>
      <c r="F190" s="665" t="n"/>
      <c r="G190" s="665" t="n"/>
      <c r="H190" s="665" t="n"/>
      <c r="I190" s="665" t="n"/>
    </row>
    <row r="191">
      <c r="A191" s="665" t="n"/>
      <c r="B191" s="665" t="n"/>
      <c r="C191" s="665" t="n"/>
      <c r="D191" s="665" t="n"/>
      <c r="E191" s="665" t="n"/>
      <c r="F191" s="665" t="n"/>
      <c r="G191" s="665" t="n"/>
      <c r="H191" s="665" t="n"/>
      <c r="I191" s="665" t="n"/>
    </row>
    <row r="192">
      <c r="A192" s="665" t="n"/>
      <c r="B192" s="665" t="n"/>
      <c r="C192" s="665" t="n"/>
      <c r="D192" s="665" t="n"/>
      <c r="E192" s="665" t="n"/>
      <c r="F192" s="665" t="n"/>
      <c r="G192" s="665" t="n"/>
      <c r="H192" s="665" t="n"/>
      <c r="I192" s="665" t="n"/>
    </row>
    <row r="193">
      <c r="A193" s="665" t="n"/>
      <c r="B193" s="665" t="n"/>
      <c r="C193" s="665" t="n"/>
      <c r="D193" s="665" t="n"/>
      <c r="E193" s="665" t="n"/>
      <c r="F193" s="665" t="n"/>
      <c r="G193" s="665" t="n"/>
      <c r="H193" s="665" t="n"/>
      <c r="I193" s="665" t="n"/>
    </row>
    <row r="194">
      <c r="A194" s="665" t="n"/>
      <c r="B194" s="665" t="n"/>
      <c r="C194" s="665" t="n"/>
      <c r="D194" s="665" t="n"/>
      <c r="E194" s="665" t="n"/>
      <c r="F194" s="665" t="n"/>
      <c r="G194" s="665" t="n"/>
      <c r="H194" s="665" t="n"/>
      <c r="I194" s="665" t="n"/>
    </row>
    <row r="195">
      <c r="A195" s="665" t="n"/>
      <c r="B195" s="665" t="n"/>
      <c r="C195" s="665" t="n"/>
      <c r="D195" s="665" t="n"/>
      <c r="E195" s="665" t="n"/>
      <c r="F195" s="665" t="n"/>
      <c r="G195" s="665" t="n"/>
      <c r="H195" s="665" t="n"/>
      <c r="I195" s="665" t="n"/>
    </row>
  </sheetData>
  <mergeCells count="63">
    <mergeCell ref="C61:I61"/>
    <mergeCell ref="C70:I70"/>
    <mergeCell ref="F176:I176"/>
    <mergeCell ref="F170:I170"/>
    <mergeCell ref="C82:I82"/>
    <mergeCell ref="C91:I91"/>
    <mergeCell ref="C72:I72"/>
    <mergeCell ref="C67:I67"/>
    <mergeCell ref="C81:I81"/>
    <mergeCell ref="C57:I57"/>
    <mergeCell ref="C66:I66"/>
    <mergeCell ref="F179:I179"/>
    <mergeCell ref="C69:I69"/>
    <mergeCell ref="C102:I102"/>
    <mergeCell ref="C96:I96"/>
    <mergeCell ref="C78:I78"/>
    <mergeCell ref="F175:I175"/>
    <mergeCell ref="C87:I87"/>
    <mergeCell ref="C83:I83"/>
    <mergeCell ref="C77:I77"/>
    <mergeCell ref="F171:I171"/>
    <mergeCell ref="C101:I101"/>
    <mergeCell ref="C92:I92"/>
    <mergeCell ref="C86:I86"/>
    <mergeCell ref="C68:I68"/>
    <mergeCell ref="C62:I62"/>
    <mergeCell ref="F178:I178"/>
    <mergeCell ref="F174:I174"/>
    <mergeCell ref="F172:I172"/>
    <mergeCell ref="C104:I104"/>
    <mergeCell ref="F168:I168"/>
    <mergeCell ref="C58:I58"/>
    <mergeCell ref="C98:I98"/>
    <mergeCell ref="C89:I89"/>
    <mergeCell ref="C97:I97"/>
    <mergeCell ref="C74:I74"/>
    <mergeCell ref="C88:I88"/>
    <mergeCell ref="C64:I64"/>
    <mergeCell ref="C79:I79"/>
    <mergeCell ref="C73:I73"/>
    <mergeCell ref="F177:I177"/>
    <mergeCell ref="C103:I103"/>
    <mergeCell ref="F173:I173"/>
    <mergeCell ref="C85:I85"/>
    <mergeCell ref="C100:I100"/>
    <mergeCell ref="C54:I54"/>
    <mergeCell ref="C94:I94"/>
    <mergeCell ref="C65:I65"/>
    <mergeCell ref="C63:I63"/>
    <mergeCell ref="F169:I169"/>
    <mergeCell ref="C55:I55"/>
    <mergeCell ref="C99:I99"/>
    <mergeCell ref="C93:I93"/>
    <mergeCell ref="C75:I75"/>
    <mergeCell ref="C84:I84"/>
    <mergeCell ref="C80:I80"/>
    <mergeCell ref="C56:I56"/>
    <mergeCell ref="C90:I90"/>
    <mergeCell ref="C59:I59"/>
    <mergeCell ref="C95:I95"/>
    <mergeCell ref="C60:I60"/>
    <mergeCell ref="C76:I76"/>
    <mergeCell ref="C71:I71"/>
  </mergeCells>
  <pageMargins left="0.75" right="0.75" top="1" bottom="1" header="0.5" footer="0.5"/>
  <pageSetup orientation="landscape" fitToHeight="0"/>
</worksheet>
</file>

<file path=xl/worksheets/sheet5.xml><?xml version="1.0" encoding="utf-8"?>
<worksheet xmlns="http://schemas.openxmlformats.org/spreadsheetml/2006/main">
  <sheetPr>
    <tabColor rgb="FF5B2C83"/>
    <outlinePr summaryBelow="1" summaryRight="1"/>
    <pageSetUpPr fitToPage="1"/>
  </sheetPr>
  <dimension ref="A1:P72"/>
  <sheetViews>
    <sheetView showGridLines="0" workbookViewId="0">
      <selection activeCell="A1" sqref="A1"/>
    </sheetView>
  </sheetViews>
  <sheetFormatPr baseColWidth="10" defaultColWidth="8.83203125" defaultRowHeight="15"/>
  <cols>
    <col width="30" customWidth="1" min="1" max="1"/>
    <col width="11" customWidth="1" min="2" max="13"/>
    <col width="12" customWidth="1" min="14" max="15"/>
    <col width="13" customWidth="1" min="16" max="16"/>
  </cols>
  <sheetData>
    <row r="1" ht="19" customHeight="1">
      <c r="A1" s="53" t="inlineStr">
        <is>
          <t>Risk</t>
        </is>
      </c>
    </row>
    <row r="3">
      <c r="A3" s="136" t="inlineStr">
        <is>
          <t>1. Sample covariance (annualised, adjusted quarterly returns)</t>
        </is>
      </c>
      <c r="B3" s="137" t="n"/>
      <c r="C3" s="137" t="n"/>
      <c r="D3" s="137" t="n"/>
      <c r="E3" s="137" t="n"/>
      <c r="F3" s="137" t="n"/>
      <c r="G3" s="137" t="n"/>
      <c r="H3" s="137" t="n"/>
      <c r="I3" s="137" t="n"/>
      <c r="J3" s="137" t="n"/>
      <c r="K3" s="137" t="n"/>
      <c r="L3" s="137" t="n"/>
      <c r="M3" s="138" t="n"/>
    </row>
    <row r="4" ht="42" customHeight="1">
      <c r="A4" s="139" t="inlineStr">
        <is>
          <t>Asset class</t>
        </is>
      </c>
      <c r="B4" s="140" t="inlineStr">
        <is>
          <t>Australian Equities</t>
        </is>
      </c>
      <c r="C4" s="140" t="inlineStr">
        <is>
          <t>World Equities</t>
        </is>
      </c>
      <c r="D4" s="140" t="inlineStr">
        <is>
          <t>Emerging Markets</t>
        </is>
      </c>
      <c r="E4" s="140" t="inlineStr">
        <is>
          <t>Listed Property</t>
        </is>
      </c>
      <c r="F4" s="140" t="inlineStr">
        <is>
          <t>Commodities</t>
        </is>
      </c>
      <c r="G4" s="140" t="inlineStr">
        <is>
          <t>Direct Property</t>
        </is>
      </c>
      <c r="H4" s="140" t="inlineStr">
        <is>
          <t>Hedge Funds</t>
        </is>
      </c>
      <c r="I4" s="140" t="inlineStr">
        <is>
          <t>Private Equity</t>
        </is>
      </c>
      <c r="J4" s="140" t="inlineStr">
        <is>
          <t>Australian Fixed Income</t>
        </is>
      </c>
      <c r="K4" s="140" t="inlineStr">
        <is>
          <t>World Fixed Income</t>
        </is>
      </c>
      <c r="L4" s="140" t="inlineStr">
        <is>
          <t>Cash</t>
        </is>
      </c>
      <c r="M4" s="141" t="inlineStr">
        <is>
          <t>Sample vol</t>
        </is>
      </c>
    </row>
    <row r="5">
      <c r="A5" s="142" t="inlineStr">
        <is>
          <t>Australian Equities</t>
        </is>
      </c>
      <c r="B5" s="489">
        <f>_xlfn.COVARIANCE.S('Quarterly returns'!$N$6:$N$85,'Quarterly returns'!$N$6:$N$85)*4</f>
        <v>0.0236591517363089</v>
      </c>
      <c r="C5" s="489">
        <f>_xlfn.COVARIANCE.S('Quarterly returns'!$N$6:$N$85,'Quarterly returns'!$O$6:$O$85)*4</f>
        <v>0.0102011128559494</v>
      </c>
      <c r="D5" s="489">
        <f>_xlfn.COVARIANCE.S('Quarterly returns'!$N$6:$N$85,'Quarterly returns'!$P$6:$P$85)*4</f>
        <v>0.00939624039257023</v>
      </c>
      <c r="E5" s="489">
        <f>_xlfn.COVARIANCE.S('Quarterly returns'!$N$6:$N$85,'Quarterly returns'!$Q$6:$Q$85)*4</f>
        <v>0.0112187648071482</v>
      </c>
      <c r="F5" s="489">
        <f>_xlfn.COVARIANCE.S('Quarterly returns'!$N$6:$N$85,'Quarterly returns'!$R$6:$R$85)*4</f>
        <v>0.00935523362369956</v>
      </c>
      <c r="G5" s="489">
        <f>_xlfn.COVARIANCE.S('Quarterly returns'!$N$6:$N$85,'Quarterly returns'!$S$6:$S$85)*4</f>
        <v>0.00316410504555142</v>
      </c>
      <c r="H5" s="489">
        <f>_xlfn.COVARIANCE.S('Quarterly returns'!$N$6:$N$85,'Quarterly returns'!$T$6:$T$85)*4</f>
        <v>-0.0020963988771702</v>
      </c>
      <c r="I5" s="489">
        <f>_xlfn.COVARIANCE.S('Quarterly returns'!$N$6:$N$85,'Quarterly returns'!$U$6:$U$85)*4</f>
        <v>0.0105110535602544</v>
      </c>
      <c r="J5" s="489">
        <f>_xlfn.COVARIANCE.S('Quarterly returns'!$N$6:$N$85,'Quarterly returns'!$V$6:$V$85)*4</f>
        <v>-0.00106781136357287</v>
      </c>
      <c r="K5" s="489">
        <f>_xlfn.COVARIANCE.S('Quarterly returns'!$N$6:$N$85,'Quarterly returns'!$W$6:$W$85)*4</f>
        <v>0.000174125553442038</v>
      </c>
      <c r="L5" s="489">
        <f>_xlfn.COVARIANCE.S('Quarterly returns'!$N$6:$N$85,'Quarterly returns'!$X$6:$X$85)*4</f>
        <v>-0.000282189008799297</v>
      </c>
      <c r="M5" s="144">
        <f>SQRT(B5)</f>
        <v>0.153815316975615</v>
      </c>
    </row>
    <row r="6">
      <c r="A6" s="142" t="inlineStr">
        <is>
          <t>World Equities</t>
        </is>
      </c>
      <c r="B6" s="489">
        <f>_xlfn.COVARIANCE.S('Quarterly returns'!$O$6:$O$85,'Quarterly returns'!$N$6:$N$85)*4</f>
        <v>0.0102011128559494</v>
      </c>
      <c r="C6" s="489">
        <f>_xlfn.COVARIANCE.S('Quarterly returns'!$O$6:$O$85,'Quarterly returns'!$O$6:$O$85)*4</f>
        <v>0.0162519532673584</v>
      </c>
      <c r="D6" s="489">
        <f>_xlfn.COVARIANCE.S('Quarterly returns'!$O$6:$O$85,'Quarterly returns'!$P$6:$P$85)*4</f>
        <v>0.00918972835605264</v>
      </c>
      <c r="E6" s="489">
        <f>_xlfn.COVARIANCE.S('Quarterly returns'!$O$6:$O$85,'Quarterly returns'!$Q$6:$Q$85)*4</f>
        <v>0.0146910548455288</v>
      </c>
      <c r="F6" s="489">
        <f>_xlfn.COVARIANCE.S('Quarterly returns'!$O$6:$O$85,'Quarterly returns'!$R$6:$R$85)*4</f>
        <v>0.00602175234518865</v>
      </c>
      <c r="G6" s="489">
        <f>_xlfn.COVARIANCE.S('Quarterly returns'!$O$6:$O$85,'Quarterly returns'!$S$6:$S$85)*4</f>
        <v>0.00344165639050159</v>
      </c>
      <c r="H6" s="489">
        <f>_xlfn.COVARIANCE.S('Quarterly returns'!$O$6:$O$85,'Quarterly returns'!$T$6:$T$85)*4</f>
        <v>-0.000259293811292535</v>
      </c>
      <c r="I6" s="489">
        <f>_xlfn.COVARIANCE.S('Quarterly returns'!$O$6:$O$85,'Quarterly returns'!$U$6:$U$85)*4</f>
        <v>0.00746198213611716</v>
      </c>
      <c r="J6" s="489">
        <f>_xlfn.COVARIANCE.S('Quarterly returns'!$O$6:$O$85,'Quarterly returns'!$V$6:$V$85)*4</f>
        <v>-0.00021924072947272</v>
      </c>
      <c r="K6" s="489">
        <f>_xlfn.COVARIANCE.S('Quarterly returns'!$O$6:$O$85,'Quarterly returns'!$W$6:$W$85)*4</f>
        <v>-0.000637391924654831</v>
      </c>
      <c r="L6" s="489">
        <f>_xlfn.COVARIANCE.S('Quarterly returns'!$O$6:$O$85,'Quarterly returns'!$X$6:$X$85)*4</f>
        <v>-0.000333377046831129</v>
      </c>
      <c r="M6" s="144">
        <f>SQRT(C6)</f>
        <v>0.127483148954512</v>
      </c>
    </row>
    <row r="7">
      <c r="A7" s="142" t="inlineStr">
        <is>
          <t>Emerging Markets</t>
        </is>
      </c>
      <c r="B7" s="489">
        <f>_xlfn.COVARIANCE.S('Quarterly returns'!$P$6:$P$85,'Quarterly returns'!$N$6:$N$85)*4</f>
        <v>0.00939624039257023</v>
      </c>
      <c r="C7" s="489">
        <f>_xlfn.COVARIANCE.S('Quarterly returns'!$P$6:$P$85,'Quarterly returns'!$O$6:$O$85)*4</f>
        <v>0.00918972835605264</v>
      </c>
      <c r="D7" s="489">
        <f>_xlfn.COVARIANCE.S('Quarterly returns'!$P$6:$P$85,'Quarterly returns'!$P$6:$P$85)*4</f>
        <v>0.0110230270376947</v>
      </c>
      <c r="E7" s="489">
        <f>_xlfn.COVARIANCE.S('Quarterly returns'!$P$6:$P$85,'Quarterly returns'!$Q$6:$Q$85)*4</f>
        <v>0.00678162594424844</v>
      </c>
      <c r="F7" s="489">
        <f>_xlfn.COVARIANCE.S('Quarterly returns'!$P$6:$P$85,'Quarterly returns'!$R$6:$R$85)*4</f>
        <v>0.00512280040728719</v>
      </c>
      <c r="G7" s="489">
        <f>_xlfn.COVARIANCE.S('Quarterly returns'!$P$6:$P$85,'Quarterly returns'!$S$6:$S$85)*4</f>
        <v>0.00417541674676161</v>
      </c>
      <c r="H7" s="489">
        <f>_xlfn.COVARIANCE.S('Quarterly returns'!$P$6:$P$85,'Quarterly returns'!$T$6:$T$85)*4</f>
        <v>-6.2837012986485e-05</v>
      </c>
      <c r="I7" s="489">
        <f>_xlfn.COVARIANCE.S('Quarterly returns'!$P$6:$P$85,'Quarterly returns'!$U$6:$U$85)*4</f>
        <v>0.00404557475670939</v>
      </c>
      <c r="J7" s="489">
        <f>_xlfn.COVARIANCE.S('Quarterly returns'!$P$6:$P$85,'Quarterly returns'!$V$6:$V$85)*4</f>
        <v>-0.000556606908959275</v>
      </c>
      <c r="K7" s="489">
        <f>_xlfn.COVARIANCE.S('Quarterly returns'!$P$6:$P$85,'Quarterly returns'!$W$6:$W$85)*4</f>
        <v>-0.000323639212895706</v>
      </c>
      <c r="L7" s="489">
        <f>_xlfn.COVARIANCE.S('Quarterly returns'!$P$6:$P$85,'Quarterly returns'!$X$6:$X$85)*4</f>
        <v>-0.000180141531523047</v>
      </c>
      <c r="M7" s="144">
        <f>SQRT(D7)</f>
        <v>0.104990604521046</v>
      </c>
    </row>
    <row r="8">
      <c r="A8" s="142" t="inlineStr">
        <is>
          <t>Listed Property</t>
        </is>
      </c>
      <c r="B8" s="489">
        <f>_xlfn.COVARIANCE.S('Quarterly returns'!$Q$6:$Q$85,'Quarterly returns'!$N$6:$N$85)*4</f>
        <v>0.0112187648071482</v>
      </c>
      <c r="C8" s="489">
        <f>_xlfn.COVARIANCE.S('Quarterly returns'!$Q$6:$Q$85,'Quarterly returns'!$O$6:$O$85)*4</f>
        <v>0.0146910548455288</v>
      </c>
      <c r="D8" s="489">
        <f>_xlfn.COVARIANCE.S('Quarterly returns'!$Q$6:$Q$85,'Quarterly returns'!$P$6:$P$85)*4</f>
        <v>0.00678162594424844</v>
      </c>
      <c r="E8" s="489">
        <f>_xlfn.COVARIANCE.S('Quarterly returns'!$Q$6:$Q$85,'Quarterly returns'!$Q$6:$Q$85)*4</f>
        <v>0.0281107291768246</v>
      </c>
      <c r="F8" s="489">
        <f>_xlfn.COVARIANCE.S('Quarterly returns'!$Q$6:$Q$85,'Quarterly returns'!$R$6:$R$85)*4</f>
        <v>0.00328963369229688</v>
      </c>
      <c r="G8" s="489">
        <f>_xlfn.COVARIANCE.S('Quarterly returns'!$Q$6:$Q$85,'Quarterly returns'!$S$6:$S$85)*4</f>
        <v>0.00166723752664549</v>
      </c>
      <c r="H8" s="489">
        <f>_xlfn.COVARIANCE.S('Quarterly returns'!$Q$6:$Q$85,'Quarterly returns'!$T$6:$T$85)*4</f>
        <v>-0.00196578185717745</v>
      </c>
      <c r="I8" s="489">
        <f>_xlfn.COVARIANCE.S('Quarterly returns'!$Q$6:$Q$85,'Quarterly returns'!$U$6:$U$85)*4</f>
        <v>0.00762237404815184</v>
      </c>
      <c r="J8" s="489">
        <f>_xlfn.COVARIANCE.S('Quarterly returns'!$Q$6:$Q$85,'Quarterly returns'!$V$6:$V$85)*4</f>
        <v>0.00114242755694271</v>
      </c>
      <c r="K8" s="489">
        <f>_xlfn.COVARIANCE.S('Quarterly returns'!$Q$6:$Q$85,'Quarterly returns'!$W$6:$W$85)*4</f>
        <v>0.00114502817873336</v>
      </c>
      <c r="L8" s="489">
        <f>_xlfn.COVARIANCE.S('Quarterly returns'!$Q$6:$Q$85,'Quarterly returns'!$X$6:$X$85)*4</f>
        <v>-0.000297331420620024</v>
      </c>
      <c r="M8" s="144">
        <f>SQRT(E8)</f>
        <v>0.167662545539618</v>
      </c>
    </row>
    <row r="9">
      <c r="A9" s="142" t="inlineStr">
        <is>
          <t>Commodities</t>
        </is>
      </c>
      <c r="B9" s="489">
        <f>_xlfn.COVARIANCE.S('Quarterly returns'!$R$6:$R$85,'Quarterly returns'!$N$6:$N$85)*4</f>
        <v>0.00935523362369956</v>
      </c>
      <c r="C9" s="489">
        <f>_xlfn.COVARIANCE.S('Quarterly returns'!$R$6:$R$85,'Quarterly returns'!$O$6:$O$85)*4</f>
        <v>0.00602175234518865</v>
      </c>
      <c r="D9" s="489">
        <f>_xlfn.COVARIANCE.S('Quarterly returns'!$R$6:$R$85,'Quarterly returns'!$P$6:$P$85)*4</f>
        <v>0.00512280040728719</v>
      </c>
      <c r="E9" s="489">
        <f>_xlfn.COVARIANCE.S('Quarterly returns'!$R$6:$R$85,'Quarterly returns'!$Q$6:$Q$85)*4</f>
        <v>0.00328963369229688</v>
      </c>
      <c r="F9" s="489">
        <f>_xlfn.COVARIANCE.S('Quarterly returns'!$R$6:$R$85,'Quarterly returns'!$R$6:$R$85)*4</f>
        <v>0.0604571474733964</v>
      </c>
      <c r="G9" s="489">
        <f>_xlfn.COVARIANCE.S('Quarterly returns'!$R$6:$R$85,'Quarterly returns'!$S$6:$S$85)*4</f>
        <v>0.00483647708470335</v>
      </c>
      <c r="H9" s="489">
        <f>_xlfn.COVARIANCE.S('Quarterly returns'!$R$6:$R$85,'Quarterly returns'!$T$6:$T$85)*4</f>
        <v>-0.00295365322509584</v>
      </c>
      <c r="I9" s="489">
        <f>_xlfn.COVARIANCE.S('Quarterly returns'!$R$6:$R$85,'Quarterly returns'!$U$6:$U$85)*4</f>
        <v>-0.00028250151888684</v>
      </c>
      <c r="J9" s="489">
        <f>_xlfn.COVARIANCE.S('Quarterly returns'!$R$6:$R$85,'Quarterly returns'!$V$6:$V$85)*4</f>
        <v>-0.00547201980646531</v>
      </c>
      <c r="K9" s="489">
        <f>_xlfn.COVARIANCE.S('Quarterly returns'!$R$6:$R$85,'Quarterly returns'!$W$6:$W$85)*4</f>
        <v>-0.00548412865970325</v>
      </c>
      <c r="L9" s="489">
        <f>_xlfn.COVARIANCE.S('Quarterly returns'!$R$6:$R$85,'Quarterly returns'!$X$6:$X$85)*4</f>
        <v>-0.000305301500423767</v>
      </c>
      <c r="M9" s="144">
        <f>SQRT(F9)</f>
        <v>0.245880351946625</v>
      </c>
    </row>
    <row r="10">
      <c r="A10" s="142" t="inlineStr">
        <is>
          <t>Direct Property</t>
        </is>
      </c>
      <c r="B10" s="489">
        <f>_xlfn.COVARIANCE.S('Quarterly returns'!$S$6:$S$85,'Quarterly returns'!$N$6:$N$85)*4</f>
        <v>0.00316410504555142</v>
      </c>
      <c r="C10" s="489">
        <f>_xlfn.COVARIANCE.S('Quarterly returns'!$S$6:$S$85,'Quarterly returns'!$O$6:$O$85)*4</f>
        <v>0.00344165639050159</v>
      </c>
      <c r="D10" s="489">
        <f>_xlfn.COVARIANCE.S('Quarterly returns'!$S$6:$S$85,'Quarterly returns'!$P$6:$P$85)*4</f>
        <v>0.00417541674676161</v>
      </c>
      <c r="E10" s="489">
        <f>_xlfn.COVARIANCE.S('Quarterly returns'!$S$6:$S$85,'Quarterly returns'!$Q$6:$Q$85)*4</f>
        <v>0.00166723752664549</v>
      </c>
      <c r="F10" s="489">
        <f>_xlfn.COVARIANCE.S('Quarterly returns'!$S$6:$S$85,'Quarterly returns'!$R$6:$R$85)*4</f>
        <v>0.00483647708470335</v>
      </c>
      <c r="G10" s="489">
        <f>_xlfn.COVARIANCE.S('Quarterly returns'!$S$6:$S$85,'Quarterly returns'!$S$6:$S$85)*4</f>
        <v>0.00908848559381728</v>
      </c>
      <c r="H10" s="489">
        <f>_xlfn.COVARIANCE.S('Quarterly returns'!$S$6:$S$85,'Quarterly returns'!$T$6:$T$85)*4</f>
        <v>0.000408002596971832</v>
      </c>
      <c r="I10" s="489">
        <f>_xlfn.COVARIANCE.S('Quarterly returns'!$S$6:$S$85,'Quarterly returns'!$U$6:$U$85)*4</f>
        <v>0.00232706265983891</v>
      </c>
      <c r="J10" s="489">
        <f>_xlfn.COVARIANCE.S('Quarterly returns'!$S$6:$S$85,'Quarterly returns'!$V$6:$V$85)*4</f>
        <v>-0.00111434986797332</v>
      </c>
      <c r="K10" s="489">
        <f>_xlfn.COVARIANCE.S('Quarterly returns'!$S$6:$S$85,'Quarterly returns'!$W$6:$W$85)*4</f>
        <v>-0.000672658710639517</v>
      </c>
      <c r="L10" s="489">
        <f>_xlfn.COVARIANCE.S('Quarterly returns'!$S$6:$S$85,'Quarterly returns'!$X$6:$X$85)*4</f>
        <v>-0.00013132647829804</v>
      </c>
      <c r="M10" s="144">
        <f>SQRT(G10)</f>
        <v>0.0953335491514781</v>
      </c>
    </row>
    <row r="11">
      <c r="A11" s="142" t="inlineStr">
        <is>
          <t>Hedge Funds</t>
        </is>
      </c>
      <c r="B11" s="489">
        <f>_xlfn.COVARIANCE.S('Quarterly returns'!$T$6:$T$85,'Quarterly returns'!$N$6:$N$85)*4</f>
        <v>-0.0020963988771702</v>
      </c>
      <c r="C11" s="489">
        <f>_xlfn.COVARIANCE.S('Quarterly returns'!$T$6:$T$85,'Quarterly returns'!$O$6:$O$85)*4</f>
        <v>-0.000259293811292535</v>
      </c>
      <c r="D11" s="489">
        <f>_xlfn.COVARIANCE.S('Quarterly returns'!$T$6:$T$85,'Quarterly returns'!$P$6:$P$85)*4</f>
        <v>-6.2837012986485e-05</v>
      </c>
      <c r="E11" s="489">
        <f>_xlfn.COVARIANCE.S('Quarterly returns'!$T$6:$T$85,'Quarterly returns'!$Q$6:$Q$85)*4</f>
        <v>-0.00196578185717745</v>
      </c>
      <c r="F11" s="489">
        <f>_xlfn.COVARIANCE.S('Quarterly returns'!$T$6:$T$85,'Quarterly returns'!$R$6:$R$85)*4</f>
        <v>-0.00295365322509584</v>
      </c>
      <c r="G11" s="489">
        <f>_xlfn.COVARIANCE.S('Quarterly returns'!$T$6:$T$85,'Quarterly returns'!$S$6:$S$85)*4</f>
        <v>0.000408002596971832</v>
      </c>
      <c r="H11" s="489">
        <f>_xlfn.COVARIANCE.S('Quarterly returns'!$T$6:$T$85,'Quarterly returns'!$T$6:$T$85)*4</f>
        <v>0.00517527683959153</v>
      </c>
      <c r="I11" s="489">
        <f>_xlfn.COVARIANCE.S('Quarterly returns'!$T$6:$T$85,'Quarterly returns'!$U$6:$U$85)*4</f>
        <v>-0.000631401979109099</v>
      </c>
      <c r="J11" s="489">
        <f>_xlfn.COVARIANCE.S('Quarterly returns'!$T$6:$T$85,'Quarterly returns'!$V$6:$V$85)*4</f>
        <v>0.000352200207845898</v>
      </c>
      <c r="K11" s="489">
        <f>_xlfn.COVARIANCE.S('Quarterly returns'!$T$6:$T$85,'Quarterly returns'!$W$6:$W$85)*4</f>
        <v>5.02139801072895e-06</v>
      </c>
      <c r="L11" s="489">
        <f>_xlfn.COVARIANCE.S('Quarterly returns'!$T$6:$T$85,'Quarterly returns'!$X$6:$X$85)*4</f>
        <v>0.000103403461364989</v>
      </c>
      <c r="M11" s="144">
        <f>SQRT(H11)</f>
        <v>0.0719393969921317</v>
      </c>
    </row>
    <row r="12">
      <c r="A12" s="142" t="inlineStr">
        <is>
          <t>Private Equity</t>
        </is>
      </c>
      <c r="B12" s="489">
        <f>_xlfn.COVARIANCE.S('Quarterly returns'!$U$6:$U$85,'Quarterly returns'!$N$6:$N$85)*4</f>
        <v>0.0105110535602544</v>
      </c>
      <c r="C12" s="489">
        <f>_xlfn.COVARIANCE.S('Quarterly returns'!$U$6:$U$85,'Quarterly returns'!$O$6:$O$85)*4</f>
        <v>0.00746198213611716</v>
      </c>
      <c r="D12" s="489">
        <f>_xlfn.COVARIANCE.S('Quarterly returns'!$U$6:$U$85,'Quarterly returns'!$P$6:$P$85)*4</f>
        <v>0.00404557475670939</v>
      </c>
      <c r="E12" s="489">
        <f>_xlfn.COVARIANCE.S('Quarterly returns'!$U$6:$U$85,'Quarterly returns'!$Q$6:$Q$85)*4</f>
        <v>0.00762237404815184</v>
      </c>
      <c r="F12" s="489">
        <f>_xlfn.COVARIANCE.S('Quarterly returns'!$U$6:$U$85,'Quarterly returns'!$R$6:$R$85)*4</f>
        <v>-0.00028250151888684</v>
      </c>
      <c r="G12" s="489">
        <f>_xlfn.COVARIANCE.S('Quarterly returns'!$U$6:$U$85,'Quarterly returns'!$S$6:$S$85)*4</f>
        <v>0.00232706265983891</v>
      </c>
      <c r="H12" s="489">
        <f>_xlfn.COVARIANCE.S('Quarterly returns'!$U$6:$U$85,'Quarterly returns'!$T$6:$T$85)*4</f>
        <v>-0.000631401979109099</v>
      </c>
      <c r="I12" s="489">
        <f>_xlfn.COVARIANCE.S('Quarterly returns'!$U$6:$U$85,'Quarterly returns'!$U$6:$U$85)*4</f>
        <v>0.0161915595336866</v>
      </c>
      <c r="J12" s="489">
        <f>_xlfn.COVARIANCE.S('Quarterly returns'!$U$6:$U$85,'Quarterly returns'!$V$6:$V$85)*4</f>
        <v>0.000328215211410259</v>
      </c>
      <c r="K12" s="489">
        <f>_xlfn.COVARIANCE.S('Quarterly returns'!$U$6:$U$85,'Quarterly returns'!$W$6:$W$85)*4</f>
        <v>0.0004208840470191</v>
      </c>
      <c r="L12" s="489">
        <f>_xlfn.COVARIANCE.S('Quarterly returns'!$U$6:$U$85,'Quarterly returns'!$X$6:$X$85)*4</f>
        <v>-0.000138557023345211</v>
      </c>
      <c r="M12" s="144">
        <f>SQRT(I12)</f>
        <v>0.127246059010433</v>
      </c>
    </row>
    <row r="13">
      <c r="A13" s="142" t="inlineStr">
        <is>
          <t>Australian Fixed Income</t>
        </is>
      </c>
      <c r="B13" s="489">
        <f>_xlfn.COVARIANCE.S('Quarterly returns'!$V$6:$V$85,'Quarterly returns'!$N$6:$N$85)*4</f>
        <v>-0.00106781136357287</v>
      </c>
      <c r="C13" s="489">
        <f>_xlfn.COVARIANCE.S('Quarterly returns'!$V$6:$V$85,'Quarterly returns'!$O$6:$O$85)*4</f>
        <v>-0.00021924072947272</v>
      </c>
      <c r="D13" s="489">
        <f>_xlfn.COVARIANCE.S('Quarterly returns'!$V$6:$V$85,'Quarterly returns'!$P$6:$P$85)*4</f>
        <v>-0.000556606908959275</v>
      </c>
      <c r="E13" s="489">
        <f>_xlfn.COVARIANCE.S('Quarterly returns'!$V$6:$V$85,'Quarterly returns'!$Q$6:$Q$85)*4</f>
        <v>0.00114242755694271</v>
      </c>
      <c r="F13" s="489">
        <f>_xlfn.COVARIANCE.S('Quarterly returns'!$V$6:$V$85,'Quarterly returns'!$R$6:$R$85)*4</f>
        <v>-0.00547201980646531</v>
      </c>
      <c r="G13" s="489">
        <f>_xlfn.COVARIANCE.S('Quarterly returns'!$V$6:$V$85,'Quarterly returns'!$S$6:$S$85)*4</f>
        <v>-0.00111434986797332</v>
      </c>
      <c r="H13" s="489">
        <f>_xlfn.COVARIANCE.S('Quarterly returns'!$V$6:$V$85,'Quarterly returns'!$T$6:$T$85)*4</f>
        <v>0.000352200207845898</v>
      </c>
      <c r="I13" s="489">
        <f>_xlfn.COVARIANCE.S('Quarterly returns'!$V$6:$V$85,'Quarterly returns'!$U$6:$U$85)*4</f>
        <v>0.000328215211410259</v>
      </c>
      <c r="J13" s="489">
        <f>_xlfn.COVARIANCE.S('Quarterly returns'!$V$6:$V$85,'Quarterly returns'!$V$6:$V$85)*4</f>
        <v>0.00180531608102442</v>
      </c>
      <c r="K13" s="489">
        <f>_xlfn.COVARIANCE.S('Quarterly returns'!$V$6:$V$85,'Quarterly returns'!$W$6:$W$85)*4</f>
        <v>0.00140200886006596</v>
      </c>
      <c r="L13" s="489">
        <f>_xlfn.COVARIANCE.S('Quarterly returns'!$V$6:$V$85,'Quarterly returns'!$X$6:$X$85)*4</f>
        <v>0.000147487331843846</v>
      </c>
      <c r="M13" s="144">
        <f>SQRT(J13)</f>
        <v>0.0424890112973275</v>
      </c>
    </row>
    <row r="14">
      <c r="A14" s="142" t="inlineStr">
        <is>
          <t>World Fixed Income</t>
        </is>
      </c>
      <c r="B14" s="489">
        <f>_xlfn.COVARIANCE.S('Quarterly returns'!$W$6:$W$85,'Quarterly returns'!$N$6:$N$85)*4</f>
        <v>0.000174125553442038</v>
      </c>
      <c r="C14" s="489">
        <f>_xlfn.COVARIANCE.S('Quarterly returns'!$W$6:$W$85,'Quarterly returns'!$O$6:$O$85)*4</f>
        <v>-0.000637391924654831</v>
      </c>
      <c r="D14" s="489">
        <f>_xlfn.COVARIANCE.S('Quarterly returns'!$W$6:$W$85,'Quarterly returns'!$P$6:$P$85)*4</f>
        <v>-0.000323639212895706</v>
      </c>
      <c r="E14" s="489">
        <f>_xlfn.COVARIANCE.S('Quarterly returns'!$W$6:$W$85,'Quarterly returns'!$Q$6:$Q$85)*4</f>
        <v>0.00114502817873336</v>
      </c>
      <c r="F14" s="489">
        <f>_xlfn.COVARIANCE.S('Quarterly returns'!$W$6:$W$85,'Quarterly returns'!$R$6:$R$85)*4</f>
        <v>-0.00548412865970325</v>
      </c>
      <c r="G14" s="489">
        <f>_xlfn.COVARIANCE.S('Quarterly returns'!$W$6:$W$85,'Quarterly returns'!$S$6:$S$85)*4</f>
        <v>-0.000672658710639517</v>
      </c>
      <c r="H14" s="489">
        <f>_xlfn.COVARIANCE.S('Quarterly returns'!$W$6:$W$85,'Quarterly returns'!$T$6:$T$85)*4</f>
        <v>5.02139801072895e-06</v>
      </c>
      <c r="I14" s="489">
        <f>_xlfn.COVARIANCE.S('Quarterly returns'!$W$6:$W$85,'Quarterly returns'!$U$6:$U$85)*4</f>
        <v>0.0004208840470191</v>
      </c>
      <c r="J14" s="489">
        <f>_xlfn.COVARIANCE.S('Quarterly returns'!$W$6:$W$85,'Quarterly returns'!$V$6:$V$85)*4</f>
        <v>0.00140200886006596</v>
      </c>
      <c r="K14" s="489">
        <f>_xlfn.COVARIANCE.S('Quarterly returns'!$W$6:$W$85,'Quarterly returns'!$W$6:$W$85)*4</f>
        <v>0.00164274636318716</v>
      </c>
      <c r="L14" s="489">
        <f>_xlfn.COVARIANCE.S('Quarterly returns'!$W$6:$W$85,'Quarterly returns'!$X$6:$X$85)*4</f>
        <v>0.000137217981398064</v>
      </c>
      <c r="M14" s="144">
        <f>SQRT(K14)</f>
        <v>0.0405308075812358</v>
      </c>
    </row>
    <row r="15">
      <c r="A15" s="146" t="inlineStr">
        <is>
          <t>Cash</t>
        </is>
      </c>
      <c r="B15" s="490">
        <f>_xlfn.COVARIANCE.S('Quarterly returns'!$X$6:$X$85,'Quarterly returns'!$N$6:$N$85)*4</f>
        <v>-0.000282189008799297</v>
      </c>
      <c r="C15" s="490">
        <f>_xlfn.COVARIANCE.S('Quarterly returns'!$X$6:$X$85,'Quarterly returns'!$O$6:$O$85)*4</f>
        <v>-0.000333377046831129</v>
      </c>
      <c r="D15" s="490">
        <f>_xlfn.COVARIANCE.S('Quarterly returns'!$X$6:$X$85,'Quarterly returns'!$P$6:$P$85)*4</f>
        <v>-0.000180141531523047</v>
      </c>
      <c r="E15" s="490">
        <f>_xlfn.COVARIANCE.S('Quarterly returns'!$X$6:$X$85,'Quarterly returns'!$Q$6:$Q$85)*4</f>
        <v>-0.000297331420620024</v>
      </c>
      <c r="F15" s="490">
        <f>_xlfn.COVARIANCE.S('Quarterly returns'!$X$6:$X$85,'Quarterly returns'!$R$6:$R$85)*4</f>
        <v>-0.000305301500423767</v>
      </c>
      <c r="G15" s="490">
        <f>_xlfn.COVARIANCE.S('Quarterly returns'!$X$6:$X$85,'Quarterly returns'!$S$6:$S$85)*4</f>
        <v>-0.00013132647829804</v>
      </c>
      <c r="H15" s="490">
        <f>_xlfn.COVARIANCE.S('Quarterly returns'!$X$6:$X$85,'Quarterly returns'!$T$6:$T$85)*4</f>
        <v>0.000103403461364989</v>
      </c>
      <c r="I15" s="490">
        <f>_xlfn.COVARIANCE.S('Quarterly returns'!$X$6:$X$85,'Quarterly returns'!$U$6:$U$85)*4</f>
        <v>-0.000138557023345211</v>
      </c>
      <c r="J15" s="490">
        <f>_xlfn.COVARIANCE.S('Quarterly returns'!$X$6:$X$85,'Quarterly returns'!$V$6:$V$85)*4</f>
        <v>0.000147487331843846</v>
      </c>
      <c r="K15" s="490">
        <f>_xlfn.COVARIANCE.S('Quarterly returns'!$X$6:$X$85,'Quarterly returns'!$W$6:$W$85)*4</f>
        <v>0.000137217981398064</v>
      </c>
      <c r="L15" s="490">
        <f>_xlfn.COVARIANCE.S('Quarterly returns'!$X$6:$X$85,'Quarterly returns'!$X$6:$X$85)*4</f>
        <v>9.62748861140739e-05</v>
      </c>
      <c r="M15" s="234">
        <f>SQRT(L15)</f>
        <v>0.00981197666701638</v>
      </c>
    </row>
    <row r="18">
      <c r="A18" s="203" t="inlineStr">
        <is>
          <t>2. Correlation</t>
        </is>
      </c>
      <c r="B18" s="204" t="n"/>
      <c r="C18" s="204" t="n"/>
      <c r="D18" s="204" t="n"/>
      <c r="E18" s="204" t="n"/>
      <c r="F18" s="204" t="n"/>
      <c r="G18" s="204" t="n"/>
      <c r="H18" s="204" t="n"/>
      <c r="I18" s="204" t="n"/>
      <c r="J18" s="204" t="n"/>
      <c r="K18" s="204" t="n"/>
      <c r="L18" s="205" t="n"/>
    </row>
    <row r="19" ht="42" customHeight="1">
      <c r="A19" s="206" t="inlineStr">
        <is>
          <t>Asset class</t>
        </is>
      </c>
      <c r="B19" s="207" t="inlineStr">
        <is>
          <t>Australian Equities</t>
        </is>
      </c>
      <c r="C19" s="207" t="inlineStr">
        <is>
          <t>World Equities</t>
        </is>
      </c>
      <c r="D19" s="207" t="inlineStr">
        <is>
          <t>Emerging Markets</t>
        </is>
      </c>
      <c r="E19" s="207" t="inlineStr">
        <is>
          <t>Listed Property</t>
        </is>
      </c>
      <c r="F19" s="207" t="inlineStr">
        <is>
          <t>Commodities</t>
        </is>
      </c>
      <c r="G19" s="207" t="inlineStr">
        <is>
          <t>Direct Property</t>
        </is>
      </c>
      <c r="H19" s="207" t="inlineStr">
        <is>
          <t>Hedge Funds</t>
        </is>
      </c>
      <c r="I19" s="207" t="inlineStr">
        <is>
          <t>Private Equity</t>
        </is>
      </c>
      <c r="J19" s="207" t="inlineStr">
        <is>
          <t>Australian Fixed Income</t>
        </is>
      </c>
      <c r="K19" s="207" t="inlineStr">
        <is>
          <t>World Fixed Income</t>
        </is>
      </c>
      <c r="L19" s="208" t="inlineStr">
        <is>
          <t>Cash</t>
        </is>
      </c>
    </row>
    <row r="20">
      <c r="A20" s="210" t="inlineStr">
        <is>
          <t>Australian Equities</t>
        </is>
      </c>
      <c r="B20" s="116">
        <f>B5/($M5*$M$5)</f>
        <v>1</v>
      </c>
      <c r="C20" s="116">
        <f>C5/($M5*$M$6)</f>
        <v>0.520229750922487</v>
      </c>
      <c r="D20" s="116">
        <f>D5/($M5*$M$7)</f>
        <v>0.581840701361319</v>
      </c>
      <c r="E20" s="116">
        <f>E5/($M5*$M$8)</f>
        <v>0.435020179355126</v>
      </c>
      <c r="F20" s="116">
        <f>F5/($M5*$M$9)</f>
        <v>0.247360999181094</v>
      </c>
      <c r="G20" s="116">
        <f>G5/($M5*$M$10)</f>
        <v>0.215777196847343</v>
      </c>
      <c r="H20" s="116">
        <f>H5/($M5*$M$11)</f>
        <v>-0.189455640839708</v>
      </c>
      <c r="I20" s="116">
        <f>I5/($M5*$M$12)</f>
        <v>0.53703466988642</v>
      </c>
      <c r="J20" s="116">
        <f>J5/($M5*$M$13)</f>
        <v>-0.163387312072193</v>
      </c>
      <c r="K20" s="116">
        <f>K5/($M5*$M$14)</f>
        <v>0.0279304329531892</v>
      </c>
      <c r="L20" s="235">
        <f>L5/($M5*$M$15)</f>
        <v>-0.186975198301787</v>
      </c>
    </row>
    <row r="21">
      <c r="A21" s="210" t="inlineStr">
        <is>
          <t>World Equities</t>
        </is>
      </c>
      <c r="B21" s="116">
        <f>B6/($M6*$M$5)</f>
        <v>0.520229750922487</v>
      </c>
      <c r="C21" s="116">
        <f>C6/($M6*$M$6)</f>
        <v>1</v>
      </c>
      <c r="D21" s="116">
        <f>D6/($M6*$M$7)</f>
        <v>0.686593132677093</v>
      </c>
      <c r="E21" s="116">
        <f>E6/($M6*$M$8)</f>
        <v>0.687328167401182</v>
      </c>
      <c r="F21" s="116">
        <f>F6/($M6*$M$9)</f>
        <v>0.192108367708396</v>
      </c>
      <c r="G21" s="116">
        <f>G6/($M6*$M$10)</f>
        <v>0.283184164955462</v>
      </c>
      <c r="H21" s="116">
        <f>H6/($M6*$M$11)</f>
        <v>-0.0282730444363649</v>
      </c>
      <c r="I21" s="116">
        <f>I6/($M6*$M$12)</f>
        <v>0.459999206037396</v>
      </c>
      <c r="J21" s="116">
        <f>J6/($M6*$M$13)</f>
        <v>-0.0404754634932225</v>
      </c>
      <c r="K21" s="116">
        <f>K6/($M6*$M$14)</f>
        <v>-0.123358340216419</v>
      </c>
      <c r="L21" s="235">
        <f>L6/($M6*$M$15)</f>
        <v>-0.266517914304523</v>
      </c>
    </row>
    <row r="22">
      <c r="A22" s="210" t="inlineStr">
        <is>
          <t>Emerging Markets</t>
        </is>
      </c>
      <c r="B22" s="116">
        <f>B7/($M7*$M$5)</f>
        <v>0.581840701361319</v>
      </c>
      <c r="C22" s="116">
        <f>C7/($M7*$M$6)</f>
        <v>0.686593132677093</v>
      </c>
      <c r="D22" s="116">
        <f>D7/($M7*$M$7)</f>
        <v>1</v>
      </c>
      <c r="E22" s="116">
        <f>E7/($M7*$M$8)</f>
        <v>0.385254162458564</v>
      </c>
      <c r="F22" s="116">
        <f>F7/($M7*$M$9)</f>
        <v>0.198441806961334</v>
      </c>
      <c r="G22" s="116">
        <f>G7/($M7*$M$10)</f>
        <v>0.41716093370451</v>
      </c>
      <c r="H22" s="116">
        <f>H7/($M7*$M$11)</f>
        <v>-0.00831952062567315</v>
      </c>
      <c r="I22" s="116">
        <f>I7/($M7*$M$12)</f>
        <v>0.302820626702844</v>
      </c>
      <c r="J22" s="116">
        <f>J7/($M7*$M$13)</f>
        <v>-0.12477326255033</v>
      </c>
      <c r="K22" s="116">
        <f>K7/($M7*$M$14)</f>
        <v>-0.0760545923278246</v>
      </c>
      <c r="L22" s="235">
        <f>L7/($M7*$M$15)</f>
        <v>-0.174866616758896</v>
      </c>
    </row>
    <row r="23">
      <c r="A23" s="210" t="inlineStr">
        <is>
          <t>Listed Property</t>
        </is>
      </c>
      <c r="B23" s="116">
        <f>B8/($M8*$M$5)</f>
        <v>0.435020179355126</v>
      </c>
      <c r="C23" s="116">
        <f>C8/($M8*$M$6)</f>
        <v>0.687328167401182</v>
      </c>
      <c r="D23" s="116">
        <f>D8/($M8*$M$7)</f>
        <v>0.385254162458564</v>
      </c>
      <c r="E23" s="116">
        <f>E8/($M8*$M$8)</f>
        <v>1</v>
      </c>
      <c r="F23" s="116">
        <f>F8/($M8*$M$9)</f>
        <v>0.0797972012319267</v>
      </c>
      <c r="G23" s="116">
        <f>G8/($M8*$M$10)</f>
        <v>0.104307529610213</v>
      </c>
      <c r="H23" s="116">
        <f>H8/($M8*$M$11)</f>
        <v>-0.162979309612951</v>
      </c>
      <c r="I23" s="116">
        <f>I8/($M8*$M$12)</f>
        <v>0.357280950215238</v>
      </c>
      <c r="J23" s="116">
        <f>J8/($M8*$M$13)</f>
        <v>0.160367363554567</v>
      </c>
      <c r="K23" s="116">
        <f>K8/($M8*$M$14)</f>
        <v>0.16849804327482</v>
      </c>
      <c r="L23" s="235">
        <f>L8/($M8*$M$15)</f>
        <v>-0.180737488684976</v>
      </c>
    </row>
    <row r="24">
      <c r="A24" s="210" t="inlineStr">
        <is>
          <t>Commodities</t>
        </is>
      </c>
      <c r="B24" s="116">
        <f>B9/($M9*$M$5)</f>
        <v>0.247360999181094</v>
      </c>
      <c r="C24" s="116">
        <f>C9/($M9*$M$6)</f>
        <v>0.192108367708396</v>
      </c>
      <c r="D24" s="116">
        <f>D9/($M9*$M$7)</f>
        <v>0.198441806961334</v>
      </c>
      <c r="E24" s="116">
        <f>E9/($M9*$M$8)</f>
        <v>0.0797972012319267</v>
      </c>
      <c r="F24" s="116">
        <f>F9/($M9*$M$9)</f>
        <v>1</v>
      </c>
      <c r="G24" s="116">
        <f>G9/($M9*$M$10)</f>
        <v>0.206328654818513</v>
      </c>
      <c r="H24" s="116">
        <f>H9/($M9*$M$11)</f>
        <v>-0.166981703075353</v>
      </c>
      <c r="I24" s="116">
        <f>I9/($M9*$M$12)</f>
        <v>-0.00902926960006458</v>
      </c>
      <c r="J24" s="116">
        <f>J9/($M9*$M$13)</f>
        <v>-0.52377794722972</v>
      </c>
      <c r="K24" s="116">
        <f>K9/($M9*$M$14)</f>
        <v>-0.550298782118031</v>
      </c>
      <c r="L24" s="235">
        <f>L9/($M9*$M$15)</f>
        <v>-0.126546053537272</v>
      </c>
    </row>
    <row r="25">
      <c r="A25" s="210" t="inlineStr">
        <is>
          <t>Direct Property</t>
        </is>
      </c>
      <c r="B25" s="116">
        <f>B10/($M10*$M$5)</f>
        <v>0.215777196847343</v>
      </c>
      <c r="C25" s="116">
        <f>C10/($M10*$M$6)</f>
        <v>0.283184164955462</v>
      </c>
      <c r="D25" s="116">
        <f>D10/($M10*$M$7)</f>
        <v>0.41716093370451</v>
      </c>
      <c r="E25" s="116">
        <f>E10/($M10*$M$8)</f>
        <v>0.104307529610213</v>
      </c>
      <c r="F25" s="116">
        <f>F10/($M10*$M$9)</f>
        <v>0.206328654818513</v>
      </c>
      <c r="G25" s="116">
        <f>G10/($M10*$M$10)</f>
        <v>1</v>
      </c>
      <c r="H25" s="116">
        <f>H10/($M10*$M$11)</f>
        <v>0.0594908771971901</v>
      </c>
      <c r="I25" s="116">
        <f>I10/($M10*$M$12)</f>
        <v>0.191830639869268</v>
      </c>
      <c r="J25" s="116">
        <f>J10/($M10*$M$13)</f>
        <v>-0.275105440451857</v>
      </c>
      <c r="K25" s="116">
        <f>K10/($M10*$M$14)</f>
        <v>-0.17408596198737</v>
      </c>
      <c r="L25" s="235">
        <f>L10/($M10*$M$15)</f>
        <v>-0.14039447910226</v>
      </c>
    </row>
    <row r="26">
      <c r="A26" s="210" t="inlineStr">
        <is>
          <t>Hedge Funds</t>
        </is>
      </c>
      <c r="B26" s="116">
        <f>B11/($M11*$M$5)</f>
        <v>-0.189455640839708</v>
      </c>
      <c r="C26" s="116">
        <f>C11/($M11*$M$6)</f>
        <v>-0.0282730444363649</v>
      </c>
      <c r="D26" s="116">
        <f>D11/($M11*$M$7)</f>
        <v>-0.00831952062567315</v>
      </c>
      <c r="E26" s="116">
        <f>E11/($M11*$M$8)</f>
        <v>-0.162979309612951</v>
      </c>
      <c r="F26" s="116">
        <f>F11/($M11*$M$9)</f>
        <v>-0.166981703075353</v>
      </c>
      <c r="G26" s="116">
        <f>G11/($M11*$M$10)</f>
        <v>0.0594908771971901</v>
      </c>
      <c r="H26" s="116">
        <f>H11/($M11*$M$11)</f>
        <v>1</v>
      </c>
      <c r="I26" s="116">
        <f>I11/($M11*$M$12)</f>
        <v>-0.0689754917131269</v>
      </c>
      <c r="J26" s="116">
        <f>J11/($M11*$M$13)</f>
        <v>0.115224860076247</v>
      </c>
      <c r="K26" s="116">
        <f>K11/($M11*$M$14)</f>
        <v>0.00172215642326101</v>
      </c>
      <c r="L26" s="235">
        <f>L11/($M11*$M$15)</f>
        <v>0.146491281018374</v>
      </c>
    </row>
    <row r="27">
      <c r="A27" s="210" t="inlineStr">
        <is>
          <t>Private Equity</t>
        </is>
      </c>
      <c r="B27" s="116">
        <f>B12/($M12*$M$5)</f>
        <v>0.53703466988642</v>
      </c>
      <c r="C27" s="116">
        <f>C12/($M12*$M$6)</f>
        <v>0.459999206037396</v>
      </c>
      <c r="D27" s="116">
        <f>D12/($M12*$M$7)</f>
        <v>0.302820626702844</v>
      </c>
      <c r="E27" s="116">
        <f>E12/($M12*$M$8)</f>
        <v>0.357280950215238</v>
      </c>
      <c r="F27" s="116">
        <f>F12/($M12*$M$9)</f>
        <v>-0.00902926960006458</v>
      </c>
      <c r="G27" s="116">
        <f>G12/($M12*$M$10)</f>
        <v>0.191830639869268</v>
      </c>
      <c r="H27" s="116">
        <f>H12/($M12*$M$11)</f>
        <v>-0.0689754917131269</v>
      </c>
      <c r="I27" s="116">
        <f>I12/($M12*$M$12)</f>
        <v>1</v>
      </c>
      <c r="J27" s="116">
        <f>J12/($M12*$M$13)</f>
        <v>0.0607068556749969</v>
      </c>
      <c r="K27" s="116">
        <f>K12/($M12*$M$14)</f>
        <v>0.0816080249009663</v>
      </c>
      <c r="L27" s="235">
        <f>L12/($M12*$M$15)</f>
        <v>-0.110975650001183</v>
      </c>
    </row>
    <row r="28">
      <c r="A28" s="210" t="inlineStr">
        <is>
          <t>Australian Fixed Income</t>
        </is>
      </c>
      <c r="B28" s="116">
        <f>B13/($M13*$M$5)</f>
        <v>-0.163387312072193</v>
      </c>
      <c r="C28" s="116">
        <f>C13/($M13*$M$6)</f>
        <v>-0.0404754634932225</v>
      </c>
      <c r="D28" s="116">
        <f>D13/($M13*$M$7)</f>
        <v>-0.12477326255033</v>
      </c>
      <c r="E28" s="116">
        <f>E13/($M13*$M$8)</f>
        <v>0.160367363554567</v>
      </c>
      <c r="F28" s="116">
        <f>F13/($M13*$M$9)</f>
        <v>-0.52377794722972</v>
      </c>
      <c r="G28" s="116">
        <f>G13/($M13*$M$10)</f>
        <v>-0.275105440451857</v>
      </c>
      <c r="H28" s="116">
        <f>H13/($M13*$M$11)</f>
        <v>0.115224860076247</v>
      </c>
      <c r="I28" s="116">
        <f>I13/($M13*$M$12)</f>
        <v>0.0607068556749969</v>
      </c>
      <c r="J28" s="116">
        <f>J13/($M13*$M$13)</f>
        <v>1</v>
      </c>
      <c r="K28" s="116">
        <f>K13/($M13*$M$14)</f>
        <v>0.814120846778429</v>
      </c>
      <c r="L28" s="235">
        <f>L13/($M13*$M$15)</f>
        <v>0.353770476751471</v>
      </c>
    </row>
    <row r="29">
      <c r="A29" s="210" t="inlineStr">
        <is>
          <t>World Fixed Income</t>
        </is>
      </c>
      <c r="B29" s="116">
        <f>B14/($M14*$M$5)</f>
        <v>0.0279304329531892</v>
      </c>
      <c r="C29" s="116">
        <f>C14/($M14*$M$6)</f>
        <v>-0.123358340216419</v>
      </c>
      <c r="D29" s="116">
        <f>D14/($M14*$M$7)</f>
        <v>-0.0760545923278246</v>
      </c>
      <c r="E29" s="116">
        <f>E14/($M14*$M$8)</f>
        <v>0.16849804327482</v>
      </c>
      <c r="F29" s="116">
        <f>F14/($M14*$M$9)</f>
        <v>-0.550298782118031</v>
      </c>
      <c r="G29" s="116">
        <f>G14/($M14*$M$10)</f>
        <v>-0.17408596198737</v>
      </c>
      <c r="H29" s="116">
        <f>H14/($M14*$M$11)</f>
        <v>0.00172215642326101</v>
      </c>
      <c r="I29" s="116">
        <f>I14/($M14*$M$12)</f>
        <v>0.0816080249009663</v>
      </c>
      <c r="J29" s="116">
        <f>J14/($M14*$M$13)</f>
        <v>0.814120846778429</v>
      </c>
      <c r="K29" s="116">
        <f>K14/($M14*$M$14)</f>
        <v>1</v>
      </c>
      <c r="L29" s="235">
        <f>L14/($M14*$M$15)</f>
        <v>0.345039854652397</v>
      </c>
    </row>
    <row r="30">
      <c r="A30" s="210" t="inlineStr">
        <is>
          <t>Cash</t>
        </is>
      </c>
      <c r="B30" s="116">
        <f>B15/($M15*$M$5)</f>
        <v>-0.186975198301787</v>
      </c>
      <c r="C30" s="116">
        <f>C15/($M15*$M$6)</f>
        <v>-0.266517914304523</v>
      </c>
      <c r="D30" s="116">
        <f>D15/($M15*$M$7)</f>
        <v>-0.174866616758896</v>
      </c>
      <c r="E30" s="116">
        <f>E15/($M15*$M$8)</f>
        <v>-0.180737488684976</v>
      </c>
      <c r="F30" s="116">
        <f>F15/($M15*$M$9)</f>
        <v>-0.126546053537272</v>
      </c>
      <c r="G30" s="116">
        <f>G15/($M15*$M$10)</f>
        <v>-0.14039447910226</v>
      </c>
      <c r="H30" s="116">
        <f>H15/($M15*$M$11)</f>
        <v>0.146491281018374</v>
      </c>
      <c r="I30" s="116">
        <f>I15/($M15*$M$12)</f>
        <v>-0.110975650001183</v>
      </c>
      <c r="J30" s="116">
        <f>J15/($M15*$M$13)</f>
        <v>0.353770476751471</v>
      </c>
      <c r="K30" s="116">
        <f>K15/($M15*$M$14)</f>
        <v>0.345039854652397</v>
      </c>
      <c r="L30" s="235">
        <f>L15/($M15*$M$15)</f>
        <v>1</v>
      </c>
    </row>
    <row r="31">
      <c r="A31" s="236" t="n"/>
      <c r="B31" s="77" t="n"/>
      <c r="C31" s="77" t="n"/>
      <c r="D31" s="77" t="n"/>
      <c r="E31" s="77" t="n"/>
      <c r="F31" s="77" t="n"/>
      <c r="G31" s="77" t="n"/>
      <c r="H31" s="77" t="n"/>
      <c r="I31" s="77" t="n"/>
      <c r="J31" s="77" t="n"/>
      <c r="K31" s="77" t="n"/>
      <c r="L31" s="237" t="n"/>
    </row>
    <row r="32">
      <c r="A32" s="238" t="inlineStr">
        <is>
          <t>Average correlation (target)</t>
        </is>
      </c>
      <c r="B32" s="491">
        <f>(SUM(B20:L30)-11)/110</f>
        <v>0.100951375129464</v>
      </c>
      <c r="C32" s="240" t="n"/>
      <c r="D32" s="240" t="n"/>
      <c r="E32" s="240" t="n"/>
      <c r="F32" s="240" t="n"/>
      <c r="G32" s="240" t="n"/>
      <c r="H32" s="240" t="n"/>
      <c r="I32" s="240" t="n"/>
      <c r="J32" s="240" t="n"/>
      <c r="K32" s="240" t="n"/>
      <c r="L32" s="241" t="n"/>
    </row>
    <row r="38">
      <c r="A38" s="165" t="inlineStr">
        <is>
          <t>3. Shrunk covariance</t>
        </is>
      </c>
      <c r="B38" s="166" t="n"/>
      <c r="C38" s="166" t="n"/>
      <c r="D38" s="166" t="n"/>
      <c r="E38" s="166" t="n"/>
      <c r="F38" s="166" t="n"/>
      <c r="G38" s="166" t="n"/>
      <c r="H38" s="166" t="n"/>
      <c r="I38" s="166" t="n"/>
      <c r="J38" s="166" t="n"/>
      <c r="K38" s="166" t="n"/>
      <c r="L38" s="166" t="n"/>
      <c r="M38" s="167" t="n"/>
    </row>
    <row r="39">
      <c r="A39" s="242" t="n"/>
      <c r="B39" s="77" t="n"/>
      <c r="C39" s="77" t="n"/>
      <c r="D39" s="77" t="n"/>
      <c r="E39" s="77" t="n"/>
      <c r="F39" s="77" t="n"/>
      <c r="G39" s="77" t="n"/>
      <c r="H39" s="77" t="n"/>
      <c r="I39" s="77" t="n"/>
      <c r="J39" s="77" t="n"/>
      <c r="K39" s="77" t="n"/>
      <c r="L39" s="77" t="n"/>
      <c r="M39" s="217" t="n"/>
    </row>
    <row r="40" ht="42" customHeight="1">
      <c r="A40" s="168" t="inlineStr">
        <is>
          <t>Asset class</t>
        </is>
      </c>
      <c r="B40" s="169" t="inlineStr">
        <is>
          <t>Australian Equities</t>
        </is>
      </c>
      <c r="C40" s="169" t="inlineStr">
        <is>
          <t>World Equities</t>
        </is>
      </c>
      <c r="D40" s="169" t="inlineStr">
        <is>
          <t>Emerging Markets</t>
        </is>
      </c>
      <c r="E40" s="169" t="inlineStr">
        <is>
          <t>Listed Property</t>
        </is>
      </c>
      <c r="F40" s="169" t="inlineStr">
        <is>
          <t>Commodities</t>
        </is>
      </c>
      <c r="G40" s="169" t="inlineStr">
        <is>
          <t>Direct Property</t>
        </is>
      </c>
      <c r="H40" s="169" t="inlineStr">
        <is>
          <t>Hedge Funds</t>
        </is>
      </c>
      <c r="I40" s="169" t="inlineStr">
        <is>
          <t>Private Equity</t>
        </is>
      </c>
      <c r="J40" s="169" t="inlineStr">
        <is>
          <t>Australian Fixed Income</t>
        </is>
      </c>
      <c r="K40" s="169" t="inlineStr">
        <is>
          <t>World Fixed Income</t>
        </is>
      </c>
      <c r="L40" s="169" t="inlineStr">
        <is>
          <t>Cash</t>
        </is>
      </c>
      <c r="M40" s="170" t="inlineStr">
        <is>
          <t>Shrunk vol</t>
        </is>
      </c>
    </row>
    <row r="41">
      <c r="A41" s="172" t="inlineStr">
        <is>
          <t>Australian Equities</t>
        </is>
      </c>
      <c r="B41" s="489">
        <f>B5</f>
        <v>0.0236591517363089</v>
      </c>
      <c r="C41" s="489">
        <f>(1-Inputs!$B$38)*C5+Inputs!$B$38*$B$32*$M5*$M$6</f>
        <v>0.00732356287408309</v>
      </c>
      <c r="D41" s="489">
        <f>(1-Inputs!$B$38)*D5+Inputs!$B$38*$B$32*$M5*$M$7</f>
        <v>0.00667815433340784</v>
      </c>
      <c r="E41" s="489">
        <f>(1-Inputs!$B$38)*E5+Inputs!$B$38*$B$32*$M5*$M$8</f>
        <v>0.00820340176732539</v>
      </c>
      <c r="F41" s="489">
        <f>(1-Inputs!$B$38)*F5+Inputs!$B$38*$B$32*$M5*$M$9</f>
        <v>0.00741720101223929</v>
      </c>
      <c r="G41" s="489">
        <f>(1-Inputs!$B$38)*G5+Inputs!$B$38*$B$32*$M5*$M$10</f>
        <v>0.00257478264027447</v>
      </c>
      <c r="H41" s="489">
        <f>(1-Inputs!$B$38)*H5+Inputs!$B$38*$B$32*$M5*$M$11</f>
        <v>-0.000971686364913441</v>
      </c>
      <c r="I41" s="489">
        <f>(1-Inputs!$B$38)*I5+Inputs!$B$38*$B$32*$M5*$M$12</f>
        <v>0.00752373580642629</v>
      </c>
      <c r="J41" s="489">
        <f>(1-Inputs!$B$38)*J5+Inputs!$B$38*$B$32*$M5*$M$13</f>
        <v>-0.00046316007421571</v>
      </c>
      <c r="K41" s="489">
        <f>(1-Inputs!$B$38)*K5+Inputs!$B$38*$B$32*$M5*$M$14</f>
        <v>0.000333456566918072</v>
      </c>
      <c r="L41" s="489">
        <f>(1-Inputs!$B$38)*L5+Inputs!$B$38*$B$32*$M5*$M$15</f>
        <v>-0.000130097179051158</v>
      </c>
      <c r="M41" s="243">
        <f>SQRT(B41)</f>
        <v>0.153815316975615</v>
      </c>
    </row>
    <row r="42">
      <c r="A42" s="172" t="inlineStr">
        <is>
          <t>World Equities</t>
        </is>
      </c>
      <c r="B42" s="489">
        <f>(1-Inputs!$B$38)*B6+Inputs!$B$38*$B$32*$M6*$M$5</f>
        <v>0.00732356287408309</v>
      </c>
      <c r="C42" s="489">
        <f>C6</f>
        <v>0.0162519532673584</v>
      </c>
      <c r="D42" s="489">
        <f>(1-Inputs!$B$38)*D6+Inputs!$B$38*$B$32*$M6*$M$7</f>
        <v>0.00644623888115241</v>
      </c>
      <c r="E42" s="489">
        <f>(1-Inputs!$B$38)*E6+Inputs!$B$38*$B$32*$M6*$M$8</f>
        <v>0.0103043980658521</v>
      </c>
      <c r="F42" s="489">
        <f>(1-Inputs!$B$38)*F6+Inputs!$B$38*$B$32*$M6*$M$9</f>
        <v>0.00502167257700015</v>
      </c>
      <c r="G42" s="489">
        <f>(1-Inputs!$B$38)*G6+Inputs!$B$38*$B$32*$M6*$M$10</f>
        <v>0.00266649325234809</v>
      </c>
      <c r="H42" s="489">
        <f>(1-Inputs!$B$38)*H6+Inputs!$B$38*$B$32*$M6*$M$11</f>
        <v>0.000155499944570819</v>
      </c>
      <c r="I42" s="489">
        <f>(1-Inputs!$B$38)*I6+Inputs!$B$38*$B$32*$M6*$M$12</f>
        <v>0.00542345041089049</v>
      </c>
      <c r="J42" s="489">
        <f>(1-Inputs!$B$38)*J6+Inputs!$B$38*$B$32*$M6*$M$13</f>
        <v>4.88793167658526e-05</v>
      </c>
      <c r="K42" s="489">
        <f>(1-Inputs!$B$38)*K6+Inputs!$B$38*$B$32*$M6*$M$14</f>
        <v>-0.000231739414039897</v>
      </c>
      <c r="L42" s="489">
        <f>(1-Inputs!$B$38)*L6+Inputs!$B$38*$B$32*$M6*$M$15</f>
        <v>-0.000172498407992498</v>
      </c>
      <c r="M42" s="243">
        <f>SQRT(C42)</f>
        <v>0.127483148954512</v>
      </c>
    </row>
    <row r="43">
      <c r="A43" s="172" t="inlineStr">
        <is>
          <t>Emerging Markets</t>
        </is>
      </c>
      <c r="B43" s="489">
        <f>(1-Inputs!$B$38)*B7+Inputs!$B$38*$B$32*$M7*$M$5</f>
        <v>0.00667815433340784</v>
      </c>
      <c r="C43" s="489">
        <f>(1-Inputs!$B$38)*C7+Inputs!$B$38*$B$32*$M7*$M$6</f>
        <v>0.00644623888115241</v>
      </c>
      <c r="D43" s="489">
        <f>D7</f>
        <v>0.0110230270376947</v>
      </c>
      <c r="E43" s="489">
        <f>(1-Inputs!$B$38)*E7+Inputs!$B$38*$B$32*$M7*$M$8</f>
        <v>0.0050300230512539</v>
      </c>
      <c r="F43" s="489">
        <f>(1-Inputs!$B$38)*F7+Inputs!$B$38*$B$32*$M7*$M$9</f>
        <v>0.00424194565676943</v>
      </c>
      <c r="G43" s="489">
        <f>(1-Inputs!$B$38)*G7+Inputs!$B$38*$B$32*$M7*$M$10</f>
        <v>0.00306767318093325</v>
      </c>
      <c r="H43" s="489">
        <f>(1-Inputs!$B$38)*H7+Inputs!$B$38*$B$32*$M7*$M$11</f>
        <v>0.000226024563490369</v>
      </c>
      <c r="I43" s="489">
        <f>(1-Inputs!$B$38)*I7+Inputs!$B$38*$B$32*$M7*$M$12</f>
        <v>0.00310165952535737</v>
      </c>
      <c r="J43" s="489">
        <f>(1-Inputs!$B$38)*J7+Inputs!$B$38*$B$32*$M7*$M$13</f>
        <v>-0.000204175934562993</v>
      </c>
      <c r="K43" s="489">
        <f>(1-Inputs!$B$38)*K7+Inputs!$B$38*$B$32*$M7*$M$14</f>
        <v>-6.00111454599067e-05</v>
      </c>
      <c r="L43" s="489">
        <f>(1-Inputs!$B$38)*L7+Inputs!$B$38*$B$32*$M7*$M$15</f>
        <v>-8.06931820298409e-05</v>
      </c>
      <c r="M43" s="243">
        <f>SQRT(D43)</f>
        <v>0.104990604521046</v>
      </c>
    </row>
    <row r="44">
      <c r="A44" s="172" t="inlineStr">
        <is>
          <t>Listed Property</t>
        </is>
      </c>
      <c r="B44" s="489">
        <f>(1-Inputs!$B$38)*B8+Inputs!$B$38*$B$32*$M8*$M$5</f>
        <v>0.00820340176732539</v>
      </c>
      <c r="C44" s="489">
        <f>(1-Inputs!$B$38)*C8+Inputs!$B$38*$B$32*$M8*$M$6</f>
        <v>0.0103043980658521</v>
      </c>
      <c r="D44" s="489">
        <f>(1-Inputs!$B$38)*D8+Inputs!$B$38*$B$32*$M8*$M$7</f>
        <v>0.0050300230512539</v>
      </c>
      <c r="E44" s="489">
        <f>E8</f>
        <v>0.0281107291768246</v>
      </c>
      <c r="F44" s="489">
        <f>(1-Inputs!$B$38)*F8+Inputs!$B$38*$B$32*$M8*$M$9</f>
        <v>0.00359486142884776</v>
      </c>
      <c r="G44" s="489">
        <f>(1-Inputs!$B$38)*G8+Inputs!$B$38*$B$32*$M8*$M$10</f>
        <v>0.00164846201397875</v>
      </c>
      <c r="H44" s="489">
        <f>(1-Inputs!$B$38)*H8+Inputs!$B$38*$B$32*$M8*$M$11</f>
        <v>-0.000851587954295428</v>
      </c>
      <c r="I44" s="489">
        <f>(1-Inputs!$B$38)*I8+Inputs!$B$38*$B$32*$M8*$M$12</f>
        <v>0.005708351022559</v>
      </c>
      <c r="J44" s="489">
        <f>(1-Inputs!$B$38)*J8+Inputs!$B$38*$B$32*$M8*$M$13</f>
        <v>0.000994283562127613</v>
      </c>
      <c r="K44" s="489">
        <f>(1-Inputs!$B$38)*K8+Inputs!$B$38*$B$32*$M8*$M$14</f>
        <v>0.000984373533041458</v>
      </c>
      <c r="L44" s="489">
        <f>(1-Inputs!$B$38)*L8+Inputs!$B$38*$B$32*$M8*$M$15</f>
        <v>-0.000135139101079333</v>
      </c>
      <c r="M44" s="243">
        <f>SQRT(E44)</f>
        <v>0.167662545539618</v>
      </c>
    </row>
    <row r="45">
      <c r="A45" s="172" t="inlineStr">
        <is>
          <t>Commodities</t>
        </is>
      </c>
      <c r="B45" s="489">
        <f>(1-Inputs!$B$38)*B9+Inputs!$B$38*$B$32*$M9*$M$5</f>
        <v>0.00741720101223929</v>
      </c>
      <c r="C45" s="489">
        <f>(1-Inputs!$B$38)*C9+Inputs!$B$38*$B$32*$M9*$M$6</f>
        <v>0.00502167257700015</v>
      </c>
      <c r="D45" s="489">
        <f>(1-Inputs!$B$38)*D9+Inputs!$B$38*$B$32*$M9*$M$7</f>
        <v>0.00424194565676943</v>
      </c>
      <c r="E45" s="489">
        <f>(1-Inputs!$B$38)*E9+Inputs!$B$38*$B$32*$M9*$M$8</f>
        <v>0.00359486142884776</v>
      </c>
      <c r="F45" s="489">
        <f>F9</f>
        <v>0.0604571474733964</v>
      </c>
      <c r="G45" s="489">
        <f>(1-Inputs!$B$38)*G9+Inputs!$B$38*$B$32*$M9*$M$10</f>
        <v>0.00397193803354992</v>
      </c>
      <c r="H45" s="489">
        <f>(1-Inputs!$B$38)*H9+Inputs!$B$38*$B$32*$M9*$M$11</f>
        <v>-0.00129488771312034</v>
      </c>
      <c r="I45" s="489">
        <f>(1-Inputs!$B$38)*I9+Inputs!$B$38*$B$32*$M9*$M$12</f>
        <v>0.000921847802392509</v>
      </c>
      <c r="J45" s="489">
        <f>(1-Inputs!$B$38)*J9+Inputs!$B$38*$B$32*$M9*$M$13</f>
        <v>-0.00318768169086032</v>
      </c>
      <c r="K45" s="489">
        <f>(1-Inputs!$B$38)*K9+Inputs!$B$38*$B$32*$M9*$M$14</f>
        <v>-0.00321256470423203</v>
      </c>
      <c r="L45" s="489">
        <f>(1-Inputs!$B$38)*L9+Inputs!$B$38*$B$32*$M9*$M$15</f>
        <v>-0.000113202604167659</v>
      </c>
      <c r="M45" s="243">
        <f>SQRT(F45)</f>
        <v>0.245880351946625</v>
      </c>
    </row>
    <row r="46">
      <c r="A46" s="172" t="inlineStr">
        <is>
          <t>Direct Property</t>
        </is>
      </c>
      <c r="B46" s="489">
        <f>(1-Inputs!$B$38)*B10+Inputs!$B$38*$B$32*$M10*$M$5</f>
        <v>0.00257478264027447</v>
      </c>
      <c r="C46" s="489">
        <f>(1-Inputs!$B$38)*C10+Inputs!$B$38*$B$32*$M10*$M$6</f>
        <v>0.00266649325234809</v>
      </c>
      <c r="D46" s="489">
        <f>(1-Inputs!$B$38)*D10+Inputs!$B$38*$B$32*$M10*$M$7</f>
        <v>0.00306767318093325</v>
      </c>
      <c r="E46" s="489">
        <f>(1-Inputs!$B$38)*E10+Inputs!$B$38*$B$32*$M10*$M$8</f>
        <v>0.00164846201397875</v>
      </c>
      <c r="F46" s="489">
        <f>(1-Inputs!$B$38)*F10+Inputs!$B$38*$B$32*$M10*$M$9</f>
        <v>0.00397193803354992</v>
      </c>
      <c r="G46" s="489">
        <f>G10</f>
        <v>0.00908848559381728</v>
      </c>
      <c r="H46" s="489">
        <f>(1-Inputs!$B$38)*H10+Inputs!$B$38*$B$32*$M10*$M$11</f>
        <v>0.000507523684385202</v>
      </c>
      <c r="I46" s="489">
        <f>(1-Inputs!$B$38)*I10+Inputs!$B$38*$B$32*$M10*$M$12</f>
        <v>0.00194120870926142</v>
      </c>
      <c r="J46" s="489">
        <f>(1-Inputs!$B$38)*J10+Inputs!$B$38*$B$32*$M10*$M$13</f>
        <v>-0.000581206642100268</v>
      </c>
      <c r="K46" s="489">
        <f>(1-Inputs!$B$38)*K10+Inputs!$B$38*$B$32*$M10*$M$14</f>
        <v>-0.000300703439474945</v>
      </c>
      <c r="L46" s="489">
        <f>(1-Inputs!$B$38)*L10+Inputs!$B$38*$B$32*$M10*$M$15</f>
        <v>-5.23113670788198e-05</v>
      </c>
      <c r="M46" s="243">
        <f>SQRT(G46)</f>
        <v>0.0953335491514781</v>
      </c>
    </row>
    <row r="47">
      <c r="A47" s="172" t="inlineStr">
        <is>
          <t>Hedge Funds</t>
        </is>
      </c>
      <c r="B47" s="489">
        <f>(1-Inputs!$B$38)*B11+Inputs!$B$38*$B$32*$M11*$M$5</f>
        <v>-0.000971686364913441</v>
      </c>
      <c r="C47" s="489">
        <f>(1-Inputs!$B$38)*C11+Inputs!$B$38*$B$32*$M11*$M$6</f>
        <v>0.000155499944570819</v>
      </c>
      <c r="D47" s="489">
        <f>(1-Inputs!$B$38)*D11+Inputs!$B$38*$B$32*$M11*$M$7</f>
        <v>0.000226024563490369</v>
      </c>
      <c r="E47" s="489">
        <f>(1-Inputs!$B$38)*E11+Inputs!$B$38*$B$32*$M11*$M$8</f>
        <v>-0.000851587954295428</v>
      </c>
      <c r="F47" s="489">
        <f>(1-Inputs!$B$38)*F11+Inputs!$B$38*$B$32*$M11*$M$9</f>
        <v>-0.00129488771312034</v>
      </c>
      <c r="G47" s="489">
        <f>(1-Inputs!$B$38)*G11+Inputs!$B$38*$B$32*$M11*$M$10</f>
        <v>0.000507523684385202</v>
      </c>
      <c r="H47" s="489">
        <f>H11</f>
        <v>0.00517527683959153</v>
      </c>
      <c r="I47" s="489">
        <f>(1-Inputs!$B$38)*I11+Inputs!$B$38*$B$32*$M11*$M$12</f>
        <v>-8.69730076411008e-05</v>
      </c>
      <c r="J47" s="489">
        <f>(1-Inputs!$B$38)*J11+Inputs!$B$38*$B$32*$M11*$M$13</f>
        <v>0.000336930121802265</v>
      </c>
      <c r="K47" s="489">
        <f>(1-Inputs!$B$38)*K11+Inputs!$B$38*$B$32*$M11*$M$14</f>
        <v>0.000106286467861878</v>
      </c>
      <c r="L47" s="489">
        <f>(1-Inputs!$B$38)*L11+Inputs!$B$38*$B$32*$M11*$M$15</f>
        <v>9.21526595886329e-05</v>
      </c>
      <c r="M47" s="243">
        <f>SQRT(H47)</f>
        <v>0.0719393969921317</v>
      </c>
    </row>
    <row r="48">
      <c r="A48" s="172" t="inlineStr">
        <is>
          <t>Private Equity</t>
        </is>
      </c>
      <c r="B48" s="489">
        <f>(1-Inputs!$B$38)*B12+Inputs!$B$38*$B$32*$M12*$M$5</f>
        <v>0.00752373580642629</v>
      </c>
      <c r="C48" s="489">
        <f>(1-Inputs!$B$38)*C12+Inputs!$B$38*$B$32*$M12*$M$6</f>
        <v>0.00542345041089049</v>
      </c>
      <c r="D48" s="489">
        <f>(1-Inputs!$B$38)*D12+Inputs!$B$38*$B$32*$M12*$M$7</f>
        <v>0.00310165952535737</v>
      </c>
      <c r="E48" s="489">
        <f>(1-Inputs!$B$38)*E12+Inputs!$B$38*$B$32*$M12*$M$8</f>
        <v>0.005708351022559</v>
      </c>
      <c r="F48" s="489">
        <f>(1-Inputs!$B$38)*F12+Inputs!$B$38*$B$32*$M12*$M$9</f>
        <v>0.000921847802392509</v>
      </c>
      <c r="G48" s="489">
        <f>(1-Inputs!$B$38)*G12+Inputs!$B$38*$B$32*$M12*$M$10</f>
        <v>0.00194120870926142</v>
      </c>
      <c r="H48" s="489">
        <f>(1-Inputs!$B$38)*H12+Inputs!$B$38*$B$32*$M12*$M$11</f>
        <v>-8.69730076411008e-05</v>
      </c>
      <c r="I48" s="489">
        <f>I12</f>
        <v>0.0161915595336866</v>
      </c>
      <c r="J48" s="489">
        <f>(1-Inputs!$B$38)*J12+Inputs!$B$38*$B$32*$M12*$M$13</f>
        <v>0.000404369743874413</v>
      </c>
      <c r="K48" s="489">
        <f>(1-Inputs!$B$38)*K12+Inputs!$B$38*$B$32*$M12*$M$14</f>
        <v>0.000455800437140479</v>
      </c>
      <c r="L48" s="489">
        <f>(1-Inputs!$B$38)*L12+Inputs!$B$38*$B$32*$M12*$M$15</f>
        <v>-4.5947588583006e-05</v>
      </c>
      <c r="M48" s="243">
        <f>SQRT(I48)</f>
        <v>0.127246059010433</v>
      </c>
    </row>
    <row r="49">
      <c r="A49" s="172" t="inlineStr">
        <is>
          <t>Australian Fixed Income</t>
        </is>
      </c>
      <c r="B49" s="489">
        <f>(1-Inputs!$B$38)*B13+Inputs!$B$38*$B$32*$M13*$M$5</f>
        <v>-0.00046316007421571</v>
      </c>
      <c r="C49" s="489">
        <f>(1-Inputs!$B$38)*C13+Inputs!$B$38*$B$32*$M13*$M$6</f>
        <v>4.88793167658526e-05</v>
      </c>
      <c r="D49" s="489">
        <f>(1-Inputs!$B$38)*D13+Inputs!$B$38*$B$32*$M13*$M$7</f>
        <v>-0.000204175934562993</v>
      </c>
      <c r="E49" s="489">
        <f>(1-Inputs!$B$38)*E13+Inputs!$B$38*$B$32*$M13*$M$8</f>
        <v>0.000994283562127613</v>
      </c>
      <c r="F49" s="489">
        <f>(1-Inputs!$B$38)*F13+Inputs!$B$38*$B$32*$M13*$M$9</f>
        <v>-0.00318768169086032</v>
      </c>
      <c r="G49" s="489">
        <f>(1-Inputs!$B$38)*G13+Inputs!$B$38*$B$32*$M13*$M$10</f>
        <v>-0.000581206642100268</v>
      </c>
      <c r="H49" s="489">
        <f>(1-Inputs!$B$38)*H13+Inputs!$B$38*$B$32*$M13*$M$11</f>
        <v>0.000336930121802265</v>
      </c>
      <c r="I49" s="489">
        <f>(1-Inputs!$B$38)*I13+Inputs!$B$38*$B$32*$M13*$M$12</f>
        <v>0.000404369743874413</v>
      </c>
      <c r="J49" s="489">
        <f>J13</f>
        <v>0.00180531608102442</v>
      </c>
      <c r="K49" s="489">
        <f>(1-Inputs!$B$38)*K13+Inputs!$B$38*$B$32*$M13*$M$14</f>
        <v>0.000972153178716003</v>
      </c>
      <c r="L49" s="489">
        <f>(1-Inputs!$B$38)*L13+Inputs!$B$38*$B$32*$M13*$M$15</f>
        <v>0.000110597127556805</v>
      </c>
      <c r="M49" s="243">
        <f>SQRT(J49)</f>
        <v>0.0424890112973275</v>
      </c>
    </row>
    <row r="50">
      <c r="A50" s="172" t="inlineStr">
        <is>
          <t>World Fixed Income</t>
        </is>
      </c>
      <c r="B50" s="489">
        <f>(1-Inputs!$B$38)*B14+Inputs!$B$38*$B$32*$M14*$M$5</f>
        <v>0.000333456566918072</v>
      </c>
      <c r="C50" s="489">
        <f>(1-Inputs!$B$38)*C14+Inputs!$B$38*$B$32*$M14*$M$6</f>
        <v>-0.000231739414039897</v>
      </c>
      <c r="D50" s="489">
        <f>(1-Inputs!$B$38)*D14+Inputs!$B$38*$B$32*$M14*$M$7</f>
        <v>-6.00111454599067e-05</v>
      </c>
      <c r="E50" s="489">
        <f>(1-Inputs!$B$38)*E14+Inputs!$B$38*$B$32*$M14*$M$8</f>
        <v>0.000984373533041458</v>
      </c>
      <c r="F50" s="489">
        <f>(1-Inputs!$B$38)*F14+Inputs!$B$38*$B$32*$M14*$M$9</f>
        <v>-0.00321256470423203</v>
      </c>
      <c r="G50" s="489">
        <f>(1-Inputs!$B$38)*G14+Inputs!$B$38*$B$32*$M14*$M$10</f>
        <v>-0.000300703439474945</v>
      </c>
      <c r="H50" s="489">
        <f>(1-Inputs!$B$38)*H14+Inputs!$B$38*$B$32*$M14*$M$11</f>
        <v>0.000106286467861878</v>
      </c>
      <c r="I50" s="489">
        <f>(1-Inputs!$B$38)*I14+Inputs!$B$38*$B$32*$M14*$M$12</f>
        <v>0.000455800437140479</v>
      </c>
      <c r="J50" s="489">
        <f>(1-Inputs!$B$38)*J14+Inputs!$B$38*$B$32*$M14*$M$13</f>
        <v>0.000972153178716003</v>
      </c>
      <c r="K50" s="489">
        <f>K14</f>
        <v>0.00164274636318716</v>
      </c>
      <c r="L50" s="489">
        <f>(1-Inputs!$B$38)*L14+Inputs!$B$38*$B$32*$M14*$M$15</f>
        <v>0.000103243167193657</v>
      </c>
      <c r="M50" s="243">
        <f>SQRT(K50)</f>
        <v>0.0405308075812358</v>
      </c>
    </row>
    <row r="51">
      <c r="A51" s="244" t="inlineStr">
        <is>
          <t>Cash</t>
        </is>
      </c>
      <c r="B51" s="492">
        <f>(1-Inputs!$B$38)*B15+Inputs!$B$38*$B$32*$M15*$M$5</f>
        <v>-0.000130097179051158</v>
      </c>
      <c r="C51" s="492">
        <f>(1-Inputs!$B$38)*C15+Inputs!$B$38*$B$32*$M15*$M$6</f>
        <v>-0.000172498407992498</v>
      </c>
      <c r="D51" s="492">
        <f>(1-Inputs!$B$38)*D15+Inputs!$B$38*$B$32*$M15*$M$7</f>
        <v>-8.06931820298409e-05</v>
      </c>
      <c r="E51" s="492">
        <f>(1-Inputs!$B$38)*E15+Inputs!$B$38*$B$32*$M15*$M$8</f>
        <v>-0.000135139101079333</v>
      </c>
      <c r="F51" s="492">
        <f>(1-Inputs!$B$38)*F15+Inputs!$B$38*$B$32*$M15*$M$9</f>
        <v>-0.000113202604167659</v>
      </c>
      <c r="G51" s="492">
        <f>(1-Inputs!$B$38)*G15+Inputs!$B$38*$B$32*$M15*$M$10</f>
        <v>-5.23113670788198e-05</v>
      </c>
      <c r="H51" s="492">
        <f>(1-Inputs!$B$38)*H15+Inputs!$B$38*$B$32*$M15*$M$11</f>
        <v>9.21526595886329e-05</v>
      </c>
      <c r="I51" s="492">
        <f>(1-Inputs!$B$38)*I15+Inputs!$B$38*$B$32*$M15*$M$12</f>
        <v>-4.5947588583006e-05</v>
      </c>
      <c r="J51" s="492">
        <f>(1-Inputs!$B$38)*J15+Inputs!$B$38*$B$32*$M15*$M$13</f>
        <v>0.000110597127556805</v>
      </c>
      <c r="K51" s="492">
        <f>(1-Inputs!$B$38)*K15+Inputs!$B$38*$B$32*$M15*$M$14</f>
        <v>0.000103243167193657</v>
      </c>
      <c r="L51" s="492">
        <f>L15</f>
        <v>9.62748861140739e-05</v>
      </c>
      <c r="M51" s="246">
        <f>SQRT(L51)</f>
        <v>0.00981197666701638</v>
      </c>
    </row>
    <row r="53">
      <c r="A53" s="247" t="inlineStr">
        <is>
          <t>4. Portfolio metrics</t>
        </is>
      </c>
      <c r="B53" s="248" t="n"/>
      <c r="C53" s="248" t="n"/>
      <c r="D53" s="248" t="n"/>
      <c r="E53" s="248" t="n"/>
      <c r="F53" s="248" t="n"/>
      <c r="G53" s="248" t="n"/>
      <c r="H53" s="248" t="n"/>
      <c r="I53" s="248" t="n"/>
      <c r="J53" s="248" t="n"/>
      <c r="K53" s="248" t="n"/>
      <c r="L53" s="248" t="n"/>
      <c r="M53" s="248" t="n"/>
      <c r="N53" s="248" t="n"/>
      <c r="O53" s="248" t="n"/>
      <c r="P53" s="249" t="n"/>
    </row>
    <row r="54">
      <c r="A54" s="250" t="inlineStr">
        <is>
          <t>Net forecast return</t>
        </is>
      </c>
      <c r="B54" s="72">
        <f>Forecast!$G$6</f>
        <v>0.0777981251772048</v>
      </c>
      <c r="C54" s="72">
        <f>Forecast!$G$7</f>
        <v>0.0772981251772048</v>
      </c>
      <c r="D54" s="72">
        <f>Forecast!$G$8</f>
        <v>0.0706951089747711</v>
      </c>
      <c r="E54" s="72">
        <f>Forecast!$G$9</f>
        <v>0.0791254858603568</v>
      </c>
      <c r="F54" s="72">
        <f>Forecast!$G$10</f>
        <v>0.0699047665403491</v>
      </c>
      <c r="G54" s="72">
        <f>Forecast!$G$11</f>
        <v>0.0442249016292384</v>
      </c>
      <c r="H54" s="72">
        <f>Forecast!$G$12</f>
        <v>0.0372725383853063</v>
      </c>
      <c r="I54" s="72">
        <f>Forecast!$G$13</f>
        <v>0.0515060207970293</v>
      </c>
      <c r="J54" s="72">
        <f>Forecast!$G$14</f>
        <v>0.050204911855132</v>
      </c>
      <c r="K54" s="72">
        <f>Forecast!$G$15</f>
        <v>0.0532946429132007</v>
      </c>
      <c r="L54" s="72">
        <f>Forecast!$G$16</f>
        <v>0.0476983257920219</v>
      </c>
      <c r="M54" s="77" t="n"/>
      <c r="N54" s="77" t="n"/>
      <c r="O54" s="77" t="n"/>
      <c r="P54" s="251" t="n"/>
    </row>
    <row r="55" ht="54" customHeight="1">
      <c r="A55" s="252" t="inlineStr">
        <is>
          <t>Portfolio</t>
        </is>
      </c>
      <c r="B55" s="253" t="inlineStr">
        <is>
          <t>Australian Equities</t>
        </is>
      </c>
      <c r="C55" s="253" t="inlineStr">
        <is>
          <t>World Equities</t>
        </is>
      </c>
      <c r="D55" s="253" t="inlineStr">
        <is>
          <t>Emerging Markets</t>
        </is>
      </c>
      <c r="E55" s="253" t="inlineStr">
        <is>
          <t>Listed Property</t>
        </is>
      </c>
      <c r="F55" s="253" t="inlineStr">
        <is>
          <t>Commodities</t>
        </is>
      </c>
      <c r="G55" s="253" t="inlineStr">
        <is>
          <t>Direct Property</t>
        </is>
      </c>
      <c r="H55" s="253" t="inlineStr">
        <is>
          <t>Hedge Funds</t>
        </is>
      </c>
      <c r="I55" s="253" t="inlineStr">
        <is>
          <t>Private Equity</t>
        </is>
      </c>
      <c r="J55" s="253" t="inlineStr">
        <is>
          <t>Australian Fixed Income</t>
        </is>
      </c>
      <c r="K55" s="253" t="inlineStr">
        <is>
          <t>World Fixed Income</t>
        </is>
      </c>
      <c r="L55" s="253" t="inlineStr">
        <is>
          <t>Cash</t>
        </is>
      </c>
      <c r="M55" s="253" t="inlineStr">
        <is>
          <t>Volatility</t>
        </is>
      </c>
      <c r="N55" s="253" t="inlineStr">
        <is>
          <t>Expected return (arithmetic)</t>
        </is>
      </c>
      <c r="O55" s="253" t="inlineStr">
        <is>
          <t>Tracking error</t>
        </is>
      </c>
      <c r="P55" s="254" t="inlineStr">
        <is>
          <t>Max weight gap vs recommended</t>
        </is>
      </c>
    </row>
    <row r="56">
      <c r="A56" s="255" t="inlineStr">
        <is>
          <t>Current fund</t>
        </is>
      </c>
      <c r="B56" s="68">
        <f>Inputs!$B$5</f>
        <v>0.4</v>
      </c>
      <c r="C56" s="68">
        <f>Inputs!$B$6</f>
        <v>0.2</v>
      </c>
      <c r="D56" s="68">
        <f>Inputs!$B$7</f>
        <v>0</v>
      </c>
      <c r="E56" s="68">
        <f>Inputs!$B$8</f>
        <v>0.1</v>
      </c>
      <c r="F56" s="68">
        <f>Inputs!$B$9</f>
        <v>0</v>
      </c>
      <c r="G56" s="68">
        <f>Inputs!$B$10</f>
        <v>0</v>
      </c>
      <c r="H56" s="68">
        <f>Inputs!$B$11</f>
        <v>0</v>
      </c>
      <c r="I56" s="68">
        <f>Inputs!$B$12</f>
        <v>0</v>
      </c>
      <c r="J56" s="68">
        <f>Inputs!$B$13</f>
        <v>0.15</v>
      </c>
      <c r="K56" s="68">
        <f>Inputs!$B$14</f>
        <v>0.08</v>
      </c>
      <c r="L56" s="68">
        <f>Inputs!$B$15</f>
        <v>0.07</v>
      </c>
      <c r="M56" s="72">
        <f>SQRT(SUMPRODUCT(MMULT(B56:L56,$B$41:$L$51),B56:L56))</f>
        <v>0.0838339641597338</v>
      </c>
      <c r="N56" s="72">
        <f>SUMPRODUCT($B$54:$L$54,B56:L56)</f>
        <v>0.069624614709126</v>
      </c>
      <c r="O56" s="72">
        <f>SQRT(SUMPRODUCT(MMULT(B67:L67,$B$41:$L$51),B67:L67))</f>
        <v>0.0215850264140928</v>
      </c>
      <c r="P56" s="251" t="n"/>
    </row>
    <row r="57">
      <c r="A57" s="255" t="inlineStr">
        <is>
          <t>Benchmark</t>
        </is>
      </c>
      <c r="B57" s="68">
        <f>Inputs!$C$5</f>
        <v>0.25</v>
      </c>
      <c r="C57" s="68">
        <f>Inputs!$C$6</f>
        <v>0.24</v>
      </c>
      <c r="D57" s="68">
        <f>Inputs!$C$7</f>
        <v>0.03</v>
      </c>
      <c r="E57" s="68">
        <f>Inputs!$C$8</f>
        <v>0.07</v>
      </c>
      <c r="F57" s="68">
        <f>Inputs!$C$9</f>
        <v>0.02</v>
      </c>
      <c r="G57" s="68">
        <f>Inputs!$C$10</f>
        <v>0.05</v>
      </c>
      <c r="H57" s="68">
        <f>Inputs!$C$11</f>
        <v>0.03</v>
      </c>
      <c r="I57" s="68">
        <f>Inputs!$C$12</f>
        <v>0.03</v>
      </c>
      <c r="J57" s="68">
        <f>Inputs!$C$13</f>
        <v>0.14</v>
      </c>
      <c r="K57" s="68">
        <f>Inputs!$C$14</f>
        <v>0.11</v>
      </c>
      <c r="L57" s="68">
        <f>Inputs!$C$15</f>
        <v>0.03</v>
      </c>
      <c r="M57" s="72">
        <f>SQRT(SUMPRODUCT(MMULT(B57:L57,$B$41:$L$51),B57:L57))</f>
        <v>0.0701341120083923</v>
      </c>
      <c r="N57" s="72">
        <f>SUMPRODUCT($B$54:$L$54,B57:L57)</f>
        <v>0.0662554639579687</v>
      </c>
      <c r="O57" s="72" t="n">
        <v>0</v>
      </c>
      <c r="P57" s="251" t="n"/>
    </row>
    <row r="58">
      <c r="A58" s="255" t="inlineStr">
        <is>
          <t>Recommended</t>
        </is>
      </c>
      <c r="B58" s="68">
        <f>Portfolio!$E$6</f>
        <v>0.2738</v>
      </c>
      <c r="C58" s="68">
        <f>Portfolio!$E$7</f>
        <v>0.279</v>
      </c>
      <c r="D58" s="68">
        <f>Portfolio!$E$8</f>
        <v>0.0672</v>
      </c>
      <c r="E58" s="68">
        <f>Portfolio!$E$9</f>
        <v>0.0867</v>
      </c>
      <c r="F58" s="68">
        <f>Portfolio!$E$10</f>
        <v>0.0244</v>
      </c>
      <c r="G58" s="68">
        <f>Portfolio!$E$11</f>
        <v>0</v>
      </c>
      <c r="H58" s="68">
        <f>Portfolio!$E$12</f>
        <v>0</v>
      </c>
      <c r="I58" s="68">
        <f>Portfolio!$E$13</f>
        <v>0</v>
      </c>
      <c r="J58" s="68">
        <f>Portfolio!$E$14</f>
        <v>0.12</v>
      </c>
      <c r="K58" s="68">
        <f>Portfolio!$E$15</f>
        <v>0.1289</v>
      </c>
      <c r="L58" s="68">
        <f>Portfolio!$E$16</f>
        <v>0.02</v>
      </c>
      <c r="M58" s="72">
        <f>SQRT(SUMPRODUCT(MMULT(B58:L58,$B$41:$L$51),B58:L58))</f>
        <v>0.0783891281769718</v>
      </c>
      <c r="N58" s="72">
        <f>SUMPRODUCT($B$54:$L$54,B58:L58)</f>
        <v>0.0700321062587087</v>
      </c>
      <c r="O58" s="72">
        <f>SQRT(SUMPRODUCT(MMULT(B68:L68,$B$41:$L$51),B68:L68))</f>
        <v>0.0110023822192608</v>
      </c>
      <c r="P58" s="251" t="n"/>
    </row>
    <row r="59">
      <c r="A59" s="255" t="inlineStr">
        <is>
          <t>Naive MVO</t>
        </is>
      </c>
      <c r="B59" s="68">
        <f>Validation!$B$30</f>
        <v>0.2149</v>
      </c>
      <c r="C59" s="68">
        <f>Validation!$B$31</f>
        <v>0.35</v>
      </c>
      <c r="D59" s="68">
        <f>Validation!$B$32</f>
        <v>0.0551</v>
      </c>
      <c r="E59" s="68">
        <f>Validation!$B$33</f>
        <v>0.0372</v>
      </c>
      <c r="F59" s="68">
        <f>Validation!$B$34</f>
        <v>0.03</v>
      </c>
      <c r="G59" s="68">
        <f>Validation!$B$35</f>
        <v>0.05</v>
      </c>
      <c r="H59" s="68">
        <f>Validation!$B$36</f>
        <v>0</v>
      </c>
      <c r="I59" s="68">
        <f>Validation!$B$37</f>
        <v>0.01</v>
      </c>
      <c r="J59" s="68">
        <f>Validation!$B$38</f>
        <v>0.05</v>
      </c>
      <c r="K59" s="68">
        <f>Validation!$B$39</f>
        <v>0.1828</v>
      </c>
      <c r="L59" s="68">
        <f>Validation!$B$40</f>
        <v>0.02</v>
      </c>
      <c r="M59" s="72">
        <f>SQRT(SUMPRODUCT(MMULT(B59:L59,$B$41:$L$51),B59:L59))</f>
        <v>0.0753415012314277</v>
      </c>
      <c r="N59" s="72">
        <f>SUMPRODUCT($B$54:$L$54,B59:L59)</f>
        <v>0.068641850609891</v>
      </c>
      <c r="O59" s="72">
        <f>SQRT(SUMPRODUCT(MMULT(B69:L69,$B$41:$L$51),B69:L69))</f>
        <v>0.0134776833832313</v>
      </c>
      <c r="P59" s="256">
        <f>MAX(ABS(B59-$B$58),ABS(C59-$C$58),ABS(D59-$D$58),ABS(E59-$E$58),ABS(F59-$F$58),ABS(G59-$G$58),ABS(H59-$H$58),ABS(I59-$I$58),ABS(J59-$J$58),ABS(K59-$K$58),ABS(L59-$L$58))</f>
        <v>0.071</v>
      </c>
    </row>
    <row r="60">
      <c r="A60" s="255" t="inlineStr">
        <is>
          <t>Unshrunk covariance</t>
        </is>
      </c>
      <c r="B60" s="68">
        <f>Validation!$C$30</f>
        <v>0.2732</v>
      </c>
      <c r="C60" s="68">
        <f>Validation!$C$31</f>
        <v>0.2879</v>
      </c>
      <c r="D60" s="68">
        <f>Validation!$C$32</f>
        <v>0.0589</v>
      </c>
      <c r="E60" s="68">
        <f>Validation!$C$33</f>
        <v>0.08</v>
      </c>
      <c r="F60" s="68">
        <f>Validation!$C$34</f>
        <v>0.0243</v>
      </c>
      <c r="G60" s="68">
        <f>Validation!$C$35</f>
        <v>0</v>
      </c>
      <c r="H60" s="68">
        <f>Validation!$C$36</f>
        <v>0</v>
      </c>
      <c r="I60" s="68">
        <f>Validation!$C$37</f>
        <v>0</v>
      </c>
      <c r="J60" s="68">
        <f>Validation!$C$38</f>
        <v>0.12</v>
      </c>
      <c r="K60" s="68">
        <f>Validation!$C$39</f>
        <v>0.1357</v>
      </c>
      <c r="L60" s="68">
        <f>Validation!$C$40</f>
        <v>0.02</v>
      </c>
      <c r="M60" s="72">
        <f>SQRT(SUMPRODUCT(MMULT(B60:L60,$B$41:$L$51),B60:L60))</f>
        <v>0.078033812785194</v>
      </c>
      <c r="N60" s="72">
        <f>SUMPRODUCT($B$54:$L$54,B60:L60)</f>
        <v>0.0699118836330803</v>
      </c>
      <c r="O60" s="72">
        <f>SQRT(SUMPRODUCT(MMULT(B70:L70,$B$41:$L$51),B70:L70))</f>
        <v>0.01063713359279</v>
      </c>
      <c r="P60" s="256">
        <f>MAX(ABS(B60-$B$58),ABS(C60-$C$58),ABS(D60-$D$58),ABS(E60-$E$58),ABS(F60-$F$58),ABS(G60-$G$58),ABS(H60-$H$58),ABS(I60-$I$58),ABS(J60-$J$58),ABS(K60-$K$58),ABS(L60-$L$58))</f>
        <v>0.00889999999999996</v>
      </c>
    </row>
    <row r="61">
      <c r="A61" s="255" t="inlineStr">
        <is>
          <t>Tight TE (0.75%)</t>
        </is>
      </c>
      <c r="B61" s="68">
        <f>Validation!$D$30</f>
        <v>0.2638</v>
      </c>
      <c r="C61" s="68">
        <f>Validation!$D$31</f>
        <v>0.2667</v>
      </c>
      <c r="D61" s="68">
        <f>Validation!$D$32</f>
        <v>0.0569</v>
      </c>
      <c r="E61" s="68">
        <f>Validation!$D$33</f>
        <v>0.078</v>
      </c>
      <c r="F61" s="68">
        <f>Validation!$D$34</f>
        <v>0.0237</v>
      </c>
      <c r="G61" s="68">
        <f>Validation!$D$35</f>
        <v>0.0128</v>
      </c>
      <c r="H61" s="68">
        <f>Validation!$D$36</f>
        <v>0</v>
      </c>
      <c r="I61" s="68">
        <f>Validation!$D$37</f>
        <v>0.0097</v>
      </c>
      <c r="J61" s="68">
        <f>Validation!$D$38</f>
        <v>0.12</v>
      </c>
      <c r="K61" s="68">
        <f>Validation!$D$39</f>
        <v>0.1484</v>
      </c>
      <c r="L61" s="68">
        <f>Validation!$D$40</f>
        <v>0.02</v>
      </c>
      <c r="M61" s="72">
        <f>SQRT(SUMPRODUCT(MMULT(B61:L61,$B$41:$L$51),B61:L61))</f>
        <v>0.0752445449879719</v>
      </c>
      <c r="N61" s="72">
        <f>SUMPRODUCT($B$54:$L$54,B61:L61)</f>
        <v>0.0689428060606464</v>
      </c>
      <c r="O61" s="72">
        <f>SQRT(SUMPRODUCT(MMULT(B71:L71,$B$41:$L$51),B71:L71))</f>
        <v>0.00749916013685738</v>
      </c>
      <c r="P61" s="256">
        <f>MAX(ABS(B61-$B$58),ABS(C61-$C$58),ABS(D61-$D$58),ABS(E61-$E$58),ABS(F61-$F$58),ABS(G61-$G$58),ABS(H61-$H$58),ABS(I61-$I$58),ABS(J61-$J$58),ABS(K61-$K$58),ABS(L61-$L$58))</f>
        <v>0.0195</v>
      </c>
    </row>
    <row r="62">
      <c r="A62" s="255" t="inlineStr">
        <is>
          <t>Loose TE (1.5%)</t>
        </is>
      </c>
      <c r="B62" s="68">
        <f>Validation!$E$30</f>
        <v>0.2803</v>
      </c>
      <c r="C62" s="68">
        <f>Validation!$E$31</f>
        <v>0.2809</v>
      </c>
      <c r="D62" s="68">
        <f>Validation!$E$32</f>
        <v>0.0588</v>
      </c>
      <c r="E62" s="68">
        <f>Validation!$E$33</f>
        <v>0.1165</v>
      </c>
      <c r="F62" s="68">
        <f>Validation!$E$34</f>
        <v>0.0292</v>
      </c>
      <c r="G62" s="68">
        <f>Validation!$E$35</f>
        <v>0</v>
      </c>
      <c r="H62" s="68">
        <f>Validation!$E$36</f>
        <v>0</v>
      </c>
      <c r="I62" s="68">
        <f>Validation!$E$37</f>
        <v>0</v>
      </c>
      <c r="J62" s="68">
        <f>Validation!$E$38</f>
        <v>0.12</v>
      </c>
      <c r="K62" s="68">
        <f>Validation!$E$39</f>
        <v>0.0943</v>
      </c>
      <c r="L62" s="68">
        <f>Validation!$E$40</f>
        <v>0.02</v>
      </c>
      <c r="M62" s="72">
        <f>SQRT(SUMPRODUCT(MMULT(B62:L62,$B$41:$L$51),B62:L62))</f>
        <v>0.0822387146606363</v>
      </c>
      <c r="N62" s="72">
        <f>SUMPRODUCT($B$54:$L$54,B62:L62)</f>
        <v>0.0709403093080447</v>
      </c>
      <c r="O62" s="72">
        <f>SQRT(SUMPRODUCT(MMULT(B72:L72,$B$41:$L$51),B72:L72))</f>
        <v>0.0150036465123069</v>
      </c>
      <c r="P62" s="256">
        <f>MAX(ABS(B62-$B$58),ABS(C62-$C$58),ABS(D62-$D$58),ABS(E62-$E$58),ABS(F62-$F$58),ABS(G62-$G$58),ABS(H62-$H$58),ABS(I62-$I$58),ABS(J62-$J$58),ABS(K62-$K$58),ABS(L62-$L$58))</f>
        <v>0.0346</v>
      </c>
    </row>
    <row r="63">
      <c r="A63" s="255" t="inlineStr">
        <is>
          <t>OOS robust, fit 2006-16</t>
        </is>
      </c>
      <c r="B63" s="68">
        <f>Validation!$B$17</f>
        <v>0.2744</v>
      </c>
      <c r="C63" s="68">
        <f>Validation!$B$18</f>
        <v>0.2734</v>
      </c>
      <c r="D63" s="68">
        <f>Validation!$B$19</f>
        <v>0.0603</v>
      </c>
      <c r="E63" s="68">
        <f>Validation!$B$20</f>
        <v>0.0846</v>
      </c>
      <c r="F63" s="68">
        <f>Validation!$B$21</f>
        <v>0.03</v>
      </c>
      <c r="G63" s="68">
        <f>Validation!$B$22</f>
        <v>0.05</v>
      </c>
      <c r="H63" s="68">
        <f>Validation!$B$23</f>
        <v>0</v>
      </c>
      <c r="I63" s="68">
        <f>Validation!$B$24</f>
        <v>0.01</v>
      </c>
      <c r="J63" s="68">
        <f>Validation!$B$25</f>
        <v>0.1473</v>
      </c>
      <c r="K63" s="68">
        <f>Validation!$B$26</f>
        <v>0.05</v>
      </c>
      <c r="L63" s="68">
        <f>Validation!$B$27</f>
        <v>0.02</v>
      </c>
      <c r="M63" s="72">
        <f>SQRT(SUMPRODUCT(MMULT(B63:L63,$B$41:$L$51),B63:L63))</f>
        <v>0.0792262874723277</v>
      </c>
      <c r="N63" s="72">
        <f>SUMPRODUCT($B$54:$L$54,B63:L63)</f>
        <v>0.0692753746104418</v>
      </c>
      <c r="O63" s="77" t="n"/>
      <c r="P63" s="251" t="n"/>
    </row>
    <row r="64">
      <c r="A64" s="255" t="inlineStr">
        <is>
          <t>OOS naive, fit 2006-16</t>
        </is>
      </c>
      <c r="B64" s="68">
        <f>Validation!$C$17</f>
        <v>0.2332</v>
      </c>
      <c r="C64" s="68">
        <f>Validation!$C$18</f>
        <v>0.15</v>
      </c>
      <c r="D64" s="68">
        <f>Validation!$C$19</f>
        <v>0.0516</v>
      </c>
      <c r="E64" s="68">
        <f>Validation!$C$20</f>
        <v>0.0927</v>
      </c>
      <c r="F64" s="68">
        <f>Validation!$C$21</f>
        <v>0.03</v>
      </c>
      <c r="G64" s="68">
        <f>Validation!$C$22</f>
        <v>0.05</v>
      </c>
      <c r="H64" s="68">
        <f>Validation!$C$23</f>
        <v>0</v>
      </c>
      <c r="I64" s="68">
        <f>Validation!$C$24</f>
        <v>0.01</v>
      </c>
      <c r="J64" s="68">
        <f>Validation!$C$25</f>
        <v>0.1625</v>
      </c>
      <c r="K64" s="68">
        <f>Validation!$C$26</f>
        <v>0.2</v>
      </c>
      <c r="L64" s="68">
        <f>Validation!$C$27</f>
        <v>0.02</v>
      </c>
      <c r="M64" s="72">
        <f>SQRT(SUMPRODUCT(MMULT(B64:L64,$B$41:$L$51),B64:L64))</f>
        <v>0.0632163643398282</v>
      </c>
      <c r="N64" s="72">
        <f>SUMPRODUCT($B$54:$L$54,B64:L64)</f>
        <v>0.0653146832908404</v>
      </c>
      <c r="O64" s="77" t="n"/>
      <c r="P64" s="251" t="n"/>
    </row>
    <row r="65">
      <c r="A65" s="257" t="n"/>
      <c r="B65" s="77" t="n"/>
      <c r="C65" s="77" t="n"/>
      <c r="D65" s="77" t="n"/>
      <c r="E65" s="77" t="n"/>
      <c r="F65" s="77" t="n"/>
      <c r="G65" s="77" t="n"/>
      <c r="H65" s="77" t="n"/>
      <c r="I65" s="77" t="n"/>
      <c r="J65" s="77" t="n"/>
      <c r="K65" s="77" t="n"/>
      <c r="L65" s="77" t="n"/>
      <c r="M65" s="77" t="n"/>
      <c r="N65" s="77" t="n"/>
      <c r="O65" s="77" t="n"/>
      <c r="P65" s="251" t="n"/>
    </row>
    <row r="66">
      <c r="A66" s="250" t="inlineStr">
        <is>
          <t>Active weights vs benchmark</t>
        </is>
      </c>
      <c r="B66" s="77" t="n"/>
      <c r="C66" s="77" t="n"/>
      <c r="D66" s="77" t="n"/>
      <c r="E66" s="77" t="n"/>
      <c r="F66" s="77" t="n"/>
      <c r="G66" s="77" t="n"/>
      <c r="H66" s="77" t="n"/>
      <c r="I66" s="77" t="n"/>
      <c r="J66" s="77" t="n"/>
      <c r="K66" s="77" t="n"/>
      <c r="L66" s="77" t="n"/>
      <c r="M66" s="77" t="n"/>
      <c r="N66" s="77" t="n"/>
      <c r="O66" s="77" t="n"/>
      <c r="P66" s="251" t="n"/>
    </row>
    <row r="67">
      <c r="A67" s="255" t="inlineStr">
        <is>
          <t>Current fund</t>
        </is>
      </c>
      <c r="B67" s="68">
        <f>B56-B$57</f>
        <v>0.15</v>
      </c>
      <c r="C67" s="68">
        <f>C56-C$57</f>
        <v>-0.04</v>
      </c>
      <c r="D67" s="68">
        <f>D56-D$57</f>
        <v>-0.03</v>
      </c>
      <c r="E67" s="68">
        <f>E56-E$57</f>
        <v>0.03</v>
      </c>
      <c r="F67" s="68">
        <f>F56-F$57</f>
        <v>-0.02</v>
      </c>
      <c r="G67" s="68">
        <f>G56-G$57</f>
        <v>-0.05</v>
      </c>
      <c r="H67" s="68">
        <f>H56-H$57</f>
        <v>-0.03</v>
      </c>
      <c r="I67" s="68">
        <f>I56-I$57</f>
        <v>-0.03</v>
      </c>
      <c r="J67" s="68">
        <f>J56-J$57</f>
        <v>0.00999999999999998</v>
      </c>
      <c r="K67" s="68">
        <f>K56-K$57</f>
        <v>-0.03</v>
      </c>
      <c r="L67" s="68">
        <f>L56-L$57</f>
        <v>0.04</v>
      </c>
      <c r="M67" s="77" t="n"/>
      <c r="N67" s="77" t="n"/>
      <c r="O67" s="77" t="n"/>
      <c r="P67" s="251" t="n"/>
    </row>
    <row r="68">
      <c r="A68" s="255" t="inlineStr">
        <is>
          <t>Recommended</t>
        </is>
      </c>
      <c r="B68" s="68">
        <f>B58-B$57</f>
        <v>0.0238</v>
      </c>
      <c r="C68" s="68">
        <f>C58-C$57</f>
        <v>0.039</v>
      </c>
      <c r="D68" s="68">
        <f>D58-D$57</f>
        <v>0.0372</v>
      </c>
      <c r="E68" s="68">
        <f>E58-E$57</f>
        <v>0.0167</v>
      </c>
      <c r="F68" s="68">
        <f>F58-F$57</f>
        <v>0.0044</v>
      </c>
      <c r="G68" s="68">
        <f>G58-G$57</f>
        <v>-0.05</v>
      </c>
      <c r="H68" s="68">
        <f>H58-H$57</f>
        <v>-0.03</v>
      </c>
      <c r="I68" s="68">
        <f>I58-I$57</f>
        <v>-0.03</v>
      </c>
      <c r="J68" s="68">
        <f>J58-J$57</f>
        <v>-0.02</v>
      </c>
      <c r="K68" s="68">
        <f>K58-K$57</f>
        <v>0.0189</v>
      </c>
      <c r="L68" s="68">
        <f>L58-L$57</f>
        <v>-0.01</v>
      </c>
      <c r="M68" s="77" t="n"/>
      <c r="N68" s="77" t="n"/>
      <c r="O68" s="77" t="n"/>
      <c r="P68" s="251" t="n"/>
    </row>
    <row r="69">
      <c r="A69" s="255" t="inlineStr">
        <is>
          <t>Naive MVO</t>
        </is>
      </c>
      <c r="B69" s="68">
        <f>B59-B$57</f>
        <v>-0.0351</v>
      </c>
      <c r="C69" s="68">
        <f>C59-C$57</f>
        <v>0.11</v>
      </c>
      <c r="D69" s="68">
        <f>D59-D$57</f>
        <v>0.0251</v>
      </c>
      <c r="E69" s="68">
        <f>E59-E$57</f>
        <v>-0.0328</v>
      </c>
      <c r="F69" s="68">
        <f>F59-F$57</f>
        <v>0.01</v>
      </c>
      <c r="G69" s="68">
        <f>G59-G$57</f>
        <v>0</v>
      </c>
      <c r="H69" s="68">
        <f>H59-H$57</f>
        <v>-0.03</v>
      </c>
      <c r="I69" s="68">
        <f>I59-I$57</f>
        <v>-0.02</v>
      </c>
      <c r="J69" s="68">
        <f>J59-J$57</f>
        <v>-0.09</v>
      </c>
      <c r="K69" s="68">
        <f>K59-K$57</f>
        <v>0.0728</v>
      </c>
      <c r="L69" s="68">
        <f>L59-L$57</f>
        <v>-0.01</v>
      </c>
      <c r="M69" s="77" t="n"/>
      <c r="N69" s="77" t="n"/>
      <c r="O69" s="77" t="n"/>
      <c r="P69" s="251" t="n"/>
    </row>
    <row r="70">
      <c r="A70" s="255" t="inlineStr">
        <is>
          <t>Unshrunk covariance</t>
        </is>
      </c>
      <c r="B70" s="68">
        <f>B60-B$57</f>
        <v>0.0232</v>
      </c>
      <c r="C70" s="68">
        <f>C60-C$57</f>
        <v>0.0479</v>
      </c>
      <c r="D70" s="68">
        <f>D60-D$57</f>
        <v>0.0289</v>
      </c>
      <c r="E70" s="68">
        <f>E60-E$57</f>
        <v>0.01</v>
      </c>
      <c r="F70" s="68">
        <f>F60-F$57</f>
        <v>0.0043</v>
      </c>
      <c r="G70" s="68">
        <f>G60-G$57</f>
        <v>-0.05</v>
      </c>
      <c r="H70" s="68">
        <f>H60-H$57</f>
        <v>-0.03</v>
      </c>
      <c r="I70" s="68">
        <f>I60-I$57</f>
        <v>-0.03</v>
      </c>
      <c r="J70" s="68">
        <f>J60-J$57</f>
        <v>-0.02</v>
      </c>
      <c r="K70" s="68">
        <f>K60-K$57</f>
        <v>0.0257</v>
      </c>
      <c r="L70" s="68">
        <f>L60-L$57</f>
        <v>-0.01</v>
      </c>
      <c r="M70" s="77" t="n"/>
      <c r="N70" s="77" t="n"/>
      <c r="O70" s="77" t="n"/>
      <c r="P70" s="251" t="n"/>
    </row>
    <row r="71">
      <c r="A71" s="255" t="inlineStr">
        <is>
          <t>Tight TE</t>
        </is>
      </c>
      <c r="B71" s="68">
        <f>B61-B$57</f>
        <v>0.0138</v>
      </c>
      <c r="C71" s="68">
        <f>C61-C$57</f>
        <v>0.0267</v>
      </c>
      <c r="D71" s="68">
        <f>D61-D$57</f>
        <v>0.0269</v>
      </c>
      <c r="E71" s="68">
        <f>E61-E$57</f>
        <v>0.00799999999999999</v>
      </c>
      <c r="F71" s="68">
        <f>F61-F$57</f>
        <v>0.0037</v>
      </c>
      <c r="G71" s="68">
        <f>G61-G$57</f>
        <v>-0.0372</v>
      </c>
      <c r="H71" s="68">
        <f>H61-H$57</f>
        <v>-0.03</v>
      </c>
      <c r="I71" s="68">
        <f>I61-I$57</f>
        <v>-0.0203</v>
      </c>
      <c r="J71" s="68">
        <f>J61-J$57</f>
        <v>-0.02</v>
      </c>
      <c r="K71" s="68">
        <f>K61-K$57</f>
        <v>0.0384</v>
      </c>
      <c r="L71" s="68">
        <f>L61-L$57</f>
        <v>-0.01</v>
      </c>
      <c r="M71" s="77" t="n"/>
      <c r="N71" s="77" t="n"/>
      <c r="O71" s="77" t="n"/>
      <c r="P71" s="251" t="n"/>
    </row>
    <row r="72">
      <c r="A72" s="258" t="inlineStr">
        <is>
          <t>Loose TE</t>
        </is>
      </c>
      <c r="B72" s="259">
        <f>B62-B$57</f>
        <v>0.0303</v>
      </c>
      <c r="C72" s="259">
        <f>C62-C$57</f>
        <v>0.0409</v>
      </c>
      <c r="D72" s="259">
        <f>D62-D$57</f>
        <v>0.0288</v>
      </c>
      <c r="E72" s="259">
        <f>E62-E$57</f>
        <v>0.0465</v>
      </c>
      <c r="F72" s="259">
        <f>F62-F$57</f>
        <v>0.0092</v>
      </c>
      <c r="G72" s="259">
        <f>G62-G$57</f>
        <v>-0.05</v>
      </c>
      <c r="H72" s="259">
        <f>H62-H$57</f>
        <v>-0.03</v>
      </c>
      <c r="I72" s="259">
        <f>I62-I$57</f>
        <v>-0.03</v>
      </c>
      <c r="J72" s="259">
        <f>J62-J$57</f>
        <v>-0.02</v>
      </c>
      <c r="K72" s="259">
        <f>K62-K$57</f>
        <v>-0.0157</v>
      </c>
      <c r="L72" s="259">
        <f>L62-L$57</f>
        <v>-0.01</v>
      </c>
      <c r="M72" s="260" t="n"/>
      <c r="N72" s="260" t="n"/>
      <c r="O72" s="260" t="n"/>
      <c r="P72" s="261" t="n"/>
    </row>
  </sheetData>
  <pageMargins left="0.75" right="0.75" top="1" bottom="1" header="0.5" footer="0.5"/>
  <pageSetup orientation="landscape" fitToHeight="0"/>
</worksheet>
</file>

<file path=xl/worksheets/sheet6.xml><?xml version="1.0" encoding="utf-8"?>
<worksheet xmlns="http://schemas.openxmlformats.org/spreadsheetml/2006/main">
  <sheetPr>
    <tabColor rgb="FF1B6B73"/>
    <outlinePr summaryBelow="1" summaryRight="1"/>
    <pageSetUpPr fitToPage="1"/>
  </sheetPr>
  <dimension ref="A1:L170"/>
  <sheetViews>
    <sheetView showGridLines="0" topLeftCell="A40" workbookViewId="0">
      <selection activeCell="A1" sqref="A1"/>
    </sheetView>
  </sheetViews>
  <sheetFormatPr baseColWidth="10" defaultColWidth="8.83203125" defaultRowHeight="15"/>
  <cols>
    <col width="40" customWidth="1" min="1" max="1"/>
    <col width="14" customWidth="1" min="2" max="2"/>
    <col width="12" customWidth="1" min="3" max="4"/>
    <col width="14" customWidth="1" min="5" max="5"/>
    <col width="10" customWidth="1" min="6" max="7"/>
    <col width="13" customWidth="1" min="8" max="10"/>
    <col width="12" customWidth="1" min="11" max="11"/>
    <col width="14" customWidth="1" min="12" max="12"/>
  </cols>
  <sheetData>
    <row r="1" ht="19" customHeight="1">
      <c r="A1" s="53" t="inlineStr">
        <is>
          <t>Portfolio</t>
        </is>
      </c>
    </row>
    <row r="3">
      <c r="A3" s="247" t="inlineStr">
        <is>
          <t>1. Stage 1 (optimised) and Stage 2 (judgement)</t>
        </is>
      </c>
      <c r="B3" s="248" t="n"/>
      <c r="C3" s="248" t="n"/>
      <c r="D3" s="248" t="n"/>
      <c r="E3" s="248" t="n"/>
      <c r="F3" s="248" t="n"/>
      <c r="G3" s="248" t="n"/>
      <c r="H3" s="248" t="n"/>
      <c r="I3" s="248" t="n"/>
      <c r="J3" s="248" t="n"/>
      <c r="K3" s="248" t="n"/>
      <c r="L3" s="249" t="n"/>
    </row>
    <row r="4">
      <c r="A4" s="257" t="n"/>
      <c r="B4" s="77" t="n"/>
      <c r="C4" s="77" t="n"/>
      <c r="D4" s="77" t="n"/>
      <c r="E4" s="77" t="n"/>
      <c r="F4" s="77" t="n"/>
      <c r="G4" s="77" t="n"/>
      <c r="H4" s="77" t="n"/>
      <c r="I4" s="77" t="n"/>
      <c r="J4" s="77" t="n"/>
      <c r="K4" s="77" t="n"/>
      <c r="L4" s="251" t="n"/>
    </row>
    <row r="5" ht="42" customHeight="1">
      <c r="A5" s="252" t="inlineStr">
        <is>
          <t>Asset class</t>
        </is>
      </c>
      <c r="B5" s="253" t="inlineStr">
        <is>
          <t>Stage</t>
        </is>
      </c>
      <c r="C5" s="253" t="inlineStr">
        <is>
          <t>Current</t>
        </is>
      </c>
      <c r="D5" s="253" t="inlineStr">
        <is>
          <t>Benchmark</t>
        </is>
      </c>
      <c r="E5" s="253" t="inlineStr">
        <is>
          <t>Recommended</t>
        </is>
      </c>
      <c r="F5" s="253" t="inlineStr">
        <is>
          <t>Lower</t>
        </is>
      </c>
      <c r="G5" s="253" t="inlineStr">
        <is>
          <t>Upper</t>
        </is>
      </c>
      <c r="H5" s="253" t="inlineStr">
        <is>
          <t>Active vs benchmark</t>
        </is>
      </c>
      <c r="I5" s="253" t="inlineStr">
        <is>
          <t>Change vs current</t>
        </is>
      </c>
      <c r="J5" s="253" t="inlineStr">
        <is>
          <t>Trade (A$m)</t>
        </is>
      </c>
      <c r="K5" s="253" t="inlineStr">
        <is>
          <t>Net forecast (arithmetic)</t>
        </is>
      </c>
      <c r="L5" s="254" t="inlineStr">
        <is>
          <t>Return contribution</t>
        </is>
      </c>
    </row>
    <row r="6">
      <c r="A6" s="255" t="inlineStr">
        <is>
          <t>Australian Equities</t>
        </is>
      </c>
      <c r="B6" s="149" t="inlineStr">
        <is>
          <t>1: optimised</t>
        </is>
      </c>
      <c r="C6" s="68">
        <f>Inputs!B5</f>
        <v>0.4</v>
      </c>
      <c r="D6" s="68">
        <f>Inputs!C5</f>
        <v>0.25</v>
      </c>
      <c r="E6" s="96">
        <f>Methods!I6</f>
        <v>0.2738</v>
      </c>
      <c r="F6" s="68">
        <f>Inputs!E5</f>
        <v>0.15</v>
      </c>
      <c r="G6" s="68">
        <f>Inputs!F5</f>
        <v>0.35</v>
      </c>
      <c r="H6" s="72">
        <f>E6-D6</f>
        <v>0.0238</v>
      </c>
      <c r="I6" s="72">
        <f>E6-C6</f>
        <v>-0.1262</v>
      </c>
      <c r="J6" s="493">
        <f>I6*Inputs!$B$22</f>
        <v>-378.6</v>
      </c>
      <c r="K6" s="72">
        <f>Forecast!G6</f>
        <v>0.0777981251772048</v>
      </c>
      <c r="L6" s="263">
        <f>E6*K6</f>
        <v>0.0213011266735187</v>
      </c>
    </row>
    <row r="7">
      <c r="A7" s="255" t="inlineStr">
        <is>
          <t>World Equities</t>
        </is>
      </c>
      <c r="B7" s="149" t="inlineStr">
        <is>
          <t>1: optimised</t>
        </is>
      </c>
      <c r="C7" s="68">
        <f>Inputs!B6</f>
        <v>0.2</v>
      </c>
      <c r="D7" s="68">
        <f>Inputs!C6</f>
        <v>0.24</v>
      </c>
      <c r="E7" s="96">
        <f>Methods!I7</f>
        <v>0.279</v>
      </c>
      <c r="F7" s="68">
        <f>Inputs!E6</f>
        <v>0.15</v>
      </c>
      <c r="G7" s="68">
        <f>Inputs!F6</f>
        <v>0.35</v>
      </c>
      <c r="H7" s="72">
        <f>E7-D7</f>
        <v>0.039</v>
      </c>
      <c r="I7" s="72">
        <f>E7-C7</f>
        <v>0.079</v>
      </c>
      <c r="J7" s="493">
        <f>I7*Inputs!$B$22</f>
        <v>237</v>
      </c>
      <c r="K7" s="72">
        <f>Forecast!G7</f>
        <v>0.0772981251772048</v>
      </c>
      <c r="L7" s="263">
        <f>E7*K7</f>
        <v>0.0215661769244401</v>
      </c>
    </row>
    <row r="8">
      <c r="A8" s="255" t="inlineStr">
        <is>
          <t>Emerging Markets</t>
        </is>
      </c>
      <c r="B8" s="149" t="inlineStr">
        <is>
          <t>1: optimised</t>
        </is>
      </c>
      <c r="C8" s="68">
        <f>Inputs!B7</f>
        <v>0</v>
      </c>
      <c r="D8" s="68">
        <f>Inputs!C7</f>
        <v>0.03</v>
      </c>
      <c r="E8" s="96">
        <f>Methods!I8</f>
        <v>0.0672</v>
      </c>
      <c r="F8" s="68">
        <f>Inputs!E7</f>
        <v>0</v>
      </c>
      <c r="G8" s="68">
        <f>Inputs!F7</f>
        <v>0.08</v>
      </c>
      <c r="H8" s="72">
        <f>E8-D8</f>
        <v>0.0372</v>
      </c>
      <c r="I8" s="72">
        <f>E8-C8</f>
        <v>0.0672</v>
      </c>
      <c r="J8" s="493">
        <f>I8*Inputs!$B$22</f>
        <v>201.6</v>
      </c>
      <c r="K8" s="72">
        <f>Forecast!G8</f>
        <v>0.0706951089747711</v>
      </c>
      <c r="L8" s="263">
        <f>E8*K8</f>
        <v>0.00475071132310462</v>
      </c>
    </row>
    <row r="9">
      <c r="A9" s="255" t="inlineStr">
        <is>
          <t>Listed Property</t>
        </is>
      </c>
      <c r="B9" s="149" t="inlineStr">
        <is>
          <t>1: optimised</t>
        </is>
      </c>
      <c r="C9" s="68">
        <f>Inputs!B8</f>
        <v>0.1</v>
      </c>
      <c r="D9" s="68">
        <f>Inputs!C8</f>
        <v>0.07</v>
      </c>
      <c r="E9" s="96">
        <f>Methods!I9</f>
        <v>0.0867</v>
      </c>
      <c r="F9" s="68">
        <f>Inputs!E8</f>
        <v>0</v>
      </c>
      <c r="G9" s="68">
        <f>Inputs!F8</f>
        <v>0.12</v>
      </c>
      <c r="H9" s="72">
        <f>E9-D9</f>
        <v>0.0167</v>
      </c>
      <c r="I9" s="72">
        <f>E9-C9</f>
        <v>-0.0133</v>
      </c>
      <c r="J9" s="493">
        <f>I9*Inputs!$B$22</f>
        <v>-39.9</v>
      </c>
      <c r="K9" s="72">
        <f>Forecast!G9</f>
        <v>0.0791254858603568</v>
      </c>
      <c r="L9" s="263">
        <f>E9*K9</f>
        <v>0.00686017962409293</v>
      </c>
    </row>
    <row r="10">
      <c r="A10" s="255" t="inlineStr">
        <is>
          <t>Commodities</t>
        </is>
      </c>
      <c r="B10" s="149" t="inlineStr">
        <is>
          <t>2: optimised</t>
        </is>
      </c>
      <c r="C10" s="68">
        <f>Inputs!B9</f>
        <v>0</v>
      </c>
      <c r="D10" s="68">
        <f>Inputs!C9</f>
        <v>0.02</v>
      </c>
      <c r="E10" s="69">
        <f>Methods!I10</f>
        <v>0.0244</v>
      </c>
      <c r="F10" s="68">
        <f>Inputs!E9</f>
        <v>0</v>
      </c>
      <c r="G10" s="68">
        <f>Inputs!F9</f>
        <v>0.08</v>
      </c>
      <c r="H10" s="72">
        <f>E10-D10</f>
        <v>0.0044</v>
      </c>
      <c r="I10" s="72">
        <f>E10-C10</f>
        <v>0.0244</v>
      </c>
      <c r="J10" s="493">
        <f>I10*Inputs!$B$22</f>
        <v>73.2</v>
      </c>
      <c r="K10" s="72">
        <f>Forecast!G10</f>
        <v>0.0699047665403491</v>
      </c>
      <c r="L10" s="263">
        <f>E10*K10</f>
        <v>0.00170567630358452</v>
      </c>
    </row>
    <row r="11">
      <c r="A11" s="255" t="inlineStr">
        <is>
          <t>Direct Property</t>
        </is>
      </c>
      <c r="B11" s="149" t="inlineStr">
        <is>
          <t>2: optimised</t>
        </is>
      </c>
      <c r="C11" s="68">
        <f>Inputs!B10</f>
        <v>0</v>
      </c>
      <c r="D11" s="68">
        <f>Inputs!C10</f>
        <v>0.05</v>
      </c>
      <c r="E11" s="69">
        <f>Methods!I11</f>
        <v>0</v>
      </c>
      <c r="F11" s="68">
        <f>Inputs!E10</f>
        <v>0</v>
      </c>
      <c r="G11" s="68">
        <f>Inputs!F10</f>
        <v>0.1</v>
      </c>
      <c r="H11" s="72">
        <f>E11-D11</f>
        <v>-0.05</v>
      </c>
      <c r="I11" s="72">
        <f>E11-C11</f>
        <v>0</v>
      </c>
      <c r="J11" s="493">
        <f>I11*Inputs!$B$22</f>
        <v>0</v>
      </c>
      <c r="K11" s="72">
        <f>Forecast!G11</f>
        <v>0.0442249016292384</v>
      </c>
      <c r="L11" s="263">
        <f>E11*K11</f>
        <v>0</v>
      </c>
    </row>
    <row r="12">
      <c r="A12" s="255" t="inlineStr">
        <is>
          <t>Hedge Funds</t>
        </is>
      </c>
      <c r="B12" s="149" t="inlineStr">
        <is>
          <t>2: optimised</t>
        </is>
      </c>
      <c r="C12" s="68">
        <f>Inputs!B11</f>
        <v>0</v>
      </c>
      <c r="D12" s="68">
        <f>Inputs!C11</f>
        <v>0.03</v>
      </c>
      <c r="E12" s="69">
        <f>Methods!I12</f>
        <v>0</v>
      </c>
      <c r="F12" s="68">
        <f>Inputs!E11</f>
        <v>0</v>
      </c>
      <c r="G12" s="68">
        <f>Inputs!F11</f>
        <v>0.08</v>
      </c>
      <c r="H12" s="72">
        <f>E12-D12</f>
        <v>-0.03</v>
      </c>
      <c r="I12" s="72">
        <f>E12-C12</f>
        <v>0</v>
      </c>
      <c r="J12" s="493">
        <f>I12*Inputs!$B$22</f>
        <v>0</v>
      </c>
      <c r="K12" s="72">
        <f>Forecast!G12</f>
        <v>0.0372725383853063</v>
      </c>
      <c r="L12" s="263">
        <f>E12*K12</f>
        <v>0</v>
      </c>
    </row>
    <row r="13">
      <c r="A13" s="255" t="inlineStr">
        <is>
          <t>Private Equity</t>
        </is>
      </c>
      <c r="B13" s="149" t="inlineStr">
        <is>
          <t>2: optimised</t>
        </is>
      </c>
      <c r="C13" s="68">
        <f>Inputs!B12</f>
        <v>0</v>
      </c>
      <c r="D13" s="68">
        <f>Inputs!C12</f>
        <v>0.03</v>
      </c>
      <c r="E13" s="69">
        <f>Methods!I13</f>
        <v>0</v>
      </c>
      <c r="F13" s="68">
        <f>Inputs!E12</f>
        <v>0</v>
      </c>
      <c r="G13" s="68">
        <f>Inputs!F12</f>
        <v>0.08</v>
      </c>
      <c r="H13" s="72">
        <f>E13-D13</f>
        <v>-0.03</v>
      </c>
      <c r="I13" s="72">
        <f>E13-C13</f>
        <v>0</v>
      </c>
      <c r="J13" s="493">
        <f>I13*Inputs!$B$22</f>
        <v>0</v>
      </c>
      <c r="K13" s="72">
        <f>Forecast!G13</f>
        <v>0.0515060207970293</v>
      </c>
      <c r="L13" s="263">
        <f>E13*K13</f>
        <v>0</v>
      </c>
    </row>
    <row r="14">
      <c r="A14" s="255" t="inlineStr">
        <is>
          <t>Australian Fixed Income</t>
        </is>
      </c>
      <c r="B14" s="149" t="inlineStr">
        <is>
          <t>1: optimised</t>
        </is>
      </c>
      <c r="C14" s="68">
        <f>Inputs!B13</f>
        <v>0.15</v>
      </c>
      <c r="D14" s="68">
        <f>Inputs!C13</f>
        <v>0.14</v>
      </c>
      <c r="E14" s="96">
        <f>Methods!I14</f>
        <v>0.12</v>
      </c>
      <c r="F14" s="68">
        <f>Inputs!E13</f>
        <v>0.12</v>
      </c>
      <c r="G14" s="68">
        <f>Inputs!F13</f>
        <v>0.25</v>
      </c>
      <c r="H14" s="72">
        <f>E14-D14</f>
        <v>-0.02</v>
      </c>
      <c r="I14" s="72">
        <f>E14-C14</f>
        <v>-0.03</v>
      </c>
      <c r="J14" s="493">
        <f>I14*Inputs!$B$22</f>
        <v>-90</v>
      </c>
      <c r="K14" s="72">
        <f>Forecast!G14</f>
        <v>0.050204911855132</v>
      </c>
      <c r="L14" s="263">
        <f>E14*K14</f>
        <v>0.00602458942261584</v>
      </c>
    </row>
    <row r="15">
      <c r="A15" s="255" t="inlineStr">
        <is>
          <t>World Fixed Income</t>
        </is>
      </c>
      <c r="B15" s="149" t="inlineStr">
        <is>
          <t>1: optimised</t>
        </is>
      </c>
      <c r="C15" s="68">
        <f>Inputs!B14</f>
        <v>0.08</v>
      </c>
      <c r="D15" s="68">
        <f>Inputs!C14</f>
        <v>0.11</v>
      </c>
      <c r="E15" s="96">
        <f>Methods!I15</f>
        <v>0.1289</v>
      </c>
      <c r="F15" s="68">
        <f>Inputs!E14</f>
        <v>0.05</v>
      </c>
      <c r="G15" s="68">
        <f>Inputs!F14</f>
        <v>0.2</v>
      </c>
      <c r="H15" s="72">
        <f>E15-D15</f>
        <v>0.0189</v>
      </c>
      <c r="I15" s="72">
        <f>E15-C15</f>
        <v>0.0489</v>
      </c>
      <c r="J15" s="493">
        <f>I15*Inputs!$B$22</f>
        <v>146.7</v>
      </c>
      <c r="K15" s="72">
        <f>Forecast!G15</f>
        <v>0.0532946429132007</v>
      </c>
      <c r="L15" s="263">
        <f>E15*K15</f>
        <v>0.00686967947151156</v>
      </c>
    </row>
    <row r="16">
      <c r="A16" s="255" t="inlineStr">
        <is>
          <t>Cash</t>
        </is>
      </c>
      <c r="B16" s="149" t="inlineStr">
        <is>
          <t>1: optimised</t>
        </is>
      </c>
      <c r="C16" s="68">
        <f>Inputs!B15</f>
        <v>0.07</v>
      </c>
      <c r="D16" s="68">
        <f>Inputs!C15</f>
        <v>0.03</v>
      </c>
      <c r="E16" s="96">
        <f>Methods!I16</f>
        <v>0.02</v>
      </c>
      <c r="F16" s="68">
        <f>Inputs!E15</f>
        <v>0.02</v>
      </c>
      <c r="G16" s="68">
        <f>Inputs!F15</f>
        <v>0.1</v>
      </c>
      <c r="H16" s="72">
        <f>E16-D16</f>
        <v>-0.01</v>
      </c>
      <c r="I16" s="72">
        <f>E16-C16</f>
        <v>-0.05</v>
      </c>
      <c r="J16" s="493">
        <f>I16*Inputs!$B$22</f>
        <v>-150</v>
      </c>
      <c r="K16" s="72">
        <f>Forecast!G16</f>
        <v>0.0476983257920219</v>
      </c>
      <c r="L16" s="263">
        <f>E16*K16</f>
        <v>0.000953966515840437</v>
      </c>
    </row>
    <row r="17">
      <c r="A17" s="264" t="inlineStr">
        <is>
          <t>Total</t>
        </is>
      </c>
      <c r="B17" s="260" t="n"/>
      <c r="C17" s="265">
        <f>SUM(C6:C16)</f>
        <v>1</v>
      </c>
      <c r="D17" s="265">
        <f>SUM(D6:D16)</f>
        <v>1</v>
      </c>
      <c r="E17" s="265">
        <f>SUM(E6:E16)</f>
        <v>1</v>
      </c>
      <c r="F17" s="260" t="n"/>
      <c r="G17" s="260" t="n"/>
      <c r="H17" s="265">
        <f>SUM(H6:H16)</f>
        <v>0</v>
      </c>
      <c r="I17" s="265">
        <f>SUM(I6:I16)</f>
        <v>0</v>
      </c>
      <c r="J17" s="494">
        <f>SUM(J6:J16)</f>
        <v>0</v>
      </c>
      <c r="K17" s="260" t="n"/>
      <c r="L17" s="267">
        <f>SUM(L6:L16)</f>
        <v>0.0700321062587087</v>
      </c>
    </row>
    <row r="20">
      <c r="A20" s="181" t="inlineStr">
        <is>
          <t>2. Stage 2 scorecard (1 to 5): cross-check on the optimised alternatives weights</t>
        </is>
      </c>
      <c r="B20" s="182" t="n"/>
      <c r="C20" s="182" t="n"/>
      <c r="D20" s="182" t="n"/>
      <c r="E20" s="182" t="n"/>
      <c r="F20" s="182" t="n"/>
      <c r="G20" s="182" t="n"/>
      <c r="H20" s="182" t="n"/>
      <c r="I20" s="183" t="n"/>
    </row>
    <row r="21">
      <c r="A21" s="268" t="n"/>
      <c r="B21" s="77" t="n"/>
      <c r="C21" s="77" t="n"/>
      <c r="D21" s="77" t="n"/>
      <c r="E21" s="77" t="n"/>
      <c r="F21" s="77" t="n"/>
      <c r="G21" s="77" t="n"/>
      <c r="H21" s="77" t="n"/>
      <c r="I21" s="269" t="n"/>
    </row>
    <row r="22" ht="42" customHeight="1">
      <c r="A22" s="184" t="inlineStr">
        <is>
          <t>Asset class</t>
        </is>
      </c>
      <c r="B22" s="185" t="inlineStr">
        <is>
          <t>Return</t>
        </is>
      </c>
      <c r="C22" s="185" t="inlineStr">
        <is>
          <t>Diversification</t>
        </is>
      </c>
      <c r="D22" s="185" t="inlineStr">
        <is>
          <t>Liquidity</t>
        </is>
      </c>
      <c r="E22" s="185" t="inlineStr">
        <is>
          <t>Data quality</t>
        </is>
      </c>
      <c r="F22" s="185" t="inlineStr">
        <is>
          <t>Implementation</t>
        </is>
      </c>
      <c r="G22" s="185" t="inlineStr">
        <is>
          <t>Average</t>
        </is>
      </c>
      <c r="H22" s="185" t="inlineStr">
        <is>
          <t>Optimised weight</t>
        </is>
      </c>
      <c r="I22" s="186" t="inlineStr">
        <is>
          <t>Benchmark</t>
        </is>
      </c>
    </row>
    <row r="23">
      <c r="A23" s="187" t="inlineStr">
        <is>
          <t>Commodities</t>
        </is>
      </c>
      <c r="B23" s="174" t="n">
        <v>3</v>
      </c>
      <c r="C23" s="174" t="n">
        <v>5</v>
      </c>
      <c r="D23" s="174" t="n">
        <v>5</v>
      </c>
      <c r="E23" s="174" t="n">
        <v>3</v>
      </c>
      <c r="F23" s="174" t="n">
        <v>4</v>
      </c>
      <c r="G23" s="270">
        <f>AVERAGE(B23:F23)</f>
        <v>4</v>
      </c>
      <c r="H23" s="271">
        <f>E10</f>
        <v>0.0244</v>
      </c>
      <c r="I23" s="272">
        <f>Inputs!C9</f>
        <v>0.02</v>
      </c>
    </row>
    <row r="24">
      <c r="A24" s="187" t="inlineStr">
        <is>
          <t>Direct Property</t>
        </is>
      </c>
      <c r="B24" s="174" t="n">
        <v>3</v>
      </c>
      <c r="C24" s="174" t="n">
        <v>4</v>
      </c>
      <c r="D24" s="174" t="n">
        <v>1</v>
      </c>
      <c r="E24" s="174" t="n">
        <v>2</v>
      </c>
      <c r="F24" s="174" t="n">
        <v>2</v>
      </c>
      <c r="G24" s="270">
        <f>AVERAGE(B24:F24)</f>
        <v>2.4</v>
      </c>
      <c r="H24" s="271">
        <f>E11</f>
        <v>0</v>
      </c>
      <c r="I24" s="272">
        <f>Inputs!C10</f>
        <v>0.05</v>
      </c>
    </row>
    <row r="25">
      <c r="A25" s="187" t="inlineStr">
        <is>
          <t>Hedge Funds</t>
        </is>
      </c>
      <c r="B25" s="174" t="n">
        <v>2</v>
      </c>
      <c r="C25" s="174" t="n">
        <v>3</v>
      </c>
      <c r="D25" s="174" t="n">
        <v>2</v>
      </c>
      <c r="E25" s="174" t="n">
        <v>2</v>
      </c>
      <c r="F25" s="174" t="n">
        <v>2</v>
      </c>
      <c r="G25" s="270">
        <f>AVERAGE(B25:F25)</f>
        <v>2.2</v>
      </c>
      <c r="H25" s="271">
        <f>E12</f>
        <v>0</v>
      </c>
      <c r="I25" s="272">
        <f>Inputs!C11</f>
        <v>0.03</v>
      </c>
    </row>
    <row r="26">
      <c r="A26" s="187" t="inlineStr">
        <is>
          <t>Private Equity</t>
        </is>
      </c>
      <c r="B26" s="174" t="n">
        <v>4</v>
      </c>
      <c r="C26" s="174" t="n">
        <v>3</v>
      </c>
      <c r="D26" s="174" t="n">
        <v>1</v>
      </c>
      <c r="E26" s="174" t="n">
        <v>2</v>
      </c>
      <c r="F26" s="174" t="n">
        <v>2</v>
      </c>
      <c r="G26" s="270">
        <f>AVERAGE(B26:F26)</f>
        <v>2.4</v>
      </c>
      <c r="H26" s="271">
        <f>E13</f>
        <v>0</v>
      </c>
      <c r="I26" s="272">
        <f>Inputs!C12</f>
        <v>0.03</v>
      </c>
    </row>
    <row r="27">
      <c r="A27" s="273" t="inlineStr">
        <is>
          <t>Total Stage 2</t>
        </is>
      </c>
      <c r="B27" s="274" t="n"/>
      <c r="C27" s="274" t="n"/>
      <c r="D27" s="274" t="n"/>
      <c r="E27" s="274" t="n"/>
      <c r="F27" s="274" t="n"/>
      <c r="G27" s="274" t="n"/>
      <c r="H27" s="275">
        <f>SUM(H23:H26)</f>
        <v>0.0244</v>
      </c>
      <c r="I27" s="276">
        <f>SUM(I23:I26)</f>
        <v>0.13</v>
      </c>
    </row>
    <row r="30">
      <c r="A30" s="55" t="inlineStr">
        <is>
          <t>3. Solver constraints</t>
        </is>
      </c>
      <c r="B30" s="56" t="n"/>
      <c r="C30" s="56" t="n"/>
      <c r="D30" s="56" t="n"/>
      <c r="E30" s="57" t="n"/>
    </row>
    <row r="31">
      <c r="A31" s="61" t="inlineStr">
        <is>
          <t>Metric</t>
        </is>
      </c>
      <c r="B31" s="62" t="inlineStr">
        <is>
          <t>Value</t>
        </is>
      </c>
      <c r="C31" s="62" t="inlineStr">
        <is>
          <t>Lower limit</t>
        </is>
      </c>
      <c r="D31" s="62" t="inlineStr">
        <is>
          <t>Upper limit</t>
        </is>
      </c>
      <c r="E31" s="63" t="inlineStr">
        <is>
          <t>Status</t>
        </is>
      </c>
    </row>
    <row r="32">
      <c r="A32" s="67" t="inlineStr">
        <is>
          <t>Expected return, arithmetic (maximise)</t>
        </is>
      </c>
      <c r="B32" s="72">
        <f>SUMPRODUCT(E6:E16,K6:K16)</f>
        <v>0.0700321062587087</v>
      </c>
      <c r="C32" s="77" t="n"/>
      <c r="D32" s="77" t="n"/>
      <c r="E32" s="277" t="str">
        <f>"INFO"</f>
        <v>INFO</v>
      </c>
    </row>
    <row r="33">
      <c r="A33" s="67" t="inlineStr">
        <is>
          <t>Tracking error (parametric)</t>
        </is>
      </c>
      <c r="B33" s="72">
        <f>Risk!O58</f>
        <v>0.0110023822192608</v>
      </c>
      <c r="C33" s="77" t="n"/>
      <c r="D33" s="72">
        <f>Inputs!$B$45</f>
        <v>0.011</v>
      </c>
      <c r="E33" s="277" t="str">
        <f>IF(B33&lt;=D33+0.00005,"MET","NOT MET")</f>
        <v>MET</v>
      </c>
    </row>
    <row r="34">
      <c r="A34" s="67" t="inlineStr">
        <is>
          <t>Equity allocation</t>
        </is>
      </c>
      <c r="B34" s="68">
        <f>SUMPRODUCT(E6:E16,Inputs!$G$5:$G$15)</f>
        <v>0.62</v>
      </c>
      <c r="C34" s="68">
        <f>Inputs!$B$31</f>
        <v>0.42</v>
      </c>
      <c r="D34" s="68">
        <f>Inputs!$B$32</f>
        <v>0.62</v>
      </c>
      <c r="E34" s="277" t="str">
        <f>IF(AND(B34&gt;=C34-0.000001,B34&lt;=D34+0.000001),"MET","NOT MET")</f>
        <v>MET</v>
      </c>
    </row>
    <row r="35">
      <c r="A35" s="67" t="inlineStr">
        <is>
          <t>Illiquid allocation</t>
        </is>
      </c>
      <c r="B35" s="68">
        <f>SUMPRODUCT(E6:E16,Inputs!$H$5:$H$15)</f>
        <v>0</v>
      </c>
      <c r="C35" s="77" t="n"/>
      <c r="D35" s="68">
        <f>Inputs!$B$33</f>
        <v>0.3</v>
      </c>
      <c r="E35" s="277" t="str">
        <f>IF(B35&lt;=D35,"MET","NOT MET")</f>
        <v>MET</v>
      </c>
    </row>
    <row r="36">
      <c r="A36" s="67" t="inlineStr">
        <is>
          <t>Cash allocation</t>
        </is>
      </c>
      <c r="B36" s="68">
        <f>E16</f>
        <v>0.02</v>
      </c>
      <c r="C36" s="68">
        <f>Inputs!$B$34</f>
        <v>0.02</v>
      </c>
      <c r="D36" s="77" t="n"/>
      <c r="E36" s="277" t="str">
        <f>IF(B36&gt;=C36,"MET","NOT MET")</f>
        <v>MET</v>
      </c>
    </row>
    <row r="37">
      <c r="A37" s="67" t="inlineStr">
        <is>
          <t>Weights sum to 100%</t>
        </is>
      </c>
      <c r="B37" s="68">
        <f>SUM(E6:E16)</f>
        <v>1</v>
      </c>
      <c r="C37" s="68" t="n">
        <v>1</v>
      </c>
      <c r="D37" s="68" t="n">
        <v>1</v>
      </c>
      <c r="E37" s="277" t="str">
        <f>IF(ABS(B37-1)&lt;0.000001,"MET","NOT MET")</f>
        <v>MET</v>
      </c>
    </row>
    <row r="38">
      <c r="A38" s="79" t="inlineStr">
        <is>
          <t>Share inside bounds</t>
        </is>
      </c>
      <c r="B38" s="278">
        <f>SUMPRODUCT((E6:E16&gt;=F6:F16-0.000001)*(E6:E16&lt;=G6:G16+0.000001))/11</f>
        <v>1</v>
      </c>
      <c r="C38" s="278" t="n">
        <v>1</v>
      </c>
      <c r="D38" s="80" t="n"/>
      <c r="E38" s="279" t="str">
        <f>IF(B38&gt;=C38,"MET","NOT MET")</f>
        <v>MET</v>
      </c>
    </row>
    <row r="41">
      <c r="A41" s="86" t="inlineStr">
        <is>
          <t>4. What each constraint costs</t>
        </is>
      </c>
      <c r="B41" s="87" t="n"/>
      <c r="C41" s="87" t="n"/>
      <c r="D41" s="87" t="n"/>
      <c r="E41" s="87" t="n"/>
      <c r="F41" s="87" t="n"/>
      <c r="G41" s="88" t="n"/>
    </row>
    <row r="42" ht="42" customHeight="1">
      <c r="A42" s="92" t="inlineStr">
        <is>
          <t>Asset class</t>
        </is>
      </c>
      <c r="B42" s="93" t="inlineStr">
        <is>
          <t>Base (recommended)</t>
        </is>
      </c>
      <c r="C42" s="93" t="inlineStr">
        <is>
          <t>TE limit 1.5%</t>
        </is>
      </c>
      <c r="D42" s="93" t="inlineStr">
        <is>
          <t>No TE limit</t>
        </is>
      </c>
      <c r="E42" s="93" t="inlineStr">
        <is>
          <t>Equity max 72%</t>
        </is>
      </c>
      <c r="F42" s="93" t="inlineStr">
        <is>
          <t>Alternatives fixed by scorecard</t>
        </is>
      </c>
      <c r="G42" s="94" t="inlineStr">
        <is>
          <t>Long-only only</t>
        </is>
      </c>
    </row>
    <row r="43">
      <c r="A43" s="98" t="inlineStr">
        <is>
          <t>Australian Equities</t>
        </is>
      </c>
      <c r="B43" s="68">
        <f>E6</f>
        <v>0.2738</v>
      </c>
      <c r="C43" s="173" t="n">
        <v>0.2803</v>
      </c>
      <c r="D43" s="173" t="n">
        <v>0.35</v>
      </c>
      <c r="E43" s="173" t="n">
        <v>0.274</v>
      </c>
      <c r="F43" s="173" t="n">
        <v>0.2722</v>
      </c>
      <c r="G43" s="280" t="n">
        <v>0</v>
      </c>
    </row>
    <row r="44">
      <c r="A44" s="98" t="inlineStr">
        <is>
          <t>World Equities</t>
        </is>
      </c>
      <c r="B44" s="68">
        <f>E7</f>
        <v>0.279</v>
      </c>
      <c r="C44" s="173" t="n">
        <v>0.2809</v>
      </c>
      <c r="D44" s="173" t="n">
        <v>0.27</v>
      </c>
      <c r="E44" s="173" t="n">
        <v>0.2798</v>
      </c>
      <c r="F44" s="173" t="n">
        <v>0.2749</v>
      </c>
      <c r="G44" s="280" t="n">
        <v>0</v>
      </c>
    </row>
    <row r="45">
      <c r="A45" s="98" t="inlineStr">
        <is>
          <t>Emerging Markets</t>
        </is>
      </c>
      <c r="B45" s="68">
        <f>E8</f>
        <v>0.0672</v>
      </c>
      <c r="C45" s="173" t="n">
        <v>0.0588</v>
      </c>
      <c r="D45" s="173" t="n">
        <v>0</v>
      </c>
      <c r="E45" s="173" t="n">
        <v>0.06850000000000001</v>
      </c>
      <c r="F45" s="173" t="n">
        <v>0.0547</v>
      </c>
      <c r="G45" s="280" t="n">
        <v>0</v>
      </c>
    </row>
    <row r="46">
      <c r="A46" s="98" t="inlineStr">
        <is>
          <t>Listed Property</t>
        </is>
      </c>
      <c r="B46" s="68">
        <f>E9</f>
        <v>0.0867</v>
      </c>
      <c r="C46" s="173" t="n">
        <v>0.1165</v>
      </c>
      <c r="D46" s="173" t="n">
        <v>0.12</v>
      </c>
      <c r="E46" s="173" t="n">
        <v>0.0852</v>
      </c>
      <c r="F46" s="173" t="n">
        <v>0.09</v>
      </c>
      <c r="G46" s="280" t="n">
        <v>0.98</v>
      </c>
    </row>
    <row r="47">
      <c r="A47" s="98" t="inlineStr">
        <is>
          <t>Commodities</t>
        </is>
      </c>
      <c r="B47" s="68">
        <f>E10</f>
        <v>0.0244</v>
      </c>
      <c r="C47" s="173" t="n">
        <v>0.0292</v>
      </c>
      <c r="D47" s="173" t="n">
        <v>0.07000000000000001</v>
      </c>
      <c r="E47" s="173" t="n">
        <v>0.024</v>
      </c>
      <c r="F47" s="173" t="n">
        <v>0.03</v>
      </c>
      <c r="G47" s="280" t="n">
        <v>0</v>
      </c>
    </row>
    <row r="48">
      <c r="A48" s="98" t="inlineStr">
        <is>
          <t>Direct Property</t>
        </is>
      </c>
      <c r="B48" s="68">
        <f>E11</f>
        <v>0</v>
      </c>
      <c r="C48" s="173" t="n">
        <v>0</v>
      </c>
      <c r="D48" s="173" t="n">
        <v>0</v>
      </c>
      <c r="E48" s="173" t="n">
        <v>0</v>
      </c>
      <c r="F48" s="173" t="n">
        <v>0.05</v>
      </c>
      <c r="G48" s="280" t="n">
        <v>0</v>
      </c>
    </row>
    <row r="49">
      <c r="A49" s="98" t="inlineStr">
        <is>
          <t>Hedge Funds</t>
        </is>
      </c>
      <c r="B49" s="68">
        <f>E12</f>
        <v>0</v>
      </c>
      <c r="C49" s="173" t="n">
        <v>0</v>
      </c>
      <c r="D49" s="173" t="n">
        <v>0</v>
      </c>
      <c r="E49" s="173" t="n">
        <v>0</v>
      </c>
      <c r="F49" s="173" t="n">
        <v>0</v>
      </c>
      <c r="G49" s="280" t="n">
        <v>0</v>
      </c>
    </row>
    <row r="50">
      <c r="A50" s="98" t="inlineStr">
        <is>
          <t>Private Equity</t>
        </is>
      </c>
      <c r="B50" s="68">
        <f>E13</f>
        <v>0</v>
      </c>
      <c r="C50" s="173" t="n">
        <v>0</v>
      </c>
      <c r="D50" s="173" t="n">
        <v>0</v>
      </c>
      <c r="E50" s="173" t="n">
        <v>0</v>
      </c>
      <c r="F50" s="173" t="n">
        <v>0.01</v>
      </c>
      <c r="G50" s="280" t="n">
        <v>0</v>
      </c>
    </row>
    <row r="51">
      <c r="A51" s="98" t="inlineStr">
        <is>
          <t>Australian Fixed Income</t>
        </is>
      </c>
      <c r="B51" s="68">
        <f>E14</f>
        <v>0.12</v>
      </c>
      <c r="C51" s="173" t="n">
        <v>0.12</v>
      </c>
      <c r="D51" s="173" t="n">
        <v>0.12</v>
      </c>
      <c r="E51" s="173" t="n">
        <v>0.12</v>
      </c>
      <c r="F51" s="173" t="n">
        <v>0.12</v>
      </c>
      <c r="G51" s="280" t="n">
        <v>0</v>
      </c>
    </row>
    <row r="52">
      <c r="A52" s="98" t="inlineStr">
        <is>
          <t>World Fixed Income</t>
        </is>
      </c>
      <c r="B52" s="68">
        <f>E15</f>
        <v>0.1289</v>
      </c>
      <c r="C52" s="173" t="n">
        <v>0.09429999999999999</v>
      </c>
      <c r="D52" s="173" t="n">
        <v>0.05</v>
      </c>
      <c r="E52" s="173" t="n">
        <v>0.1285</v>
      </c>
      <c r="F52" s="173" t="n">
        <v>0.07820000000000001</v>
      </c>
      <c r="G52" s="280" t="n">
        <v>0</v>
      </c>
    </row>
    <row r="53">
      <c r="A53" s="98" t="inlineStr">
        <is>
          <t>Cash</t>
        </is>
      </c>
      <c r="B53" s="68">
        <f>E16</f>
        <v>0.02</v>
      </c>
      <c r="C53" s="173" t="n">
        <v>0.02</v>
      </c>
      <c r="D53" s="173" t="n">
        <v>0.02</v>
      </c>
      <c r="E53" s="173" t="n">
        <v>0.02</v>
      </c>
      <c r="F53" s="173" t="n">
        <v>0.02</v>
      </c>
      <c r="G53" s="280" t="n">
        <v>0.02</v>
      </c>
    </row>
    <row r="54">
      <c r="A54" s="281" t="n"/>
      <c r="B54" s="77" t="n"/>
      <c r="C54" s="77" t="n"/>
      <c r="D54" s="77" t="n"/>
      <c r="E54" s="77" t="n"/>
      <c r="F54" s="77" t="n"/>
      <c r="G54" s="282" t="n"/>
    </row>
    <row r="55">
      <c r="A55" s="283" t="inlineStr">
        <is>
          <t>Expected return (arithmetic)</t>
        </is>
      </c>
      <c r="B55" s="72">
        <f>SUMPRODUCT(B43:B53,Forecast!$G$6:$G$16)</f>
        <v>0.0700321062587087</v>
      </c>
      <c r="C55" s="72">
        <f>SUMPRODUCT(C43:C53,Forecast!$G$6:$G$16)</f>
        <v>0.0709403093080447</v>
      </c>
      <c r="D55" s="72">
        <f>SUMPRODUCT(D43:D53,Forecast!$G$6:$G$16)</f>
        <v>0.0721315176550505</v>
      </c>
      <c r="E55" s="72">
        <f>SUMPRODUCT(E43:E53,Forecast!$G$6:$G$16)</f>
        <v>0.0700334400329812</v>
      </c>
      <c r="F55" s="72">
        <f>SUMPRODUCT(F43:F53,Forecast!$G$6:$G$16)</f>
        <v>0.0693838657727121</v>
      </c>
      <c r="G55" s="284">
        <f>SUMPRODUCT(G43:G53,Forecast!$G$6:$G$16)</f>
        <v>0.0784969426589901</v>
      </c>
    </row>
    <row r="56">
      <c r="A56" s="98" t="inlineStr">
        <is>
          <t>Volatility</t>
        </is>
      </c>
      <c r="B56" s="72">
        <f>SQRT(SUMPRODUCT(B43:B53,MMULT(Risk!$B$41:$L$51,B43:B53)))</f>
        <v>0.0783891281769718</v>
      </c>
      <c r="C56" s="72">
        <f>SQRT(SUMPRODUCT(C43:C53,MMULT(Risk!$B$41:$L$51,C43:C53)))</f>
        <v>0.0822387146606363</v>
      </c>
      <c r="D56" s="72">
        <f>SQRT(SUMPRODUCT(D43:D53,MMULT(Risk!$B$41:$L$51,D43:D53)))</f>
        <v>0.0900591239554827</v>
      </c>
      <c r="E56" s="72">
        <f>SQRT(SUMPRODUCT(E43:E53,MMULT(Risk!$B$41:$L$51,E43:E53)))</f>
        <v>0.0783934800517516</v>
      </c>
      <c r="F56" s="72">
        <f>SQRT(SUMPRODUCT(F43:F53,MMULT(Risk!$B$41:$L$51,F43:F53)))</f>
        <v>0.0793500142524106</v>
      </c>
      <c r="G56" s="284">
        <f>SQRT(SUMPRODUCT(G43:G53,MMULT(Risk!$B$41:$L$51,G43:G53)))</f>
        <v>0.164293290668288</v>
      </c>
    </row>
    <row r="57">
      <c r="A57" s="98" t="inlineStr">
        <is>
          <t>Tracking error</t>
        </is>
      </c>
      <c r="B57" s="72">
        <f>SQRT(SUMPRODUCT(B43:B53-Inputs!$C$5:$C$15,MMULT(Risk!$B$41:$L$51,B43:B53-Inputs!$C$5:$C$15)))</f>
        <v>0.0110023822192608</v>
      </c>
      <c r="C57" s="72">
        <f>SQRT(SUMPRODUCT(C43:C53-Inputs!$C$5:$C$15,MMULT(Risk!$B$41:$L$51,C43:C53-Inputs!$C$5:$C$15)))</f>
        <v>0.0150036465123069</v>
      </c>
      <c r="D57" s="72">
        <f>SQRT(SUMPRODUCT(D43:D53-Inputs!$C$5:$C$15,MMULT(Risk!$B$41:$L$51,D43:D53-Inputs!$C$5:$C$15)))</f>
        <v>0.0251476361215132</v>
      </c>
      <c r="E57" s="72">
        <f>SQRT(SUMPRODUCT(E43:E53-Inputs!$C$5:$C$15,MMULT(Risk!$B$41:$L$51,E43:E53-Inputs!$C$5:$C$15)))</f>
        <v>0.0110039822779181</v>
      </c>
      <c r="F57" s="72">
        <f>SQRT(SUMPRODUCT(F43:F53-Inputs!$C$5:$C$15,MMULT(Risk!$B$41:$L$51,F43:F53-Inputs!$C$5:$C$15)))</f>
        <v>0.0109987446282153</v>
      </c>
      <c r="G57" s="284">
        <f>SQRT(SUMPRODUCT(G43:G53-Inputs!$C$5:$C$15,MMULT(Risk!$B$41:$L$51,G43:G53-Inputs!$C$5:$C$15)))</f>
        <v>0.133524855387245</v>
      </c>
    </row>
    <row r="58">
      <c r="A58" s="283" t="inlineStr">
        <is>
          <t>Return gain vs base</t>
        </is>
      </c>
      <c r="B58" s="72">
        <f>B55-$B$55</f>
        <v>0</v>
      </c>
      <c r="C58" s="72">
        <f>C55-$B$55</f>
        <v>0.000908203049336004</v>
      </c>
      <c r="D58" s="72">
        <f>D55-$B$55</f>
        <v>0.0020994113963418</v>
      </c>
      <c r="E58" s="72">
        <f>E55-$B$55</f>
        <v>1.33377427244397e-06</v>
      </c>
      <c r="F58" s="72">
        <f>F55-$B$55</f>
        <v>-0.00064824048599664</v>
      </c>
      <c r="G58" s="284">
        <f>G55-$B$55</f>
        <v>0.00846483640028135</v>
      </c>
    </row>
    <row r="59">
      <c r="A59" s="100" t="inlineStr">
        <is>
          <t>Reaches return target? (compound)</t>
        </is>
      </c>
      <c r="B59" s="285" t="str">
        <f>IF(B55-B56^2/2&gt;=Inputs!$B$25,"YES","NO")</f>
        <v>NO</v>
      </c>
      <c r="C59" s="285" t="str">
        <f>IF(C55-C56^2/2&gt;=Inputs!$B$25,"YES","NO")</f>
        <v>NO</v>
      </c>
      <c r="D59" s="285" t="str">
        <f>IF(D55-D56^2/2&gt;=Inputs!$B$25,"YES","NO")</f>
        <v>NO</v>
      </c>
      <c r="E59" s="285" t="str">
        <f>IF(E55-E56^2/2&gt;=Inputs!$B$25,"YES","NO")</f>
        <v>NO</v>
      </c>
      <c r="F59" s="285" t="str">
        <f>IF(F55-F56^2/2&gt;=Inputs!$B$25,"YES","NO")</f>
        <v>NO</v>
      </c>
      <c r="G59" s="286" t="str">
        <f>IF(G55-G56^2/2&gt;=Inputs!$B$25,"YES","NO")</f>
        <v>NO</v>
      </c>
    </row>
    <row r="62">
      <c r="A62" s="449" t="inlineStr">
        <is>
          <t>5. Transition costs (A$m; one-way costs from Inputs section 4)</t>
        </is>
      </c>
      <c r="B62" s="450" t="n"/>
      <c r="C62" s="450" t="n"/>
      <c r="D62" s="451" t="n"/>
    </row>
    <row r="63">
      <c r="A63" s="453" t="inlineStr">
        <is>
          <t>Asset class</t>
        </is>
      </c>
      <c r="B63" s="454" t="inlineStr">
        <is>
          <t>Trade (A$m)</t>
        </is>
      </c>
      <c r="C63" s="454" t="inlineStr">
        <is>
          <t>Cost rate</t>
        </is>
      </c>
      <c r="D63" s="455" t="inlineStr">
        <is>
          <t>Cost (A$m)</t>
        </is>
      </c>
    </row>
    <row r="64">
      <c r="A64" s="457" t="inlineStr">
        <is>
          <t>Australian Equities</t>
        </is>
      </c>
      <c r="B64" s="458">
        <f>J6</f>
        <v>-378.6</v>
      </c>
      <c r="C64" s="433">
        <f>Inputs!B54</f>
        <v>0.001</v>
      </c>
      <c r="D64" s="495">
        <f>ABS(B64)*C64</f>
        <v>0.3786</v>
      </c>
    </row>
    <row r="65">
      <c r="A65" s="457" t="inlineStr">
        <is>
          <t>World Equities</t>
        </is>
      </c>
      <c r="B65" s="458">
        <f>J7</f>
        <v>237</v>
      </c>
      <c r="C65" s="433">
        <f>Inputs!B55</f>
        <v>0.001</v>
      </c>
      <c r="D65" s="495">
        <f>ABS(B65)*C65</f>
        <v>0.237</v>
      </c>
    </row>
    <row r="66">
      <c r="A66" s="457" t="inlineStr">
        <is>
          <t>Emerging Markets</t>
        </is>
      </c>
      <c r="B66" s="458">
        <f>J8</f>
        <v>201.6</v>
      </c>
      <c r="C66" s="433">
        <f>Inputs!B56</f>
        <v>0.0025</v>
      </c>
      <c r="D66" s="495">
        <f>ABS(B66)*C66</f>
        <v>0.504</v>
      </c>
    </row>
    <row r="67">
      <c r="A67" s="457" t="inlineStr">
        <is>
          <t>Listed Property</t>
        </is>
      </c>
      <c r="B67" s="458">
        <f>J9</f>
        <v>-39.9</v>
      </c>
      <c r="C67" s="433">
        <f>Inputs!B57</f>
        <v>0.002</v>
      </c>
      <c r="D67" s="495">
        <f>ABS(B67)*C67</f>
        <v>0.0798</v>
      </c>
    </row>
    <row r="68">
      <c r="A68" s="457" t="inlineStr">
        <is>
          <t>Commodities</t>
        </is>
      </c>
      <c r="B68" s="458">
        <f>J10</f>
        <v>73.2</v>
      </c>
      <c r="C68" s="433">
        <f>Inputs!B58</f>
        <v>0.001</v>
      </c>
      <c r="D68" s="495">
        <f>ABS(B68)*C68</f>
        <v>0.0732</v>
      </c>
    </row>
    <row r="69">
      <c r="A69" s="457" t="inlineStr">
        <is>
          <t>Direct Property</t>
        </is>
      </c>
      <c r="B69" s="458">
        <f>J11</f>
        <v>0</v>
      </c>
      <c r="C69" s="433">
        <f>Inputs!B59</f>
        <v>0.015</v>
      </c>
      <c r="D69" s="495">
        <f>ABS(B69)*C69</f>
        <v>0</v>
      </c>
    </row>
    <row r="70">
      <c r="A70" s="457" t="inlineStr">
        <is>
          <t>Hedge Funds</t>
        </is>
      </c>
      <c r="B70" s="458">
        <f>J12</f>
        <v>0</v>
      </c>
      <c r="C70" s="433">
        <f>Inputs!B60</f>
        <v>0.005</v>
      </c>
      <c r="D70" s="495">
        <f>ABS(B70)*C70</f>
        <v>0</v>
      </c>
    </row>
    <row r="71">
      <c r="A71" s="457" t="inlineStr">
        <is>
          <t>Private Equity</t>
        </is>
      </c>
      <c r="B71" s="458">
        <f>J13</f>
        <v>0</v>
      </c>
      <c r="C71" s="433">
        <f>Inputs!B61</f>
        <v>0.01</v>
      </c>
      <c r="D71" s="495">
        <f>ABS(B71)*C71</f>
        <v>0</v>
      </c>
    </row>
    <row r="72">
      <c r="A72" s="457" t="inlineStr">
        <is>
          <t>Australian Fixed Income</t>
        </is>
      </c>
      <c r="B72" s="458">
        <f>J14</f>
        <v>-90</v>
      </c>
      <c r="C72" s="433">
        <f>Inputs!B62</f>
        <v>0.001</v>
      </c>
      <c r="D72" s="495">
        <f>ABS(B72)*C72</f>
        <v>0.09</v>
      </c>
    </row>
    <row r="73">
      <c r="A73" s="457" t="inlineStr">
        <is>
          <t>World Fixed Income</t>
        </is>
      </c>
      <c r="B73" s="458">
        <f>J15</f>
        <v>146.7</v>
      </c>
      <c r="C73" s="433">
        <f>Inputs!B63</f>
        <v>0.0015</v>
      </c>
      <c r="D73" s="495">
        <f>ABS(B73)*C73</f>
        <v>0.22005</v>
      </c>
    </row>
    <row r="74">
      <c r="A74" s="457" t="inlineStr">
        <is>
          <t>Cash</t>
        </is>
      </c>
      <c r="B74" s="458">
        <f>J16</f>
        <v>-150</v>
      </c>
      <c r="C74" s="433">
        <f>Inputs!B64</f>
        <v>0</v>
      </c>
      <c r="D74" s="495">
        <f>ABS(B74)*C74</f>
        <v>0</v>
      </c>
    </row>
    <row r="75">
      <c r="A75" s="496" t="inlineStr">
        <is>
          <t>Total</t>
        </is>
      </c>
      <c r="B75" s="497">
        <f>SUMPRODUCT(ABS(B64:B74))/2</f>
        <v>658.5</v>
      </c>
      <c r="C75" s="498" t="n"/>
      <c r="D75" s="499">
        <f>SUM(D64:D74)</f>
        <v>1.58265</v>
      </c>
    </row>
    <row r="76">
      <c r="A76" s="457" t="inlineStr">
        <is>
          <t>Cost as % of fund</t>
        </is>
      </c>
      <c r="B76" s="458" t="n"/>
      <c r="C76" s="433" t="n"/>
      <c r="D76" s="500">
        <f>D75/Inputs!$B$22</f>
        <v>0.00052755</v>
      </c>
    </row>
    <row r="77">
      <c r="A77" s="457" t="inlineStr">
        <is>
          <t>Amortised cost per year</t>
        </is>
      </c>
      <c r="B77" s="458" t="n"/>
      <c r="C77" s="433" t="n"/>
      <c r="D77" s="500">
        <f>D76/Inputs!$B$69</f>
        <v>0.00010551</v>
      </c>
    </row>
    <row r="78">
      <c r="A78" s="457" t="inlineStr">
        <is>
          <t>Expected compound return advantage vs current (p.a.)</t>
        </is>
      </c>
      <c r="B78" s="458" t="n"/>
      <c r="C78" s="433" t="n"/>
      <c r="D78" s="500">
        <f>(Risk!$N$58-Risk!$M$58^2/2)-(Risk!$N$56-Risk!$M$56^2/2)</f>
        <v>0.000849130614777691</v>
      </c>
    </row>
    <row r="79">
      <c r="A79" s="457" t="inlineStr">
        <is>
          <t>Advantage after amortised transition costs</t>
        </is>
      </c>
      <c r="B79" s="458" t="n"/>
      <c r="C79" s="433" t="n"/>
      <c r="D79" s="500">
        <f>D78-D77</f>
        <v>0.000743620614777691</v>
      </c>
    </row>
    <row r="80">
      <c r="A80" s="463" t="inlineStr">
        <is>
          <t>Status</t>
        </is>
      </c>
      <c r="B80" s="501" t="n"/>
      <c r="C80" s="502" t="n"/>
      <c r="D80" s="503" t="str">
        <f>IF(D79&gt;=0,"PASS","REVIEW")</f>
        <v>PASS</v>
      </c>
    </row>
    <row r="83">
      <c r="A83" s="504" t="inlineStr">
        <is>
          <t>6. Transition plan: liquid assets move now; direct property and private equity are built over 1 to 3 years (undrawn amounts parked in liquid proxies)</t>
        </is>
      </c>
      <c r="B83" s="505" t="n"/>
      <c r="C83" s="505" t="n"/>
      <c r="D83" s="505" t="n"/>
      <c r="E83" s="505" t="n"/>
      <c r="F83" s="506" t="n"/>
    </row>
    <row r="84" ht="40" customHeight="1">
      <c r="A84" s="507" t="inlineStr">
        <is>
          <t>Asset class</t>
        </is>
      </c>
      <c r="B84" s="508" t="inlineStr">
        <is>
          <t>Current</t>
        </is>
      </c>
      <c r="C84" s="508" t="inlineStr">
        <is>
          <t>Phase 1: liquid rebalance</t>
        </is>
      </c>
      <c r="D84" s="508" t="inlineStr">
        <is>
          <t>End of year 1</t>
        </is>
      </c>
      <c r="E84" s="508" t="inlineStr">
        <is>
          <t>End of year 2</t>
        </is>
      </c>
      <c r="F84" s="509" t="inlineStr">
        <is>
          <t>End of year 3 (target)</t>
        </is>
      </c>
    </row>
    <row r="85">
      <c r="A85" s="510" t="inlineStr">
        <is>
          <t>Australian Equities</t>
        </is>
      </c>
      <c r="B85" s="483">
        <f>C6</f>
        <v>0.4</v>
      </c>
      <c r="C85" s="483">
        <f>$E6</f>
        <v>0.2738</v>
      </c>
      <c r="D85" s="483">
        <f>$E6</f>
        <v>0.2738</v>
      </c>
      <c r="E85" s="483">
        <f>$E6</f>
        <v>0.2738</v>
      </c>
      <c r="F85" s="511">
        <f>$E6</f>
        <v>0.2738</v>
      </c>
    </row>
    <row r="86">
      <c r="A86" s="510" t="inlineStr">
        <is>
          <t>World Equities</t>
        </is>
      </c>
      <c r="B86" s="483">
        <f>C7</f>
        <v>0.2</v>
      </c>
      <c r="C86" s="483">
        <f>$E7</f>
        <v>0.279</v>
      </c>
      <c r="D86" s="483">
        <f>$E7</f>
        <v>0.279</v>
      </c>
      <c r="E86" s="483">
        <f>$E7</f>
        <v>0.279</v>
      </c>
      <c r="F86" s="511">
        <f>$E7</f>
        <v>0.279</v>
      </c>
    </row>
    <row r="87">
      <c r="A87" s="510" t="inlineStr">
        <is>
          <t>Emerging Markets</t>
        </is>
      </c>
      <c r="B87" s="483">
        <f>C8</f>
        <v>0</v>
      </c>
      <c r="C87" s="483">
        <f>$E8</f>
        <v>0.0672</v>
      </c>
      <c r="D87" s="483">
        <f>$E8</f>
        <v>0.0672</v>
      </c>
      <c r="E87" s="483">
        <f>$E8</f>
        <v>0.0672</v>
      </c>
      <c r="F87" s="511">
        <f>$E8</f>
        <v>0.0672</v>
      </c>
    </row>
    <row r="88">
      <c r="A88" s="510" t="inlineStr">
        <is>
          <t>Listed Property</t>
        </is>
      </c>
      <c r="B88" s="483">
        <f>C9</f>
        <v>0.1</v>
      </c>
      <c r="C88" s="483">
        <f>$E9+$E$11*(1-0)*Inputs!$B$75</f>
        <v>0.0867</v>
      </c>
      <c r="D88" s="483">
        <f>$E9+$E$11*(1-Inputs!$B$70)*Inputs!$B$75</f>
        <v>0.0867</v>
      </c>
      <c r="E88" s="483">
        <f>$E9+$E$11*(1-Inputs!$B$71)*Inputs!$B$75</f>
        <v>0.0867</v>
      </c>
      <c r="F88" s="511">
        <f>$E9+$E$11*(1-1)*Inputs!$B$75</f>
        <v>0.0867</v>
      </c>
    </row>
    <row r="89">
      <c r="A89" s="510" t="inlineStr">
        <is>
          <t>Commodities</t>
        </is>
      </c>
      <c r="B89" s="483">
        <f>C10</f>
        <v>0</v>
      </c>
      <c r="C89" s="483">
        <f>$E10</f>
        <v>0.0244</v>
      </c>
      <c r="D89" s="483">
        <f>$E10</f>
        <v>0.0244</v>
      </c>
      <c r="E89" s="483">
        <f>$E10</f>
        <v>0.0244</v>
      </c>
      <c r="F89" s="511">
        <f>$E10</f>
        <v>0.0244</v>
      </c>
    </row>
    <row r="90">
      <c r="A90" s="510" t="inlineStr">
        <is>
          <t>Direct Property</t>
        </is>
      </c>
      <c r="B90" s="483">
        <f>C11</f>
        <v>0</v>
      </c>
      <c r="C90" s="483">
        <f>$E11*0</f>
        <v>0</v>
      </c>
      <c r="D90" s="483">
        <f>$E11*Inputs!$B$70</f>
        <v>0</v>
      </c>
      <c r="E90" s="483">
        <f>$E11*Inputs!$B$71</f>
        <v>0</v>
      </c>
      <c r="F90" s="511">
        <f>$E11*1</f>
        <v>0</v>
      </c>
    </row>
    <row r="91">
      <c r="A91" s="510" t="inlineStr">
        <is>
          <t>Hedge Funds</t>
        </is>
      </c>
      <c r="B91" s="483">
        <f>C12</f>
        <v>0</v>
      </c>
      <c r="C91" s="483">
        <f>$E12</f>
        <v>0</v>
      </c>
      <c r="D91" s="483">
        <f>$E12</f>
        <v>0</v>
      </c>
      <c r="E91" s="483">
        <f>$E12</f>
        <v>0</v>
      </c>
      <c r="F91" s="511">
        <f>$E12</f>
        <v>0</v>
      </c>
    </row>
    <row r="92">
      <c r="A92" s="510" t="inlineStr">
        <is>
          <t>Private Equity</t>
        </is>
      </c>
      <c r="B92" s="483">
        <f>C13</f>
        <v>0</v>
      </c>
      <c r="C92" s="483">
        <f>$E13*0</f>
        <v>0</v>
      </c>
      <c r="D92" s="483">
        <f>$E13*Inputs!$B$72</f>
        <v>0</v>
      </c>
      <c r="E92" s="483">
        <f>$E13*Inputs!$B$73</f>
        <v>0</v>
      </c>
      <c r="F92" s="511">
        <f>$E13*Inputs!$B$74</f>
        <v>0</v>
      </c>
    </row>
    <row r="93">
      <c r="A93" s="510" t="inlineStr">
        <is>
          <t>Australian Fixed Income</t>
        </is>
      </c>
      <c r="B93" s="483">
        <f>C14</f>
        <v>0.15</v>
      </c>
      <c r="C93" s="483">
        <f>$E14+$E$11*(1-0)*(1-Inputs!$B$75)</f>
        <v>0.12</v>
      </c>
      <c r="D93" s="483">
        <f>$E14+$E$11*(1-Inputs!$B$70)*(1-Inputs!$B$75)</f>
        <v>0.12</v>
      </c>
      <c r="E93" s="483">
        <f>$E14+$E$11*(1-Inputs!$B$71)*(1-Inputs!$B$75)</f>
        <v>0.12</v>
      </c>
      <c r="F93" s="511">
        <f>$E14+$E$11*(1-1)*(1-Inputs!$B$75)</f>
        <v>0.12</v>
      </c>
    </row>
    <row r="94">
      <c r="A94" s="510" t="inlineStr">
        <is>
          <t>World Fixed Income</t>
        </is>
      </c>
      <c r="B94" s="483">
        <f>C15</f>
        <v>0.08</v>
      </c>
      <c r="C94" s="483">
        <f>$E15</f>
        <v>0.1289</v>
      </c>
      <c r="D94" s="483">
        <f>$E15</f>
        <v>0.1289</v>
      </c>
      <c r="E94" s="483">
        <f>$E15</f>
        <v>0.1289</v>
      </c>
      <c r="F94" s="511">
        <f>$E15</f>
        <v>0.1289</v>
      </c>
    </row>
    <row r="95">
      <c r="A95" s="510" t="inlineStr">
        <is>
          <t>Cash</t>
        </is>
      </c>
      <c r="B95" s="483">
        <f>C16</f>
        <v>0.07</v>
      </c>
      <c r="C95" s="483">
        <f>$E16+$E$13*(1-0)</f>
        <v>0.02</v>
      </c>
      <c r="D95" s="483">
        <f>$E16+$E$13*(1-Inputs!$B$72)</f>
        <v>0.02</v>
      </c>
      <c r="E95" s="483">
        <f>$E16+$E$13*(1-Inputs!$B$73)</f>
        <v>0.02</v>
      </c>
      <c r="F95" s="511">
        <f>$E16+$E$13*(1-Inputs!$B$74)</f>
        <v>0.02</v>
      </c>
    </row>
    <row r="96">
      <c r="A96" s="512" t="inlineStr">
        <is>
          <t>Total</t>
        </is>
      </c>
      <c r="B96" s="513">
        <f>SUM(B85:B95)</f>
        <v>1</v>
      </c>
      <c r="C96" s="513">
        <f>SUM(C85:C95)</f>
        <v>1</v>
      </c>
      <c r="D96" s="513">
        <f>SUM(D85:D95)</f>
        <v>1</v>
      </c>
      <c r="E96" s="513">
        <f>SUM(E85:E95)</f>
        <v>1</v>
      </c>
      <c r="F96" s="514">
        <f>SUM(F85:F95)</f>
        <v>1</v>
      </c>
    </row>
    <row r="97">
      <c r="A97" s="510" t="inlineStr">
        <is>
          <t>Expected return (net)</t>
        </is>
      </c>
      <c r="B97" s="433">
        <f>SUMPRODUCT(MMULT(Risk!$B$54:$L$54,B$85:B$95))</f>
        <v>0.069624614709126</v>
      </c>
      <c r="C97" s="433">
        <f>SUMPRODUCT(MMULT(Risk!$B$54:$L$54,C$85:C$95))</f>
        <v>0.0700321062587087</v>
      </c>
      <c r="D97" s="433">
        <f>SUMPRODUCT(MMULT(Risk!$B$54:$L$54,D$85:D$95))</f>
        <v>0.0700321062587087</v>
      </c>
      <c r="E97" s="433">
        <f>SUMPRODUCT(MMULT(Risk!$B$54:$L$54,E$85:E$95))</f>
        <v>0.0700321062587087</v>
      </c>
      <c r="F97" s="515">
        <f>SUMPRODUCT(MMULT(Risk!$B$54:$L$54,F$85:F$95))</f>
        <v>0.0700321062587087</v>
      </c>
    </row>
    <row r="98">
      <c r="A98" s="510" t="inlineStr">
        <is>
          <t>Volatility</t>
        </is>
      </c>
      <c r="B98" s="433">
        <f>SQRT(SUMPRODUCT(MMULT(Risk!$B$41:$L$51,B$85:B$95),B$85:B$95))</f>
        <v>0.0838339641597338</v>
      </c>
      <c r="C98" s="433">
        <f>SQRT(SUMPRODUCT(MMULT(Risk!$B$41:$L$51,C$85:C$95),C$85:C$95))</f>
        <v>0.0783891281769718</v>
      </c>
      <c r="D98" s="433">
        <f>SQRT(SUMPRODUCT(MMULT(Risk!$B$41:$L$51,D$85:D$95),D$85:D$95))</f>
        <v>0.0783891281769718</v>
      </c>
      <c r="E98" s="433">
        <f>SQRT(SUMPRODUCT(MMULT(Risk!$B$41:$L$51,E$85:E$95),E$85:E$95))</f>
        <v>0.0783891281769718</v>
      </c>
      <c r="F98" s="515">
        <f>SQRT(SUMPRODUCT(MMULT(Risk!$B$41:$L$51,F$85:F$95),F$85:F$95))</f>
        <v>0.0783891281769718</v>
      </c>
    </row>
    <row r="99">
      <c r="A99" s="510" t="inlineStr">
        <is>
          <t>Tracking error</t>
        </is>
      </c>
      <c r="B99" s="433">
        <f>SQRT(SUMPRODUCT(MMULT(Risk!$B$41:$L$51,B$85:B$95-Portfolio!$D$6:$D$16),B$85:B$95-Portfolio!$D$6:$D$16))</f>
        <v>0.0215850264140928</v>
      </c>
      <c r="C99" s="433">
        <f>SQRT(SUMPRODUCT(MMULT(Risk!$B$41:$L$51,C$85:C$95-Portfolio!$D$6:$D$16),C$85:C$95-Portfolio!$D$6:$D$16))</f>
        <v>0.0110023822192608</v>
      </c>
      <c r="D99" s="433">
        <f>SQRT(SUMPRODUCT(MMULT(Risk!$B$41:$L$51,D$85:D$95-Portfolio!$D$6:$D$16),D$85:D$95-Portfolio!$D$6:$D$16))</f>
        <v>0.0110023822192608</v>
      </c>
      <c r="E99" s="433">
        <f>SQRT(SUMPRODUCT(MMULT(Risk!$B$41:$L$51,E$85:E$95-Portfolio!$D$6:$D$16),E$85:E$95-Portfolio!$D$6:$D$16))</f>
        <v>0.0110023822192608</v>
      </c>
      <c r="F99" s="515">
        <f>SQRT(SUMPRODUCT(MMULT(Risk!$B$41:$L$51,F$85:F$95-Portfolio!$D$6:$D$16),F$85:F$95-Portfolio!$D$6:$D$16))</f>
        <v>0.0110023822192608</v>
      </c>
    </row>
    <row r="100">
      <c r="A100" s="510" t="inlineStr">
        <is>
          <t>Equity weight</t>
        </is>
      </c>
      <c r="B100" s="483">
        <f>SUMPRODUCT(B85:B95,Inputs!$G$5:$G$15)</f>
        <v>0.6</v>
      </c>
      <c r="C100" s="483">
        <f>SUMPRODUCT(C85:C95,Inputs!$G$5:$G$15)</f>
        <v>0.62</v>
      </c>
      <c r="D100" s="483">
        <f>SUMPRODUCT(D85:D95,Inputs!$G$5:$G$15)</f>
        <v>0.62</v>
      </c>
      <c r="E100" s="483">
        <f>SUMPRODUCT(E85:E95,Inputs!$G$5:$G$15)</f>
        <v>0.62</v>
      </c>
      <c r="F100" s="511">
        <f>SUMPRODUCT(F85:F95,Inputs!$G$5:$G$15)</f>
        <v>0.62</v>
      </c>
    </row>
    <row r="101">
      <c r="A101" s="510" t="inlineStr">
        <is>
          <t>Illiquid weight</t>
        </is>
      </c>
      <c r="B101" s="483">
        <f>SUMPRODUCT(B85:B95,Inputs!$H$5:$H$15)</f>
        <v>0</v>
      </c>
      <c r="C101" s="483">
        <f>SUMPRODUCT(C85:C95,Inputs!$H$5:$H$15)</f>
        <v>0</v>
      </c>
      <c r="D101" s="483">
        <f>SUMPRODUCT(D85:D95,Inputs!$H$5:$H$15)</f>
        <v>0</v>
      </c>
      <c r="E101" s="483">
        <f>SUMPRODUCT(E85:E95,Inputs!$H$5:$H$15)</f>
        <v>0</v>
      </c>
      <c r="F101" s="511">
        <f>SUMPRODUCT(F85:F95,Inputs!$H$5:$H$15)</f>
        <v>0</v>
      </c>
    </row>
    <row r="102">
      <c r="A102" s="516" t="inlineStr">
        <is>
          <t>Brief constraints (TE 1.5% brief limit, equity band, illiquid, cash)</t>
        </is>
      </c>
      <c r="B102" s="517" t="inlineStr">
        <is>
          <t>n/a: starting point</t>
        </is>
      </c>
      <c r="C102" s="517" t="str">
        <f>IF(AND(C99&lt;=Inputs!$B$27+0.00001,C100&gt;=Inputs!$B$31-0.00001,C100&lt;=Inputs!$B$32+0.00001,C101&lt;=Inputs!$B$33,C95&gt;=Inputs!$B$34-0.00001),"MET","NOT MET")</f>
        <v>MET</v>
      </c>
      <c r="D102" s="517" t="str">
        <f>IF(AND(D99&lt;=Inputs!$B$27+0.00001,D100&gt;=Inputs!$B$31-0.00001,D100&lt;=Inputs!$B$32+0.00001,D101&lt;=Inputs!$B$33,D95&gt;=Inputs!$B$34-0.00001),"MET","NOT MET")</f>
        <v>MET</v>
      </c>
      <c r="E102" s="517" t="str">
        <f>IF(AND(E99&lt;=Inputs!$B$27+0.00001,E100&gt;=Inputs!$B$31-0.00001,E100&lt;=Inputs!$B$32+0.00001,E101&lt;=Inputs!$B$33,E95&gt;=Inputs!$B$34-0.00001),"MET","NOT MET")</f>
        <v>MET</v>
      </c>
      <c r="F102" s="518" t="str">
        <f>IF(AND(F99&lt;=Inputs!$B$27+0.00001,F100&gt;=Inputs!$B$31-0.00001,F100&lt;=Inputs!$B$32+0.00001,F101&lt;=Inputs!$B$33,F95&gt;=Inputs!$B$34-0.00001),"MET","NOT MET")</f>
        <v>MET</v>
      </c>
    </row>
    <row r="105">
      <c r="A105" s="519" t="inlineStr">
        <is>
          <t>7. After-tax view: franking credits on Australian equities (the brief is pre-tax; this is a sensitivity)</t>
        </is>
      </c>
      <c r="B105" s="520" t="n"/>
      <c r="C105" s="520" t="n"/>
      <c r="D105" s="520" t="n"/>
      <c r="E105" s="521" t="n"/>
    </row>
    <row r="106" ht="40" customHeight="1">
      <c r="A106" s="522" t="inlineStr">
        <is>
          <t>Portfolio</t>
        </is>
      </c>
      <c r="B106" s="523" t="inlineStr">
        <is>
          <t>Australian equity weight</t>
        </is>
      </c>
      <c r="C106" s="523" t="inlineStr">
        <is>
          <t>Expected return (pre-tax, compound)</t>
        </is>
      </c>
      <c r="D106" s="523" t="inlineStr">
        <is>
          <t>Franking uplift</t>
        </is>
      </c>
      <c r="E106" s="524" t="inlineStr">
        <is>
          <t>Return incl. franking</t>
        </is>
      </c>
    </row>
    <row r="107">
      <c r="A107" s="525" t="inlineStr">
        <is>
          <t>Franking credit yield on Australian equities</t>
        </is>
      </c>
      <c r="B107" s="483" t="n"/>
      <c r="C107" s="433" t="n"/>
      <c r="D107" s="433">
        <f>Inputs!$B$77*Inputs!$B$78*Inputs!$B$79/(1-Inputs!$B$79)*Inputs!$B$80</f>
        <v>0.01029</v>
      </c>
      <c r="E107" s="526" t="n"/>
    </row>
    <row r="108">
      <c r="A108" s="525" t="inlineStr">
        <is>
          <t>Current fund</t>
        </is>
      </c>
      <c r="B108" s="483">
        <f>C6</f>
        <v>0.4</v>
      </c>
      <c r="C108" s="433">
        <f>(Risk!$N$56-Risk!$M$56^2/2)</f>
        <v>0.0661105479357582</v>
      </c>
      <c r="D108" s="433">
        <f>B108*$D$107</f>
        <v>0.004116</v>
      </c>
      <c r="E108" s="526">
        <f>C108+D108</f>
        <v>0.0702265479357582</v>
      </c>
    </row>
    <row r="109">
      <c r="A109" s="525" t="inlineStr">
        <is>
          <t>Benchmark</t>
        </is>
      </c>
      <c r="B109" s="483">
        <f>D6</f>
        <v>0.25</v>
      </c>
      <c r="C109" s="433">
        <f>(Risk!$N$57-Risk!$M$57^2/2)</f>
        <v>0.0637960671243658</v>
      </c>
      <c r="D109" s="433">
        <f>B109*$D$107</f>
        <v>0.0025725</v>
      </c>
      <c r="E109" s="526">
        <f>C109+D109</f>
        <v>0.0663685671243658</v>
      </c>
    </row>
    <row r="110">
      <c r="A110" s="525" t="inlineStr">
        <is>
          <t>Recommended</t>
        </is>
      </c>
      <c r="B110" s="483">
        <f>E6</f>
        <v>0.2738</v>
      </c>
      <c r="C110" s="433">
        <f>(Risk!$N$58-Risk!$M$58^2/2)</f>
        <v>0.0669596785505359</v>
      </c>
      <c r="D110" s="433">
        <f>B110*$D$107</f>
        <v>0.002817402</v>
      </c>
      <c r="E110" s="526">
        <f>C110+D110</f>
        <v>0.0697770805505359</v>
      </c>
    </row>
    <row r="111">
      <c r="A111" s="525" t="inlineStr">
        <is>
          <t>Recommended less current</t>
        </is>
      </c>
      <c r="B111" s="483">
        <f>B110-B108</f>
        <v>-0.1262</v>
      </c>
      <c r="C111" s="433">
        <f>C110-C108</f>
        <v>0.000849130614777691</v>
      </c>
      <c r="D111" s="433">
        <f>D110-D108</f>
        <v>-0.001298598</v>
      </c>
      <c r="E111" s="526">
        <f>E110-E108</f>
        <v>-0.000449467385222307</v>
      </c>
    </row>
    <row r="112">
      <c r="A112" s="527" t="inlineStr">
        <is>
          <t>Status (advantage including franking)</t>
        </is>
      </c>
      <c r="B112" s="528" t="n"/>
      <c r="C112" s="529" t="n"/>
      <c r="D112" s="529" t="n"/>
      <c r="E112" s="530" t="str">
        <f>IF(E111&gt;=0,"PASS","REVIEW")</f>
        <v>REVIEW</v>
      </c>
    </row>
    <row r="115">
      <c r="A115" s="531" t="inlineStr">
        <is>
          <t>8. Equity definition sensitivity: listed property counted as equity</t>
        </is>
      </c>
      <c r="B115" s="532" t="n"/>
      <c r="C115" s="532" t="n"/>
      <c r="D115" s="533" t="n"/>
    </row>
    <row r="116" ht="28" customHeight="1">
      <c r="A116" s="534" t="inlineStr">
        <is>
          <t>Portfolio</t>
        </is>
      </c>
      <c r="B116" s="535" t="inlineStr">
        <is>
          <t>Equity (brief definition)</t>
        </is>
      </c>
      <c r="C116" s="535" t="inlineStr">
        <is>
          <t>Listed property</t>
        </is>
      </c>
      <c r="D116" s="536" t="inlineStr">
        <is>
          <t>Equity incl. listed property</t>
        </is>
      </c>
    </row>
    <row r="117">
      <c r="A117" s="537" t="inlineStr">
        <is>
          <t>Current fund</t>
        </is>
      </c>
      <c r="B117" s="483">
        <f>SUMPRODUCT(C6:C16,Inputs!$G$5:$G$15)</f>
        <v>0.6</v>
      </c>
      <c r="C117" s="483">
        <f>C9</f>
        <v>0.1</v>
      </c>
      <c r="D117" s="538">
        <f>B117+C117</f>
        <v>0.7</v>
      </c>
    </row>
    <row r="118">
      <c r="A118" s="537" t="inlineStr">
        <is>
          <t>Benchmark</t>
        </is>
      </c>
      <c r="B118" s="483">
        <f>SUMPRODUCT(D6:D16,Inputs!$G$5:$G$15)</f>
        <v>0.52</v>
      </c>
      <c r="C118" s="483">
        <f>D9</f>
        <v>0.07</v>
      </c>
      <c r="D118" s="538">
        <f>B118+C118</f>
        <v>0.59</v>
      </c>
    </row>
    <row r="119">
      <c r="A119" s="537" t="inlineStr">
        <is>
          <t>Recommended</t>
        </is>
      </c>
      <c r="B119" s="483">
        <f>SUMPRODUCT(E6:E16,Inputs!$G$5:$G$15)</f>
        <v>0.62</v>
      </c>
      <c r="C119" s="483">
        <f>E9</f>
        <v>0.0867</v>
      </c>
      <c r="D119" s="538">
        <f>B119+C119</f>
        <v>0.7067</v>
      </c>
    </row>
    <row r="120">
      <c r="A120" s="537" t="inlineStr">
        <is>
          <t>Band under the wider definition: minimum</t>
        </is>
      </c>
      <c r="B120" s="483" t="n"/>
      <c r="C120" s="483" t="n"/>
      <c r="D120" s="538">
        <f>D118-Inputs!$B$29</f>
        <v>0.49</v>
      </c>
    </row>
    <row r="121">
      <c r="A121" s="537" t="inlineStr">
        <is>
          <t>Band under the wider definition: maximum</t>
        </is>
      </c>
      <c r="B121" s="483" t="n"/>
      <c r="C121" s="483" t="n"/>
      <c r="D121" s="538">
        <f>D118+Inputs!$B$29</f>
        <v>0.69</v>
      </c>
    </row>
    <row r="122">
      <c r="A122" s="539" t="inlineStr">
        <is>
          <t>Recommended inside the wider band?</t>
        </is>
      </c>
      <c r="B122" s="540" t="n"/>
      <c r="C122" s="540" t="n"/>
      <c r="D122" s="541" t="str">
        <f>IF(AND(D119&gt;=D120-0.00001,D119&lt;=D121+0.00001),"PASS","REVIEW")</f>
        <v>REVIEW</v>
      </c>
    </row>
    <row r="125">
      <c r="A125" s="473" t="inlineStr">
        <is>
          <t>9. Asset-class scope: portfolios with and without some asset classes (recommendation unchanged)</t>
        </is>
      </c>
      <c r="B125" s="474" t="n"/>
      <c r="C125" s="474" t="n"/>
      <c r="D125" s="474" t="n"/>
      <c r="E125" s="474" t="n"/>
      <c r="F125" s="475" t="n"/>
    </row>
    <row r="126" ht="40" customHeight="1">
      <c r="A126" s="476" t="inlineStr">
        <is>
          <t>Asset class</t>
        </is>
      </c>
      <c r="B126" s="477" t="inlineStr">
        <is>
          <t>Recommended</t>
        </is>
      </c>
      <c r="C126" s="477" t="inlineStr">
        <is>
          <t>Alternatives fixed by scorecard</t>
        </is>
      </c>
      <c r="D126" s="477" t="inlineStr">
        <is>
          <t>No alternatives</t>
        </is>
      </c>
      <c r="E126" s="477" t="inlineStr">
        <is>
          <t>Alternatives at benchmark weights</t>
        </is>
      </c>
      <c r="F126" s="478" t="inlineStr">
        <is>
          <t>Core five only</t>
        </is>
      </c>
    </row>
    <row r="127">
      <c r="A127" s="479" t="inlineStr">
        <is>
          <t>Australian Equities</t>
        </is>
      </c>
      <c r="B127" s="483">
        <f>E6</f>
        <v>0.2738</v>
      </c>
      <c r="C127" s="482" t="n">
        <v>0.2722</v>
      </c>
      <c r="D127" s="482" t="n">
        <v>0.274</v>
      </c>
      <c r="E127" s="482" t="n">
        <v>0.2807</v>
      </c>
      <c r="F127" s="711" t="n">
        <v>0.3141</v>
      </c>
    </row>
    <row r="128">
      <c r="A128" s="479" t="inlineStr">
        <is>
          <t>World Equities</t>
        </is>
      </c>
      <c r="B128" s="483">
        <f>E7</f>
        <v>0.279</v>
      </c>
      <c r="C128" s="482" t="n">
        <v>0.2749</v>
      </c>
      <c r="D128" s="482" t="n">
        <v>0.2765</v>
      </c>
      <c r="E128" s="482" t="n">
        <v>0.2819</v>
      </c>
      <c r="F128" s="711" t="n">
        <v>0.3059</v>
      </c>
    </row>
    <row r="129">
      <c r="A129" s="479" t="inlineStr">
        <is>
          <t>Emerging Markets</t>
        </is>
      </c>
      <c r="B129" s="483">
        <f>E8</f>
        <v>0.0672</v>
      </c>
      <c r="C129" s="482" t="n">
        <v>0.0547</v>
      </c>
      <c r="D129" s="482" t="n">
        <v>0.06950000000000001</v>
      </c>
      <c r="E129" s="482" t="n">
        <v>0.0209</v>
      </c>
      <c r="F129" s="711" t="n">
        <v>0</v>
      </c>
    </row>
    <row r="130">
      <c r="A130" s="479" t="inlineStr">
        <is>
          <t>Listed Property</t>
        </is>
      </c>
      <c r="B130" s="483">
        <f>E9</f>
        <v>0.0867</v>
      </c>
      <c r="C130" s="482" t="n">
        <v>0.09</v>
      </c>
      <c r="D130" s="482" t="n">
        <v>0.0819</v>
      </c>
      <c r="E130" s="482" t="n">
        <v>0.0965</v>
      </c>
      <c r="F130" s="711" t="n">
        <v>0</v>
      </c>
    </row>
    <row r="131">
      <c r="A131" s="479" t="inlineStr">
        <is>
          <t>Commodities</t>
        </is>
      </c>
      <c r="B131" s="483">
        <f>E10</f>
        <v>0.0244</v>
      </c>
      <c r="C131" s="482" t="n">
        <v>0.03</v>
      </c>
      <c r="D131" s="482" t="n">
        <v>0</v>
      </c>
      <c r="E131" s="482" t="n">
        <v>0.02</v>
      </c>
      <c r="F131" s="711" t="n">
        <v>0</v>
      </c>
    </row>
    <row r="132">
      <c r="A132" s="479" t="inlineStr">
        <is>
          <t>Direct Property</t>
        </is>
      </c>
      <c r="B132" s="483">
        <f>E11</f>
        <v>0</v>
      </c>
      <c r="C132" s="482" t="n">
        <v>0.05</v>
      </c>
      <c r="D132" s="482" t="n">
        <v>0</v>
      </c>
      <c r="E132" s="482" t="n">
        <v>0.05</v>
      </c>
      <c r="F132" s="711" t="n">
        <v>0</v>
      </c>
    </row>
    <row r="133">
      <c r="A133" s="479" t="inlineStr">
        <is>
          <t>Hedge Funds</t>
        </is>
      </c>
      <c r="B133" s="483">
        <f>E12</f>
        <v>0</v>
      </c>
      <c r="C133" s="482" t="n">
        <v>0</v>
      </c>
      <c r="D133" s="482" t="n">
        <v>0</v>
      </c>
      <c r="E133" s="482" t="n">
        <v>0.03</v>
      </c>
      <c r="F133" s="711" t="n">
        <v>0</v>
      </c>
    </row>
    <row r="134">
      <c r="A134" s="479" t="inlineStr">
        <is>
          <t>Private Equity</t>
        </is>
      </c>
      <c r="B134" s="483">
        <f>E13</f>
        <v>0</v>
      </c>
      <c r="C134" s="482" t="n">
        <v>0.01</v>
      </c>
      <c r="D134" s="482" t="n">
        <v>0</v>
      </c>
      <c r="E134" s="482" t="n">
        <v>0.03</v>
      </c>
      <c r="F134" s="711" t="n">
        <v>0</v>
      </c>
    </row>
    <row r="135">
      <c r="A135" s="479" t="inlineStr">
        <is>
          <t>Australian Fixed Income</t>
        </is>
      </c>
      <c r="B135" s="483">
        <f>E14</f>
        <v>0.12</v>
      </c>
      <c r="C135" s="482" t="n">
        <v>0.12</v>
      </c>
      <c r="D135" s="482" t="n">
        <v>0.12</v>
      </c>
      <c r="E135" s="482" t="n">
        <v>0.12</v>
      </c>
      <c r="F135" s="711" t="n">
        <v>0.16</v>
      </c>
    </row>
    <row r="136">
      <c r="A136" s="479" t="inlineStr">
        <is>
          <t>World Fixed Income</t>
        </is>
      </c>
      <c r="B136" s="483">
        <f>E15</f>
        <v>0.1289</v>
      </c>
      <c r="C136" s="482" t="n">
        <v>0.07820000000000001</v>
      </c>
      <c r="D136" s="482" t="n">
        <v>0.1581</v>
      </c>
      <c r="E136" s="482" t="n">
        <v>0.05</v>
      </c>
      <c r="F136" s="711" t="n">
        <v>0.2</v>
      </c>
    </row>
    <row r="137">
      <c r="A137" s="479" t="inlineStr">
        <is>
          <t>Cash</t>
        </is>
      </c>
      <c r="B137" s="483">
        <f>E16</f>
        <v>0.02</v>
      </c>
      <c r="C137" s="482" t="n">
        <v>0.02</v>
      </c>
      <c r="D137" s="482" t="n">
        <v>0.02</v>
      </c>
      <c r="E137" s="482" t="n">
        <v>0.02</v>
      </c>
      <c r="F137" s="711" t="n">
        <v>0.02</v>
      </c>
    </row>
    <row r="138">
      <c r="A138" s="712" t="inlineStr">
        <is>
          <t>Total</t>
        </is>
      </c>
      <c r="B138" s="713">
        <f>SUM(B127:B137)</f>
        <v>1</v>
      </c>
      <c r="C138" s="713">
        <f>SUM(C127:C137)</f>
        <v>1</v>
      </c>
      <c r="D138" s="713">
        <f>SUM(D127:D137)</f>
        <v>1</v>
      </c>
      <c r="E138" s="713">
        <f>SUM(E127:E137)</f>
        <v>1</v>
      </c>
      <c r="F138" s="714">
        <f>SUM(F127:F137)</f>
        <v>1</v>
      </c>
    </row>
    <row r="140">
      <c r="A140" s="504" t="inlineStr">
        <is>
          <t>9b. How each portfolio is built (same forecasts, risk model and constraints)</t>
        </is>
      </c>
      <c r="B140" s="505" t="n"/>
      <c r="C140" s="505" t="n"/>
      <c r="D140" s="505" t="n"/>
      <c r="E140" s="505" t="n"/>
      <c r="F140" s="506" t="n"/>
    </row>
    <row r="141">
      <c r="A141" s="715" t="inlineStr">
        <is>
          <t>Portfolio</t>
        </is>
      </c>
      <c r="B141" s="716" t="inlineStr">
        <is>
          <t>Construction</t>
        </is>
      </c>
      <c r="C141" s="717" t="n"/>
      <c r="D141" s="717" t="n"/>
      <c r="E141" s="717" t="n"/>
      <c r="F141" s="718" t="n"/>
    </row>
    <row r="142" ht="27" customHeight="1">
      <c r="A142" s="719" t="inlineStr">
        <is>
          <t>Recommended</t>
        </is>
      </c>
      <c r="B142" s="605" t="inlineStr">
        <is>
          <t>Commodities, Direct Property, Hedge Funds and Private Equity chosen by the optimiser (0 to upper bound)</t>
        </is>
      </c>
      <c r="C142" s="606" t="n"/>
      <c r="D142" s="606" t="n"/>
      <c r="E142" s="606" t="n"/>
      <c r="F142" s="607" t="n"/>
    </row>
    <row r="143" ht="27" customHeight="1">
      <c r="A143" s="719" t="inlineStr">
        <is>
          <t>Alternatives fixed by scorecard</t>
        </is>
      </c>
      <c r="B143" s="605" t="inlineStr">
        <is>
          <t>Alternatives fixed at the Stage 2 scorecard weights (Commodities 3%, Direct Property 5%, Private Equity 1%)</t>
        </is>
      </c>
      <c r="C143" s="606" t="n"/>
      <c r="D143" s="606" t="n"/>
      <c r="E143" s="606" t="n"/>
      <c r="F143" s="607" t="n"/>
    </row>
    <row r="144" ht="27" customHeight="1">
      <c r="A144" s="719" t="inlineStr">
        <is>
          <t>No alternatives</t>
        </is>
      </c>
      <c r="B144" s="605" t="inlineStr">
        <is>
          <t>Commodities, Direct Property, Hedge Funds and Private Equity excluded</t>
        </is>
      </c>
      <c r="C144" s="606" t="n"/>
      <c r="D144" s="606" t="n"/>
      <c r="E144" s="606" t="n"/>
      <c r="F144" s="607" t="n"/>
    </row>
    <row r="145" ht="27" customHeight="1">
      <c r="A145" s="719" t="inlineStr">
        <is>
          <t>Alternatives at benchmark weights</t>
        </is>
      </c>
      <c r="B145" s="605" t="inlineStr">
        <is>
          <t>Alternatives held at benchmark weights (Commodities 2%, Direct Property 5%, Hedge Funds 3%, Private Equity 3%)</t>
        </is>
      </c>
      <c r="C145" s="606" t="n"/>
      <c r="D145" s="606" t="n"/>
      <c r="E145" s="606" t="n"/>
      <c r="F145" s="607" t="n"/>
    </row>
    <row r="146" ht="27" customHeight="1">
      <c r="A146" s="720" t="inlineStr">
        <is>
          <t>Core five only</t>
        </is>
      </c>
      <c r="B146" s="721" t="inlineStr">
        <is>
          <t>Australian and world equities, both bond classes and cash only; cannot reach 1.1% TE, so optimised at the 1.5% brief limit</t>
        </is>
      </c>
      <c r="C146" s="722" t="n"/>
      <c r="D146" s="722" t="n"/>
      <c r="E146" s="722" t="n"/>
      <c r="F146" s="723" t="n"/>
    </row>
    <row r="149">
      <c r="A149" s="647" t="inlineStr">
        <is>
          <t>9c. How the portfolios compare</t>
        </is>
      </c>
      <c r="B149" s="648" t="n"/>
      <c r="C149" s="648" t="n"/>
      <c r="D149" s="648" t="n"/>
      <c r="E149" s="648" t="n"/>
      <c r="F149" s="649" t="n"/>
    </row>
    <row r="150" ht="40" customHeight="1">
      <c r="A150" s="650" t="inlineStr">
        <is>
          <t>Measure</t>
        </is>
      </c>
      <c r="B150" s="651" t="inlineStr">
        <is>
          <t>Recommended</t>
        </is>
      </c>
      <c r="C150" s="651" t="inlineStr">
        <is>
          <t>Alternatives fixed by scorecard</t>
        </is>
      </c>
      <c r="D150" s="651" t="inlineStr">
        <is>
          <t>No alternatives</t>
        </is>
      </c>
      <c r="E150" s="651" t="inlineStr">
        <is>
          <t>Alternatives at benchmark weights</t>
        </is>
      </c>
      <c r="F150" s="652" t="inlineStr">
        <is>
          <t>Core five only</t>
        </is>
      </c>
    </row>
    <row r="151">
      <c r="A151" s="653" t="inlineStr">
        <is>
          <t>Expected return (arithmetic, optimiser input)</t>
        </is>
      </c>
      <c r="B151" s="433">
        <f>SUMPRODUCT(B$127:B$137,Forecast!$G$6:$G$16)</f>
        <v>0.0700321062587087</v>
      </c>
      <c r="C151" s="433">
        <f>SUMPRODUCT(C$127:C$137,Forecast!$G$6:$G$16)</f>
        <v>0.0693838657727121</v>
      </c>
      <c r="D151" s="433">
        <f>SUMPRODUCT(D$127:D$137,Forecast!$G$6:$G$16)</f>
        <v>0.0694877442587944</v>
      </c>
      <c r="E151" s="433">
        <f>SUMPRODUCT(E$127:E$137,Forecast!$G$6:$G$16)</f>
        <v>0.0686573976596479</v>
      </c>
      <c r="F151" s="724">
        <f>SUMPRODUCT(F$127:F$137,Forecast!$G$6:$G$16)</f>
        <v>0.0677275686051687</v>
      </c>
    </row>
    <row r="152">
      <c r="A152" s="653" t="inlineStr">
        <is>
          <t>Expected return (compound)</t>
        </is>
      </c>
      <c r="B152" s="433">
        <f>B151-B153^2/2</f>
        <v>0.0669596785505359</v>
      </c>
      <c r="C152" s="433">
        <f>C151-C153^2/2</f>
        <v>0.0662356533917832</v>
      </c>
      <c r="D152" s="433">
        <f>D151-D153^2/2</f>
        <v>0.0665440755790494</v>
      </c>
      <c r="E152" s="433">
        <f>E151-E153^2/2</f>
        <v>0.065443707159357</v>
      </c>
      <c r="F152" s="724">
        <f>F151-F153^2/2</f>
        <v>0.0650245476262355</v>
      </c>
    </row>
    <row r="153">
      <c r="A153" s="653" t="inlineStr">
        <is>
          <t>Volatility</t>
        </is>
      </c>
      <c r="B153" s="433">
        <f>SQRT(SUMPRODUCT(MMULT(Risk!$B$41:$L$51,B$127:B$137),B$127:B$137))</f>
        <v>0.0783891281769718</v>
      </c>
      <c r="C153" s="433">
        <f>SQRT(SUMPRODUCT(MMULT(Risk!$B$41:$L$51,C$127:C$137),C$127:C$137))</f>
        <v>0.0793500142524106</v>
      </c>
      <c r="D153" s="433">
        <f>SQRT(SUMPRODUCT(MMULT(Risk!$B$41:$L$51,D$127:D$137),D$127:D$137))</f>
        <v>0.076728986435961</v>
      </c>
      <c r="E153" s="433">
        <f>SQRT(SUMPRODUCT(MMULT(Risk!$B$41:$L$51,E$127:E$137),E$127:E$137))</f>
        <v>0.0801709486072219</v>
      </c>
      <c r="F153" s="724">
        <f>SQRT(SUMPRODUCT(MMULT(Risk!$B$41:$L$51,F$127:F$137),F$127:F$137))</f>
        <v>0.0735257911067016</v>
      </c>
    </row>
    <row r="154">
      <c r="A154" s="653" t="inlineStr">
        <is>
          <t>Tracking error (parametric)</t>
        </is>
      </c>
      <c r="B154" s="433">
        <f>SQRT(SUMPRODUCT(MMULT(Risk!$B$41:$L$51,B$127:B$137-$D$6:$D$16),B$127:B$137-$D$6:$D$16))</f>
        <v>0.0110023822192608</v>
      </c>
      <c r="C154" s="433">
        <f>SQRT(SUMPRODUCT(MMULT(Risk!$B$41:$L$51,C$127:C$137-$D$6:$D$16),C$127:C$137-$D$6:$D$16))</f>
        <v>0.0109987446282153</v>
      </c>
      <c r="D154" s="433">
        <f>SQRT(SUMPRODUCT(MMULT(Risk!$B$41:$L$51,D$127:D$137-$D$6:$D$16),D$127:D$137-$D$6:$D$16))</f>
        <v>0.0109973817853267</v>
      </c>
      <c r="E154" s="433">
        <f>SQRT(SUMPRODUCT(MMULT(Risk!$B$41:$L$51,E$127:E$137-$D$6:$D$16),E$127:E$137-$D$6:$D$16))</f>
        <v>0.0110004829975875</v>
      </c>
      <c r="F154" s="724">
        <f>SQRT(SUMPRODUCT(MMULT(Risk!$B$41:$L$51,F$127:F$137-$D$6:$D$16),F$127:F$137-$D$6:$D$16))</f>
        <v>0.0149995219877281</v>
      </c>
    </row>
    <row r="155">
      <c r="A155" s="653" t="inlineStr">
        <is>
          <t>Tracking error (bootstrap)</t>
        </is>
      </c>
      <c r="B155" s="433">
        <f>Bootstrap!$D$12</f>
        <v>0.0118216021109069</v>
      </c>
      <c r="C155" s="433">
        <f>STDEV(Bootstrap!P102:P1101)/SQRT(5)</f>
        <v>0.0141892881764633</v>
      </c>
      <c r="D155" s="433">
        <f>STDEV(Bootstrap!Q102:Q1101)/SQRT(5)</f>
        <v>0.011441138318684</v>
      </c>
      <c r="E155" s="433">
        <f>STDEV(Bootstrap!R102:R1101)/SQRT(5)</f>
        <v>0.0147027147705213</v>
      </c>
      <c r="F155" s="724">
        <f>STDEV(Bootstrap!S102:S1101)/SQRT(5)</f>
        <v>0.0113929845348023</v>
      </c>
    </row>
    <row r="156">
      <c r="A156" s="653" t="inlineStr">
        <is>
          <t>5-year loss probability (bootstrap)</t>
        </is>
      </c>
      <c r="B156" s="433">
        <f>Bootstrap!$D$6</f>
        <v>0.073</v>
      </c>
      <c r="C156" s="433">
        <f>COUNTIF(Bootstrap!L102:L1101,"&lt;0")/COUNT(Bootstrap!L102:L1101)</f>
        <v>0.077</v>
      </c>
      <c r="D156" s="433">
        <f>COUNTIF(Bootstrap!M102:M1101,"&lt;0")/COUNT(Bootstrap!M102:M1101)</f>
        <v>0.072</v>
      </c>
      <c r="E156" s="433">
        <f>COUNTIF(Bootstrap!N102:N1101,"&lt;0")/COUNT(Bootstrap!N102:N1101)</f>
        <v>0.08</v>
      </c>
      <c r="F156" s="724">
        <f>COUNTIF(Bootstrap!O102:O1101,"&lt;0")/COUNT(Bootstrap!O102:O1101)</f>
        <v>0.051</v>
      </c>
    </row>
    <row r="157">
      <c r="A157" s="653" t="inlineStr">
        <is>
          <t>5-year loss probability (normal)</t>
        </is>
      </c>
      <c r="B157" s="433">
        <f>NORMSDIST(-B152*SQRT(5)/B153)</f>
        <v>0.0280640130865004</v>
      </c>
      <c r="C157" s="433">
        <f>NORMSDIST(-C152*SQRT(5)/C153)</f>
        <v>0.0309851742722866</v>
      </c>
      <c r="D157" s="433">
        <f>NORMSDIST(-D152*SQRT(5)/D153)</f>
        <v>0.0262351430350772</v>
      </c>
      <c r="E157" s="433">
        <f>NORMSDIST(-E152*SQRT(5)/E153)</f>
        <v>0.0339773720634689</v>
      </c>
      <c r="F157" s="724">
        <f>NORMSDIST(-F152*SQRT(5)/F153)</f>
        <v>0.023990990858898</v>
      </c>
    </row>
    <row r="158">
      <c r="A158" s="653" t="inlineStr">
        <is>
          <t>Sharpe ratio (excess over expected cash)</t>
        </is>
      </c>
      <c r="B158" s="435">
        <f>(B151-Forecast!$G$16)/B153</f>
        <v>0.28490915750799</v>
      </c>
      <c r="C158" s="435">
        <f>(C151-Forecast!$G$16)/C153</f>
        <v>0.273289679718381</v>
      </c>
      <c r="D158" s="435">
        <f>(D151-Forecast!$G$16)/D153</f>
        <v>0.283978969081759</v>
      </c>
      <c r="E158" s="435">
        <f>(E151-Forecast!$G$16)/E153</f>
        <v>0.261429760177965</v>
      </c>
      <c r="F158" s="725">
        <f>(F151-Forecast!$G$16)/F153</f>
        <v>0.27241111604063</v>
      </c>
    </row>
    <row r="159">
      <c r="A159" s="653" t="inlineStr">
        <is>
          <t>Management fee (p.a.)</t>
        </is>
      </c>
      <c r="B159" s="433">
        <f>SUMPRODUCT(B$127:B$137,Inputs!$D$5:$D$15)</f>
        <v>0.0013311</v>
      </c>
      <c r="C159" s="433">
        <f>SUMPRODUCT(C$127:C$137,Inputs!$D$5:$D$15)</f>
        <v>0.00214125</v>
      </c>
      <c r="D159" s="433">
        <f>SUMPRODUCT(D$127:D$137,Inputs!$D$5:$D$15)</f>
        <v>0.00130775</v>
      </c>
      <c r="E159" s="433">
        <f>SUMPRODUCT(E$127:E$137,Inputs!$D$5:$D$15)</f>
        <v>0.0033851</v>
      </c>
      <c r="F159" s="724">
        <f>SUMPRODUCT(F$127:F$137,Inputs!$D$5:$D$15)</f>
        <v>0.00123295</v>
      </c>
    </row>
    <row r="160">
      <c r="A160" s="653" t="inlineStr">
        <is>
          <t>Equity weight</t>
        </is>
      </c>
      <c r="B160" s="483">
        <f>SUMPRODUCT(B$127:B$137,Inputs!$G$5:$G$15)</f>
        <v>0.62</v>
      </c>
      <c r="C160" s="483">
        <f>SUMPRODUCT(C$127:C$137,Inputs!$G$5:$G$15)</f>
        <v>0.6018</v>
      </c>
      <c r="D160" s="483">
        <f>SUMPRODUCT(D$127:D$137,Inputs!$G$5:$G$15)</f>
        <v>0.62</v>
      </c>
      <c r="E160" s="483">
        <f>SUMPRODUCT(E$127:E$137,Inputs!$G$5:$G$15)</f>
        <v>0.5835</v>
      </c>
      <c r="F160" s="726">
        <f>SUMPRODUCT(F$127:F$137,Inputs!$G$5:$G$15)</f>
        <v>0.62</v>
      </c>
    </row>
    <row r="161">
      <c r="A161" s="653" t="inlineStr">
        <is>
          <t>Illiquid weight</t>
        </is>
      </c>
      <c r="B161" s="483">
        <f>SUMPRODUCT(B$127:B$137,Inputs!$H$5:$H$15)</f>
        <v>0</v>
      </c>
      <c r="C161" s="483">
        <f>SUMPRODUCT(C$127:C$137,Inputs!$H$5:$H$15)</f>
        <v>0.06</v>
      </c>
      <c r="D161" s="483">
        <f>SUMPRODUCT(D$127:D$137,Inputs!$H$5:$H$15)</f>
        <v>0</v>
      </c>
      <c r="E161" s="483">
        <f>SUMPRODUCT(E$127:E$137,Inputs!$H$5:$H$15)</f>
        <v>0.11</v>
      </c>
      <c r="F161" s="726">
        <f>SUMPRODUCT(F$127:F$137,Inputs!$H$5:$H$15)</f>
        <v>0</v>
      </c>
    </row>
    <row r="162">
      <c r="A162" s="653" t="inlineStr">
        <is>
          <t>Global financial crisis</t>
        </is>
      </c>
      <c r="B162" s="483">
        <f>SUMPRODUCT(B$127:B$137,Stress!$B$11:$B$21)</f>
        <v>-0.235024797551683</v>
      </c>
      <c r="C162" s="483">
        <f>SUMPRODUCT(C$127:C$137,Stress!$B$11:$B$21)</f>
        <v>-0.244316959633621</v>
      </c>
      <c r="D162" s="483">
        <f>SUMPRODUCT(D$127:D$137,Stress!$B$11:$B$21)</f>
        <v>-0.220942547218536</v>
      </c>
      <c r="E162" s="483">
        <f>SUMPRODUCT(E$127:E$137,Stress!$B$11:$B$21)</f>
        <v>-0.242012591252898</v>
      </c>
      <c r="F162" s="726">
        <f>SUMPRODUCT(F$127:F$137,Stress!$B$11:$B$21)</f>
        <v>-0.176150633957053</v>
      </c>
    </row>
    <row r="163">
      <c r="A163" s="653" t="inlineStr">
        <is>
          <t>COVID shock</t>
        </is>
      </c>
      <c r="B163" s="483">
        <f>SUMPRODUCT(B$127:B$137,Stress!$C$11:$C$21)</f>
        <v>-0.107482356833963</v>
      </c>
      <c r="C163" s="483">
        <f>SUMPRODUCT(C$127:C$137,Stress!$C$11:$C$21)</f>
        <v>-0.112000829291353</v>
      </c>
      <c r="D163" s="483">
        <f>SUMPRODUCT(D$127:D$137,Stress!$C$11:$C$21)</f>
        <v>-0.0975536483158721</v>
      </c>
      <c r="E163" s="483">
        <f>SUMPRODUCT(E$127:E$137,Stress!$C$11:$C$21)</f>
        <v>-0.108839099882129</v>
      </c>
      <c r="F163" s="726">
        <f>SUMPRODUCT(F$127:F$137,Stress!$C$11:$C$21)</f>
        <v>-0.0884239972744678</v>
      </c>
    </row>
    <row r="164">
      <c r="A164" s="653" t="inlineStr">
        <is>
          <t>Inflation sell-off (2022)</t>
        </is>
      </c>
      <c r="B164" s="483">
        <f>SUMPRODUCT(B$127:B$137,Stress!$D$11:$D$21)</f>
        <v>-0.0754055858935452</v>
      </c>
      <c r="C164" s="483">
        <f>SUMPRODUCT(C$127:C$137,Stress!$D$11:$D$21)</f>
        <v>-0.0733414212148795</v>
      </c>
      <c r="D164" s="483">
        <f>SUMPRODUCT(D$127:D$137,Stress!$D$11:$D$21)</f>
        <v>-0.0868456081107866</v>
      </c>
      <c r="E164" s="483">
        <f>SUMPRODUCT(E$127:E$137,Stress!$D$11:$D$21)</f>
        <v>-0.0712937594745758</v>
      </c>
      <c r="F164" s="726">
        <f>SUMPRODUCT(F$127:F$137,Stress!$D$11:$D$21)</f>
        <v>-0.0811310086296299</v>
      </c>
    </row>
    <row r="165">
      <c r="A165" s="653" t="inlineStr">
        <is>
          <t>US$150 oil (central case)</t>
        </is>
      </c>
      <c r="B165" s="483">
        <f>SUMPRODUCT(B$127:B$137,Stress!$E$11:$E$21)</f>
        <v>-0.0836389097568949</v>
      </c>
      <c r="C165" s="483">
        <f>SUMPRODUCT(C$127:C$137,Stress!$E$11:$E$21)</f>
        <v>-0.0774120023946985</v>
      </c>
      <c r="D165" s="483">
        <f>SUMPRODUCT(D$127:D$137,Stress!$E$11:$E$21)</f>
        <v>-0.0915662144019019</v>
      </c>
      <c r="E165" s="483">
        <f>SUMPRODUCT(E$127:E$137,Stress!$E$11:$E$21)</f>
        <v>-0.0799285280437998</v>
      </c>
      <c r="F165" s="726">
        <f>SUMPRODUCT(F$127:F$137,Stress!$E$11:$E$21)</f>
        <v>-0.0837521544116746</v>
      </c>
    </row>
    <row r="166">
      <c r="A166" s="653" t="inlineStr">
        <is>
          <t>US$150 oil (severe case, 2008 scaled)</t>
        </is>
      </c>
      <c r="B166" s="483">
        <f>SUMPRODUCT(B$127:B$137,Oil!$C$135:$C$145)</f>
        <v>-0.134286393345641</v>
      </c>
      <c r="C166" s="483">
        <f>SUMPRODUCT(C$127:C$137,Oil!$C$135:$C$145)</f>
        <v>-0.130484724412916</v>
      </c>
      <c r="D166" s="483">
        <f>SUMPRODUCT(D$127:D$137,Oil!$C$135:$C$145)</f>
        <v>-0.140781890771643</v>
      </c>
      <c r="E166" s="483">
        <f>SUMPRODUCT(E$127:E$137,Oil!$C$135:$C$145)</f>
        <v>-0.129749311692634</v>
      </c>
      <c r="F166" s="726">
        <f>SUMPRODUCT(F$127:F$137,Oil!$C$135:$C$145)</f>
        <v>-0.117122526755666</v>
      </c>
    </row>
    <row r="167">
      <c r="A167" s="653" t="inlineStr">
        <is>
          <t>One-way turnover</t>
        </is>
      </c>
      <c r="B167" s="483">
        <f>SUMPRODUCT(ABS(B$127:B$137-$C$6:$C$16))/2</f>
        <v>0.2195</v>
      </c>
      <c r="C167" s="483">
        <f>SUMPRODUCT(ABS(C$127:C$137-$C$6:$C$16))/2</f>
        <v>0.2196</v>
      </c>
      <c r="D167" s="483">
        <f>SUMPRODUCT(ABS(D$127:D$137-$C$6:$C$16))/2</f>
        <v>0.2241</v>
      </c>
      <c r="E167" s="483">
        <f>SUMPRODUCT(ABS(E$127:E$137-$C$6:$C$16))/2</f>
        <v>0.2328</v>
      </c>
      <c r="F167" s="726">
        <f>SUMPRODUCT(ABS(F$127:F$137-$C$6:$C$16))/2</f>
        <v>0.2359</v>
      </c>
    </row>
    <row r="168">
      <c r="A168" s="653" t="inlineStr">
        <is>
          <t>Transition cost (A$m)</t>
        </is>
      </c>
      <c r="B168" s="458">
        <f>SUMPRODUCT(ABS(B$127:B$137-$C$6:$C$16),Inputs!$B$54:$B$64)*Inputs!$B$22</f>
        <v>1.58265</v>
      </c>
      <c r="C168" s="458">
        <f>SUMPRODUCT(ABS(C$127:C$137-$C$6:$C$16),Inputs!$B$54:$B$64)*Inputs!$B$22</f>
        <v>3.81645</v>
      </c>
      <c r="D168" s="458">
        <f>SUMPRODUCT(ABS(D$127:D$137-$C$6:$C$16),Inputs!$B$54:$B$64)*Inputs!$B$22</f>
        <v>1.6788</v>
      </c>
      <c r="E168" s="458">
        <f>SUMPRODUCT(ABS(E$127:E$137-$C$6:$C$16),Inputs!$B$54:$B$64)*Inputs!$B$22</f>
        <v>4.66635</v>
      </c>
      <c r="F168" s="727">
        <f>SUMPRODUCT(ABS(F$127:F$137-$C$6:$C$16),Inputs!$B$54:$B$64)*Inputs!$B$22</f>
        <v>1.7454</v>
      </c>
    </row>
    <row r="169">
      <c r="A169" s="653" t="inlineStr">
        <is>
          <t>Compound advantage vs current, after amortised costs</t>
        </is>
      </c>
      <c r="B169" s="433">
        <f>B152-(Risk!$N$56-Risk!$M$56^2/2)-B168/Inputs!$B$22/Inputs!$B$69</f>
        <v>0.000743620614777691</v>
      </c>
      <c r="C169" s="433">
        <f>C152-(Risk!$N$56-Risk!$M$56^2/2)-C168/Inputs!$B$22/Inputs!$B$69</f>
        <v>-0.000129324543974976</v>
      </c>
      <c r="D169" s="433">
        <f>D152-(Risk!$N$56-Risk!$M$56^2/2)-D168/Inputs!$B$22/Inputs!$B$69</f>
        <v>0.000321607643291229</v>
      </c>
      <c r="E169" s="433">
        <f>E152-(Risk!$N$56-Risk!$M$56^2/2)-E168/Inputs!$B$22/Inputs!$B$69</f>
        <v>-0.000977930776401237</v>
      </c>
      <c r="F169" s="724">
        <f>F152-(Risk!$N$56-Risk!$M$56^2/2)-F168/Inputs!$B$22/Inputs!$B$69</f>
        <v>-0.00120236030952268</v>
      </c>
    </row>
    <row r="170" ht="27" customHeight="1">
      <c r="A170" s="728" t="inlineStr">
        <is>
          <t>Brief constraints (TE within 1.5% parametric and bootstrap, equity band, illiquid, cash)</t>
        </is>
      </c>
      <c r="B170" s="729" t="str">
        <f>IF(AND(B154&lt;=Inputs!$B$27+0.00001,B155&lt;=Inputs!$B$27,B160&gt;=Inputs!$B$31-0.00001,B160&lt;=Inputs!$B$32+0.0005,B161&lt;=Inputs!$B$33,B137&gt;=Inputs!$B$34-0.00001),"MET","NOT MET")</f>
        <v>MET</v>
      </c>
      <c r="C170" s="729" t="str">
        <f>IF(AND(C154&lt;=Inputs!$B$27+0.00001,C155&lt;=Inputs!$B$27,C160&gt;=Inputs!$B$31-0.00001,C160&lt;=Inputs!$B$32+0.0005,C161&lt;=Inputs!$B$33,C137&gt;=Inputs!$B$34-0.00001),"MET","NOT MET")</f>
        <v>MET</v>
      </c>
      <c r="D170" s="729" t="str">
        <f>IF(AND(D154&lt;=Inputs!$B$27+0.00001,D155&lt;=Inputs!$B$27,D160&gt;=Inputs!$B$31-0.00001,D160&lt;=Inputs!$B$32+0.0005,D161&lt;=Inputs!$B$33,D137&gt;=Inputs!$B$34-0.00001),"MET","NOT MET")</f>
        <v>MET</v>
      </c>
      <c r="E170" s="729" t="str">
        <f>IF(AND(E154&lt;=Inputs!$B$27+0.00001,E155&lt;=Inputs!$B$27,E160&gt;=Inputs!$B$31-0.00001,E160&lt;=Inputs!$B$32+0.0005,E161&lt;=Inputs!$B$33,E137&gt;=Inputs!$B$34-0.00001),"MET","NOT MET")</f>
        <v>MET</v>
      </c>
      <c r="F170" s="730" t="str">
        <f>IF(AND(F154&lt;=Inputs!$B$27+0.00001,F155&lt;=Inputs!$B$27,F160&gt;=Inputs!$B$31-0.00001,F160&lt;=Inputs!$B$32+0.0005,F161&lt;=Inputs!$B$33,F137&gt;=Inputs!$B$34-0.00001),"MET","NOT MET")</f>
        <v>MET</v>
      </c>
    </row>
  </sheetData>
  <mergeCells count="6">
    <mergeCell ref="B144:F144"/>
    <mergeCell ref="B141:F141"/>
    <mergeCell ref="B142:F142"/>
    <mergeCell ref="B146:F146"/>
    <mergeCell ref="B145:F145"/>
    <mergeCell ref="B143:F143"/>
  </mergeCells>
  <conditionalFormatting sqref="E32:E38">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conditionalFormatting sqref="D80">
    <cfRule type="cellIs" priority="7" operator="equal" dxfId="3">
      <formula>"MET"</formula>
    </cfRule>
    <cfRule type="cellIs" priority="8" operator="equal" dxfId="3">
      <formula>"PASS"</formula>
    </cfRule>
    <cfRule type="cellIs" priority="9" operator="equal" dxfId="3">
      <formula>"INFO"</formula>
    </cfRule>
    <cfRule type="cellIs" priority="10" operator="equal" dxfId="1">
      <formula>"NOT MET"</formula>
    </cfRule>
    <cfRule type="cellIs" priority="11" operator="equal" dxfId="1">
      <formula>"FAIL"</formula>
    </cfRule>
    <cfRule type="cellIs" priority="12" operator="equal" dxfId="0">
      <formula>"MAX FEASIBLE"</formula>
    </cfRule>
    <cfRule type="cellIs" priority="13" operator="equal" dxfId="0">
      <formula>"REVIEW"</formula>
    </cfRule>
  </conditionalFormatting>
  <conditionalFormatting sqref="B102:F102">
    <cfRule type="cellIs" priority="14" operator="equal" dxfId="3">
      <formula>"MET"</formula>
    </cfRule>
    <cfRule type="cellIs" priority="15" operator="equal" dxfId="3">
      <formula>"PASS"</formula>
    </cfRule>
    <cfRule type="cellIs" priority="16" operator="equal" dxfId="3">
      <formula>"INFO"</formula>
    </cfRule>
    <cfRule type="cellIs" priority="17" operator="equal" dxfId="1">
      <formula>"NOT MET"</formula>
    </cfRule>
    <cfRule type="cellIs" priority="18" operator="equal" dxfId="1">
      <formula>"FAIL"</formula>
    </cfRule>
    <cfRule type="cellIs" priority="19" operator="equal" dxfId="0">
      <formula>"MAX FEASIBLE"</formula>
    </cfRule>
    <cfRule type="cellIs" priority="20" operator="equal" dxfId="0">
      <formula>"REVIEW"</formula>
    </cfRule>
  </conditionalFormatting>
  <conditionalFormatting sqref="E112">
    <cfRule type="cellIs" priority="21" operator="equal" dxfId="3">
      <formula>"MET"</formula>
    </cfRule>
    <cfRule type="cellIs" priority="22" operator="equal" dxfId="3">
      <formula>"PASS"</formula>
    </cfRule>
    <cfRule type="cellIs" priority="23" operator="equal" dxfId="3">
      <formula>"INFO"</formula>
    </cfRule>
    <cfRule type="cellIs" priority="24" operator="equal" dxfId="1">
      <formula>"NOT MET"</formula>
    </cfRule>
    <cfRule type="cellIs" priority="25" operator="equal" dxfId="1">
      <formula>"FAIL"</formula>
    </cfRule>
    <cfRule type="cellIs" priority="26" operator="equal" dxfId="0">
      <formula>"MAX FEASIBLE"</formula>
    </cfRule>
    <cfRule type="cellIs" priority="27" operator="equal" dxfId="0">
      <formula>"REVIEW"</formula>
    </cfRule>
  </conditionalFormatting>
  <conditionalFormatting sqref="D122">
    <cfRule type="cellIs" priority="28" operator="equal" dxfId="3">
      <formula>"MET"</formula>
    </cfRule>
    <cfRule type="cellIs" priority="29" operator="equal" dxfId="3">
      <formula>"PASS"</formula>
    </cfRule>
    <cfRule type="cellIs" priority="30" operator="equal" dxfId="3">
      <formula>"INFO"</formula>
    </cfRule>
    <cfRule type="cellIs" priority="31" operator="equal" dxfId="1">
      <formula>"NOT MET"</formula>
    </cfRule>
    <cfRule type="cellIs" priority="32" operator="equal" dxfId="1">
      <formula>"FAIL"</formula>
    </cfRule>
    <cfRule type="cellIs" priority="33" operator="equal" dxfId="0">
      <formula>"MAX FEASIBLE"</formula>
    </cfRule>
    <cfRule type="cellIs" priority="34" operator="equal" dxfId="0">
      <formula>"REVIEW"</formula>
    </cfRule>
  </conditionalFormatting>
  <conditionalFormatting sqref="B170:F170">
    <cfRule type="cellIs" priority="35" operator="equal" dxfId="3">
      <formula>"MET"</formula>
    </cfRule>
    <cfRule type="cellIs" priority="36" operator="equal" dxfId="3">
      <formula>"PASS"</formula>
    </cfRule>
    <cfRule type="cellIs" priority="37" operator="equal" dxfId="3">
      <formula>"INFO"</formula>
    </cfRule>
    <cfRule type="cellIs" priority="38" operator="equal" dxfId="1">
      <formula>"NOT MET"</formula>
    </cfRule>
    <cfRule type="cellIs" priority="39" operator="equal" dxfId="1">
      <formula>"FAIL"</formula>
    </cfRule>
    <cfRule type="cellIs" priority="40" operator="equal" dxfId="0">
      <formula>"MAX FEASIBLE"</formula>
    </cfRule>
    <cfRule type="cellIs" priority="41" operator="equal" dxfId="0">
      <formula>"REVIEW"</formula>
    </cfRule>
  </conditionalFormatting>
  <pageMargins left="0.75" right="0.75" top="1" bottom="1" header="0.5" footer="0.5"/>
  <pageSetup orientation="landscape" fitToHeight="0"/>
</worksheet>
</file>

<file path=xl/worksheets/sheet7.xml><?xml version="1.0" encoding="utf-8"?>
<worksheet xmlns="http://schemas.openxmlformats.org/spreadsheetml/2006/main">
  <sheetPr>
    <tabColor rgb="FF5B2C83"/>
    <outlinePr summaryBelow="1" summaryRight="1"/>
    <pageSetUpPr fitToPage="1"/>
  </sheetPr>
  <dimension ref="A1:M51"/>
  <sheetViews>
    <sheetView showGridLines="0" topLeftCell="A46" workbookViewId="0">
      <selection activeCell="A1" sqref="A1"/>
    </sheetView>
  </sheetViews>
  <sheetFormatPr baseColWidth="10" defaultColWidth="8.83203125" defaultRowHeight="15"/>
  <cols>
    <col width="30" customWidth="1" min="1" max="1"/>
    <col width="12" customWidth="1" min="2" max="3"/>
    <col width="13" customWidth="1" min="4" max="5"/>
    <col width="14" customWidth="1" min="6" max="7"/>
    <col width="13" customWidth="1" min="8" max="9"/>
    <col width="12" customWidth="1" min="10" max="12"/>
    <col width="13" customWidth="1" min="13" max="13"/>
  </cols>
  <sheetData>
    <row r="1" ht="19" customHeight="1">
      <c r="A1" s="53" t="inlineStr">
        <is>
          <t>Methods</t>
        </is>
      </c>
    </row>
    <row r="2">
      <c r="A2" s="54" t="inlineStr">
        <is>
          <t>Selected method</t>
        </is>
      </c>
      <c r="B2" s="287" t="str">
        <f>INDEX(D5:H5,Inputs!$B$49)</f>
        <v>Robust MVO</v>
      </c>
    </row>
    <row r="3">
      <c r="A3" s="136" t="inlineStr">
        <is>
          <t>1. Method weights (alternatives optimised; Australian fixed income floor 12%; risk parity holds the scorecard alternatives)</t>
        </is>
      </c>
      <c r="B3" s="137" t="n"/>
      <c r="C3" s="137" t="n"/>
      <c r="D3" s="137" t="n"/>
      <c r="E3" s="137" t="n"/>
      <c r="F3" s="137" t="n"/>
      <c r="G3" s="137" t="n"/>
      <c r="H3" s="137" t="n"/>
      <c r="I3" s="138" t="n"/>
    </row>
    <row r="4">
      <c r="A4" s="288" t="n"/>
      <c r="B4" s="77" t="n"/>
      <c r="C4" s="77" t="n"/>
      <c r="D4" s="77" t="n"/>
      <c r="E4" s="77" t="n"/>
      <c r="F4" s="77" t="n"/>
      <c r="G4" s="77" t="n"/>
      <c r="H4" s="77" t="n"/>
      <c r="I4" s="289" t="n"/>
    </row>
    <row r="5" ht="30" customHeight="1">
      <c r="A5" s="139" t="inlineStr">
        <is>
          <t>Asset class</t>
        </is>
      </c>
      <c r="B5" s="140" t="inlineStr">
        <is>
          <t>Current</t>
        </is>
      </c>
      <c r="C5" s="140" t="inlineStr">
        <is>
          <t>Benchmark</t>
        </is>
      </c>
      <c r="D5" s="140" t="inlineStr">
        <is>
          <t>Robust MVO</t>
        </is>
      </c>
      <c r="E5" s="140" t="inlineStr">
        <is>
          <t>Sample MVO</t>
        </is>
      </c>
      <c r="F5" s="140" t="inlineStr">
        <is>
          <t>Resampled MVO</t>
        </is>
      </c>
      <c r="G5" s="140" t="inlineStr">
        <is>
          <t>Minimum variance</t>
        </is>
      </c>
      <c r="H5" s="140" t="inlineStr">
        <is>
          <t>Risk parity</t>
        </is>
      </c>
      <c r="I5" s="141" t="inlineStr">
        <is>
          <t>Selected</t>
        </is>
      </c>
    </row>
    <row r="6">
      <c r="A6" s="142" t="inlineStr">
        <is>
          <t>Australian Equities</t>
        </is>
      </c>
      <c r="B6" s="68">
        <f>Inputs!B5</f>
        <v>0.4</v>
      </c>
      <c r="C6" s="68">
        <f>Inputs!C5</f>
        <v>0.25</v>
      </c>
      <c r="D6" s="290" t="n">
        <v>0.2738</v>
      </c>
      <c r="E6" s="189" t="n">
        <v>0.2732</v>
      </c>
      <c r="F6" s="189" t="n">
        <v>0.2597</v>
      </c>
      <c r="G6" s="189" t="n">
        <v>0.2087</v>
      </c>
      <c r="H6" s="189" t="n">
        <v>0.1931</v>
      </c>
      <c r="I6" s="291">
        <f>INDEX(D6:H6,Inputs!$B$49)</f>
        <v>0.2738</v>
      </c>
    </row>
    <row r="7">
      <c r="A7" s="142" t="inlineStr">
        <is>
          <t>World Equities</t>
        </is>
      </c>
      <c r="B7" s="68">
        <f>Inputs!B6</f>
        <v>0.2</v>
      </c>
      <c r="C7" s="68">
        <f>Inputs!C6</f>
        <v>0.24</v>
      </c>
      <c r="D7" s="290" t="n">
        <v>0.279</v>
      </c>
      <c r="E7" s="189" t="n">
        <v>0.2879</v>
      </c>
      <c r="F7" s="189" t="n">
        <v>0.2594</v>
      </c>
      <c r="G7" s="189" t="n">
        <v>0.2024</v>
      </c>
      <c r="H7" s="189" t="n">
        <v>0.1992</v>
      </c>
      <c r="I7" s="291">
        <f>INDEX(D7:H7,Inputs!$B$49)</f>
        <v>0.279</v>
      </c>
    </row>
    <row r="8">
      <c r="A8" s="142" t="inlineStr">
        <is>
          <t>Emerging Markets</t>
        </is>
      </c>
      <c r="B8" s="68">
        <f>Inputs!B7</f>
        <v>0</v>
      </c>
      <c r="C8" s="68">
        <f>Inputs!C7</f>
        <v>0.03</v>
      </c>
      <c r="D8" s="290" t="n">
        <v>0.0672</v>
      </c>
      <c r="E8" s="189" t="n">
        <v>0.0589</v>
      </c>
      <c r="F8" s="189" t="n">
        <v>0.0475</v>
      </c>
      <c r="G8" s="189" t="n">
        <v>0.0279</v>
      </c>
      <c r="H8" s="189" t="n">
        <v>0.08</v>
      </c>
      <c r="I8" s="291">
        <f>INDEX(D8:H8,Inputs!$B$49)</f>
        <v>0.0672</v>
      </c>
    </row>
    <row r="9">
      <c r="A9" s="142" t="inlineStr">
        <is>
          <t>Listed Property</t>
        </is>
      </c>
      <c r="B9" s="68">
        <f>Inputs!B8</f>
        <v>0.1</v>
      </c>
      <c r="C9" s="68">
        <f>Inputs!C8</f>
        <v>0.07</v>
      </c>
      <c r="D9" s="290" t="n">
        <v>0.0867</v>
      </c>
      <c r="E9" s="189" t="n">
        <v>0.08</v>
      </c>
      <c r="F9" s="189" t="n">
        <v>0.07729999999999999</v>
      </c>
      <c r="G9" s="189" t="n">
        <v>0.0566</v>
      </c>
      <c r="H9" s="189" t="n">
        <v>0.1117</v>
      </c>
      <c r="I9" s="291">
        <f>INDEX(D9:H9,Inputs!$B$49)</f>
        <v>0.0867</v>
      </c>
    </row>
    <row r="10">
      <c r="A10" s="142" t="inlineStr">
        <is>
          <t>Commodities</t>
        </is>
      </c>
      <c r="B10" s="68">
        <f>Inputs!B9</f>
        <v>0</v>
      </c>
      <c r="C10" s="68">
        <f>Inputs!C9</f>
        <v>0.02</v>
      </c>
      <c r="D10" s="68" t="n">
        <v>0.0244</v>
      </c>
      <c r="E10" s="68" t="n">
        <v>0.0243</v>
      </c>
      <c r="F10" s="68" t="n">
        <v>0.0249</v>
      </c>
      <c r="G10" s="68" t="n">
        <v>0.0208</v>
      </c>
      <c r="H10" s="68" t="n">
        <v>0.03</v>
      </c>
      <c r="I10" s="291">
        <f>INDEX(D10:H10,Inputs!$B$49)</f>
        <v>0.0244</v>
      </c>
    </row>
    <row r="11">
      <c r="A11" s="142" t="inlineStr">
        <is>
          <t>Direct Property</t>
        </is>
      </c>
      <c r="B11" s="68">
        <f>Inputs!B10</f>
        <v>0</v>
      </c>
      <c r="C11" s="68">
        <f>Inputs!C10</f>
        <v>0.05</v>
      </c>
      <c r="D11" s="68" t="n">
        <v>0</v>
      </c>
      <c r="E11" s="68" t="n">
        <v>0</v>
      </c>
      <c r="F11" s="68" t="n">
        <v>0.0262</v>
      </c>
      <c r="G11" s="68" t="n">
        <v>0.0493</v>
      </c>
      <c r="H11" s="68" t="n">
        <v>0.05</v>
      </c>
      <c r="I11" s="291">
        <f>INDEX(D11:H11,Inputs!$B$49)</f>
        <v>0</v>
      </c>
    </row>
    <row r="12">
      <c r="A12" s="142" t="inlineStr">
        <is>
          <t>Hedge Funds</t>
        </is>
      </c>
      <c r="B12" s="68">
        <f>Inputs!B11</f>
        <v>0</v>
      </c>
      <c r="C12" s="68">
        <f>Inputs!C11</f>
        <v>0.03</v>
      </c>
      <c r="D12" s="68" t="n">
        <v>0</v>
      </c>
      <c r="E12" s="68" t="n">
        <v>0</v>
      </c>
      <c r="F12" s="68" t="n">
        <v>0.0106</v>
      </c>
      <c r="G12" s="68" t="n">
        <v>0.0361</v>
      </c>
      <c r="H12" s="68" t="n">
        <v>0</v>
      </c>
      <c r="I12" s="291">
        <f>INDEX(D12:H12,Inputs!$B$49)</f>
        <v>0</v>
      </c>
    </row>
    <row r="13">
      <c r="A13" s="142" t="inlineStr">
        <is>
          <t>Private Equity</t>
        </is>
      </c>
      <c r="B13" s="68">
        <f>Inputs!B12</f>
        <v>0</v>
      </c>
      <c r="C13" s="68">
        <f>Inputs!C12</f>
        <v>0.03</v>
      </c>
      <c r="D13" s="68" t="n">
        <v>0</v>
      </c>
      <c r="E13" s="68" t="n">
        <v>0</v>
      </c>
      <c r="F13" s="68" t="n">
        <v>0.0226</v>
      </c>
      <c r="G13" s="68" t="n">
        <v>0.026</v>
      </c>
      <c r="H13" s="68" t="n">
        <v>0.01</v>
      </c>
      <c r="I13" s="291">
        <f>INDEX(D13:H13,Inputs!$B$49)</f>
        <v>0</v>
      </c>
    </row>
    <row r="14">
      <c r="A14" s="142" t="inlineStr">
        <is>
          <t>Australian Fixed Income</t>
        </is>
      </c>
      <c r="B14" s="68">
        <f>Inputs!B13</f>
        <v>0.15</v>
      </c>
      <c r="C14" s="68">
        <f>Inputs!C13</f>
        <v>0.14</v>
      </c>
      <c r="D14" s="290" t="n">
        <v>0.12</v>
      </c>
      <c r="E14" s="189" t="n">
        <v>0.12</v>
      </c>
      <c r="F14" s="189" t="n">
        <v>0.1424</v>
      </c>
      <c r="G14" s="189" t="n">
        <v>0.1446</v>
      </c>
      <c r="H14" s="189" t="n">
        <v>0.1391</v>
      </c>
      <c r="I14" s="291">
        <f>INDEX(D14:H14,Inputs!$B$49)</f>
        <v>0.12</v>
      </c>
    </row>
    <row r="15">
      <c r="A15" s="142" t="inlineStr">
        <is>
          <t>World Fixed Income</t>
        </is>
      </c>
      <c r="B15" s="68">
        <f>Inputs!B14</f>
        <v>0.08</v>
      </c>
      <c r="C15" s="68">
        <f>Inputs!C14</f>
        <v>0.11</v>
      </c>
      <c r="D15" s="290" t="n">
        <v>0.1289</v>
      </c>
      <c r="E15" s="189" t="n">
        <v>0.1357</v>
      </c>
      <c r="F15" s="189" t="n">
        <v>0.1015</v>
      </c>
      <c r="G15" s="189" t="n">
        <v>0.1276</v>
      </c>
      <c r="H15" s="189" t="n">
        <v>0.1669</v>
      </c>
      <c r="I15" s="291">
        <f>INDEX(D15:H15,Inputs!$B$49)</f>
        <v>0.1289</v>
      </c>
    </row>
    <row r="16">
      <c r="A16" s="142" t="inlineStr">
        <is>
          <t>Cash</t>
        </is>
      </c>
      <c r="B16" s="68">
        <f>Inputs!B15</f>
        <v>0.07</v>
      </c>
      <c r="C16" s="68">
        <f>Inputs!C15</f>
        <v>0.03</v>
      </c>
      <c r="D16" s="290" t="n">
        <v>0.02</v>
      </c>
      <c r="E16" s="189" t="n">
        <v>0.02</v>
      </c>
      <c r="F16" s="189" t="n">
        <v>0.0279</v>
      </c>
      <c r="G16" s="189" t="n">
        <v>0.1</v>
      </c>
      <c r="H16" s="189" t="n">
        <v>0.02</v>
      </c>
      <c r="I16" s="291">
        <f>INDEX(D16:H16,Inputs!$B$49)</f>
        <v>0.02</v>
      </c>
    </row>
    <row r="17">
      <c r="A17" s="292" t="inlineStr">
        <is>
          <t>Total</t>
        </is>
      </c>
      <c r="B17" s="293">
        <f>SUM(B6:B16)</f>
        <v>1</v>
      </c>
      <c r="C17" s="293">
        <f>SUM(C6:C16)</f>
        <v>1</v>
      </c>
      <c r="D17" s="293">
        <f>SUM(D6:D16)</f>
        <v>1</v>
      </c>
      <c r="E17" s="293">
        <f>SUM(E6:E16)</f>
        <v>1</v>
      </c>
      <c r="F17" s="293">
        <f>SUM(F6:F16)</f>
        <v>1</v>
      </c>
      <c r="G17" s="293">
        <f>SUM(G6:G16)</f>
        <v>1</v>
      </c>
      <c r="H17" s="293">
        <f>SUM(H6:H16)</f>
        <v>1</v>
      </c>
      <c r="I17" s="294">
        <f>SUM(I6:I16)</f>
        <v>1</v>
      </c>
    </row>
    <row r="20">
      <c r="A20" s="247" t="inlineStr">
        <is>
          <t>2. Scorecard</t>
        </is>
      </c>
      <c r="B20" s="248" t="n"/>
      <c r="C20" s="248" t="n"/>
      <c r="D20" s="248" t="n"/>
      <c r="E20" s="248" t="n"/>
      <c r="F20" s="248" t="n"/>
      <c r="G20" s="248" t="n"/>
      <c r="H20" s="248" t="n"/>
      <c r="I20" s="248" t="n"/>
      <c r="J20" s="248" t="n"/>
      <c r="K20" s="248" t="n"/>
      <c r="L20" s="248" t="n"/>
      <c r="M20" s="249" t="n"/>
    </row>
    <row r="21" ht="42" customHeight="1">
      <c r="A21" s="252" t="inlineStr">
        <is>
          <t>Portfolio</t>
        </is>
      </c>
      <c r="B21" s="253" t="inlineStr">
        <is>
          <t>Expected return (arithmetic)</t>
        </is>
      </c>
      <c r="C21" s="253" t="inlineStr">
        <is>
          <t>Volatility</t>
        </is>
      </c>
      <c r="D21" s="253" t="inlineStr">
        <is>
          <t>Sharpe ratio</t>
        </is>
      </c>
      <c r="E21" s="253" t="inlineStr">
        <is>
          <t>Tracking error</t>
        </is>
      </c>
      <c r="F21" s="253" t="inlineStr">
        <is>
          <t>Annual fee</t>
        </is>
      </c>
      <c r="G21" s="253" t="inlineStr">
        <is>
          <t>Turnover from current</t>
        </is>
      </c>
      <c r="H21" s="253" t="inlineStr">
        <is>
          <t>Effective N</t>
        </is>
      </c>
      <c r="I21" s="253" t="inlineStr">
        <is>
          <t>Diversification ratio</t>
        </is>
      </c>
      <c r="J21" s="253" t="inlineStr">
        <is>
          <t>5-year loss prob. (normal)</t>
        </is>
      </c>
      <c r="K21" s="253" t="inlineStr">
        <is>
          <t>GFC</t>
        </is>
      </c>
      <c r="L21" s="253" t="inlineStr">
        <is>
          <t>US$150 oil</t>
        </is>
      </c>
      <c r="M21" s="254" t="inlineStr">
        <is>
          <t>Meets brief?</t>
        </is>
      </c>
    </row>
    <row r="22">
      <c r="A22" s="250" t="inlineStr">
        <is>
          <t>Robust MVO</t>
        </is>
      </c>
      <c r="B22" s="72">
        <f>SUMPRODUCT(D$6:D$16,Forecast!$G$6:$G$16)</f>
        <v>0.0700321062587087</v>
      </c>
      <c r="C22" s="72">
        <f>SQRT(SUMPRODUCT(D$6:D$16,MMULT(Risk!$B$41:$L$51,D$6:D$16)))</f>
        <v>0.0783891281769718</v>
      </c>
      <c r="D22" s="116">
        <f>(B22-Inputs!$B$26)/C22</f>
        <v>0.306574480640398</v>
      </c>
      <c r="E22" s="72">
        <f>SQRT(SUMPRODUCT(D$6:D$16-Inputs!$C$5:$C$15,MMULT(Risk!$B$41:$L$51,D$6:D$16-Inputs!$C$5:$C$15)))</f>
        <v>0.0110023822192608</v>
      </c>
      <c r="F22" s="72">
        <f>SUMPRODUCT(D$6:D$16,Inputs!$D$5:$D$15)</f>
        <v>0.0013311</v>
      </c>
      <c r="G22" s="68">
        <f>SUMPRODUCT(ABS(D$6:D$16-$B$6:$B$16))/2</f>
        <v>0.2195</v>
      </c>
      <c r="H22" s="270">
        <f>1/SUMSQ(D$6:D$16)</f>
        <v>5.07999106327972</v>
      </c>
      <c r="I22" s="116">
        <f>SUMPRODUCT(D$6:D$16,Forecast!$H$6:$H$16)/C22</f>
        <v>1.47715593903092</v>
      </c>
      <c r="J22" s="68">
        <f>NORMSDIST(-(B22-C22^2/2)*SQRT(5)/C22)</f>
        <v>0.0280640130865004</v>
      </c>
      <c r="K22" s="68">
        <f>SUMPRODUCT(D$6:D$16,Stress!$B$11:$B$21)</f>
        <v>-0.235024797551683</v>
      </c>
      <c r="L22" s="68">
        <f>SUMPRODUCT(D$6:D$16,Oil!$F$28:$F$38)</f>
        <v>-0.0836389097568949</v>
      </c>
      <c r="M22" s="295" t="str">
        <f>IF(AND(E22&lt;=Inputs!$B$27+0.00005,SUMPRODUCT(D$6:D$16,Inputs!$G$5:$G$15)&gt;=Inputs!$B$31-0.000001,SUMPRODUCT(D$6:D$16,Inputs!$G$5:$G$15)&lt;=Inputs!$B$32+0.000001,D16&gt;=Inputs!$B$34-0.000001,SUMPRODUCT(D$6:D$16,Inputs!$H$5:$H$15)&lt;=Inputs!$B$33,MIN(D$6:D$16)&gt;=0),"MET","NOT MET")</f>
        <v>MET</v>
      </c>
    </row>
    <row r="23">
      <c r="A23" s="255" t="inlineStr">
        <is>
          <t>Sample MVO</t>
        </is>
      </c>
      <c r="B23" s="72">
        <f>SUMPRODUCT(E$6:E$16,Forecast!$G$6:$G$16)</f>
        <v>0.0699118836330803</v>
      </c>
      <c r="C23" s="72">
        <f>SQRT(SUMPRODUCT(E$6:E$16,MMULT(Risk!$B$41:$L$51,E$6:E$16)))</f>
        <v>0.078033812785194</v>
      </c>
      <c r="D23" s="116">
        <f>(B23-Inputs!$B$26)/C23</f>
        <v>0.306429774217277</v>
      </c>
      <c r="E23" s="72">
        <f>SQRT(SUMPRODUCT(E$6:E$16-Inputs!$C$5:$C$15,MMULT(Risk!$B$41:$L$51,E$6:E$16-Inputs!$C$5:$C$15)))</f>
        <v>0.01063713359279</v>
      </c>
      <c r="F23" s="72">
        <f>SUMPRODUCT(E$6:E$16,Inputs!$D$5:$D$15)</f>
        <v>0.00132715</v>
      </c>
      <c r="G23" s="68">
        <f>SUMPRODUCT(ABS(E$6:E$16-$B$6:$B$16))/2</f>
        <v>0.2268</v>
      </c>
      <c r="H23" s="270">
        <f>1/SUMSQ(E$6:E$16)</f>
        <v>4.97020758171369</v>
      </c>
      <c r="I23" s="116">
        <f>SUMPRODUCT(E$6:E$16,Forecast!$H$6:$H$16)/C23</f>
        <v>1.47489316942789</v>
      </c>
      <c r="J23" s="68">
        <f>NORMSDIST(-(B23-C23^2/2)*SQRT(5)/C23)</f>
        <v>0.0276769032936917</v>
      </c>
      <c r="K23" s="68">
        <f>SUMPRODUCT(E$6:E$16,Stress!$B$11:$B$21)</f>
        <v>-0.231113484809156</v>
      </c>
      <c r="L23" s="68">
        <f>SUMPRODUCT(E$6:E$16,Oil!$F$28:$F$38)</f>
        <v>-0.0831863571744296</v>
      </c>
      <c r="M23" s="295" t="str">
        <f>IF(AND(E23&lt;=Inputs!$B$27+0.00005,SUMPRODUCT(E$6:E$16,Inputs!$G$5:$G$15)&gt;=Inputs!$B$31-0.000001,SUMPRODUCT(E$6:E$16,Inputs!$G$5:$G$15)&lt;=Inputs!$B$32+0.000001,E16&gt;=Inputs!$B$34-0.000001,SUMPRODUCT(E$6:E$16,Inputs!$H$5:$H$15)&lt;=Inputs!$B$33,MIN(E$6:E$16)&gt;=0),"MET","NOT MET")</f>
        <v>MET</v>
      </c>
    </row>
    <row r="24">
      <c r="A24" s="255" t="inlineStr">
        <is>
          <t>Resampled MVO</t>
        </is>
      </c>
      <c r="B24" s="72">
        <f>SUMPRODUCT(F$6:F$16,Forecast!$G$6:$G$16)</f>
        <v>0.0680775395926901</v>
      </c>
      <c r="C24" s="72">
        <f>SQRT(SUMPRODUCT(F$6:F$16,MMULT(Risk!$B$41:$L$51,F$6:F$16)))</f>
        <v>0.0743193111754299</v>
      </c>
      <c r="D24" s="116">
        <f>(B24-Inputs!$B$26)/C24</f>
        <v>0.297063296786704</v>
      </c>
      <c r="E24" s="72">
        <f>SQRT(SUMPRODUCT(F$6:F$16-Inputs!$C$5:$C$15,MMULT(Risk!$B$41:$L$51,F$6:F$16-Inputs!$C$5:$C$15)))</f>
        <v>0.00549254498116541</v>
      </c>
      <c r="F24" s="72">
        <f>SUMPRODUCT(F$6:F$16,Inputs!$D$5:$D$15)</f>
        <v>0.00247405</v>
      </c>
      <c r="G24" s="68">
        <f>SUMPRODUCT(ABS(F$6:F$16-$B$6:$B$16))/2</f>
        <v>0.2127</v>
      </c>
      <c r="H24" s="270">
        <f>1/SUMSQ(F$6:F$16)</f>
        <v>5.67369512671574</v>
      </c>
      <c r="I24" s="116">
        <f>SUMPRODUCT(F$6:F$16,Forecast!$H$6:$H$16)/C24</f>
        <v>1.52933171695141</v>
      </c>
      <c r="J24" s="68">
        <f>NORMSDIST(-(B24-C24^2/2)*SQRT(5)/C24)</f>
        <v>0.0246967988421011</v>
      </c>
      <c r="K24" s="68">
        <f>SUMPRODUCT(F$6:F$16,Stress!$B$11:$B$21)</f>
        <v>-0.215300019767252</v>
      </c>
      <c r="L24" s="68">
        <f>SUMPRODUCT(F$6:F$16,Oil!$F$28:$F$38)</f>
        <v>-0.0778049772778673</v>
      </c>
      <c r="M24" s="295" t="str">
        <f>IF(AND(E24&lt;=Inputs!$B$27+0.00005,SUMPRODUCT(F$6:F$16,Inputs!$G$5:$G$15)&gt;=Inputs!$B$31-0.000001,SUMPRODUCT(F$6:F$16,Inputs!$G$5:$G$15)&lt;=Inputs!$B$32+0.000001,F16&gt;=Inputs!$B$34-0.000001,SUMPRODUCT(F$6:F$16,Inputs!$H$5:$H$15)&lt;=Inputs!$B$33,MIN(F$6:F$16)&gt;=0),"MET","NOT MET")</f>
        <v>MET</v>
      </c>
    </row>
    <row r="25">
      <c r="A25" s="255" t="inlineStr">
        <is>
          <t>Minimum variance</t>
        </is>
      </c>
      <c r="B25" s="72">
        <f>SUMPRODUCT(G$6:G$16,Forecast!$G$6:$G$16)</f>
        <v>0.0634813665404129</v>
      </c>
      <c r="C25" s="72">
        <f>SQRT(SUMPRODUCT(G$6:G$16,MMULT(Risk!$B$41:$L$51,G$6:G$16)))</f>
        <v>0.0595134073977176</v>
      </c>
      <c r="D25" s="116">
        <f>(B25-Inputs!$B$26)/C25</f>
        <v>0.293738290324868</v>
      </c>
      <c r="E25" s="72">
        <f>SQRT(SUMPRODUCT(G$6:G$16-Inputs!$C$5:$C$15,MMULT(Risk!$B$41:$L$51,G$6:G$16-Inputs!$C$5:$C$15)))</f>
        <v>0.0110070692691524</v>
      </c>
      <c r="F25" s="72">
        <f>SUMPRODUCT(G$6:G$16,Inputs!$D$5:$D$15)</f>
        <v>0.0033151</v>
      </c>
      <c r="G25" s="68">
        <f>SUMPRODUCT(ABS(G$6:G$16-$B$6:$B$16))/2</f>
        <v>0.2401</v>
      </c>
      <c r="H25" s="270">
        <f>1/SUMSQ(G$6:G$16)</f>
        <v>7.11558007489575</v>
      </c>
      <c r="I25" s="116">
        <f>SUMPRODUCT(G$6:G$16,Forecast!$H$6:$H$16)/C25</f>
        <v>1.65238881542617</v>
      </c>
      <c r="J25" s="68">
        <f>NORMSDIST(-(B25-C25^2/2)*SQRT(5)/C25)</f>
        <v>0.0102079295365334</v>
      </c>
      <c r="K25" s="68">
        <f>SUMPRODUCT(G$6:G$16,Stress!$B$11:$B$21)</f>
        <v>-0.144436379343409</v>
      </c>
      <c r="L25" s="68">
        <f>SUMPRODUCT(G$6:G$16,Oil!$F$28:$F$38)</f>
        <v>-0.0643958563662463</v>
      </c>
      <c r="M25" s="295" t="str">
        <f>IF(AND(E25&lt;=Inputs!$B$27+0.00005,SUMPRODUCT(G$6:G$16,Inputs!$G$5:$G$15)&gt;=Inputs!$B$31-0.000001,SUMPRODUCT(G$6:G$16,Inputs!$G$5:$G$15)&lt;=Inputs!$B$32+0.000001,G16&gt;=Inputs!$B$34-0.000001,SUMPRODUCT(G$6:G$16,Inputs!$H$5:$H$15)&lt;=Inputs!$B$33,MIN(G$6:G$16)&gt;=0),"MET","NOT MET")</f>
        <v>MET</v>
      </c>
    </row>
    <row r="26">
      <c r="A26" s="255" t="inlineStr">
        <is>
          <t>Risk parity</t>
        </is>
      </c>
      <c r="B26" s="72">
        <f>SUMPRODUCT(H$6:H$16,Forecast!$G$6:$G$16)</f>
        <v>0.0665703239383462</v>
      </c>
      <c r="C26" s="72">
        <f>SQRT(SUMPRODUCT(H$6:H$16,MMULT(Risk!$B$41:$L$51,H$6:H$16)))</f>
        <v>0.0665089375133541</v>
      </c>
      <c r="D26" s="116">
        <f>(B26-Inputs!$B$26)/C26</f>
        <v>0.30928661180636</v>
      </c>
      <c r="E26" s="72">
        <f>SQRT(SUMPRODUCT(H$6:H$16-Inputs!$C$5:$C$15,MMULT(Risk!$B$41:$L$51,H$6:H$16-Inputs!$C$5:$C$15)))</f>
        <v>0.010999556058269</v>
      </c>
      <c r="F26" s="72">
        <f>SUMPRODUCT(H$6:H$16,Inputs!$D$5:$D$15)</f>
        <v>0.0021839</v>
      </c>
      <c r="G26" s="68">
        <f>SUMPRODUCT(ABS(H$6:H$16-$B$6:$B$16))/2</f>
        <v>0.2686</v>
      </c>
      <c r="H26" s="270">
        <f>1/SUMSQ(H$6:H$16)</f>
        <v>6.80505610224352</v>
      </c>
      <c r="I26" s="116">
        <f>SUMPRODUCT(H$6:H$16,Forecast!$H$6:$H$16)/C26</f>
        <v>1.63151211147503</v>
      </c>
      <c r="J26" s="68">
        <f>NORMSDIST(-(B26-C26^2/2)*SQRT(5)/C26)</f>
        <v>0.0152409041098096</v>
      </c>
      <c r="K26" s="68">
        <f>SUMPRODUCT(H$6:H$16,Stress!$B$11:$B$21)</f>
        <v>-0.190278215321919</v>
      </c>
      <c r="L26" s="68">
        <f>SUMPRODUCT(H$6:H$16,Oil!$F$28:$F$38)</f>
        <v>-0.0720145788761629</v>
      </c>
      <c r="M26" s="295" t="str">
        <f>IF(AND(E26&lt;=Inputs!$B$27+0.00005,SUMPRODUCT(H$6:H$16,Inputs!$G$5:$G$15)&gt;=Inputs!$B$31-0.000001,SUMPRODUCT(H$6:H$16,Inputs!$G$5:$G$15)&lt;=Inputs!$B$32+0.000001,H16&gt;=Inputs!$B$34-0.000001,SUMPRODUCT(H$6:H$16,Inputs!$H$5:$H$15)&lt;=Inputs!$B$33,MIN(H$6:H$16)&gt;=0),"MET","NOT MET")</f>
        <v>MET</v>
      </c>
    </row>
    <row r="27">
      <c r="A27" s="255" t="inlineStr">
        <is>
          <t>Current fund</t>
        </is>
      </c>
      <c r="B27" s="72">
        <f>SUMPRODUCT(B$6:B$16,Forecast!$G$6:$G$16)</f>
        <v>0.069624614709126</v>
      </c>
      <c r="C27" s="72">
        <f>SQRT(SUMPRODUCT(B$6:B$16,MMULT(Risk!$B$41:$L$51,B$6:B$16)))</f>
        <v>0.0838339641597338</v>
      </c>
      <c r="D27" s="116">
        <f>(B27-Inputs!$B$26)/C27</f>
        <v>0.281802428716273</v>
      </c>
      <c r="E27" s="72">
        <f>SQRT(SUMPRODUCT(B$6:B$16-Inputs!$C$5:$C$15,MMULT(Risk!$B$41:$L$51,B$6:B$16-Inputs!$C$5:$C$15)))</f>
        <v>0.0215850264140928</v>
      </c>
      <c r="F27" s="72">
        <f>SUMPRODUCT(B$6:B$16,Inputs!$D$5:$D$15)</f>
        <v>0.00112</v>
      </c>
      <c r="G27" s="68">
        <f>SUMPRODUCT(ABS(B$6:B$16-$B$6:$B$16))/2</f>
        <v>0</v>
      </c>
      <c r="H27" s="270">
        <f>1/SUMSQ(B$6:B$16)</f>
        <v>4.10172272354389</v>
      </c>
      <c r="I27" s="116">
        <f>SUMPRODUCT(B$6:B$16,Forecast!$H$6:$H$16)/C27</f>
        <v>1.36092414269608</v>
      </c>
      <c r="J27" s="68">
        <f>NORMSDIST(-(B27-C27^2/2)*SQRT(5)/C27)</f>
        <v>0.0389216850749198</v>
      </c>
      <c r="K27" s="68">
        <f>SUMPRODUCT(B$6:B$16,Stress!$B$11:$B$21)</f>
        <v>-0.241671707004935</v>
      </c>
      <c r="L27" s="68">
        <f>SUMPRODUCT(B$6:B$16,Oil!$F$28:$F$38)</f>
        <v>-0.0826093080046623</v>
      </c>
      <c r="M27" s="295" t="str">
        <f>IF(AND(E27&lt;=Inputs!$B$27+0.00005,SUMPRODUCT(B$6:B$16,Inputs!$G$5:$G$15)&gt;=Inputs!$B$31-0.000001,SUMPRODUCT(B$6:B$16,Inputs!$G$5:$G$15)&lt;=Inputs!$B$32+0.000001,B16&gt;=Inputs!$B$34-0.000001,SUMPRODUCT(B$6:B$16,Inputs!$H$5:$H$15)&lt;=Inputs!$B$33,MIN(B$6:B$16)&gt;=0),"MET","NOT MET")</f>
        <v>NOT MET</v>
      </c>
    </row>
    <row r="28">
      <c r="A28" s="258" t="inlineStr">
        <is>
          <t>Benchmark</t>
        </is>
      </c>
      <c r="B28" s="296">
        <f>SUMPRODUCT(C$6:C$16,Forecast!$G$6:$G$16)</f>
        <v>0.0662554639579687</v>
      </c>
      <c r="C28" s="296">
        <f>SQRT(SUMPRODUCT(C$6:C$16,MMULT(Risk!$B$41:$L$51,C$6:C$16)))</f>
        <v>0.0701341120083923</v>
      </c>
      <c r="D28" s="297">
        <f>(B28-Inputs!$B$26)/C28</f>
        <v>0.288810442991634</v>
      </c>
      <c r="E28" s="296">
        <f>SQRT(SUMPRODUCT(C$6:C$16-Inputs!$C$5:$C$15,MMULT(Risk!$B$41:$L$51,C$6:C$16-Inputs!$C$5:$C$15)))</f>
        <v>0</v>
      </c>
      <c r="F28" s="296">
        <f>SUMPRODUCT(C$6:C$16,Inputs!$D$5:$D$15)</f>
        <v>0.00338</v>
      </c>
      <c r="G28" s="259">
        <f>SUMPRODUCT(ABS(C$6:C$16-$B$6:$B$16))/2</f>
        <v>0.23</v>
      </c>
      <c r="H28" s="298">
        <f>1/SUMSQ(C$6:C$16)</f>
        <v>6.12745098039216</v>
      </c>
      <c r="I28" s="297">
        <f>SUMPRODUCT(C$6:C$16,Forecast!$H$6:$H$16)/C28</f>
        <v>1.5726575278425</v>
      </c>
      <c r="J28" s="259">
        <f>NORMSDIST(-(B28-C28^2/2)*SQRT(5)/C28)</f>
        <v>0.0209761147467183</v>
      </c>
      <c r="K28" s="259">
        <f>SUMPRODUCT(C$6:C$16,Stress!$B$11:$B$21)</f>
        <v>-0.193000886085511</v>
      </c>
      <c r="L28" s="259">
        <f>SUMPRODUCT(C$6:C$16,Oil!$F$28:$F$38)</f>
        <v>-0.0739102470080081</v>
      </c>
      <c r="M28" s="299" t="str">
        <f>IF(AND(E28&lt;=Inputs!$B$27+0.00005,SUMPRODUCT(C$6:C$16,Inputs!$G$5:$G$15)&gt;=Inputs!$B$31-0.000001,SUMPRODUCT(C$6:C$16,Inputs!$G$5:$G$15)&lt;=Inputs!$B$32+0.000001,C16&gt;=Inputs!$B$34-0.000001,SUMPRODUCT(C$6:C$16,Inputs!$H$5:$H$15)&lt;=Inputs!$B$33,MIN(C$6:C$16)&gt;=0),"MET","NOT MET")</f>
        <v>MET</v>
      </c>
    </row>
    <row r="31">
      <c r="A31" s="83" t="inlineStr">
        <is>
          <t>3. Stability check: robust vs resampled</t>
        </is>
      </c>
      <c r="B31" s="84" t="n"/>
      <c r="C31" s="84" t="n"/>
      <c r="D31" s="84" t="n"/>
      <c r="E31" s="84" t="n"/>
      <c r="F31" s="85" t="n"/>
    </row>
    <row r="32" ht="28" customHeight="1">
      <c r="A32" s="89" t="inlineStr">
        <is>
          <t>Check</t>
        </is>
      </c>
      <c r="B32" s="90" t="inlineStr">
        <is>
          <t>Robust MVO</t>
        </is>
      </c>
      <c r="C32" s="90" t="inlineStr">
        <is>
          <t>Resampled MVO</t>
        </is>
      </c>
      <c r="D32" s="90" t="inlineStr">
        <is>
          <t>Difference</t>
        </is>
      </c>
      <c r="E32" s="90" t="inlineStr">
        <is>
          <t>Limit</t>
        </is>
      </c>
      <c r="F32" s="91" t="inlineStr">
        <is>
          <t>Status</t>
        </is>
      </c>
      <c r="J32" s="176" t="inlineStr">
        <is>
          <t>Yellow cells: Solver decision variables (Robust MVO)</t>
        </is>
      </c>
    </row>
    <row r="33">
      <c r="A33" s="95" t="inlineStr">
        <is>
          <t>Largest asset-weight difference</t>
        </is>
      </c>
      <c r="B33" s="77" t="n"/>
      <c r="C33" s="77" t="n"/>
      <c r="D33" s="68">
        <f>MAX(E41:E51)</f>
        <v>0.0274</v>
      </c>
      <c r="E33" s="173" t="n">
        <v>0.03</v>
      </c>
      <c r="F33" s="300" t="str">
        <f>IF(D33&lt;=E33,"WITHIN LIMIT","ABOVE LIMIT")</f>
        <v>WITHIN LIMIT</v>
      </c>
    </row>
    <row r="34">
      <c r="A34" s="95" t="inlineStr">
        <is>
          <t>Expected return</t>
        </is>
      </c>
      <c r="B34" s="72">
        <f>B22</f>
        <v>0.0700321062587087</v>
      </c>
      <c r="C34" s="72">
        <f>B24</f>
        <v>0.0680775395926901</v>
      </c>
      <c r="D34" s="72">
        <f>ABS(B34-C34)</f>
        <v>0.00195456666601859</v>
      </c>
      <c r="E34" s="189" t="n">
        <v>0.005</v>
      </c>
      <c r="F34" s="300" t="str">
        <f>IF(D34&lt;=E34,"WITHIN LIMIT","ABOVE LIMIT")</f>
        <v>WITHIN LIMIT</v>
      </c>
    </row>
    <row r="35">
      <c r="A35" s="95" t="inlineStr">
        <is>
          <t>Volatility</t>
        </is>
      </c>
      <c r="B35" s="72">
        <f>C22</f>
        <v>0.0783891281769718</v>
      </c>
      <c r="C35" s="72">
        <f>C24</f>
        <v>0.0743193111754299</v>
      </c>
      <c r="D35" s="72">
        <f>ABS(B35-C35)</f>
        <v>0.00406981700154188</v>
      </c>
      <c r="E35" s="189" t="n">
        <v>0.005</v>
      </c>
      <c r="F35" s="300" t="str">
        <f>IF(D35&lt;=E35,"WITHIN LIMIT","ABOVE LIMIT")</f>
        <v>WITHIN LIMIT</v>
      </c>
    </row>
    <row r="36">
      <c r="A36" s="95" t="inlineStr">
        <is>
          <t>Asset with the largest difference</t>
        </is>
      </c>
      <c r="B36" s="149" t="str">
        <f>INDEX(A41:A51,MATCH(D33,E41:E51,0))</f>
        <v>World Fixed Income</v>
      </c>
      <c r="C36" s="77" t="n"/>
      <c r="D36" s="77" t="n"/>
      <c r="E36" s="77" t="n"/>
      <c r="F36" s="301" t="n"/>
    </row>
    <row r="37">
      <c r="A37" s="107" t="inlineStr">
        <is>
          <t>Largest gap inside resampling spread?</t>
        </is>
      </c>
      <c r="B37" s="302" t="str">
        <f>INDEX(I41:I51,MATCH(D33,E41:E51,0))</f>
        <v>Yes</v>
      </c>
      <c r="C37" s="303" t="n"/>
      <c r="D37" s="303" t="n"/>
      <c r="E37" s="303" t="n"/>
      <c r="F37" s="304" t="n"/>
    </row>
    <row r="39">
      <c r="A39" s="181" t="inlineStr">
        <is>
          <t>4. Resampling spread (150 resampled input sets)</t>
        </is>
      </c>
      <c r="B39" s="182" t="n"/>
      <c r="C39" s="182" t="n"/>
      <c r="D39" s="182" t="n"/>
      <c r="E39" s="182" t="n"/>
      <c r="F39" s="182" t="n"/>
      <c r="G39" s="182" t="n"/>
      <c r="H39" s="182" t="n"/>
      <c r="I39" s="183" t="n"/>
    </row>
    <row r="40" ht="30" customHeight="1">
      <c r="A40" s="184" t="inlineStr">
        <is>
          <t>Asset class</t>
        </is>
      </c>
      <c r="B40" s="185" t="inlineStr">
        <is>
          <t>Robust MVO</t>
        </is>
      </c>
      <c r="C40" s="185" t="inlineStr">
        <is>
          <t>Resampled average</t>
        </is>
      </c>
      <c r="D40" s="185" t="inlineStr">
        <is>
          <t>Difference</t>
        </is>
      </c>
      <c r="E40" s="185" t="inlineStr">
        <is>
          <t>Absolute difference</t>
        </is>
      </c>
      <c r="F40" s="185" t="inlineStr">
        <is>
          <t>Spread (std dev)</t>
        </is>
      </c>
      <c r="G40" s="185" t="inlineStr">
        <is>
          <t>10th percentile</t>
        </is>
      </c>
      <c r="H40" s="185" t="inlineStr">
        <is>
          <t>90th percentile</t>
        </is>
      </c>
      <c r="I40" s="186" t="inlineStr">
        <is>
          <t>Gap within spread?</t>
        </is>
      </c>
    </row>
    <row r="41">
      <c r="A41" s="187" t="inlineStr">
        <is>
          <t>Australian Equities</t>
        </is>
      </c>
      <c r="B41" s="68">
        <f>D6</f>
        <v>0.2738</v>
      </c>
      <c r="C41" s="68">
        <f>F6</f>
        <v>0.2597</v>
      </c>
      <c r="D41" s="68">
        <f>B41-C41</f>
        <v>0.0141</v>
      </c>
      <c r="E41" s="68">
        <f>ABS(D41)</f>
        <v>0.0141</v>
      </c>
      <c r="F41" s="173" t="n">
        <v>0.0308</v>
      </c>
      <c r="G41" s="173" t="n">
        <v>0.2172</v>
      </c>
      <c r="H41" s="173" t="n">
        <v>0.3005</v>
      </c>
      <c r="I41" s="305" t="str">
        <f>IF(E41&lt;=F41,"Yes","No")</f>
        <v>Yes</v>
      </c>
    </row>
    <row r="42">
      <c r="A42" s="187" t="inlineStr">
        <is>
          <t>World Equities</t>
        </is>
      </c>
      <c r="B42" s="68">
        <f>D7</f>
        <v>0.279</v>
      </c>
      <c r="C42" s="68">
        <f>F7</f>
        <v>0.2594</v>
      </c>
      <c r="D42" s="68">
        <f>B42-C42</f>
        <v>0.0196</v>
      </c>
      <c r="E42" s="68">
        <f>ABS(D42)</f>
        <v>0.0196</v>
      </c>
      <c r="F42" s="173" t="n">
        <v>0.0317</v>
      </c>
      <c r="G42" s="173" t="n">
        <v>0.216</v>
      </c>
      <c r="H42" s="173" t="n">
        <v>0.2991</v>
      </c>
      <c r="I42" s="305" t="str">
        <f>IF(E42&lt;=F42,"Yes","No")</f>
        <v>Yes</v>
      </c>
    </row>
    <row r="43">
      <c r="A43" s="187" t="inlineStr">
        <is>
          <t>Emerging Markets</t>
        </is>
      </c>
      <c r="B43" s="68">
        <f>D8</f>
        <v>0.0672</v>
      </c>
      <c r="C43" s="68">
        <f>F8</f>
        <v>0.0475</v>
      </c>
      <c r="D43" s="68">
        <f>B43-C43</f>
        <v>0.0197</v>
      </c>
      <c r="E43" s="68">
        <f>ABS(D43)</f>
        <v>0.0197</v>
      </c>
      <c r="F43" s="173" t="n">
        <v>0.0299</v>
      </c>
      <c r="G43" s="173" t="n">
        <v>0</v>
      </c>
      <c r="H43" s="173" t="n">
        <v>0.08</v>
      </c>
      <c r="I43" s="305" t="str">
        <f>IF(E43&lt;=F43,"Yes","No")</f>
        <v>Yes</v>
      </c>
    </row>
    <row r="44">
      <c r="A44" s="187" t="inlineStr">
        <is>
          <t>Listed Property</t>
        </is>
      </c>
      <c r="B44" s="68">
        <f>D9</f>
        <v>0.0867</v>
      </c>
      <c r="C44" s="68">
        <f>F9</f>
        <v>0.0773</v>
      </c>
      <c r="D44" s="68">
        <f>B44-C44</f>
        <v>0.00940000000000001</v>
      </c>
      <c r="E44" s="68">
        <f>ABS(D44)</f>
        <v>0.00940000000000001</v>
      </c>
      <c r="F44" s="173" t="n">
        <v>0.0284</v>
      </c>
      <c r="G44" s="173" t="n">
        <v>0.0371</v>
      </c>
      <c r="H44" s="173" t="n">
        <v>0.1132</v>
      </c>
      <c r="I44" s="305" t="str">
        <f>IF(E44&lt;=F44,"Yes","No")</f>
        <v>Yes</v>
      </c>
    </row>
    <row r="45">
      <c r="A45" s="187" t="inlineStr">
        <is>
          <t>Commodities</t>
        </is>
      </c>
      <c r="B45" s="68">
        <f>D10</f>
        <v>0.0244</v>
      </c>
      <c r="C45" s="68">
        <f>F10</f>
        <v>0.0249</v>
      </c>
      <c r="D45" s="68">
        <f>B45-C45</f>
        <v>-0.000499999999999997</v>
      </c>
      <c r="E45" s="68">
        <f>ABS(D45)</f>
        <v>0.000499999999999997</v>
      </c>
      <c r="F45" s="173" t="n">
        <v>0.0182</v>
      </c>
      <c r="G45" s="173" t="n">
        <v>0</v>
      </c>
      <c r="H45" s="173" t="n">
        <v>0.0485</v>
      </c>
      <c r="I45" s="305" t="str">
        <f>IF(E45&lt;=F45,"Yes","No")</f>
        <v>Yes</v>
      </c>
    </row>
    <row r="46">
      <c r="A46" s="187" t="inlineStr">
        <is>
          <t>Direct Property</t>
        </is>
      </c>
      <c r="B46" s="68">
        <f>D11</f>
        <v>0</v>
      </c>
      <c r="C46" s="68">
        <f>F11</f>
        <v>0.0262</v>
      </c>
      <c r="D46" s="68">
        <f>B46-C46</f>
        <v>-0.0262</v>
      </c>
      <c r="E46" s="68">
        <f>ABS(D46)</f>
        <v>0.0262</v>
      </c>
      <c r="F46" s="173" t="n">
        <v>0.0299</v>
      </c>
      <c r="G46" s="173" t="n">
        <v>0</v>
      </c>
      <c r="H46" s="173" t="n">
        <v>0.0766</v>
      </c>
      <c r="I46" s="305" t="str">
        <f>IF(E46&lt;=F46,"Yes","No")</f>
        <v>Yes</v>
      </c>
    </row>
    <row r="47">
      <c r="A47" s="187" t="inlineStr">
        <is>
          <t>Hedge Funds</t>
        </is>
      </c>
      <c r="B47" s="68">
        <f>D12</f>
        <v>0</v>
      </c>
      <c r="C47" s="68">
        <f>F12</f>
        <v>0.0106</v>
      </c>
      <c r="D47" s="68">
        <f>B47-C47</f>
        <v>-0.0106</v>
      </c>
      <c r="E47" s="68">
        <f>ABS(D47)</f>
        <v>0.0106</v>
      </c>
      <c r="F47" s="173" t="n">
        <v>0.0225</v>
      </c>
      <c r="G47" s="173" t="n">
        <v>0</v>
      </c>
      <c r="H47" s="173" t="n">
        <v>0.0534</v>
      </c>
      <c r="I47" s="305" t="str">
        <f>IF(E47&lt;=F47,"Yes","No")</f>
        <v>Yes</v>
      </c>
    </row>
    <row r="48">
      <c r="A48" s="187" t="inlineStr">
        <is>
          <t>Private Equity</t>
        </is>
      </c>
      <c r="B48" s="68">
        <f>D13</f>
        <v>0</v>
      </c>
      <c r="C48" s="68">
        <f>F13</f>
        <v>0.0226</v>
      </c>
      <c r="D48" s="68">
        <f>B48-C48</f>
        <v>-0.0226</v>
      </c>
      <c r="E48" s="68">
        <f>ABS(D48)</f>
        <v>0.0226</v>
      </c>
      <c r="F48" s="173" t="n">
        <v>0.0252</v>
      </c>
      <c r="G48" s="173" t="n">
        <v>0</v>
      </c>
      <c r="H48" s="173" t="n">
        <v>0.0611</v>
      </c>
      <c r="I48" s="305" t="str">
        <f>IF(E48&lt;=F48,"Yes","No")</f>
        <v>Yes</v>
      </c>
    </row>
    <row r="49">
      <c r="A49" s="187" t="inlineStr">
        <is>
          <t>Australian Fixed Income</t>
        </is>
      </c>
      <c r="B49" s="68">
        <f>D14</f>
        <v>0.12</v>
      </c>
      <c r="C49" s="68">
        <f>F14</f>
        <v>0.1424</v>
      </c>
      <c r="D49" s="68">
        <f>B49-C49</f>
        <v>-0.0224</v>
      </c>
      <c r="E49" s="68">
        <f>ABS(D49)</f>
        <v>0.0224</v>
      </c>
      <c r="F49" s="173" t="n">
        <v>0.0379</v>
      </c>
      <c r="G49" s="173" t="n">
        <v>0.12</v>
      </c>
      <c r="H49" s="173" t="n">
        <v>0.1998</v>
      </c>
      <c r="I49" s="305" t="str">
        <f>IF(E49&lt;=F49,"Yes","No")</f>
        <v>Yes</v>
      </c>
    </row>
    <row r="50">
      <c r="A50" s="187" t="inlineStr">
        <is>
          <t>World Fixed Income</t>
        </is>
      </c>
      <c r="B50" s="68">
        <f>D15</f>
        <v>0.1289</v>
      </c>
      <c r="C50" s="68">
        <f>F15</f>
        <v>0.1015</v>
      </c>
      <c r="D50" s="68">
        <f>B50-C50</f>
        <v>0.0274</v>
      </c>
      <c r="E50" s="68">
        <f>ABS(D50)</f>
        <v>0.0274</v>
      </c>
      <c r="F50" s="173" t="n">
        <v>0.05</v>
      </c>
      <c r="G50" s="173" t="n">
        <v>0.05</v>
      </c>
      <c r="H50" s="173" t="n">
        <v>0.1859</v>
      </c>
      <c r="I50" s="305" t="str">
        <f>IF(E50&lt;=F50,"Yes","No")</f>
        <v>Yes</v>
      </c>
    </row>
    <row r="51">
      <c r="A51" s="190" t="inlineStr">
        <is>
          <t>Cash</t>
        </is>
      </c>
      <c r="B51" s="306">
        <f>D16</f>
        <v>0.02</v>
      </c>
      <c r="C51" s="306">
        <f>F16</f>
        <v>0.0279</v>
      </c>
      <c r="D51" s="306">
        <f>B51-C51</f>
        <v>-0.0079</v>
      </c>
      <c r="E51" s="306">
        <f>ABS(D51)</f>
        <v>0.0079</v>
      </c>
      <c r="F51" s="191" t="n">
        <v>0.0208</v>
      </c>
      <c r="G51" s="191" t="n">
        <v>0.02</v>
      </c>
      <c r="H51" s="191" t="n">
        <v>0.0607</v>
      </c>
      <c r="I51" s="307" t="str">
        <f>IF(E51&lt;=F51,"Yes","No")</f>
        <v>Yes</v>
      </c>
    </row>
  </sheetData>
  <conditionalFormatting sqref="F33:F35">
    <cfRule type="cellIs" priority="7" operator="equal" dxfId="3">
      <formula>"WITHIN LIMIT"</formula>
    </cfRule>
    <cfRule type="cellIs" priority="8" operator="equal" dxfId="0">
      <formula>"ABOVE LIMIT"</formula>
    </cfRule>
  </conditionalFormatting>
  <conditionalFormatting sqref="M22:M28">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pageMargins left="0.75" right="0.75" top="1" bottom="1" header="0.5" footer="0.5"/>
  <pageSetup orientation="landscape" fitToHeight="0"/>
  <drawing xmlns:r="http://schemas.openxmlformats.org/officeDocument/2006/relationships" r:id="rId1"/>
</worksheet>
</file>

<file path=xl/worksheets/sheet8.xml><?xml version="1.0" encoding="utf-8"?>
<worksheet xmlns="http://schemas.openxmlformats.org/spreadsheetml/2006/main">
  <sheetPr>
    <tabColor rgb="FFC55A11"/>
    <outlinePr summaryBelow="1" summaryRight="1"/>
    <pageSetUpPr fitToPage="1"/>
  </sheetPr>
  <dimension ref="A1:AF1101"/>
  <sheetViews>
    <sheetView showGridLines="0" workbookViewId="0">
      <pane xSplit="1" ySplit="5" topLeftCell="B9"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0" customWidth="1" min="1" max="1"/>
    <col width="13" customWidth="1" min="2" max="5"/>
    <col width="11" customWidth="1" min="6" max="33"/>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9" max="29"/>
    <col width="12" customWidth="1" min="30" max="30"/>
    <col width="12" customWidth="1" min="31" max="31"/>
    <col width="12" customWidth="1" min="32" max="32"/>
  </cols>
  <sheetData>
    <row r="1" ht="19" customHeight="1">
      <c r="A1" s="53" t="inlineStr">
        <is>
          <t>Bootstrap</t>
        </is>
      </c>
    </row>
    <row r="4">
      <c r="A4" s="83" t="inlineStr">
        <is>
          <t>1. Results (1,000 paths x 5 annual draws)</t>
        </is>
      </c>
      <c r="B4" s="84" t="n"/>
      <c r="C4" s="84" t="n"/>
      <c r="D4" s="84" t="n"/>
      <c r="E4" s="85" t="n"/>
    </row>
    <row r="5" ht="28" customHeight="1">
      <c r="A5" s="89" t="inlineStr">
        <is>
          <t>Measure</t>
        </is>
      </c>
      <c r="B5" s="90" t="inlineStr">
        <is>
          <t>Current</t>
        </is>
      </c>
      <c r="C5" s="90" t="inlineStr">
        <is>
          <t>Benchmark</t>
        </is>
      </c>
      <c r="D5" s="90" t="inlineStr">
        <is>
          <t>Recommended</t>
        </is>
      </c>
      <c r="E5" s="91" t="inlineStr">
        <is>
          <t>Limit</t>
        </is>
      </c>
    </row>
    <row r="6">
      <c r="A6" s="95" t="inlineStr">
        <is>
          <t>5-year loss probability (bootstrap)</t>
        </is>
      </c>
      <c r="B6" s="68">
        <f>COUNTIF(G102:G1101,"&lt;0")/COUNT(G102:G1101)</f>
        <v>0.077</v>
      </c>
      <c r="C6" s="68">
        <f>COUNTIF(H102:H1101,"&lt;0")/COUNT(H102:H1101)</f>
        <v>0.062</v>
      </c>
      <c r="D6" s="68">
        <f>COUNTIF(I102:I1101,"&lt;0")/COUNT(I102:I1101)</f>
        <v>0.073</v>
      </c>
      <c r="E6" s="103">
        <f>Inputs!$B$28</f>
        <v>0.25</v>
      </c>
    </row>
    <row r="7">
      <c r="A7" s="95" t="inlineStr">
        <is>
          <t>5-year loss probability (normal)</t>
        </is>
      </c>
      <c r="B7" s="68">
        <f>NORMSDIST(-(Risk!N56-Risk!M56^2/2)*SQRT(5)/Risk!M56)</f>
        <v>0.0389216850749198</v>
      </c>
      <c r="C7" s="68">
        <f>NORMSDIST(-(Risk!N57-Risk!M57^2/2)*SQRT(5)/Risk!M57)</f>
        <v>0.0209761147467183</v>
      </c>
      <c r="D7" s="68">
        <f>NORMSDIST(-(Risk!N58-Risk!M58^2/2)*SQRT(5)/Risk!M58)</f>
        <v>0.0280640130865004</v>
      </c>
      <c r="E7" s="103">
        <f>Inputs!$B$28</f>
        <v>0.25</v>
      </c>
    </row>
    <row r="8">
      <c r="A8" s="95" t="inlineStr">
        <is>
          <t>5th percentile 5-year return</t>
        </is>
      </c>
      <c r="B8" s="68">
        <f>PERCENTILE(G102:G1101,0.05)</f>
        <v>-0.066525064927194</v>
      </c>
      <c r="C8" s="68">
        <f>PERCENTILE(H102:H1101,0.05)</f>
        <v>-0.0253447054582289</v>
      </c>
      <c r="D8" s="68">
        <f>PERCENTILE(I102:I1101,0.05)</f>
        <v>-0.0533476428435567</v>
      </c>
      <c r="E8" s="301" t="n"/>
    </row>
    <row r="9">
      <c r="A9" s="95" t="inlineStr">
        <is>
          <t>Median 5-year return</t>
        </is>
      </c>
      <c r="B9" s="68">
        <f>MEDIAN(G102:G1101)</f>
        <v>0.394143585020906</v>
      </c>
      <c r="C9" s="68">
        <f>MEDIAN(H102:H1101)</f>
        <v>0.374925504807759</v>
      </c>
      <c r="D9" s="68">
        <f>MEDIAN(I102:I1101)</f>
        <v>0.395019524403305</v>
      </c>
      <c r="E9" s="301" t="n"/>
    </row>
    <row r="10">
      <c r="A10" s="95" t="inlineStr">
        <is>
          <t>95th percentile 5-year return</t>
        </is>
      </c>
      <c r="B10" s="68">
        <f>PERCENTILE(G102:G1101,0.95)</f>
        <v>0.851747855523704</v>
      </c>
      <c r="C10" s="68">
        <f>PERCENTILE(H102:H1101,0.95)</f>
        <v>0.793052454322355</v>
      </c>
      <c r="D10" s="68">
        <f>PERCENTILE(I102:I1101,0.95)</f>
        <v>0.873158966082668</v>
      </c>
      <c r="E10" s="301" t="n"/>
    </row>
    <row r="11">
      <c r="A11" s="95" t="inlineStr">
        <is>
          <t>Median return, annualised</t>
        </is>
      </c>
      <c r="B11" s="72">
        <f>(1+B9)^(1/5)-1</f>
        <v>0.0687140057167961</v>
      </c>
      <c r="C11" s="72">
        <f>(1+C9)^(1/5)-1</f>
        <v>0.0657512081377183</v>
      </c>
      <c r="D11" s="72">
        <f>(1+D9)^(1/5)-1</f>
        <v>0.0688482664224011</v>
      </c>
      <c r="E11" s="301" t="n"/>
    </row>
    <row r="12">
      <c r="A12" s="95" t="inlineStr">
        <is>
          <t>Tracking error (bootstrap)</t>
        </is>
      </c>
      <c r="B12" s="72">
        <f>STDEV(J102:J1101)/SQRT(5)</f>
        <v>0.0156483997916992</v>
      </c>
      <c r="C12" s="72" t="n">
        <v>0</v>
      </c>
      <c r="D12" s="72">
        <f>STDEV(K102:K1101)/SQRT(5)</f>
        <v>0.0118216021109069</v>
      </c>
      <c r="E12" s="97">
        <f>Inputs!$B$27</f>
        <v>0.015</v>
      </c>
    </row>
    <row r="13">
      <c r="A13" s="95" t="inlineStr">
        <is>
          <t>Tracking error (parametric)</t>
        </is>
      </c>
      <c r="B13" s="72">
        <f>Risk!O56</f>
        <v>0.0215850264140928</v>
      </c>
      <c r="C13" s="72" t="n">
        <v>0</v>
      </c>
      <c r="D13" s="72">
        <f>Risk!O58</f>
        <v>0.0110023822192608</v>
      </c>
      <c r="E13" s="97">
        <f>Inputs!$B$27</f>
        <v>0.015</v>
      </c>
    </row>
    <row r="14">
      <c r="A14" s="308" t="inlineStr">
        <is>
          <t>Within limit (loss / TE)</t>
        </is>
      </c>
      <c r="B14" s="309" t="str">
        <f>IF(D6&lt;=E6,"MET","NOT MET")</f>
        <v>MET</v>
      </c>
      <c r="C14" s="309" t="str">
        <f>IF(D12&lt;=E12,"MET","NOT MET")</f>
        <v>MET</v>
      </c>
      <c r="D14" s="303" t="n"/>
      <c r="E14" s="304" t="n"/>
    </row>
    <row r="18">
      <c r="A18" s="203" t="inlineStr">
        <is>
          <t>2. Annual windows (adjusted returns, mean shifted to net forecast)</t>
        </is>
      </c>
      <c r="B18" s="204" t="n"/>
      <c r="C18" s="204" t="n"/>
      <c r="D18" s="204" t="n"/>
      <c r="E18" s="204" t="n"/>
      <c r="F18" s="204" t="n"/>
      <c r="G18" s="204" t="n"/>
      <c r="H18" s="204" t="n"/>
      <c r="I18" s="204" t="n"/>
      <c r="J18" s="204" t="n"/>
      <c r="K18" s="204" t="n"/>
      <c r="L18" s="204" t="n"/>
      <c r="M18" s="204" t="n"/>
      <c r="N18" s="204" t="n"/>
      <c r="O18" s="204" t="n"/>
      <c r="P18" s="204" t="n"/>
      <c r="Q18" s="204" t="n"/>
      <c r="R18" s="204" t="n"/>
      <c r="S18" s="204" t="n"/>
      <c r="T18" s="204" t="n"/>
      <c r="U18" s="204" t="n"/>
      <c r="V18" s="204" t="n"/>
      <c r="W18" s="204" t="n"/>
      <c r="X18" s="204" t="n"/>
      <c r="Y18" s="204" t="n"/>
      <c r="Z18" s="204" t="n"/>
      <c r="AA18" s="204" t="n"/>
      <c r="AB18" s="204" t="n"/>
      <c r="AC18" s="204" t="n"/>
      <c r="AD18" s="204" t="n"/>
      <c r="AE18" s="204" t="n"/>
      <c r="AF18" s="205" t="n"/>
    </row>
    <row r="19">
      <c r="A19" s="236" t="n"/>
      <c r="B19" s="77" t="n"/>
      <c r="C19" s="77" t="n"/>
      <c r="D19" s="77" t="n"/>
      <c r="E19" s="77" t="n"/>
      <c r="F19" s="77" t="n"/>
      <c r="G19" s="77" t="n"/>
      <c r="H19" s="77" t="n"/>
      <c r="I19" s="77" t="n"/>
      <c r="J19" s="77" t="n"/>
      <c r="K19" s="77" t="n"/>
      <c r="L19" s="77" t="n"/>
      <c r="M19" s="77" t="n"/>
      <c r="N19" s="77" t="n"/>
      <c r="O19" s="77" t="n"/>
      <c r="P19" s="77" t="n"/>
      <c r="Q19" s="77" t="n"/>
      <c r="R19" s="77" t="n"/>
      <c r="S19" s="77" t="n"/>
      <c r="T19" s="77" t="n"/>
      <c r="U19" s="77" t="n"/>
      <c r="V19" s="77" t="n"/>
      <c r="W19" s="77" t="n"/>
      <c r="X19" s="77" t="n"/>
      <c r="Y19" s="77" t="n"/>
      <c r="Z19" s="77" t="n"/>
      <c r="AA19" s="77" t="n"/>
      <c r="AB19" s="77" t="n"/>
      <c r="AC19" s="77" t="n"/>
      <c r="AD19" s="77" t="n"/>
      <c r="AE19" s="77" t="n"/>
      <c r="AF19" s="237" t="n"/>
    </row>
    <row r="20" ht="54" customHeight="1">
      <c r="A20" s="206" t="inlineStr">
        <is>
          <t>Window</t>
        </is>
      </c>
      <c r="B20" s="207" t="inlineStr">
        <is>
          <t>Year ending</t>
        </is>
      </c>
      <c r="C20" s="207" t="inlineStr">
        <is>
          <t>Australian Equities</t>
        </is>
      </c>
      <c r="D20" s="207" t="inlineStr">
        <is>
          <t>World Equities</t>
        </is>
      </c>
      <c r="E20" s="207" t="inlineStr">
        <is>
          <t>Emerging Markets</t>
        </is>
      </c>
      <c r="F20" s="207" t="inlineStr">
        <is>
          <t>Listed Property</t>
        </is>
      </c>
      <c r="G20" s="207" t="inlineStr">
        <is>
          <t>Commodities</t>
        </is>
      </c>
      <c r="H20" s="207" t="inlineStr">
        <is>
          <t>Direct Property</t>
        </is>
      </c>
      <c r="I20" s="207" t="inlineStr">
        <is>
          <t>Hedge Funds</t>
        </is>
      </c>
      <c r="J20" s="207" t="inlineStr">
        <is>
          <t>Private Equity</t>
        </is>
      </c>
      <c r="K20" s="207" t="inlineStr">
        <is>
          <t>Australian Fixed Income</t>
        </is>
      </c>
      <c r="L20" s="207" t="inlineStr">
        <is>
          <t>World Fixed Income</t>
        </is>
      </c>
      <c r="M20" s="207" t="inlineStr">
        <is>
          <t>Cash</t>
        </is>
      </c>
      <c r="N20" s="77" t="n"/>
      <c r="O20" s="310" t="inlineStr">
        <is>
          <t>Australian Equities (shifted)</t>
        </is>
      </c>
      <c r="P20" s="90" t="inlineStr">
        <is>
          <t>World Equities (shifted)</t>
        </is>
      </c>
      <c r="Q20" s="90" t="inlineStr">
        <is>
          <t>Emerging Markets (shifted)</t>
        </is>
      </c>
      <c r="R20" s="90" t="inlineStr">
        <is>
          <t>Listed Property (shifted)</t>
        </is>
      </c>
      <c r="S20" s="90" t="inlineStr">
        <is>
          <t>Commodities (shifted)</t>
        </is>
      </c>
      <c r="T20" s="90" t="inlineStr">
        <is>
          <t>Direct Property (shifted)</t>
        </is>
      </c>
      <c r="U20" s="90" t="inlineStr">
        <is>
          <t>Hedge Funds (shifted)</t>
        </is>
      </c>
      <c r="V20" s="90" t="inlineStr">
        <is>
          <t>Private Equity (shifted)</t>
        </is>
      </c>
      <c r="W20" s="90" t="inlineStr">
        <is>
          <t>Australian Fixed Income (shifted)</t>
        </is>
      </c>
      <c r="X20" s="90" t="inlineStr">
        <is>
          <t>World Fixed Income (shifted)</t>
        </is>
      </c>
      <c r="Y20" s="90" t="inlineStr">
        <is>
          <t>Cash (shifted)</t>
        </is>
      </c>
      <c r="Z20" s="90" t="inlineStr">
        <is>
          <t>Current</t>
        </is>
      </c>
      <c r="AA20" s="90" t="inlineStr">
        <is>
          <t>Benchmark</t>
        </is>
      </c>
      <c r="AB20" s="90" t="inlineStr">
        <is>
          <t>Recommended</t>
        </is>
      </c>
      <c r="AC20" s="90" t="inlineStr">
        <is>
          <t>Alternatives fixed by scorecard</t>
        </is>
      </c>
      <c r="AD20" s="90" t="inlineStr">
        <is>
          <t>No alternatives</t>
        </is>
      </c>
      <c r="AE20" s="90" t="inlineStr">
        <is>
          <t>Alternatives at benchmark weights</t>
        </is>
      </c>
      <c r="AF20" s="311" t="inlineStr">
        <is>
          <t>Core five only</t>
        </is>
      </c>
    </row>
    <row r="21">
      <c r="A21" s="312" t="n">
        <v>1</v>
      </c>
      <c r="B21" s="313">
        <f>'Quarterly returns'!A9</f>
        <v>39171.0</v>
      </c>
      <c r="C21" s="68">
        <f>(1+'Quarterly returns'!N6)*(1+'Quarterly returns'!N7)*(1+'Quarterly returns'!N8)*(1+'Quarterly returns'!N9)-1</f>
        <v>0.223352870048475</v>
      </c>
      <c r="D21" s="68">
        <f>(1+'Quarterly returns'!O6)*(1+'Quarterly returns'!O7)*(1+'Quarterly returns'!O8)*(1+'Quarterly returns'!O9)-1</f>
        <v>-0.0134777030775111</v>
      </c>
      <c r="E21" s="68">
        <f>(1+'Quarterly returns'!P6)*(1+'Quarterly returns'!P7)*(1+'Quarterly returns'!P8)*(1+'Quarterly returns'!P9)-1</f>
        <v>0.0612782973924462</v>
      </c>
      <c r="F21" s="68">
        <f>(1+'Quarterly returns'!Q6)*(1+'Quarterly returns'!Q7)*(1+'Quarterly returns'!Q8)*(1+'Quarterly returns'!Q9)-1</f>
        <v>0.12203701180304</v>
      </c>
      <c r="G21" s="68">
        <f>(1+'Quarterly returns'!R6)*(1+'Quarterly returns'!R7)*(1+'Quarterly returns'!R8)*(1+'Quarterly returns'!R9)-1</f>
        <v>-0.200385707019774</v>
      </c>
      <c r="H21" s="68">
        <f>(1+'Quarterly returns'!S6)*(1+'Quarterly returns'!S7)*(1+'Quarterly returns'!S8)*(1+'Quarterly returns'!S9)-1</f>
        <v>0.0893630222569848</v>
      </c>
      <c r="I21" s="68">
        <f>(1+'Quarterly returns'!T6)*(1+'Quarterly returns'!T7)*(1+'Quarterly returns'!T8)*(1+'Quarterly returns'!T9)-1</f>
        <v>0.119838483619297</v>
      </c>
      <c r="J21" s="68">
        <f>(1+'Quarterly returns'!U6)*(1+'Quarterly returns'!U7)*(1+'Quarterly returns'!U8)*(1+'Quarterly returns'!U9)-1</f>
        <v>0.259091073602893</v>
      </c>
      <c r="K21" s="68">
        <f>(1+'Quarterly returns'!V6)*(1+'Quarterly returns'!V7)*(1+'Quarterly returns'!V8)*(1+'Quarterly returns'!V9)-1</f>
        <v>0.0370193577003093</v>
      </c>
      <c r="L21" s="68">
        <f>(1+'Quarterly returns'!W6)*(1+'Quarterly returns'!W7)*(1+'Quarterly returns'!W8)*(1+'Quarterly returns'!W9)-1</f>
        <v>0.0637654603756297</v>
      </c>
      <c r="M21" s="68">
        <f>(1+'Quarterly returns'!X6)*(1+'Quarterly returns'!X7)*(1+'Quarterly returns'!X8)*(1+'Quarterly returns'!X9)-1</f>
        <v>0.0621192660550458</v>
      </c>
      <c r="N21" s="77" t="n"/>
      <c r="O21" s="68">
        <f>C21-AVERAGE(C$21:C$97)+Forecast!$G$6</f>
        <v>0.21855716245338</v>
      </c>
      <c r="P21" s="68">
        <f>D21-AVERAGE(D$21:D$97)+Forecast!$G$7</f>
        <v>-0.0416014943216878</v>
      </c>
      <c r="Q21" s="68">
        <f>E21-AVERAGE(E$21:E$97)+Forecast!$G$8</f>
        <v>0.0428855694610869</v>
      </c>
      <c r="R21" s="68">
        <f>F21-AVERAGE(F$21:F$97)+Forecast!$G$9</f>
        <v>0.128674844613824</v>
      </c>
      <c r="S21" s="68">
        <f>G21-AVERAGE(G$21:G$97)+Forecast!$G$10</f>
        <v>-0.147450109801235</v>
      </c>
      <c r="T21" s="68">
        <f>H21-AVERAGE(H$21:H$97)+Forecast!$G$11</f>
        <v>0.0706190927139359</v>
      </c>
      <c r="U21" s="68">
        <f>I21-AVERAGE(I$21:I$97)+Forecast!$G$12</f>
        <v>0.0775094251078597</v>
      </c>
      <c r="V21" s="68">
        <f>J21-AVERAGE(J$21:J$97)+Forecast!$G$13</f>
        <v>0.187251343527364</v>
      </c>
      <c r="W21" s="68">
        <f>K21-AVERAGE(K$21:K$97)+Forecast!$G$14</f>
        <v>0.044949770471269</v>
      </c>
      <c r="X21" s="68">
        <f>L21-AVERAGE(L$21:L$97)+Forecast!$G$15</f>
        <v>0.0720087774901413</v>
      </c>
      <c r="Y21" s="68">
        <f>M21-AVERAGE(M$21:M$97)+Forecast!$G$16</f>
        <v>0.0771743383531158</v>
      </c>
      <c r="Z21" s="68">
        <f>SUMPRODUCT($O21:$Y21,Risk!$B$56:$L$56)</f>
        <v>0.109875422033017</v>
      </c>
      <c r="AA21" s="68">
        <f>SUMPRODUCT($O21:$Y21,Risk!$B$57:$L$57)</f>
        <v>0.0800026772221558</v>
      </c>
      <c r="AB21" s="68">
        <f>SUMPRODUCT($O21:$Y21,Risk!$B$58:$L$58)</f>
        <v>0.0748937614227319</v>
      </c>
      <c r="AC21" s="68">
        <f>SUMPRODUCT(MMULT($O21:$Y21,Portfolio!$C$127:$C$137))</f>
        <v>0.0755300958958208</v>
      </c>
      <c r="AD21" s="68">
        <f>SUMPRODUCT(MMULT($O21:$Y21,Portfolio!$D$127:$D$137))</f>
        <v>0.0802229131285032</v>
      </c>
      <c r="AE21" s="68">
        <f>SUMPRODUCT(MMULT($O21:$Y21,Portfolio!$E$127:$E$137))</f>
        <v>0.0819976387552013</v>
      </c>
      <c r="AF21" s="314">
        <f>SUMPRODUCT(MMULT($O21:$Y21,Portfolio!$F$127:$F$137))</f>
        <v>0.0790601131540961</v>
      </c>
    </row>
    <row r="22">
      <c r="A22" s="312" t="n">
        <v>2</v>
      </c>
      <c r="B22" s="313">
        <f>'Quarterly returns'!A10</f>
        <v>39262.0</v>
      </c>
      <c r="C22" s="68">
        <f>(1+'Quarterly returns'!N7)*(1+'Quarterly returns'!N8)*(1+'Quarterly returns'!N9)*(1+'Quarterly returns'!N10)-1</f>
        <v>0.30281329982972</v>
      </c>
      <c r="D22" s="68">
        <f>(1+'Quarterly returns'!O7)*(1+'Quarterly returns'!O8)*(1+'Quarterly returns'!O9)*(1+'Quarterly returns'!O10)-1</f>
        <v>0.0694907867725305</v>
      </c>
      <c r="E22" s="68">
        <f>(1+'Quarterly returns'!P7)*(1+'Quarterly returns'!P8)*(1+'Quarterly returns'!P9)*(1+'Quarterly returns'!P10)-1</f>
        <v>0.221378321642638</v>
      </c>
      <c r="F22" s="68">
        <f>(1+'Quarterly returns'!Q7)*(1+'Quarterly returns'!Q8)*(1+'Quarterly returns'!Q9)*(1+'Quarterly returns'!Q10)-1</f>
        <v>0.0421611469806911</v>
      </c>
      <c r="G22" s="68">
        <f>(1+'Quarterly returns'!R7)*(1+'Quarterly returns'!R8)*(1+'Quarterly returns'!R9)*(1+'Quarterly returns'!R10)-1</f>
        <v>-0.246835019585608</v>
      </c>
      <c r="H22" s="68">
        <f>(1+'Quarterly returns'!S7)*(1+'Quarterly returns'!S8)*(1+'Quarterly returns'!S9)*(1+'Quarterly returns'!S10)-1</f>
        <v>0.117381988736263</v>
      </c>
      <c r="I22" s="68">
        <f>(1+'Quarterly returns'!T7)*(1+'Quarterly returns'!T8)*(1+'Quarterly returns'!T9)*(1+'Quarterly returns'!T10)-1</f>
        <v>0.123290358874754</v>
      </c>
      <c r="J22" s="68">
        <f>(1+'Quarterly returns'!U7)*(1+'Quarterly returns'!U8)*(1+'Quarterly returns'!U9)*(1+'Quarterly returns'!U10)-1</f>
        <v>0.273804446743829</v>
      </c>
      <c r="K22" s="68">
        <f>(1+'Quarterly returns'!V7)*(1+'Quarterly returns'!V8)*(1+'Quarterly returns'!V9)*(1+'Quarterly returns'!V10)-1</f>
        <v>0.0398789460790525</v>
      </c>
      <c r="L22" s="68">
        <f>(1+'Quarterly returns'!W7)*(1+'Quarterly returns'!W8)*(1+'Quarterly returns'!W9)*(1+'Quarterly returns'!W10)-1</f>
        <v>0.0571742212871063</v>
      </c>
      <c r="M22" s="68">
        <f>(1+'Quarterly returns'!X7)*(1+'Quarterly returns'!X8)*(1+'Quarterly returns'!X9)*(1+'Quarterly returns'!X10)-1</f>
        <v>0.0642337615342865</v>
      </c>
      <c r="N22" s="77" t="n"/>
      <c r="O22" s="68">
        <f>C22-AVERAGE(C$21:C$97)+Forecast!$G$6</f>
        <v>0.298017592234625</v>
      </c>
      <c r="P22" s="68">
        <f>D22-AVERAGE(D$21:D$97)+Forecast!$G$7</f>
        <v>0.0413669955283538</v>
      </c>
      <c r="Q22" s="68">
        <f>E22-AVERAGE(E$21:E$97)+Forecast!$G$8</f>
        <v>0.202985593711278</v>
      </c>
      <c r="R22" s="68">
        <f>F22-AVERAGE(F$21:F$97)+Forecast!$G$9</f>
        <v>0.0487989797914747</v>
      </c>
      <c r="S22" s="68">
        <f>G22-AVERAGE(G$21:G$97)+Forecast!$G$10</f>
        <v>-0.193899422367069</v>
      </c>
      <c r="T22" s="68">
        <f>H22-AVERAGE(H$21:H$97)+Forecast!$G$11</f>
        <v>0.0986380591932146</v>
      </c>
      <c r="U22" s="68">
        <f>I22-AVERAGE(I$21:I$97)+Forecast!$G$12</f>
        <v>0.0809613003633166</v>
      </c>
      <c r="V22" s="68">
        <f>J22-AVERAGE(J$21:J$97)+Forecast!$G$13</f>
        <v>0.2019647166683</v>
      </c>
      <c r="W22" s="68">
        <f>K22-AVERAGE(K$21:K$97)+Forecast!$G$14</f>
        <v>0.0478093588500122</v>
      </c>
      <c r="X22" s="68">
        <f>L22-AVERAGE(L$21:L$97)+Forecast!$G$15</f>
        <v>0.0654175384016179</v>
      </c>
      <c r="Y22" s="68">
        <f>M22-AVERAGE(M$21:M$97)+Forecast!$G$16</f>
        <v>0.0792888338323565</v>
      </c>
      <c r="Z22" s="68">
        <f>SUMPRODUCT($O22:$Y22,Risk!$B$56:$L$56)</f>
        <v>0.150315359246564</v>
      </c>
      <c r="AA22" s="68">
        <f>SUMPRODUCT($O22:$Y22,Risk!$B$57:$L$57)</f>
        <v>0.119747572883621</v>
      </c>
      <c r="AB22" s="68">
        <f>SUMPRODUCT($O22:$Y22,Risk!$B$58:$L$58)</f>
        <v>0.12203418648443</v>
      </c>
      <c r="AC22" s="68">
        <f>SUMPRODUCT(MMULT($O22:$Y22,Portfolio!$C$127:$C$137))</f>
        <v>0.121560514531236</v>
      </c>
      <c r="AD22" s="68">
        <f>SUMPRODUCT(MMULT($O22:$Y22,Portfolio!$D$127:$D$137))</f>
        <v>0.128864342303677</v>
      </c>
      <c r="AE22" s="68">
        <f>SUMPRODUCT(MMULT($O22:$Y22,Portfolio!$E$127:$E$137))</f>
        <v>0.124401866320142</v>
      </c>
      <c r="AF22" s="314">
        <f>SUMPRODUCT(MMULT($O22:$Y22,Portfolio!$F$127:$F$137))</f>
        <v>0.128580271425992</v>
      </c>
    </row>
    <row r="23">
      <c r="A23" s="312" t="n">
        <v>3</v>
      </c>
      <c r="B23" s="313">
        <f>'Quarterly returns'!A11</f>
        <v>39353.0</v>
      </c>
      <c r="C23" s="68">
        <f>(1+'Quarterly returns'!N8)*(1+'Quarterly returns'!N9)*(1+'Quarterly returns'!N10)*(1+'Quarterly returns'!N11)-1</f>
        <v>0.335767683647902</v>
      </c>
      <c r="D23" s="68">
        <f>(1+'Quarterly returns'!O8)*(1+'Quarterly returns'!O9)*(1+'Quarterly returns'!O10)*(1+'Quarterly returns'!O11)-1</f>
        <v>-0.0210760034251147</v>
      </c>
      <c r="E23" s="68">
        <f>(1+'Quarterly returns'!P8)*(1+'Quarterly returns'!P9)*(1+'Quarterly returns'!P10)*(1+'Quarterly returns'!P11)-1</f>
        <v>0.255298446485304</v>
      </c>
      <c r="F23" s="68">
        <f>(1+'Quarterly returns'!Q8)*(1+'Quarterly returns'!Q9)*(1+'Quarterly returns'!Q10)*(1+'Quarterly returns'!Q11)-1</f>
        <v>-0.0879059309125339</v>
      </c>
      <c r="G23" s="68">
        <f>(1+'Quarterly returns'!R8)*(1+'Quarterly returns'!R9)*(1+'Quarterly returns'!R10)*(1+'Quarterly returns'!R11)-1</f>
        <v>-0.0429700602015467</v>
      </c>
      <c r="H23" s="68">
        <f>(1+'Quarterly returns'!S8)*(1+'Quarterly returns'!S9)*(1+'Quarterly returns'!S10)*(1+'Quarterly returns'!S11)-1</f>
        <v>0.156435064027969</v>
      </c>
      <c r="I23" s="68">
        <f>(1+'Quarterly returns'!T8)*(1+'Quarterly returns'!T9)*(1+'Quarterly returns'!T10)*(1+'Quarterly returns'!T11)-1</f>
        <v>0.137244650621384</v>
      </c>
      <c r="J23" s="68">
        <f>(1+'Quarterly returns'!U8)*(1+'Quarterly returns'!U9)*(1+'Quarterly returns'!U10)*(1+'Quarterly returns'!U11)-1</f>
        <v>0.164762394216926</v>
      </c>
      <c r="K23" s="68">
        <f>(1+'Quarterly returns'!V8)*(1+'Quarterly returns'!V9)*(1+'Quarterly returns'!V10)*(1+'Quarterly returns'!V11)-1</f>
        <v>0.0347322450991152</v>
      </c>
      <c r="L23" s="68">
        <f>(1+'Quarterly returns'!W8)*(1+'Quarterly returns'!W9)*(1+'Quarterly returns'!W10)*(1+'Quarterly returns'!W11)-1</f>
        <v>0.0505431902490716</v>
      </c>
      <c r="M23" s="68">
        <f>(1+'Quarterly returns'!X8)*(1+'Quarterly returns'!X9)*(1+'Quarterly returns'!X10)*(1+'Quarterly returns'!X11)-1</f>
        <v>0.0654261736773352</v>
      </c>
      <c r="N23" s="77" t="n"/>
      <c r="O23" s="68">
        <f>C23-AVERAGE(C$21:C$97)+Forecast!$G$6</f>
        <v>0.330971976052807</v>
      </c>
      <c r="P23" s="68">
        <f>D23-AVERAGE(D$21:D$97)+Forecast!$G$7</f>
        <v>-0.0491997946692914</v>
      </c>
      <c r="Q23" s="68">
        <f>E23-AVERAGE(E$21:E$97)+Forecast!$G$8</f>
        <v>0.236905718553945</v>
      </c>
      <c r="R23" s="68">
        <f>F23-AVERAGE(F$21:F$97)+Forecast!$G$9</f>
        <v>-0.0812680981017502</v>
      </c>
      <c r="S23" s="68">
        <f>G23-AVERAGE(G$21:G$97)+Forecast!$G$10</f>
        <v>0.00996553701699263</v>
      </c>
      <c r="T23" s="68">
        <f>H23-AVERAGE(H$21:H$97)+Forecast!$G$11</f>
        <v>0.13769113448492</v>
      </c>
      <c r="U23" s="68">
        <f>I23-AVERAGE(I$21:I$97)+Forecast!$G$12</f>
        <v>0.0949155921099466</v>
      </c>
      <c r="V23" s="68">
        <f>J23-AVERAGE(J$21:J$97)+Forecast!$G$13</f>
        <v>0.0929226641413969</v>
      </c>
      <c r="W23" s="68">
        <f>K23-AVERAGE(K$21:K$97)+Forecast!$G$14</f>
        <v>0.0426626578700749</v>
      </c>
      <c r="X23" s="68">
        <f>L23-AVERAGE(L$21:L$97)+Forecast!$G$15</f>
        <v>0.0587865073635832</v>
      </c>
      <c r="Y23" s="68">
        <f>M23-AVERAGE(M$21:M$97)+Forecast!$G$16</f>
        <v>0.0804812459754051</v>
      </c>
      <c r="Z23" s="68">
        <f>SUMPRODUCT($O23:$Y23,Risk!$B$56:$L$56)</f>
        <v>0.131158028164966</v>
      </c>
      <c r="AA23" s="68">
        <f>SUMPRODUCT($O23:$Y23,Risk!$B$57:$L$57)</f>
        <v>0.0999261884252606</v>
      </c>
      <c r="AB23" s="68">
        <f>SUMPRODUCT($O23:$Y23,Risk!$B$58:$L$58)</f>
        <v>0.100317388278227</v>
      </c>
      <c r="AC23" s="68">
        <f>SUMPRODUCT(MMULT($O23:$Y23,Portfolio!$C$127:$C$137))</f>
        <v>0.101649160518648</v>
      </c>
      <c r="AD23" s="68">
        <f>SUMPRODUCT(MMULT($O23:$Y23,Portfolio!$D$127:$D$137))</f>
        <v>0.102914959095475</v>
      </c>
      <c r="AE23" s="68">
        <f>SUMPRODUCT(MMULT($O23:$Y23,Portfolio!$E$127:$E$137))</f>
        <v>0.0985308539959306</v>
      </c>
      <c r="AF23" s="314">
        <f>SUMPRODUCT(MMULT($O23:$Y23,Portfolio!$F$127:$F$137))</f>
        <v>0.109101032140287</v>
      </c>
    </row>
    <row r="24">
      <c r="A24" s="312" t="n">
        <v>4</v>
      </c>
      <c r="B24" s="313">
        <f>'Quarterly returns'!A12</f>
        <v>39447.0</v>
      </c>
      <c r="C24" s="68">
        <f>(1+'Quarterly returns'!N9)*(1+'Quarterly returns'!N10)*(1+'Quarterly returns'!N11)*(1+'Quarterly returns'!N12)-1</f>
        <v>0.179533594262471</v>
      </c>
      <c r="D24" s="68">
        <f>(1+'Quarterly returns'!O9)*(1+'Quarterly returns'!O10)*(1+'Quarterly returns'!O11)*(1+'Quarterly returns'!O12)-1</f>
        <v>-0.0556487821385925</v>
      </c>
      <c r="E24" s="68">
        <f>(1+'Quarterly returns'!P9)*(1+'Quarterly returns'!P10)*(1+'Quarterly returns'!P11)*(1+'Quarterly returns'!P12)-1</f>
        <v>0.199217912142265</v>
      </c>
      <c r="F24" s="68">
        <f>(1+'Quarterly returns'!Q9)*(1+'Quarterly returns'!Q10)*(1+'Quarterly returns'!Q11)*(1+'Quarterly returns'!Q12)-1</f>
        <v>-0.230453257689457</v>
      </c>
      <c r="G24" s="68">
        <f>(1+'Quarterly returns'!R9)*(1+'Quarterly returns'!R10)*(1+'Quarterly returns'!R11)*(1+'Quarterly returns'!R12)-1</f>
        <v>0.19095743520593</v>
      </c>
      <c r="H24" s="68">
        <f>(1+'Quarterly returns'!S9)*(1+'Quarterly returns'!S10)*(1+'Quarterly returns'!S11)*(1+'Quarterly returns'!S12)-1</f>
        <v>0.184567156942522</v>
      </c>
      <c r="I24" s="68">
        <f>(1+'Quarterly returns'!T9)*(1+'Quarterly returns'!T10)*(1+'Quarterly returns'!T11)*(1+'Quarterly returns'!T12)-1</f>
        <v>0.150200378863263</v>
      </c>
      <c r="J24" s="68">
        <f>(1+'Quarterly returns'!U9)*(1+'Quarterly returns'!U10)*(1+'Quarterly returns'!U11)*(1+'Quarterly returns'!U12)-1</f>
        <v>0.121602229397791</v>
      </c>
      <c r="K24" s="68">
        <f>(1+'Quarterly returns'!V9)*(1+'Quarterly returns'!V10)*(1+'Quarterly returns'!V11)*(1+'Quarterly returns'!V12)-1</f>
        <v>0.0346281097558454</v>
      </c>
      <c r="L24" s="68">
        <f>(1+'Quarterly returns'!W9)*(1+'Quarterly returns'!W10)*(1+'Quarterly returns'!W11)*(1+'Quarterly returns'!W12)-1</f>
        <v>0.0662692694004097</v>
      </c>
      <c r="M24" s="68">
        <f>(1+'Quarterly returns'!X9)*(1+'Quarterly returns'!X10)*(1+'Quarterly returns'!X11)*(1+'Quarterly returns'!X12)-1</f>
        <v>0.0673070174207224</v>
      </c>
      <c r="N24" s="77" t="n"/>
      <c r="O24" s="68">
        <f>C24-AVERAGE(C$21:C$97)+Forecast!$G$6</f>
        <v>0.174737886667376</v>
      </c>
      <c r="P24" s="68">
        <f>D24-AVERAGE(D$21:D$97)+Forecast!$G$7</f>
        <v>-0.0837725733827692</v>
      </c>
      <c r="Q24" s="68">
        <f>E24-AVERAGE(E$21:E$97)+Forecast!$G$8</f>
        <v>0.180825184210906</v>
      </c>
      <c r="R24" s="68">
        <f>F24-AVERAGE(F$21:F$97)+Forecast!$G$9</f>
        <v>-0.223815424878673</v>
      </c>
      <c r="S24" s="68">
        <f>G24-AVERAGE(G$21:G$97)+Forecast!$G$10</f>
        <v>0.24389303242447</v>
      </c>
      <c r="T24" s="68">
        <f>H24-AVERAGE(H$21:H$97)+Forecast!$G$11</f>
        <v>0.165823227399473</v>
      </c>
      <c r="U24" s="68">
        <f>I24-AVERAGE(I$21:I$97)+Forecast!$G$12</f>
        <v>0.107871320351826</v>
      </c>
      <c r="V24" s="68">
        <f>J24-AVERAGE(J$21:J$97)+Forecast!$G$13</f>
        <v>0.0497624993222618</v>
      </c>
      <c r="W24" s="68">
        <f>K24-AVERAGE(K$21:K$97)+Forecast!$G$14</f>
        <v>0.0425585225268051</v>
      </c>
      <c r="X24" s="68">
        <f>L24-AVERAGE(L$21:L$97)+Forecast!$G$15</f>
        <v>0.0745125865149213</v>
      </c>
      <c r="Y24" s="68">
        <f>M24-AVERAGE(M$21:M$97)+Forecast!$G$16</f>
        <v>0.0823620897187924</v>
      </c>
      <c r="Z24" s="68">
        <f>SUMPRODUCT($O24:$Y24,Risk!$B$56:$L$56)</f>
        <v>0.0488692290830593</v>
      </c>
      <c r="AA24" s="68">
        <f>SUMPRODUCT($O24:$Y24,Risk!$B$57:$L$57)</f>
        <v>0.047860206810443</v>
      </c>
      <c r="AB24" s="68">
        <f>SUMPRODUCT($O24:$Y24,Risk!$B$58:$L$58)</f>
        <v>0.0395272673282498</v>
      </c>
      <c r="AC24" s="68">
        <f>SUMPRODUCT(MMULT($O24:$Y24,Portfolio!$C$127:$C$137))</f>
        <v>0.0429690477641822</v>
      </c>
      <c r="AD24" s="68">
        <f>SUMPRODUCT(MMULT($O24:$Y24,Portfolio!$D$127:$D$137))</f>
        <v>0.0374866358372215</v>
      </c>
      <c r="AE24" s="68">
        <f>SUMPRODUCT(MMULT($O24:$Y24,Portfolio!$E$127:$E$137))</f>
        <v>0.03599242463217</v>
      </c>
      <c r="AF24" s="314">
        <f>SUMPRODUCT(MMULT($O24:$Y24,Portfolio!$F$127:$F$137))</f>
        <v>0.0526182627060827</v>
      </c>
    </row>
    <row r="25">
      <c r="A25" s="312" t="n">
        <v>5</v>
      </c>
      <c r="B25" s="313">
        <f>'Quarterly returns'!A13</f>
        <v>39538.0</v>
      </c>
      <c r="C25" s="68">
        <f>(1+'Quarterly returns'!N10)*(1+'Quarterly returns'!N11)*(1+'Quarterly returns'!N12)*(1+'Quarterly returns'!N13)-1</f>
        <v>-0.0601771764354738</v>
      </c>
      <c r="D25" s="68">
        <f>(1+'Quarterly returns'!O10)*(1+'Quarterly returns'!O11)*(1+'Quarterly returns'!O12)*(1+'Quarterly returns'!O13)-1</f>
        <v>-0.196566520684341</v>
      </c>
      <c r="E25" s="68">
        <f>(1+'Quarterly returns'!P10)*(1+'Quarterly returns'!P11)*(1+'Quarterly returns'!P12)*(1+'Quarterly returns'!P13)-1</f>
        <v>0.0288200310560993</v>
      </c>
      <c r="F25" s="68">
        <f>(1+'Quarterly returns'!Q10)*(1+'Quarterly returns'!Q11)*(1+'Quarterly returns'!Q12)*(1+'Quarterly returns'!Q13)-1</f>
        <v>-0.308810720171704</v>
      </c>
      <c r="G25" s="68">
        <f>(1+'Quarterly returns'!R10)*(1+'Quarterly returns'!R11)*(1+'Quarterly returns'!R12)*(1+'Quarterly returns'!R13)-1</f>
        <v>0.226783097057063</v>
      </c>
      <c r="H25" s="68">
        <f>(1+'Quarterly returns'!S10)*(1+'Quarterly returns'!S11)*(1+'Quarterly returns'!S12)*(1+'Quarterly returns'!S13)-1</f>
        <v>0.125309985293586</v>
      </c>
      <c r="I25" s="68">
        <f>(1+'Quarterly returns'!T10)*(1+'Quarterly returns'!T11)*(1+'Quarterly returns'!T12)*(1+'Quarterly returns'!T13)-1</f>
        <v>0.113950064535885</v>
      </c>
      <c r="J25" s="68">
        <f>(1+'Quarterly returns'!U10)*(1+'Quarterly returns'!U11)*(1+'Quarterly returns'!U12)*(1+'Quarterly returns'!U13)-1</f>
        <v>0.0880018932111271</v>
      </c>
      <c r="K25" s="68">
        <f>(1+'Quarterly returns'!V10)*(1+'Quarterly returns'!V11)*(1+'Quarterly returns'!V12)*(1+'Quarterly returns'!V13)-1</f>
        <v>0.0429038131744135</v>
      </c>
      <c r="L25" s="68">
        <f>(1+'Quarterly returns'!W10)*(1+'Quarterly returns'!W11)*(1+'Quarterly returns'!W12)*(1+'Quarterly returns'!W13)-1</f>
        <v>0.0800964602532077</v>
      </c>
      <c r="M25" s="68">
        <f>(1+'Quarterly returns'!X10)*(1+'Quarterly returns'!X11)*(1+'Quarterly returns'!X12)*(1+'Quarterly returns'!X13)-1</f>
        <v>0.069862055264271</v>
      </c>
      <c r="N25" s="77" t="n"/>
      <c r="O25" s="68">
        <f>C25-AVERAGE(C$21:C$97)+Forecast!$G$6</f>
        <v>-0.0649728840305687</v>
      </c>
      <c r="P25" s="68">
        <f>D25-AVERAGE(D$21:D$97)+Forecast!$G$7</f>
        <v>-0.224690311928517</v>
      </c>
      <c r="Q25" s="68">
        <f>E25-AVERAGE(E$21:E$97)+Forecast!$G$8</f>
        <v>0.0104273031247401</v>
      </c>
      <c r="R25" s="68">
        <f>F25-AVERAGE(F$21:F$97)+Forecast!$G$9</f>
        <v>-0.302172887360921</v>
      </c>
      <c r="S25" s="68">
        <f>G25-AVERAGE(G$21:G$97)+Forecast!$G$10</f>
        <v>0.279718694275602</v>
      </c>
      <c r="T25" s="68">
        <f>H25-AVERAGE(H$21:H$97)+Forecast!$G$11</f>
        <v>0.106566055750537</v>
      </c>
      <c r="U25" s="68">
        <f>I25-AVERAGE(I$21:I$97)+Forecast!$G$12</f>
        <v>0.0716210060244479</v>
      </c>
      <c r="V25" s="68">
        <f>J25-AVERAGE(J$21:J$97)+Forecast!$G$13</f>
        <v>0.0161621631355979</v>
      </c>
      <c r="W25" s="68">
        <f>K25-AVERAGE(K$21:K$97)+Forecast!$G$14</f>
        <v>0.0508342259453732</v>
      </c>
      <c r="X25" s="68">
        <f>L25-AVERAGE(L$21:L$97)+Forecast!$G$15</f>
        <v>0.0883397773677193</v>
      </c>
      <c r="Y25" s="68">
        <f>M25-AVERAGE(M$21:M$97)+Forecast!$G$16</f>
        <v>0.084917127562341</v>
      </c>
      <c r="Z25" s="68">
        <f>SUMPRODUCT($O25:$Y25,Risk!$B$56:$L$56)</f>
        <v>-0.0805079897234356</v>
      </c>
      <c r="AA25" s="68">
        <f>SUMPRODUCT($O25:$Y25,Risk!$B$57:$L$57)</f>
        <v>-0.0580703261744967</v>
      </c>
      <c r="AB25" s="68">
        <f>SUMPRODUCT($O25:$Y25,Risk!$B$58:$L$58)</f>
        <v>-0.07996526413212</v>
      </c>
      <c r="AC25" s="68">
        <f>SUMPRODUCT(MMULT($O25:$Y25,Portfolio!$C$127:$C$137))</f>
        <v>-0.0774900666618316</v>
      </c>
      <c r="AD25" s="68">
        <f>SUMPRODUCT(MMULT($O25:$Y25,Portfolio!$D$127:$D$137))</f>
        <v>-0.0821877349137728</v>
      </c>
      <c r="AE25" s="68">
        <f>SUMPRODUCT(MMULT($O25:$Y25,Portfolio!$E$127:$E$137))</f>
        <v>-0.0847482301941336</v>
      </c>
      <c r="AF25" s="314">
        <f>SUMPRODUCT(MMULT($O25:$Y25,Portfolio!$F$127:$F$137))</f>
        <v>-0.0616409751168847</v>
      </c>
    </row>
    <row r="26">
      <c r="A26" s="312" t="n">
        <v>6</v>
      </c>
      <c r="B26" s="313">
        <f>'Quarterly returns'!A14</f>
        <v>39629.0</v>
      </c>
      <c r="C26" s="68">
        <f>(1+'Quarterly returns'!N11)*(1+'Quarterly returns'!N12)*(1+'Quarterly returns'!N13)*(1+'Quarterly returns'!N14)-1</f>
        <v>-0.121153737767986</v>
      </c>
      <c r="D26" s="68">
        <f>(1+'Quarterly returns'!O11)*(1+'Quarterly returns'!O12)*(1+'Quarterly returns'!O13)*(1+'Quarterly returns'!O14)-1</f>
        <v>-0.249912207519014</v>
      </c>
      <c r="E26" s="68">
        <f>(1+'Quarterly returns'!P11)*(1+'Quarterly returns'!P12)*(1+'Quarterly returns'!P13)*(1+'Quarterly returns'!P14)-1</f>
        <v>-0.101379977399127</v>
      </c>
      <c r="F26" s="68">
        <f>(1+'Quarterly returns'!Q11)*(1+'Quarterly returns'!Q12)*(1+'Quarterly returns'!Q13)*(1+'Quarterly returns'!Q14)-1</f>
        <v>-0.321054849688661</v>
      </c>
      <c r="G26" s="68">
        <f>(1+'Quarterly returns'!R11)*(1+'Quarterly returns'!R12)*(1+'Quarterly returns'!R13)*(1+'Quarterly returns'!R14)-1</f>
        <v>0.555824383170569</v>
      </c>
      <c r="H26" s="68">
        <f>(1+'Quarterly returns'!S11)*(1+'Quarterly returns'!S12)*(1+'Quarterly returns'!S13)*(1+'Quarterly returns'!S14)-1</f>
        <v>-0.021364262259317</v>
      </c>
      <c r="I26" s="68">
        <f>(1+'Quarterly returns'!T11)*(1+'Quarterly returns'!T12)*(1+'Quarterly returns'!T13)*(1+'Quarterly returns'!T14)-1</f>
        <v>0.135943682634802</v>
      </c>
      <c r="J26" s="68">
        <f>(1+'Quarterly returns'!U11)*(1+'Quarterly returns'!U12)*(1+'Quarterly returns'!U13)*(1+'Quarterly returns'!U14)-1</f>
        <v>-0.0450853847990053</v>
      </c>
      <c r="K26" s="68">
        <f>(1+'Quarterly returns'!V11)*(1+'Quarterly returns'!V12)*(1+'Quarterly returns'!V13)*(1+'Quarterly returns'!V14)-1</f>
        <v>0.0442067381410305</v>
      </c>
      <c r="L26" s="68">
        <f>(1+'Quarterly returns'!W11)*(1+'Quarterly returns'!W12)*(1+'Quarterly returns'!W13)*(1+'Quarterly returns'!W14)-1</f>
        <v>0.0790464240903379</v>
      </c>
      <c r="M26" s="68">
        <f>(1+'Quarterly returns'!X11)*(1+'Quarterly returns'!X12)*(1+'Quarterly returns'!X13)*(1+'Quarterly returns'!X14)-1</f>
        <v>0.0733982543411953</v>
      </c>
      <c r="N26" s="77" t="n"/>
      <c r="O26" s="68">
        <f>C26-AVERAGE(C$21:C$97)+Forecast!$G$6</f>
        <v>-0.125949445363081</v>
      </c>
      <c r="P26" s="68">
        <f>D26-AVERAGE(D$21:D$97)+Forecast!$G$7</f>
        <v>-0.278035998763191</v>
      </c>
      <c r="Q26" s="68">
        <f>E26-AVERAGE(E$21:E$97)+Forecast!$G$8</f>
        <v>-0.119772705330486</v>
      </c>
      <c r="R26" s="68">
        <f>F26-AVERAGE(F$21:F$97)+Forecast!$G$9</f>
        <v>-0.314417016877878</v>
      </c>
      <c r="S26" s="68">
        <f>G26-AVERAGE(G$21:G$97)+Forecast!$G$10</f>
        <v>0.608759980389109</v>
      </c>
      <c r="T26" s="68">
        <f>H26-AVERAGE(H$21:H$97)+Forecast!$G$11</f>
        <v>-0.0401081918023659</v>
      </c>
      <c r="U26" s="68">
        <f>I26-AVERAGE(I$21:I$97)+Forecast!$G$12</f>
        <v>0.0936146241233647</v>
      </c>
      <c r="V26" s="68">
        <f>J26-AVERAGE(J$21:J$97)+Forecast!$G$13</f>
        <v>-0.116925114874534</v>
      </c>
      <c r="W26" s="68">
        <f>K26-AVERAGE(K$21:K$97)+Forecast!$G$14</f>
        <v>0.0521371509119902</v>
      </c>
      <c r="X26" s="68">
        <f>L26-AVERAGE(L$21:L$97)+Forecast!$G$15</f>
        <v>0.0872897412048495</v>
      </c>
      <c r="Y26" s="68">
        <f>M26-AVERAGE(M$21:M$97)+Forecast!$G$16</f>
        <v>0.0884533266392653</v>
      </c>
      <c r="Z26" s="68">
        <f>SUMPRODUCT($O26:$Y26,Risk!$B$56:$L$56)</f>
        <v>-0.116433194787723</v>
      </c>
      <c r="AA26" s="68">
        <f>SUMPRODUCT($O26:$Y26,Risk!$B$57:$L$57)</f>
        <v>-0.0947932256307833</v>
      </c>
      <c r="AB26" s="68">
        <f>SUMPRODUCT($O26:$Y26,Risk!$B$58:$L$58)</f>
        <v>-0.113234767151839</v>
      </c>
      <c r="AC26" s="68">
        <f>SUMPRODUCT(MMULT($O26:$Y26,Portfolio!$C$127:$C$137))</f>
        <v>-0.115624912511165</v>
      </c>
      <c r="AD26" s="68">
        <f>SUMPRODUCT(MMULT($O26:$Y26,Portfolio!$D$127:$D$137))</f>
        <v>-0.123636025663563</v>
      </c>
      <c r="AE26" s="68">
        <f>SUMPRODUCT(MMULT($O26:$Y26,Portfolio!$E$127:$E$137))</f>
        <v>-0.124716362037287</v>
      </c>
      <c r="AF26" s="314">
        <f>SUMPRODUCT(MMULT($O26:$Y26,Portfolio!$F$127:$F$137))</f>
        <v>-0.0970429738905302</v>
      </c>
    </row>
    <row r="27">
      <c r="A27" s="312" t="n">
        <v>7</v>
      </c>
      <c r="B27" s="313">
        <f>'Quarterly returns'!A15</f>
        <v>39721.0</v>
      </c>
      <c r="C27" s="68">
        <f>(1+'Quarterly returns'!N12)*(1+'Quarterly returns'!N13)*(1+'Quarterly returns'!N14)*(1+'Quarterly returns'!N15)-1</f>
        <v>-0.265893703578623</v>
      </c>
      <c r="D27" s="68">
        <f>(1+'Quarterly returns'!O12)*(1+'Quarterly returns'!O13)*(1+'Quarterly returns'!O14)*(1+'Quarterly returns'!O15)-1</f>
        <v>-0.154677709759183</v>
      </c>
      <c r="E27" s="68">
        <f>(1+'Quarterly returns'!P12)*(1+'Quarterly returns'!P13)*(1+'Quarterly returns'!P14)*(1+'Quarterly returns'!P15)-1</f>
        <v>-0.197645627860614</v>
      </c>
      <c r="F27" s="68">
        <f>(1+'Quarterly returns'!Q12)*(1+'Quarterly returns'!Q13)*(1+'Quarterly returns'!Q14)*(1+'Quarterly returns'!Q15)-1</f>
        <v>-0.134532074801405</v>
      </c>
      <c r="G27" s="68">
        <f>(1+'Quarterly returns'!R12)*(1+'Quarterly returns'!R13)*(1+'Quarterly returns'!R14)*(1+'Quarterly returns'!R15)-1</f>
        <v>0.264561298273684</v>
      </c>
      <c r="H27" s="68">
        <f>(1+'Quarterly returns'!S12)*(1+'Quarterly returns'!S13)*(1+'Quarterly returns'!S14)*(1+'Quarterly returns'!S15)-1</f>
        <v>-0.0847535901971379</v>
      </c>
      <c r="I27" s="68">
        <f>(1+'Quarterly returns'!T12)*(1+'Quarterly returns'!T13)*(1+'Quarterly returns'!T14)*(1+'Quarterly returns'!T15)-1</f>
        <v>0.109135775509886</v>
      </c>
      <c r="J27" s="68">
        <f>(1+'Quarterly returns'!U12)*(1+'Quarterly returns'!U13)*(1+'Quarterly returns'!U14)*(1+'Quarterly returns'!U15)-1</f>
        <v>-0.00868684976307055</v>
      </c>
      <c r="K27" s="68">
        <f>(1+'Quarterly returns'!V12)*(1+'Quarterly returns'!V13)*(1+'Quarterly returns'!V14)*(1+'Quarterly returns'!V15)-1</f>
        <v>0.0837309083923028</v>
      </c>
      <c r="L27" s="68">
        <f>(1+'Quarterly returns'!W12)*(1+'Quarterly returns'!W13)*(1+'Quarterly returns'!W14)*(1+'Quarterly returns'!W15)-1</f>
        <v>0.0696344872522441</v>
      </c>
      <c r="M27" s="68">
        <f>(1+'Quarterly returns'!X12)*(1+'Quarterly returns'!X13)*(1+'Quarterly returns'!X14)*(1+'Quarterly returns'!X15)-1</f>
        <v>0.0765330786356726</v>
      </c>
      <c r="N27" s="77" t="n"/>
      <c r="O27" s="68">
        <f>C27-AVERAGE(C$21:C$97)+Forecast!$G$6</f>
        <v>-0.270689411173718</v>
      </c>
      <c r="P27" s="68">
        <f>D27-AVERAGE(D$21:D$97)+Forecast!$G$7</f>
        <v>-0.18280150100336</v>
      </c>
      <c r="Q27" s="68">
        <f>E27-AVERAGE(E$21:E$97)+Forecast!$G$8</f>
        <v>-0.216038355791973</v>
      </c>
      <c r="R27" s="68">
        <f>F27-AVERAGE(F$21:F$97)+Forecast!$G$9</f>
        <v>-0.127894241990621</v>
      </c>
      <c r="S27" s="68">
        <f>G27-AVERAGE(G$21:G$97)+Forecast!$G$10</f>
        <v>0.317496895492223</v>
      </c>
      <c r="T27" s="68">
        <f>H27-AVERAGE(H$21:H$97)+Forecast!$G$11</f>
        <v>-0.103497519740187</v>
      </c>
      <c r="U27" s="68">
        <f>I27-AVERAGE(I$21:I$97)+Forecast!$G$12</f>
        <v>0.0668067169984484</v>
      </c>
      <c r="V27" s="68">
        <f>J27-AVERAGE(J$21:J$97)+Forecast!$G$13</f>
        <v>-0.0805265798385997</v>
      </c>
      <c r="W27" s="68">
        <f>K27-AVERAGE(K$21:K$97)+Forecast!$G$14</f>
        <v>0.0916613211632625</v>
      </c>
      <c r="X27" s="68">
        <f>L27-AVERAGE(L$21:L$97)+Forecast!$G$15</f>
        <v>0.0778778043667557</v>
      </c>
      <c r="Y27" s="68">
        <f>M27-AVERAGE(M$21:M$97)+Forecast!$G$16</f>
        <v>0.0915881509337426</v>
      </c>
      <c r="Z27" s="68">
        <f>SUMPRODUCT($O27:$Y27,Risk!$B$56:$L$56)</f>
        <v>-0.131234895780029</v>
      </c>
      <c r="AA27" s="68">
        <f>SUMPRODUCT($O27:$Y27,Risk!$B$57:$L$57)</f>
        <v>-0.102068206638496</v>
      </c>
      <c r="AB27" s="68">
        <f>SUMPRODUCT($O27:$Y27,Risk!$B$58:$L$58)</f>
        <v>-0.120106093057957</v>
      </c>
      <c r="AC27" s="68">
        <f>SUMPRODUCT(MMULT($O27:$Y27,Portfolio!$C$127:$C$137))</f>
        <v>-0.124795639249168</v>
      </c>
      <c r="AD27" s="68">
        <f>SUMPRODUCT(MMULT($O27:$Y27,Portfolio!$D$127:$D$137))</f>
        <v>-0.125059115406951</v>
      </c>
      <c r="AE27" s="68">
        <f>SUMPRODUCT(MMULT($O27:$Y27,Portfolio!$E$127:$E$137))</f>
        <v>-0.126882779023222</v>
      </c>
      <c r="AF27" s="314">
        <f>SUMPRODUCT(MMULT($O27:$Y27,Portfolio!$F$127:$F$137))</f>
        <v>-0.108869387928445</v>
      </c>
    </row>
    <row r="28">
      <c r="A28" s="312" t="n">
        <v>8</v>
      </c>
      <c r="B28" s="313">
        <f>'Quarterly returns'!A16</f>
        <v>39813.0</v>
      </c>
      <c r="C28" s="68">
        <f>(1+'Quarterly returns'!N13)*(1+'Quarterly returns'!N14)*(1+'Quarterly returns'!N15)*(1+'Quarterly returns'!N16)-1</f>
        <v>-0.403847902729327</v>
      </c>
      <c r="D28" s="68">
        <f>(1+'Quarterly returns'!O13)*(1+'Quarterly returns'!O14)*(1+'Quarterly returns'!O15)*(1+'Quarterly returns'!O16)-1</f>
        <v>-0.222991664266773</v>
      </c>
      <c r="E28" s="68">
        <f>(1+'Quarterly returns'!P13)*(1+'Quarterly returns'!P14)*(1+'Quarterly returns'!P15)*(1+'Quarterly returns'!P16)-1</f>
        <v>-0.316770883107095</v>
      </c>
      <c r="F28" s="68">
        <f>(1+'Quarterly returns'!Q13)*(1+'Quarterly returns'!Q14)*(1+'Quarterly returns'!Q15)*(1+'Quarterly returns'!Q16)-1</f>
        <v>-0.269612828109437</v>
      </c>
      <c r="G28" s="68">
        <f>(1+'Quarterly returns'!R13)*(1+'Quarterly returns'!R14)*(1+'Quarterly returns'!R15)*(1+'Quarterly returns'!R16)-1</f>
        <v>-0.326068413314341</v>
      </c>
      <c r="H28" s="68">
        <f>(1+'Quarterly returns'!S13)*(1+'Quarterly returns'!S14)*(1+'Quarterly returns'!S15)*(1+'Quarterly returns'!S16)-1</f>
        <v>-0.11962049281969</v>
      </c>
      <c r="I28" s="68">
        <f>(1+'Quarterly returns'!T13)*(1+'Quarterly returns'!T14)*(1+'Quarterly returns'!T15)*(1+'Quarterly returns'!T16)-1</f>
        <v>0.145241409078252</v>
      </c>
      <c r="J28" s="68">
        <f>(1+'Quarterly returns'!U13)*(1+'Quarterly returns'!U14)*(1+'Quarterly returns'!U15)*(1+'Quarterly returns'!U16)-1</f>
        <v>-0.176356524091467</v>
      </c>
      <c r="K28" s="68">
        <f>(1+'Quarterly returns'!V13)*(1+'Quarterly returns'!V14)*(1+'Quarterly returns'!V15)*(1+'Quarterly returns'!V16)-1</f>
        <v>0.149494280085195</v>
      </c>
      <c r="L28" s="68">
        <f>(1+'Quarterly returns'!W13)*(1+'Quarterly returns'!W14)*(1+'Quarterly returns'!W15)*(1+'Quarterly returns'!W16)-1</f>
        <v>0.0922941453525281</v>
      </c>
      <c r="M28" s="68">
        <f>(1+'Quarterly returns'!X13)*(1+'Quarterly returns'!X14)*(1+'Quarterly returns'!X15)*(1+'Quarterly returns'!X16)-1</f>
        <v>0.0760126526089431</v>
      </c>
      <c r="N28" s="77" t="n"/>
      <c r="O28" s="68">
        <f>C28-AVERAGE(C$21:C$97)+Forecast!$G$6</f>
        <v>-0.408643610324422</v>
      </c>
      <c r="P28" s="68">
        <f>D28-AVERAGE(D$21:D$97)+Forecast!$G$7</f>
        <v>-0.25111545551095</v>
      </c>
      <c r="Q28" s="68">
        <f>E28-AVERAGE(E$21:E$97)+Forecast!$G$8</f>
        <v>-0.335163611038454</v>
      </c>
      <c r="R28" s="68">
        <f>F28-AVERAGE(F$21:F$97)+Forecast!$G$9</f>
        <v>-0.262974995298653</v>
      </c>
      <c r="S28" s="68">
        <f>G28-AVERAGE(G$21:G$97)+Forecast!$G$10</f>
        <v>-0.273132816095802</v>
      </c>
      <c r="T28" s="68">
        <f>H28-AVERAGE(H$21:H$97)+Forecast!$G$11</f>
        <v>-0.138364422362739</v>
      </c>
      <c r="U28" s="68">
        <f>I28-AVERAGE(I$21:I$97)+Forecast!$G$12</f>
        <v>0.102912350566814</v>
      </c>
      <c r="V28" s="68">
        <f>J28-AVERAGE(J$21:J$97)+Forecast!$G$13</f>
        <v>-0.248196254166996</v>
      </c>
      <c r="W28" s="68">
        <f>K28-AVERAGE(K$21:K$97)+Forecast!$G$14</f>
        <v>0.157424692856155</v>
      </c>
      <c r="X28" s="68">
        <f>L28-AVERAGE(L$21:L$97)+Forecast!$G$15</f>
        <v>0.10053746246704</v>
      </c>
      <c r="Y28" s="68">
        <f>M28-AVERAGE(M$21:M$97)+Forecast!$G$16</f>
        <v>0.091067724907013</v>
      </c>
      <c r="Z28" s="68">
        <f>SUMPRODUCT($O28:$Y28,Risk!$B$56:$L$56)</f>
        <v>-0.201946593092547</v>
      </c>
      <c r="AA28" s="68">
        <f>SUMPRODUCT($O28:$Y28,Risk!$B$57:$L$57)</f>
        <v>-0.171800554835405</v>
      </c>
      <c r="AB28" s="68">
        <f>SUMPRODUCT($O28:$Y28,Risk!$B$58:$L$58)</f>
        <v>-0.200263603508416</v>
      </c>
      <c r="AC28" s="68">
        <f>SUMPRODUCT(MMULT($O28:$Y28,Portfolio!$C$127:$C$137))</f>
        <v>-0.21128544948783</v>
      </c>
      <c r="AD28" s="68">
        <f>SUMPRODUCT(MMULT($O28:$Y28,Portfolio!$D$127:$D$137))</f>
        <v>-0.189626005302884</v>
      </c>
      <c r="AE28" s="68">
        <f>SUMPRODUCT(MMULT($O28:$Y28,Portfolio!$E$127:$E$137))</f>
        <v>-0.208877918627453</v>
      </c>
      <c r="AF28" s="314">
        <f>SUMPRODUCT(MMULT($O28:$Y28,Portfolio!$F$127:$F$137))</f>
        <v>-0.158054377995168</v>
      </c>
    </row>
    <row r="29">
      <c r="A29" s="312" t="n">
        <v>9</v>
      </c>
      <c r="B29" s="313">
        <f>'Quarterly returns'!A17</f>
        <v>39903.0</v>
      </c>
      <c r="C29" s="68">
        <f>(1+'Quarterly returns'!N14)*(1+'Quarterly returns'!N15)*(1+'Quarterly returns'!N16)*(1+'Quarterly returns'!N17)-1</f>
        <v>-0.312972564531318</v>
      </c>
      <c r="D29" s="68">
        <f>(1+'Quarterly returns'!O14)*(1+'Quarterly returns'!O15)*(1+'Quarterly returns'!O16)*(1+'Quarterly returns'!O17)-1</f>
        <v>-0.171922760699046</v>
      </c>
      <c r="E29" s="68">
        <f>(1+'Quarterly returns'!P14)*(1+'Quarterly returns'!P15)*(1+'Quarterly returns'!P16)*(1+'Quarterly returns'!P17)-1</f>
        <v>-0.165965105990036</v>
      </c>
      <c r="F29" s="68">
        <f>(1+'Quarterly returns'!Q14)*(1+'Quarterly returns'!Q15)*(1+'Quarterly returns'!Q16)*(1+'Quarterly returns'!Q17)-1</f>
        <v>-0.395765384878809</v>
      </c>
      <c r="G29" s="68">
        <f>(1+'Quarterly returns'!R14)*(1+'Quarterly returns'!R15)*(1+'Quarterly returns'!R16)*(1+'Quarterly returns'!R17)-1</f>
        <v>-0.428473589696313</v>
      </c>
      <c r="H29" s="68">
        <f>(1+'Quarterly returns'!S14)*(1+'Quarterly returns'!S15)*(1+'Quarterly returns'!S16)*(1+'Quarterly returns'!S17)-1</f>
        <v>-0.0481812289848372</v>
      </c>
      <c r="I29" s="68">
        <f>(1+'Quarterly returns'!T14)*(1+'Quarterly returns'!T15)*(1+'Quarterly returns'!T16)*(1+'Quarterly returns'!T17)-1</f>
        <v>0.183656629543528</v>
      </c>
      <c r="J29" s="68">
        <f>(1+'Quarterly returns'!U14)*(1+'Quarterly returns'!U15)*(1+'Quarterly returns'!U16)*(1+'Quarterly returns'!U17)-1</f>
        <v>-0.192639412442211</v>
      </c>
      <c r="K29" s="68">
        <f>(1+'Quarterly returns'!V14)*(1+'Quarterly returns'!V15)*(1+'Quarterly returns'!V16)*(1+'Quarterly returns'!V17)-1</f>
        <v>0.127738274025627</v>
      </c>
      <c r="L29" s="68">
        <f>(1+'Quarterly returns'!W14)*(1+'Quarterly returns'!W15)*(1+'Quarterly returns'!W16)*(1+'Quarterly returns'!W17)-1</f>
        <v>0.0701100390718443</v>
      </c>
      <c r="M29" s="68">
        <f>(1+'Quarterly returns'!X14)*(1+'Quarterly returns'!X15)*(1+'Quarterly returns'!X16)*(1+'Quarterly returns'!X17)-1</f>
        <v>0.0669487078048432</v>
      </c>
      <c r="N29" s="77" t="n"/>
      <c r="O29" s="68">
        <f>C29-AVERAGE(C$21:C$97)+Forecast!$G$6</f>
        <v>-0.317768272126413</v>
      </c>
      <c r="P29" s="68">
        <f>D29-AVERAGE(D$21:D$97)+Forecast!$G$7</f>
        <v>-0.200046551943223</v>
      </c>
      <c r="Q29" s="68">
        <f>E29-AVERAGE(E$21:E$97)+Forecast!$G$8</f>
        <v>-0.184357833921395</v>
      </c>
      <c r="R29" s="68">
        <f>F29-AVERAGE(F$21:F$97)+Forecast!$G$9</f>
        <v>-0.389127552068026</v>
      </c>
      <c r="S29" s="68">
        <f>G29-AVERAGE(G$21:G$97)+Forecast!$G$10</f>
        <v>-0.375537992477773</v>
      </c>
      <c r="T29" s="68">
        <f>H29-AVERAGE(H$21:H$97)+Forecast!$G$11</f>
        <v>-0.0669251585278862</v>
      </c>
      <c r="U29" s="68">
        <f>I29-AVERAGE(I$21:I$97)+Forecast!$G$12</f>
        <v>0.14132757103209</v>
      </c>
      <c r="V29" s="68">
        <f>J29-AVERAGE(J$21:J$97)+Forecast!$G$13</f>
        <v>-0.264479142517741</v>
      </c>
      <c r="W29" s="68">
        <f>K29-AVERAGE(K$21:K$97)+Forecast!$G$14</f>
        <v>0.135668686796587</v>
      </c>
      <c r="X29" s="68">
        <f>L29-AVERAGE(L$21:L$97)+Forecast!$G$15</f>
        <v>0.0783533561863559</v>
      </c>
      <c r="Y29" s="68">
        <f>M29-AVERAGE(M$21:M$97)+Forecast!$G$16</f>
        <v>0.0820037801029132</v>
      </c>
      <c r="Z29" s="68">
        <f>SUMPRODUCT($O29:$Y29,Risk!$B$56:$L$56)</f>
        <v>-0.173670538324412</v>
      </c>
      <c r="AA29" s="68">
        <f>SUMPRODUCT($O29:$Y29,Risk!$B$57:$L$57)</f>
        <v>-0.144701870345791</v>
      </c>
      <c r="AB29" s="68">
        <f>SUMPRODUCT($O29:$Y29,Risk!$B$58:$L$58)</f>
        <v>-0.170087207490574</v>
      </c>
      <c r="AC29" s="68">
        <f>SUMPRODUCT(MMULT($O29:$Y29,Portfolio!$C$127:$C$137))</f>
        <v>-0.179804812658107</v>
      </c>
      <c r="AD29" s="68">
        <f>SUMPRODUCT(MMULT($O29:$Y29,Portfolio!$D$127:$D$137))</f>
        <v>-0.156755810516135</v>
      </c>
      <c r="AE29" s="68">
        <f>SUMPRODUCT(MMULT($O29:$Y29,Portfolio!$E$127:$E$137))</f>
        <v>-0.179708143575753</v>
      </c>
      <c r="AF29" s="314">
        <f>SUMPRODUCT(MMULT($O29:$Y29,Portfolio!$F$127:$F$137))</f>
        <v>-0.121987517787555</v>
      </c>
    </row>
    <row r="30">
      <c r="A30" s="312" t="n">
        <v>10</v>
      </c>
      <c r="B30" s="313">
        <f>'Quarterly returns'!A18</f>
        <v>39994.0</v>
      </c>
      <c r="C30" s="68">
        <f>(1+'Quarterly returns'!N15)*(1+'Quarterly returns'!N16)*(1+'Quarterly returns'!N17)*(1+'Quarterly returns'!N18)-1</f>
        <v>-0.221458244263515</v>
      </c>
      <c r="D30" s="68">
        <f>(1+'Quarterly returns'!O15)*(1+'Quarterly returns'!O16)*(1+'Quarterly returns'!O17)*(1+'Quarterly returns'!O18)-1</f>
        <v>-0.119500025712597</v>
      </c>
      <c r="E30" s="68">
        <f>(1+'Quarterly returns'!P15)*(1+'Quarterly returns'!P16)*(1+'Quarterly returns'!P17)*(1+'Quarterly returns'!P18)-1</f>
        <v>-0.0469448781188685</v>
      </c>
      <c r="F30" s="68">
        <f>(1+'Quarterly returns'!Q15)*(1+'Quarterly returns'!Q16)*(1+'Quarterly returns'!Q17)*(1+'Quarterly returns'!Q18)-1</f>
        <v>-0.260602448500305</v>
      </c>
      <c r="G30" s="68">
        <f>(1+'Quarterly returns'!R15)*(1+'Quarterly returns'!R16)*(1+'Quarterly returns'!R17)*(1+'Quarterly returns'!R18)-1</f>
        <v>-0.521392854801515</v>
      </c>
      <c r="H30" s="68">
        <f>(1+'Quarterly returns'!S15)*(1+'Quarterly returns'!S16)*(1+'Quarterly returns'!S17)*(1+'Quarterly returns'!S18)-1</f>
        <v>0.105866634597158</v>
      </c>
      <c r="I30" s="68">
        <f>(1+'Quarterly returns'!T15)*(1+'Quarterly returns'!T16)*(1+'Quarterly returns'!T17)*(1+'Quarterly returns'!T18)-1</f>
        <v>0.113662536022618</v>
      </c>
      <c r="J30" s="68">
        <f>(1+'Quarterly returns'!U15)*(1+'Quarterly returns'!U16)*(1+'Quarterly returns'!U17)*(1+'Quarterly returns'!U18)-1</f>
        <v>-0.1570637352668</v>
      </c>
      <c r="K30" s="68">
        <f>(1+'Quarterly returns'!V15)*(1+'Quarterly returns'!V16)*(1+'Quarterly returns'!V17)*(1+'Quarterly returns'!V18)-1</f>
        <v>0.108217707397337</v>
      </c>
      <c r="L30" s="68">
        <f>(1+'Quarterly returns'!W15)*(1+'Quarterly returns'!W16)*(1+'Quarterly returns'!W17)*(1+'Quarterly returns'!W18)-1</f>
        <v>0.0995388933440262</v>
      </c>
      <c r="M30" s="68">
        <f>(1+'Quarterly returns'!X15)*(1+'Quarterly returns'!X16)*(1+'Quarterly returns'!X17)*(1+'Quarterly returns'!X18)-1</f>
        <v>0.0547535141556126</v>
      </c>
      <c r="N30" s="77" t="n"/>
      <c r="O30" s="68">
        <f>C30-AVERAGE(C$21:C$97)+Forecast!$G$6</f>
        <v>-0.22625395185861</v>
      </c>
      <c r="P30" s="68">
        <f>D30-AVERAGE(D$21:D$97)+Forecast!$G$7</f>
        <v>-0.147623816956774</v>
      </c>
      <c r="Q30" s="68">
        <f>E30-AVERAGE(E$21:E$97)+Forecast!$G$8</f>
        <v>-0.0653376060502278</v>
      </c>
      <c r="R30" s="68">
        <f>F30-AVERAGE(F$21:F$97)+Forecast!$G$9</f>
        <v>-0.253964615689521</v>
      </c>
      <c r="S30" s="68">
        <f>G30-AVERAGE(G$21:G$97)+Forecast!$G$10</f>
        <v>-0.468457257582975</v>
      </c>
      <c r="T30" s="68">
        <f>H30-AVERAGE(H$21:H$97)+Forecast!$G$11</f>
        <v>0.0871227050541093</v>
      </c>
      <c r="U30" s="68">
        <f>I30-AVERAGE(I$21:I$97)+Forecast!$G$12</f>
        <v>0.0713334775111804</v>
      </c>
      <c r="V30" s="68">
        <f>J30-AVERAGE(J$21:J$97)+Forecast!$G$13</f>
        <v>-0.22890346534233</v>
      </c>
      <c r="W30" s="68">
        <f>K30-AVERAGE(K$21:K$97)+Forecast!$G$14</f>
        <v>0.116148120168297</v>
      </c>
      <c r="X30" s="68">
        <f>L30-AVERAGE(L$21:L$97)+Forecast!$G$15</f>
        <v>0.107782210458538</v>
      </c>
      <c r="Y30" s="68">
        <f>M30-AVERAGE(M$21:M$97)+Forecast!$G$16</f>
        <v>0.0698085864536825</v>
      </c>
      <c r="Z30" s="68">
        <f>SUMPRODUCT($O30:$Y30,Risk!$B$56:$L$56)</f>
        <v>-0.114491409790066</v>
      </c>
      <c r="AA30" s="68">
        <f>SUMPRODUCT($O30:$Y30,Risk!$B$57:$L$57)</f>
        <v>-0.091259927280329</v>
      </c>
      <c r="AB30" s="68">
        <f>SUMPRODUCT($O30:$Y30,Risk!$B$58:$L$58)</f>
        <v>-0.111748080264334</v>
      </c>
      <c r="AC30" s="68">
        <f>SUMPRODUCT(MMULT($O30:$Y30,Portfolio!$C$127:$C$137))</f>
        <v>-0.116822997561415</v>
      </c>
      <c r="AD30" s="68">
        <f>SUMPRODUCT(MMULT($O30:$Y30,Portfolio!$D$127:$D$137))</f>
        <v>-0.0957779202205057</v>
      </c>
      <c r="AE30" s="68">
        <f>SUMPRODUCT(MMULT($O30:$Y30,Portfolio!$E$127:$E$137))</f>
        <v>-0.120014832529007</v>
      </c>
      <c r="AF30" s="314">
        <f>SUMPRODUCT(MMULT($O30:$Y30,Portfolio!$F$127:$F$137))</f>
        <v>-0.0746881788381579</v>
      </c>
    </row>
    <row r="31">
      <c r="A31" s="312" t="n">
        <v>11</v>
      </c>
      <c r="B31" s="313">
        <f>'Quarterly returns'!A19</f>
        <v>40086.0</v>
      </c>
      <c r="C31" s="68">
        <f>(1+'Quarterly returns'!N16)*(1+'Quarterly returns'!N17)*(1+'Quarterly returns'!N18)*(1+'Quarterly returns'!N19)-1</f>
        <v>0.0740095865310613</v>
      </c>
      <c r="D31" s="68">
        <f>(1+'Quarterly returns'!O16)*(1+'Quarterly returns'!O17)*(1+'Quarterly returns'!O18)*(1+'Quarterly returns'!O19)-1</f>
        <v>-0.140885032735735</v>
      </c>
      <c r="E31" s="68">
        <f>(1+'Quarterly returns'!P16)*(1+'Quarterly returns'!P17)*(1+'Quarterly returns'!P18)*(1+'Quarterly returns'!P19)-1</f>
        <v>0.0591480500056842</v>
      </c>
      <c r="F31" s="68">
        <f>(1+'Quarterly returns'!Q16)*(1+'Quarterly returns'!Q17)*(1+'Quarterly returns'!Q18)*(1+'Quarterly returns'!Q19)-1</f>
        <v>-0.281855604046477</v>
      </c>
      <c r="G31" s="68">
        <f>(1+'Quarterly returns'!R16)*(1+'Quarterly returns'!R17)*(1+'Quarterly returns'!R18)*(1+'Quarterly returns'!R19)-1</f>
        <v>-0.50413963062028</v>
      </c>
      <c r="H31" s="68">
        <f>(1+'Quarterly returns'!S16)*(1+'Quarterly returns'!S17)*(1+'Quarterly returns'!S18)*(1+'Quarterly returns'!S19)-1</f>
        <v>0.210660242382458</v>
      </c>
      <c r="I31" s="68">
        <f>(1+'Quarterly returns'!T16)*(1+'Quarterly returns'!T17)*(1+'Quarterly returns'!T18)*(1+'Quarterly returns'!T19)-1</f>
        <v>0.0927269801385879</v>
      </c>
      <c r="J31" s="68">
        <f>(1+'Quarterly returns'!U16)*(1+'Quarterly returns'!U17)*(1+'Quarterly returns'!U18)*(1+'Quarterly returns'!U19)-1</f>
        <v>-0.0476735411055423</v>
      </c>
      <c r="K31" s="68">
        <f>(1+'Quarterly returns'!V16)*(1+'Quarterly returns'!V17)*(1+'Quarterly returns'!V18)*(1+'Quarterly returns'!V19)-1</f>
        <v>0.0707450658866633</v>
      </c>
      <c r="L31" s="68">
        <f>(1+'Quarterly returns'!W16)*(1+'Quarterly returns'!W17)*(1+'Quarterly returns'!W18)*(1+'Quarterly returns'!W19)-1</f>
        <v>0.119866378463352</v>
      </c>
      <c r="M31" s="68">
        <f>(1+'Quarterly returns'!X16)*(1+'Quarterly returns'!X17)*(1+'Quarterly returns'!X18)*(1+'Quarterly returns'!X19)-1</f>
        <v>0.0430509006552333</v>
      </c>
      <c r="N31" s="77" t="n"/>
      <c r="O31" s="68">
        <f>C31-AVERAGE(C$21:C$97)+Forecast!$G$6</f>
        <v>0.0692138789359664</v>
      </c>
      <c r="P31" s="68">
        <f>D31-AVERAGE(D$21:D$97)+Forecast!$G$7</f>
        <v>-0.169008823979911</v>
      </c>
      <c r="Q31" s="68">
        <f>E31-AVERAGE(E$21:E$97)+Forecast!$G$8</f>
        <v>0.040755322074325</v>
      </c>
      <c r="R31" s="68">
        <f>F31-AVERAGE(F$21:F$97)+Forecast!$G$9</f>
        <v>-0.275217771235694</v>
      </c>
      <c r="S31" s="68">
        <f>G31-AVERAGE(G$21:G$97)+Forecast!$G$10</f>
        <v>-0.451204033401741</v>
      </c>
      <c r="T31" s="68">
        <f>H31-AVERAGE(H$21:H$97)+Forecast!$G$11</f>
        <v>0.191916312839409</v>
      </c>
      <c r="U31" s="68">
        <f>I31-AVERAGE(I$21:I$97)+Forecast!$G$12</f>
        <v>0.0503979216271505</v>
      </c>
      <c r="V31" s="68">
        <f>J31-AVERAGE(J$21:J$97)+Forecast!$G$13</f>
        <v>-0.119513271181072</v>
      </c>
      <c r="W31" s="68">
        <f>K31-AVERAGE(K$21:K$97)+Forecast!$G$14</f>
        <v>0.078675478657623</v>
      </c>
      <c r="X31" s="68">
        <f>L31-AVERAGE(L$21:L$97)+Forecast!$G$15</f>
        <v>0.128109695577864</v>
      </c>
      <c r="Y31" s="68">
        <f>M31-AVERAGE(M$21:M$97)+Forecast!$G$16</f>
        <v>0.0581059729533033</v>
      </c>
      <c r="Z31" s="68">
        <f>SUMPRODUCT($O31:$Y31,Risk!$B$56:$L$56)</f>
        <v>-0.00752047479356129</v>
      </c>
      <c r="AA31" s="68">
        <f>SUMPRODUCT($O31:$Y31,Risk!$B$57:$L$57)</f>
        <v>-0.0159531451439066</v>
      </c>
      <c r="AB31" s="68">
        <f>SUMPRODUCT($O31:$Y31,Risk!$B$58:$L$58)</f>
        <v>-0.0332181867175027</v>
      </c>
      <c r="AC31" s="68">
        <f>SUMPRODUCT(MMULT($O31:$Y31,Portfolio!$C$127:$C$137))</f>
        <v>-0.0346748741391771</v>
      </c>
      <c r="AD31" s="68">
        <f>SUMPRODUCT(MMULT($O31:$Y31,Portfolio!$D$127:$D$137))</f>
        <v>-0.0166168578131873</v>
      </c>
      <c r="AE31" s="68">
        <f>SUMPRODUCT(MMULT($O31:$Y31,Portfolio!$E$127:$E$137))</f>
        <v>-0.0384150441913103</v>
      </c>
      <c r="AF31" s="314">
        <f>SUMPRODUCT(MMULT($O31:$Y31,Portfolio!$F$127:$F$137))</f>
        <v>0.0094124152781907</v>
      </c>
    </row>
    <row r="32">
      <c r="A32" s="312" t="n">
        <v>12</v>
      </c>
      <c r="B32" s="313">
        <f>'Quarterly returns'!A20</f>
        <v>40178.0</v>
      </c>
      <c r="C32" s="68">
        <f>(1+'Quarterly returns'!N17)*(1+'Quarterly returns'!N18)*(1+'Quarterly returns'!N19)*(1+'Quarterly returns'!N20)-1</f>
        <v>0.395780839234583</v>
      </c>
      <c r="D32" s="68">
        <f>(1+'Quarterly returns'!O17)*(1+'Quarterly returns'!O18)*(1+'Quarterly returns'!O19)*(1+'Quarterly returns'!O20)-1</f>
        <v>-0.0192425853399567</v>
      </c>
      <c r="E32" s="68">
        <f>(1+'Quarterly returns'!P17)*(1+'Quarterly returns'!P18)*(1+'Quarterly returns'!P19)*(1+'Quarterly returns'!P20)-1</f>
        <v>0.261764493749167</v>
      </c>
      <c r="F32" s="68">
        <f>(1+'Quarterly returns'!Q17)*(1+'Quarterly returns'!Q18)*(1+'Quarterly returns'!Q19)*(1+'Quarterly returns'!Q20)-1</f>
        <v>-0.0139536739774097</v>
      </c>
      <c r="G32" s="68">
        <f>(1+'Quarterly returns'!R17)*(1+'Quarterly returns'!R18)*(1+'Quarterly returns'!R19)*(1+'Quarterly returns'!R20)-1</f>
        <v>-0.120234389255975</v>
      </c>
      <c r="H32" s="68">
        <f>(1+'Quarterly returns'!S17)*(1+'Quarterly returns'!S18)*(1+'Quarterly returns'!S19)*(1+'Quarterly returns'!S20)-1</f>
        <v>0.304278741240891</v>
      </c>
      <c r="I32" s="68">
        <f>(1+'Quarterly returns'!T17)*(1+'Quarterly returns'!T18)*(1+'Quarterly returns'!T19)*(1+'Quarterly returns'!T20)-1</f>
        <v>0.0199792465528466</v>
      </c>
      <c r="J32" s="68">
        <f>(1+'Quarterly returns'!U17)*(1+'Quarterly returns'!U18)*(1+'Quarterly returns'!U19)*(1+'Quarterly returns'!U20)-1</f>
        <v>0.124406911248657</v>
      </c>
      <c r="K32" s="68">
        <f>(1+'Quarterly returns'!V17)*(1+'Quarterly returns'!V18)*(1+'Quarterly returns'!V19)*(1+'Quarterly returns'!V20)-1</f>
        <v>0.0173427268038646</v>
      </c>
      <c r="L32" s="68">
        <f>(1+'Quarterly returns'!W17)*(1+'Quarterly returns'!W18)*(1+'Quarterly returns'!W19)*(1+'Quarterly returns'!W20)-1</f>
        <v>0.0803149606299207</v>
      </c>
      <c r="M32" s="68">
        <f>(1+'Quarterly returns'!X17)*(1+'Quarterly returns'!X18)*(1+'Quarterly returns'!X19)*(1+'Quarterly returns'!X20)-1</f>
        <v>0.0347492471225643</v>
      </c>
      <c r="N32" s="77" t="n"/>
      <c r="O32" s="68">
        <f>C32-AVERAGE(C$21:C$97)+Forecast!$G$6</f>
        <v>0.390985131639489</v>
      </c>
      <c r="P32" s="68">
        <f>D32-AVERAGE(D$21:D$97)+Forecast!$G$7</f>
        <v>-0.0473663765841334</v>
      </c>
      <c r="Q32" s="68">
        <f>E32-AVERAGE(E$21:E$97)+Forecast!$G$8</f>
        <v>0.243371765817808</v>
      </c>
      <c r="R32" s="68">
        <f>F32-AVERAGE(F$21:F$97)+Forecast!$G$9</f>
        <v>-0.00731584116662605</v>
      </c>
      <c r="S32" s="68">
        <f>G32-AVERAGE(G$21:G$97)+Forecast!$G$10</f>
        <v>-0.0672987920374352</v>
      </c>
      <c r="T32" s="68">
        <f>H32-AVERAGE(H$21:H$97)+Forecast!$G$11</f>
        <v>0.285534811697842</v>
      </c>
      <c r="U32" s="68">
        <f>I32-AVERAGE(I$21:I$97)+Forecast!$G$12</f>
        <v>-0.0223498119585909</v>
      </c>
      <c r="V32" s="68">
        <f>J32-AVERAGE(J$21:J$97)+Forecast!$G$13</f>
        <v>0.0525671811731278</v>
      </c>
      <c r="W32" s="68">
        <f>K32-AVERAGE(K$21:K$97)+Forecast!$G$14</f>
        <v>0.0252731395748243</v>
      </c>
      <c r="X32" s="68">
        <f>L32-AVERAGE(L$21:L$97)+Forecast!$G$15</f>
        <v>0.0885582777444323</v>
      </c>
      <c r="Y32" s="68">
        <f>M32-AVERAGE(M$21:M$97)+Forecast!$G$16</f>
        <v>0.0498043194206343</v>
      </c>
      <c r="Z32" s="68">
        <f>SUMPRODUCT($O32:$Y32,Risk!$B$56:$L$56)</f>
        <v>0.160551128737529</v>
      </c>
      <c r="AA32" s="68">
        <f>SUMPRODUCT($O32:$Y32,Risk!$B$57:$L$57)</f>
        <v>0.121778462118112</v>
      </c>
      <c r="AB32" s="68">
        <f>SUMPRODUCT($O32:$Y32,Risk!$B$58:$L$58)</f>
        <v>0.123358743822664</v>
      </c>
      <c r="AC32" s="68">
        <f>SUMPRODUCT(MMULT($O32:$Y32,Portfolio!$C$127:$C$137))</f>
        <v>0.129796714887035</v>
      </c>
      <c r="AD32" s="68">
        <f>SUMPRODUCT(MMULT($O32:$Y32,Portfolio!$D$127:$D$137))</f>
        <v>0.128378220125284</v>
      </c>
      <c r="AE32" s="68">
        <f>SUMPRODUCT(MMULT($O32:$Y32,Portfolio!$E$127:$E$137))</f>
        <v>0.123071498970343</v>
      </c>
      <c r="AF32" s="314">
        <f>SUMPRODUCT(MMULT($O32:$Y32,Portfolio!$F$127:$F$137))</f>
        <v>0.131070499520148</v>
      </c>
    </row>
    <row r="33">
      <c r="A33" s="312" t="n">
        <v>13</v>
      </c>
      <c r="B33" s="313">
        <f>'Quarterly returns'!A21</f>
        <v>40268.0</v>
      </c>
      <c r="C33" s="68">
        <f>(1+'Quarterly returns'!N18)*(1+'Quarterly returns'!N19)*(1+'Quarterly returns'!N20)*(1+'Quarterly returns'!N21)-1</f>
        <v>0.440110011852485</v>
      </c>
      <c r="D33" s="68">
        <f>(1+'Quarterly returns'!O18)*(1+'Quarterly returns'!O19)*(1+'Quarterly returns'!O20)*(1+'Quarterly returns'!O21)-1</f>
        <v>0.113620448784748</v>
      </c>
      <c r="E33" s="68">
        <f>(1+'Quarterly returns'!P18)*(1+'Quarterly returns'!P19)*(1+'Quarterly returns'!P20)*(1+'Quarterly returns'!P21)-1</f>
        <v>0.199177580544663</v>
      </c>
      <c r="F33" s="68">
        <f>(1+'Quarterly returns'!Q18)*(1+'Quarterly returns'!Q19)*(1+'Quarterly returns'!Q20)*(1+'Quarterly returns'!Q21)-1</f>
        <v>0.342427121640928</v>
      </c>
      <c r="G33" s="68">
        <f>(1+'Quarterly returns'!R18)*(1+'Quarterly returns'!R19)*(1+'Quarterly returns'!R20)*(1+'Quarterly returns'!R21)-1</f>
        <v>-0.0472152427681072</v>
      </c>
      <c r="H33" s="68">
        <f>(1+'Quarterly returns'!S18)*(1+'Quarterly returns'!S19)*(1+'Quarterly returns'!S20)*(1+'Quarterly returns'!S21)-1</f>
        <v>0.263065669548174</v>
      </c>
      <c r="I33" s="68">
        <f>(1+'Quarterly returns'!T18)*(1+'Quarterly returns'!T19)*(1+'Quarterly returns'!T20)*(1+'Quarterly returns'!T21)-1</f>
        <v>-0.121142353222073</v>
      </c>
      <c r="J33" s="68">
        <f>(1+'Quarterly returns'!U18)*(1+'Quarterly returns'!U19)*(1+'Quarterly returns'!U20)*(1+'Quarterly returns'!U21)-1</f>
        <v>0.181016361579629</v>
      </c>
      <c r="K33" s="68">
        <f>(1+'Quarterly returns'!V18)*(1+'Quarterly returns'!V19)*(1+'Quarterly returns'!V20)*(1+'Quarterly returns'!V21)-1</f>
        <v>0.0272713891125715</v>
      </c>
      <c r="L33" s="68">
        <f>(1+'Quarterly returns'!W18)*(1+'Quarterly returns'!W19)*(1+'Quarterly returns'!W20)*(1+'Quarterly returns'!W21)-1</f>
        <v>0.102382593468825</v>
      </c>
      <c r="M33" s="68">
        <f>(1+'Quarterly returns'!X18)*(1+'Quarterly returns'!X19)*(1+'Quarterly returns'!X20)*(1+'Quarterly returns'!X21)-1</f>
        <v>0.0354139803497815</v>
      </c>
      <c r="N33" s="77" t="n"/>
      <c r="O33" s="68">
        <f>C33-AVERAGE(C$21:C$97)+Forecast!$G$6</f>
        <v>0.43531430425739</v>
      </c>
      <c r="P33" s="68">
        <f>D33-AVERAGE(D$21:D$97)+Forecast!$G$7</f>
        <v>0.0854966575405712</v>
      </c>
      <c r="Q33" s="68">
        <f>E33-AVERAGE(E$21:E$97)+Forecast!$G$8</f>
        <v>0.180784852613303</v>
      </c>
      <c r="R33" s="68">
        <f>F33-AVERAGE(F$21:F$97)+Forecast!$G$9</f>
        <v>0.349064954451711</v>
      </c>
      <c r="S33" s="68">
        <f>G33-AVERAGE(G$21:G$97)+Forecast!$G$10</f>
        <v>0.00572035445043215</v>
      </c>
      <c r="T33" s="68">
        <f>H33-AVERAGE(H$21:H$97)+Forecast!$G$11</f>
        <v>0.244321740005125</v>
      </c>
      <c r="U33" s="68">
        <f>I33-AVERAGE(I$21:I$97)+Forecast!$G$12</f>
        <v>-0.16347141173351</v>
      </c>
      <c r="V33" s="68">
        <f>J33-AVERAGE(J$21:J$97)+Forecast!$G$13</f>
        <v>0.1091766315041</v>
      </c>
      <c r="W33" s="68">
        <f>K33-AVERAGE(K$21:K$97)+Forecast!$G$14</f>
        <v>0.0352018018835313</v>
      </c>
      <c r="X33" s="68">
        <f>L33-AVERAGE(L$21:L$97)+Forecast!$G$15</f>
        <v>0.110625910583337</v>
      </c>
      <c r="Y33" s="68">
        <f>M33-AVERAGE(M$21:M$97)+Forecast!$G$16</f>
        <v>0.0504690526478515</v>
      </c>
      <c r="Z33" s="68">
        <f>SUMPRODUCT($O33:$Y33,Risk!$B$56:$L$56)</f>
        <v>0.243794725470788</v>
      </c>
      <c r="AA33" s="68">
        <f>SUMPRODUCT($O33:$Y33,Risk!$B$57:$L$57)</f>
        <v>0.188518690953783</v>
      </c>
      <c r="AB33" s="68">
        <f>SUMPRODUCT($O33:$Y33,Risk!$B$58:$L$58)</f>
        <v>0.205088151407834</v>
      </c>
      <c r="AC33" s="68">
        <f>SUMPRODUCT(MMULT($O33:$Y33,Portfolio!$C$127:$C$137))</f>
        <v>0.210664369550774</v>
      </c>
      <c r="AD33" s="68">
        <f>SUMPRODUCT(MMULT($O33:$Y33,Portfolio!$D$127:$D$137))</f>
        <v>0.206792465944919</v>
      </c>
      <c r="AE33" s="68">
        <f>SUMPRODUCT(MMULT($O33:$Y33,Portfolio!$E$127:$E$137))</f>
        <v>0.205223947980475</v>
      </c>
      <c r="AF33" s="314">
        <f>SUMPRODUCT(MMULT($O33:$Y33,Portfolio!$F$127:$F$137))</f>
        <v>0.191652501979896</v>
      </c>
    </row>
    <row r="34">
      <c r="A34" s="312" t="n">
        <v>14</v>
      </c>
      <c r="B34" s="313">
        <f>'Quarterly returns'!A22</f>
        <v>40359.0</v>
      </c>
      <c r="C34" s="68">
        <f>(1+'Quarterly returns'!N19)*(1+'Quarterly returns'!N20)*(1+'Quarterly returns'!N21)*(1+'Quarterly returns'!N22)-1</f>
        <v>0.137768429757604</v>
      </c>
      <c r="D34" s="68">
        <f>(1+'Quarterly returns'!O19)*(1+'Quarterly returns'!O20)*(1+'Quarterly returns'!O21)*(1+'Quarterly returns'!O22)-1</f>
        <v>0.073084629774226</v>
      </c>
      <c r="E34" s="68">
        <f>(1+'Quarterly returns'!P19)*(1+'Quarterly returns'!P20)*(1+'Quarterly returns'!P21)*(1+'Quarterly returns'!P22)-1</f>
        <v>0.149867059918821</v>
      </c>
      <c r="F34" s="68">
        <f>(1+'Quarterly returns'!Q19)*(1+'Quarterly returns'!Q20)*(1+'Quarterly returns'!Q21)*(1+'Quarterly returns'!Q22)-1</f>
        <v>0.316167114108417</v>
      </c>
      <c r="G34" s="68">
        <f>(1+'Quarterly returns'!R19)*(1+'Quarterly returns'!R20)*(1+'Quarterly returns'!R21)*(1+'Quarterly returns'!R22)-1</f>
        <v>-0.0948524346252562</v>
      </c>
      <c r="H34" s="68">
        <f>(1+'Quarterly returns'!S19)*(1+'Quarterly returns'!S20)*(1+'Quarterly returns'!S21)*(1+'Quarterly returns'!S22)-1</f>
        <v>0.122221824641159</v>
      </c>
      <c r="I34" s="68">
        <f>(1+'Quarterly returns'!T19)*(1+'Quarterly returns'!T20)*(1+'Quarterly returns'!T21)*(1+'Quarterly returns'!T22)-1</f>
        <v>-0.10299267531709</v>
      </c>
      <c r="J34" s="68">
        <f>(1+'Quarterly returns'!U19)*(1+'Quarterly returns'!U20)*(1+'Quarterly returns'!U21)*(1+'Quarterly returns'!U22)-1</f>
        <v>0.182637872361098</v>
      </c>
      <c r="K34" s="68">
        <f>(1+'Quarterly returns'!V19)*(1+'Quarterly returns'!V20)*(1+'Quarterly returns'!V21)*(1+'Quarterly returns'!V22)-1</f>
        <v>0.0785575264259857</v>
      </c>
      <c r="L34" s="68">
        <f>(1+'Quarterly returns'!W19)*(1+'Quarterly returns'!W20)*(1+'Quarterly returns'!W21)*(1+'Quarterly returns'!W22)-1</f>
        <v>0.105770808642538</v>
      </c>
      <c r="M34" s="68">
        <f>(1+'Quarterly returns'!X19)*(1+'Quarterly returns'!X20)*(1+'Quarterly returns'!X21)*(1+'Quarterly returns'!X22)-1</f>
        <v>0.0388605665633055</v>
      </c>
      <c r="N34" s="77" t="n"/>
      <c r="O34" s="68">
        <f>C34-AVERAGE(C$21:C$97)+Forecast!$G$6</f>
        <v>0.132972722162509</v>
      </c>
      <c r="P34" s="68">
        <f>D34-AVERAGE(D$21:D$97)+Forecast!$G$7</f>
        <v>0.0449608385300493</v>
      </c>
      <c r="Q34" s="68">
        <f>E34-AVERAGE(E$21:E$97)+Forecast!$G$8</f>
        <v>0.131474331987462</v>
      </c>
      <c r="R34" s="68">
        <f>F34-AVERAGE(F$21:F$97)+Forecast!$G$9</f>
        <v>0.3228049469192</v>
      </c>
      <c r="S34" s="68">
        <f>G34-AVERAGE(G$21:G$97)+Forecast!$G$10</f>
        <v>-0.0419168374067168</v>
      </c>
      <c r="T34" s="68">
        <f>H34-AVERAGE(H$21:H$97)+Forecast!$G$11</f>
        <v>0.10347789509811</v>
      </c>
      <c r="U34" s="68">
        <f>I34-AVERAGE(I$21:I$97)+Forecast!$G$12</f>
        <v>-0.145321733828528</v>
      </c>
      <c r="V34" s="68">
        <f>J34-AVERAGE(J$21:J$97)+Forecast!$G$13</f>
        <v>0.110798142285569</v>
      </c>
      <c r="W34" s="68">
        <f>K34-AVERAGE(K$21:K$97)+Forecast!$G$14</f>
        <v>0.0864879391969454</v>
      </c>
      <c r="X34" s="68">
        <f>L34-AVERAGE(L$21:L$97)+Forecast!$G$15</f>
        <v>0.11401412575705</v>
      </c>
      <c r="Y34" s="68">
        <f>M34-AVERAGE(M$21:M$97)+Forecast!$G$16</f>
        <v>0.0539156388613755</v>
      </c>
      <c r="Z34" s="68">
        <f>SUMPRODUCT($O34:$Y34,Risk!$B$56:$L$56)</f>
        <v>0.120330166923336</v>
      </c>
      <c r="AA34" s="68">
        <f>SUMPRODUCT($O34:$Y34,Risk!$B$57:$L$57)</f>
        <v>0.100141542778979</v>
      </c>
      <c r="AB34" s="68">
        <f>SUMPRODUCT($O34:$Y34,Risk!$B$58:$L$58)</f>
        <v>0.110904784743652</v>
      </c>
      <c r="AC34" s="68">
        <f>SUMPRODUCT(MMULT($O34:$Y34,Portfolio!$C$127:$C$137))</f>
        <v>0.11019614183761</v>
      </c>
      <c r="AD34" s="68">
        <f>SUMPRODUCT(MMULT($O34:$Y34,Portfolio!$D$127:$D$137))</f>
        <v>0.113923887714948</v>
      </c>
      <c r="AE34" s="68">
        <f>SUMPRODUCT(MMULT($O34:$Y34,Portfolio!$E$127:$E$137))</f>
        <v>0.104355816438074</v>
      </c>
      <c r="AF34" s="314">
        <f>SUMPRODUCT(MMULT($O34:$Y34,Portfolio!$F$127:$F$137))</f>
        <v>0.093239460737735</v>
      </c>
    </row>
    <row r="35">
      <c r="A35" s="312" t="n">
        <v>15</v>
      </c>
      <c r="B35" s="313">
        <f>'Quarterly returns'!A23</f>
        <v>40451.0</v>
      </c>
      <c r="C35" s="68">
        <f>(1+'Quarterly returns'!N20)*(1+'Quarterly returns'!N21)*(1+'Quarterly returns'!N22)*(1+'Quarterly returns'!N23)-1</f>
        <v>0.0173250485837679</v>
      </c>
      <c r="D35" s="68">
        <f>(1+'Quarterly returns'!O20)*(1+'Quarterly returns'!O21)*(1+'Quarterly returns'!O22)*(1+'Quarterly returns'!O23)-1</f>
        <v>-0.0275655733614784</v>
      </c>
      <c r="E35" s="68">
        <f>(1+'Quarterly returns'!P20)*(1+'Quarterly returns'!P21)*(1+'Quarterly returns'!P22)*(1+'Quarterly returns'!P23)-1</f>
        <v>0.0569402632060141</v>
      </c>
      <c r="F35" s="68">
        <f>(1+'Quarterly returns'!Q20)*(1+'Quarterly returns'!Q21)*(1+'Quarterly returns'!Q22)*(1+'Quarterly returns'!Q23)-1</f>
        <v>0.0883119807211148</v>
      </c>
      <c r="G35" s="68">
        <f>(1+'Quarterly returns'!R20)*(1+'Quarterly returns'!R21)*(1+'Quarterly returns'!R22)*(1+'Quarterly returns'!R23)-1</f>
        <v>-0.050040314921302</v>
      </c>
      <c r="H35" s="68">
        <f>(1+'Quarterly returns'!S20)*(1+'Quarterly returns'!S21)*(1+'Quarterly returns'!S22)*(1+'Quarterly returns'!S23)-1</f>
        <v>-0.00158385862867061</v>
      </c>
      <c r="I35" s="68">
        <f>(1+'Quarterly returns'!T20)*(1+'Quarterly returns'!T21)*(1+'Quarterly returns'!T22)*(1+'Quarterly returns'!T23)-1</f>
        <v>-0.0326430332388782</v>
      </c>
      <c r="J35" s="68">
        <f>(1+'Quarterly returns'!U20)*(1+'Quarterly returns'!U21)*(1+'Quarterly returns'!U22)*(1+'Quarterly returns'!U23)-1</f>
        <v>0.146713249378939</v>
      </c>
      <c r="K35" s="68">
        <f>(1+'Quarterly returns'!V20)*(1+'Quarterly returns'!V21)*(1+'Quarterly returns'!V22)*(1+'Quarterly returns'!V23)-1</f>
        <v>0.073395223222678</v>
      </c>
      <c r="L35" s="68">
        <f>(1+'Quarterly returns'!W20)*(1+'Quarterly returns'!W21)*(1+'Quarterly returns'!W22)*(1+'Quarterly returns'!W23)-1</f>
        <v>0.110229864888577</v>
      </c>
      <c r="M35" s="68">
        <f>(1+'Quarterly returns'!X20)*(1+'Quarterly returns'!X21)*(1+'Quarterly returns'!X22)*(1+'Quarterly returns'!X23)-1</f>
        <v>0.0429945746573044</v>
      </c>
      <c r="N35" s="77" t="n"/>
      <c r="O35" s="68">
        <f>C35-AVERAGE(C$21:C$97)+Forecast!$G$6</f>
        <v>0.012529340988673</v>
      </c>
      <c r="P35" s="68">
        <f>D35-AVERAGE(D$21:D$97)+Forecast!$G$7</f>
        <v>-0.055689364605655</v>
      </c>
      <c r="Q35" s="68">
        <f>E35-AVERAGE(E$21:E$97)+Forecast!$G$8</f>
        <v>0.0385475352746548</v>
      </c>
      <c r="R35" s="68">
        <f>F35-AVERAGE(F$21:F$97)+Forecast!$G$9</f>
        <v>0.0949498135318984</v>
      </c>
      <c r="S35" s="68">
        <f>G35-AVERAGE(G$21:G$97)+Forecast!$G$10</f>
        <v>0.00289528229723732</v>
      </c>
      <c r="T35" s="68">
        <f>H35-AVERAGE(H$21:H$97)+Forecast!$G$11</f>
        <v>-0.0203277881717195</v>
      </c>
      <c r="U35" s="68">
        <f>I35-AVERAGE(I$21:I$97)+Forecast!$G$12</f>
        <v>-0.0749720917503156</v>
      </c>
      <c r="V35" s="68">
        <f>J35-AVERAGE(J$21:J$97)+Forecast!$G$13</f>
        <v>0.0748735193034102</v>
      </c>
      <c r="W35" s="68">
        <f>K35-AVERAGE(K$21:K$97)+Forecast!$G$14</f>
        <v>0.0813256359936377</v>
      </c>
      <c r="X35" s="68">
        <f>L35-AVERAGE(L$21:L$97)+Forecast!$G$15</f>
        <v>0.118473182003088</v>
      </c>
      <c r="Y35" s="68">
        <f>M35-AVERAGE(M$21:M$97)+Forecast!$G$16</f>
        <v>0.0580496469553743</v>
      </c>
      <c r="Z35" s="68">
        <f>SUMPRODUCT($O35:$Y35,Risk!$B$56:$L$56)</f>
        <v>0.029109020073697</v>
      </c>
      <c r="AA35" s="68">
        <f>SUMPRODUCT($O35:$Y35,Risk!$B$57:$L$57)</f>
        <v>0.0227674882793454</v>
      </c>
      <c r="AB35" s="68">
        <f>SUMPRODUCT($O35:$Y35,Risk!$B$58:$L$58)</f>
        <v>0.024977651347988</v>
      </c>
      <c r="AC35" s="68">
        <f>SUMPRODUCT(MMULT($O35:$Y35,Portfolio!$C$127:$C$137))</f>
        <v>0.0187593900287675</v>
      </c>
      <c r="AD35" s="68">
        <f>SUMPRODUCT(MMULT($O35:$Y35,Portfolio!$D$127:$D$137))</f>
        <v>0.0281410528803161</v>
      </c>
      <c r="AE35" s="68">
        <f>SUMPRODUCT(MMULT($O35:$Y35,Portfolio!$E$127:$E$137))</f>
        <v>0.0136687420487049</v>
      </c>
      <c r="AF35" s="314">
        <f>SUMPRODUCT(MMULT($O35:$Y35,Portfolio!$F$127:$F$137))</f>
        <v>0.0247678204703795</v>
      </c>
    </row>
    <row r="36">
      <c r="A36" s="312" t="n">
        <v>16</v>
      </c>
      <c r="B36" s="313">
        <f>'Quarterly returns'!A24</f>
        <v>40543.0</v>
      </c>
      <c r="C36" s="68">
        <f>(1+'Quarterly returns'!N21)*(1+'Quarterly returns'!N22)*(1+'Quarterly returns'!N23)*(1+'Quarterly returns'!N24)-1</f>
        <v>0.0330625267565194</v>
      </c>
      <c r="D36" s="68">
        <f>(1+'Quarterly returns'!O21)*(1+'Quarterly returns'!O22)*(1+'Quarterly returns'!O23)*(1+'Quarterly returns'!O24)-1</f>
        <v>-0.0298704880962324</v>
      </c>
      <c r="E36" s="68">
        <f>(1+'Quarterly returns'!P21)*(1+'Quarterly returns'!P22)*(1+'Quarterly returns'!P23)*(1+'Quarterly returns'!P24)-1</f>
        <v>0.00374885125620272</v>
      </c>
      <c r="F36" s="68">
        <f>(1+'Quarterly returns'!Q21)*(1+'Quarterly returns'!Q22)*(1+'Quarterly returns'!Q23)*(1+'Quarterly returns'!Q24)-1</f>
        <v>0.0609078496381308</v>
      </c>
      <c r="G36" s="68">
        <f>(1+'Quarterly returns'!R21)*(1+'Quarterly returns'!R22)*(1+'Quarterly returns'!R23)*(1+'Quarterly returns'!R24)-1</f>
        <v>-0.0434383840688353</v>
      </c>
      <c r="H36" s="68">
        <f>(1+'Quarterly returns'!S21)*(1+'Quarterly returns'!S22)*(1+'Quarterly returns'!S23)*(1+'Quarterly returns'!S24)-1</f>
        <v>-0.0385910565053248</v>
      </c>
      <c r="I36" s="68">
        <f>(1+'Quarterly returns'!T21)*(1+'Quarterly returns'!T22)*(1+'Quarterly returns'!T23)*(1+'Quarterly returns'!T24)-1</f>
        <v>0.0669734454159237</v>
      </c>
      <c r="J36" s="68">
        <f>(1+'Quarterly returns'!U21)*(1+'Quarterly returns'!U22)*(1+'Quarterly returns'!U23)*(1+'Quarterly returns'!U24)-1</f>
        <v>0.0543864707868476</v>
      </c>
      <c r="K36" s="68">
        <f>(1+'Quarterly returns'!V21)*(1+'Quarterly returns'!V22)*(1+'Quarterly returns'!V23)*(1+'Quarterly returns'!V24)-1</f>
        <v>0.0603518318744791</v>
      </c>
      <c r="L36" s="68">
        <f>(1+'Quarterly returns'!W21)*(1+'Quarterly returns'!W22)*(1+'Quarterly returns'!W23)*(1+'Quarterly returns'!W24)-1</f>
        <v>0.0927738442315707</v>
      </c>
      <c r="M36" s="68">
        <f>(1+'Quarterly returns'!X21)*(1+'Quarterly returns'!X22)*(1+'Quarterly returns'!X23)*(1+'Quarterly returns'!X24)-1</f>
        <v>0.0466487112245142</v>
      </c>
      <c r="N36" s="77" t="n"/>
      <c r="O36" s="68">
        <f>C36-AVERAGE(C$21:C$97)+Forecast!$G$6</f>
        <v>0.0282668191614246</v>
      </c>
      <c r="P36" s="68">
        <f>D36-AVERAGE(D$21:D$97)+Forecast!$G$7</f>
        <v>-0.0579942793404091</v>
      </c>
      <c r="Q36" s="68">
        <f>E36-AVERAGE(E$21:E$97)+Forecast!$G$8</f>
        <v>-0.0146438766751565</v>
      </c>
      <c r="R36" s="68">
        <f>F36-AVERAGE(F$21:F$97)+Forecast!$G$9</f>
        <v>0.0675456824489144</v>
      </c>
      <c r="S36" s="68">
        <f>G36-AVERAGE(G$21:G$97)+Forecast!$G$10</f>
        <v>0.00949721314970407</v>
      </c>
      <c r="T36" s="68">
        <f>H36-AVERAGE(H$21:H$97)+Forecast!$G$11</f>
        <v>-0.0573349860483737</v>
      </c>
      <c r="U36" s="68">
        <f>I36-AVERAGE(I$21:I$97)+Forecast!$G$12</f>
        <v>0.0246443869044862</v>
      </c>
      <c r="V36" s="68">
        <f>J36-AVERAGE(J$21:J$97)+Forecast!$G$13</f>
        <v>-0.0174532592886816</v>
      </c>
      <c r="W36" s="68">
        <f>K36-AVERAGE(K$21:K$97)+Forecast!$G$14</f>
        <v>0.0682822446454389</v>
      </c>
      <c r="X36" s="68">
        <f>L36-AVERAGE(L$21:L$97)+Forecast!$G$15</f>
        <v>0.101017161346082</v>
      </c>
      <c r="Y36" s="68">
        <f>M36-AVERAGE(M$21:M$97)+Forecast!$G$16</f>
        <v>0.0617037835225842</v>
      </c>
      <c r="Z36" s="68">
        <f>SUMPRODUCT($O36:$Y36,Risk!$B$56:$L$56)</f>
        <v>0.0291054144924627</v>
      </c>
      <c r="AA36" s="68">
        <f>SUMPRODUCT($O36:$Y36,Risk!$B$57:$L$57)</f>
        <v>0.0174984035129848</v>
      </c>
      <c r="AB36" s="68">
        <f>SUMPRODUCT($O36:$Y36,Risk!$B$58:$L$58)</f>
        <v>0.0191119824324414</v>
      </c>
      <c r="AC36" s="68">
        <f>SUMPRODUCT(MMULT($O36:$Y36,Portfolio!$C$127:$C$137))</f>
        <v>0.0116008136956861</v>
      </c>
      <c r="AD36" s="68">
        <f>SUMPRODUCT(MMULT($O36:$Y36,Portfolio!$D$127:$D$137))</f>
        <v>0.0216226904129699</v>
      </c>
      <c r="AE36" s="68">
        <f>SUMPRODUCT(MMULT($O36:$Y36,Portfolio!$E$127:$E$137))</f>
        <v>0.00981574201061801</v>
      </c>
      <c r="AF36" s="314">
        <f>SUMPRODUCT(MMULT($O36:$Y36,Portfolio!$F$127:$F$137))</f>
        <v>0.0235008249313107</v>
      </c>
    </row>
    <row r="37">
      <c r="A37" s="312" t="n">
        <v>17</v>
      </c>
      <c r="B37" s="313">
        <f>'Quarterly returns'!A25</f>
        <v>40633.0</v>
      </c>
      <c r="C37" s="68">
        <f>(1+'Quarterly returns'!N22)*(1+'Quarterly returns'!N23)*(1+'Quarterly returns'!N24)*(1+'Quarterly returns'!N25)-1</f>
        <v>0.0480142918290136</v>
      </c>
      <c r="D37" s="68">
        <f>(1+'Quarterly returns'!O22)*(1+'Quarterly returns'!O23)*(1+'Quarterly returns'!O24)*(1+'Quarterly returns'!O25)-1</f>
        <v>-0.0288014072770598</v>
      </c>
      <c r="E37" s="68">
        <f>(1+'Quarterly returns'!P22)*(1+'Quarterly returns'!P23)*(1+'Quarterly returns'!P24)*(1+'Quarterly returns'!P25)-1</f>
        <v>0.00806722062319731</v>
      </c>
      <c r="F37" s="68">
        <f>(1+'Quarterly returns'!Q22)*(1+'Quarterly returns'!Q23)*(1+'Quarterly returns'!Q24)*(1+'Quarterly returns'!Q25)-1</f>
        <v>0.0610041526919218</v>
      </c>
      <c r="G37" s="68">
        <f>(1+'Quarterly returns'!R22)*(1+'Quarterly returns'!R23)*(1+'Quarterly returns'!R24)*(1+'Quarterly returns'!R25)-1</f>
        <v>0.0892729781247297</v>
      </c>
      <c r="H37" s="68">
        <f>(1+'Quarterly returns'!S22)*(1+'Quarterly returns'!S23)*(1+'Quarterly returns'!S24)*(1+'Quarterly returns'!S25)-1</f>
        <v>-0.0602161377396391</v>
      </c>
      <c r="I37" s="68">
        <f>(1+'Quarterly returns'!T22)*(1+'Quarterly returns'!T23)*(1+'Quarterly returns'!T24)*(1+'Quarterly returns'!T25)-1</f>
        <v>0.199420420344248</v>
      </c>
      <c r="J37" s="68">
        <f>(1+'Quarterly returns'!U22)*(1+'Quarterly returns'!U23)*(1+'Quarterly returns'!U24)*(1+'Quarterly returns'!U25)-1</f>
        <v>0.0738235851545257</v>
      </c>
      <c r="K37" s="68">
        <f>(1+'Quarterly returns'!V22)*(1+'Quarterly returns'!V23)*(1+'Quarterly returns'!V24)*(1+'Quarterly returns'!V25)-1</f>
        <v>0.0685701184923204</v>
      </c>
      <c r="L37" s="68">
        <f>(1+'Quarterly returns'!W22)*(1+'Quarterly returns'!W23)*(1+'Quarterly returns'!W24)*(1+'Quarterly returns'!W25)-1</f>
        <v>0.0742687192659313</v>
      </c>
      <c r="M37" s="68">
        <f>(1+'Quarterly returns'!X22)*(1+'Quarterly returns'!X23)*(1+'Quarterly returns'!X24)*(1+'Quarterly returns'!X25)-1</f>
        <v>0.0487286525295398</v>
      </c>
      <c r="N37" s="77" t="n"/>
      <c r="O37" s="68">
        <f>C37-AVERAGE(C$21:C$97)+Forecast!$G$6</f>
        <v>0.0432185842339187</v>
      </c>
      <c r="P37" s="68">
        <f>D37-AVERAGE(D$21:D$97)+Forecast!$G$7</f>
        <v>-0.0569251985212365</v>
      </c>
      <c r="Q37" s="68">
        <f>E37-AVERAGE(E$21:E$97)+Forecast!$G$8</f>
        <v>-0.010325507308162</v>
      </c>
      <c r="R37" s="68">
        <f>F37-AVERAGE(F$21:F$97)+Forecast!$G$9</f>
        <v>0.0676419855027054</v>
      </c>
      <c r="S37" s="68">
        <f>G37-AVERAGE(G$21:G$97)+Forecast!$G$10</f>
        <v>0.142208575343269</v>
      </c>
      <c r="T37" s="68">
        <f>H37-AVERAGE(H$21:H$97)+Forecast!$G$11</f>
        <v>-0.078960067282688</v>
      </c>
      <c r="U37" s="68">
        <f>I37-AVERAGE(I$21:I$97)+Forecast!$G$12</f>
        <v>0.15709136183281</v>
      </c>
      <c r="V37" s="68">
        <f>J37-AVERAGE(J$21:J$97)+Forecast!$G$13</f>
        <v>0.00198385507899651</v>
      </c>
      <c r="W37" s="68">
        <f>K37-AVERAGE(K$21:K$97)+Forecast!$G$14</f>
        <v>0.0765005312632801</v>
      </c>
      <c r="X37" s="68">
        <f>L37-AVERAGE(L$21:L$97)+Forecast!$G$15</f>
        <v>0.0825120363804429</v>
      </c>
      <c r="Y37" s="68">
        <f>M37-AVERAGE(M$21:M$97)+Forecast!$G$16</f>
        <v>0.0637837248276098</v>
      </c>
      <c r="Z37" s="68">
        <f>SUMPRODUCT($O37:$Y37,Risk!$B$56:$L$56)</f>
        <v>0.0352074958774509</v>
      </c>
      <c r="AA37" s="68">
        <f>SUMPRODUCT($O37:$Y37,Risk!$B$57:$L$57)</f>
        <v>0.0269361069529489</v>
      </c>
      <c r="AB37" s="68">
        <f>SUMPRODUCT($O37:$Y37,Risk!$B$58:$L$58)</f>
        <v>0.0256832330037587</v>
      </c>
      <c r="AC37" s="68">
        <f>SUMPRODUCT(MMULT($O37:$Y37,Portfolio!$C$127:$C$137))</f>
        <v>0.0188846069405219</v>
      </c>
      <c r="AD37" s="68">
        <f>SUMPRODUCT(MMULT($O37:$Y37,Portfolio!$D$127:$D$137))</f>
        <v>0.02442522174362</v>
      </c>
      <c r="AE37" s="68">
        <f>SUMPRODUCT(MMULT($O37:$Y37,Portfolio!$E$127:$E$137))</f>
        <v>0.0206456563468481</v>
      </c>
      <c r="AF37" s="314">
        <f>SUMPRODUCT(MMULT($O37:$Y37,Portfolio!$F$127:$F$137))</f>
        <v>0.0261797058549932</v>
      </c>
    </row>
    <row r="38">
      <c r="A38" s="312" t="n">
        <v>18</v>
      </c>
      <c r="B38" s="313">
        <f>'Quarterly returns'!A26</f>
        <v>40724.0</v>
      </c>
      <c r="C38" s="68">
        <f>(1+'Quarterly returns'!N23)*(1+'Quarterly returns'!N24)*(1+'Quarterly returns'!N25)*(1+'Quarterly returns'!N26)-1</f>
        <v>0.121727741219358</v>
      </c>
      <c r="D38" s="68">
        <f>(1+'Quarterly returns'!O23)*(1+'Quarterly returns'!O24)*(1+'Quarterly returns'!O25)*(1+'Quarterly returns'!O26)-1</f>
        <v>-0.0338744907999126</v>
      </c>
      <c r="E38" s="68">
        <f>(1+'Quarterly returns'!P23)*(1+'Quarterly returns'!P24)*(1+'Quarterly returns'!P25)*(1+'Quarterly returns'!P26)-1</f>
        <v>-0.0759220147073775</v>
      </c>
      <c r="F38" s="68">
        <f>(1+'Quarterly returns'!Q23)*(1+'Quarterly returns'!Q24)*(1+'Quarterly returns'!Q25)*(1+'Quarterly returns'!Q26)-1</f>
        <v>0.0207576546628481</v>
      </c>
      <c r="G38" s="68">
        <f>(1+'Quarterly returns'!R23)*(1+'Quarterly returns'!R24)*(1+'Quarterly returns'!R25)*(1+'Quarterly returns'!R26)-1</f>
        <v>-0.00503643161096101</v>
      </c>
      <c r="H38" s="68">
        <f>(1+'Quarterly returns'!S23)*(1+'Quarterly returns'!S24)*(1+'Quarterly returns'!S25)*(1+'Quarterly returns'!S26)-1</f>
        <v>-0.0613072924000556</v>
      </c>
      <c r="I38" s="68">
        <f>(1+'Quarterly returns'!T23)*(1+'Quarterly returns'!T24)*(1+'Quarterly returns'!T25)*(1+'Quarterly returns'!T26)-1</f>
        <v>0.236966969985032</v>
      </c>
      <c r="J38" s="68">
        <f>(1+'Quarterly returns'!U23)*(1+'Quarterly returns'!U24)*(1+'Quarterly returns'!U25)*(1+'Quarterly returns'!U26)-1</f>
        <v>0.0868379651832454</v>
      </c>
      <c r="K38" s="68">
        <f>(1+'Quarterly returns'!V23)*(1+'Quarterly returns'!V24)*(1+'Quarterly returns'!V25)*(1+'Quarterly returns'!V26)-1</f>
        <v>0.0554688631397045</v>
      </c>
      <c r="L38" s="68">
        <f>(1+'Quarterly returns'!W23)*(1+'Quarterly returns'!W24)*(1+'Quarterly returns'!W25)*(1+'Quarterly returns'!W26)-1</f>
        <v>0.0783398740230186</v>
      </c>
      <c r="M38" s="68">
        <f>(1+'Quarterly returns'!X23)*(1+'Quarterly returns'!X24)*(1+'Quarterly returns'!X25)*(1+'Quarterly returns'!X26)-1</f>
        <v>0.0498436018409305</v>
      </c>
      <c r="N38" s="77" t="n"/>
      <c r="O38" s="68">
        <f>C38-AVERAGE(C$21:C$97)+Forecast!$G$6</f>
        <v>0.116932033624263</v>
      </c>
      <c r="P38" s="68">
        <f>D38-AVERAGE(D$21:D$97)+Forecast!$G$7</f>
        <v>-0.0619982820440893</v>
      </c>
      <c r="Q38" s="68">
        <f>E38-AVERAGE(E$21:E$97)+Forecast!$G$8</f>
        <v>-0.0943147426387367</v>
      </c>
      <c r="R38" s="68">
        <f>F38-AVERAGE(F$21:F$97)+Forecast!$G$9</f>
        <v>0.0273954874736317</v>
      </c>
      <c r="S38" s="68">
        <f>G38-AVERAGE(G$21:G$97)+Forecast!$G$10</f>
        <v>0.0478991656075783</v>
      </c>
      <c r="T38" s="68">
        <f>H38-AVERAGE(H$21:H$97)+Forecast!$G$11</f>
        <v>-0.0800512219431045</v>
      </c>
      <c r="U38" s="68">
        <f>I38-AVERAGE(I$21:I$97)+Forecast!$G$12</f>
        <v>0.194637911473594</v>
      </c>
      <c r="V38" s="68">
        <f>J38-AVERAGE(J$21:J$97)+Forecast!$G$13</f>
        <v>0.0149982351077162</v>
      </c>
      <c r="W38" s="68">
        <f>K38-AVERAGE(K$21:K$97)+Forecast!$G$14</f>
        <v>0.0633992759106642</v>
      </c>
      <c r="X38" s="68">
        <f>L38-AVERAGE(L$21:L$97)+Forecast!$G$15</f>
        <v>0.0865831911375302</v>
      </c>
      <c r="Y38" s="68">
        <f>M38-AVERAGE(M$21:M$97)+Forecast!$G$16</f>
        <v>0.0648986741390005</v>
      </c>
      <c r="Z38" s="68">
        <f>SUMPRODUCT($O38:$Y38,Risk!$B$56:$L$56)</f>
        <v>0.0580921596555827</v>
      </c>
      <c r="AA38" s="68">
        <f>SUMPRODUCT($O38:$Y38,Risk!$B$57:$L$57)</f>
        <v>0.0370331790487035</v>
      </c>
      <c r="AB38" s="68">
        <f>SUMPRODUCT($O38:$Y38,Risk!$B$58:$L$58)</f>
        <v>0.0319909077451754</v>
      </c>
      <c r="AC38" s="68">
        <f>SUMPRODUCT(MMULT($O38:$Y38,Portfolio!$C$127:$C$137))</f>
        <v>0.0253532376300562</v>
      </c>
      <c r="AD38" s="68">
        <f>SUMPRODUCT(MMULT($O38:$Y38,Portfolio!$D$127:$D$137))</f>
        <v>0.0331803571494589</v>
      </c>
      <c r="AE38" s="68">
        <f>SUMPRODUCT(MMULT($O38:$Y38,Portfolio!$E$127:$E$137))</f>
        <v>0.0324975453115297</v>
      </c>
      <c r="AF38" s="314">
        <f>SUMPRODUCT(MMULT($O38:$Y38,Portfolio!$F$127:$F$137))</f>
        <v>0.0465215731400865</v>
      </c>
    </row>
    <row r="39">
      <c r="A39" s="312" t="n">
        <v>19</v>
      </c>
      <c r="B39" s="313">
        <f>'Quarterly returns'!A27</f>
        <v>40816.0</v>
      </c>
      <c r="C39" s="68">
        <f>(1+'Quarterly returns'!N24)*(1+'Quarterly returns'!N25)*(1+'Quarterly returns'!N26)*(1+'Quarterly returns'!N27)-1</f>
        <v>-0.0842759429159565</v>
      </c>
      <c r="D39" s="68">
        <f>(1+'Quarterly returns'!O24)*(1+'Quarterly returns'!O25)*(1+'Quarterly returns'!O26)*(1+'Quarterly returns'!O27)-1</f>
        <v>-0.0487977268805978</v>
      </c>
      <c r="E39" s="68">
        <f>(1+'Quarterly returns'!P24)*(1+'Quarterly returns'!P25)*(1+'Quarterly returns'!P26)*(1+'Quarterly returns'!P27)-1</f>
        <v>-0.120471113276133</v>
      </c>
      <c r="F39" s="68">
        <f>(1+'Quarterly returns'!Q24)*(1+'Quarterly returns'!Q25)*(1+'Quarterly returns'!Q26)*(1+'Quarterly returns'!Q27)-1</f>
        <v>-0.0113263010867333</v>
      </c>
      <c r="G39" s="68">
        <f>(1+'Quarterly returns'!R24)*(1+'Quarterly returns'!R25)*(1+'Quarterly returns'!R26)*(1+'Quarterly returns'!R27)-1</f>
        <v>0.0248167124126273</v>
      </c>
      <c r="H39" s="68">
        <f>(1+'Quarterly returns'!S24)*(1+'Quarterly returns'!S25)*(1+'Quarterly returns'!S26)*(1+'Quarterly returns'!S27)-1</f>
        <v>-0.0267641061055107</v>
      </c>
      <c r="I39" s="68">
        <f>(1+'Quarterly returns'!T24)*(1+'Quarterly returns'!T25)*(1+'Quarterly returns'!T26)*(1+'Quarterly returns'!T27)-1</f>
        <v>0.115903721487137</v>
      </c>
      <c r="J39" s="68">
        <f>(1+'Quarterly returns'!U24)*(1+'Quarterly returns'!U25)*(1+'Quarterly returns'!U26)*(1+'Quarterly returns'!U27)-1</f>
        <v>0.024122714678219</v>
      </c>
      <c r="K39" s="68">
        <f>(1+'Quarterly returns'!V24)*(1+'Quarterly returns'!V25)*(1+'Quarterly returns'!V26)*(1+'Quarterly returns'!V27)-1</f>
        <v>0.0904362914822343</v>
      </c>
      <c r="L39" s="68">
        <f>(1+'Quarterly returns'!W24)*(1+'Quarterly returns'!W25)*(1+'Quarterly returns'!W26)*(1+'Quarterly returns'!W27)-1</f>
        <v>0.0778543431533696</v>
      </c>
      <c r="M39" s="68">
        <f>(1+'Quarterly returns'!X24)*(1+'Quarterly returns'!X25)*(1+'Quarterly returns'!X26)*(1+'Quarterly returns'!X27)-1</f>
        <v>0.0501745325327496</v>
      </c>
      <c r="N39" s="77" t="n"/>
      <c r="O39" s="68">
        <f>C39-AVERAGE(C$21:C$97)+Forecast!$G$6</f>
        <v>-0.0890716505110514</v>
      </c>
      <c r="P39" s="68">
        <f>D39-AVERAGE(D$21:D$97)+Forecast!$G$7</f>
        <v>-0.0769215181247745</v>
      </c>
      <c r="Q39" s="68">
        <f>E39-AVERAGE(E$21:E$97)+Forecast!$G$8</f>
        <v>-0.138863841207493</v>
      </c>
      <c r="R39" s="68">
        <f>F39-AVERAGE(F$21:F$97)+Forecast!$G$9</f>
        <v>-0.00468846827594967</v>
      </c>
      <c r="S39" s="68">
        <f>G39-AVERAGE(G$21:G$97)+Forecast!$G$10</f>
        <v>0.0777523096311666</v>
      </c>
      <c r="T39" s="68">
        <f>H39-AVERAGE(H$21:H$97)+Forecast!$G$11</f>
        <v>-0.0455080356485596</v>
      </c>
      <c r="U39" s="68">
        <f>I39-AVERAGE(I$21:I$97)+Forecast!$G$12</f>
        <v>0.0735746629756996</v>
      </c>
      <c r="V39" s="68">
        <f>J39-AVERAGE(J$21:J$97)+Forecast!$G$13</f>
        <v>-0.0477170153973102</v>
      </c>
      <c r="W39" s="68">
        <f>K39-AVERAGE(K$21:K$97)+Forecast!$G$14</f>
        <v>0.098366704253194</v>
      </c>
      <c r="X39" s="68">
        <f>L39-AVERAGE(L$21:L$97)+Forecast!$G$15</f>
        <v>0.0860976602678812</v>
      </c>
      <c r="Y39" s="68">
        <f>M39-AVERAGE(M$21:M$97)+Forecast!$G$16</f>
        <v>0.0652296048308196</v>
      </c>
      <c r="Z39" s="68">
        <f>SUMPRODUCT($O39:$Y39,Risk!$B$56:$L$56)</f>
        <v>-0.0252729198594035</v>
      </c>
      <c r="AA39" s="68">
        <f>SUMPRODUCT($O39:$Y39,Risk!$B$57:$L$57)</f>
        <v>-0.0199688417858643</v>
      </c>
      <c r="AB39" s="68">
        <f>SUMPRODUCT($O39:$Y39,Risk!$B$58:$L$58)</f>
        <v>-0.0294833204248763</v>
      </c>
      <c r="AC39" s="68">
        <f>SUMPRODUCT(MMULT($O39:$Y39,Portfolio!$C$127:$C$137))</f>
        <v>-0.0339874118680121</v>
      </c>
      <c r="AD39" s="68">
        <f>SUMPRODUCT(MMULT($O39:$Y39,Portfolio!$D$127:$D$137))</f>
        <v>-0.0289888178218976</v>
      </c>
      <c r="AE39" s="68">
        <f>SUMPRODUCT(MMULT($O39:$Y39,Portfolio!$E$127:$E$137))</f>
        <v>-0.032572426269751</v>
      </c>
      <c r="AF39" s="314">
        <f>SUMPRODUCT(MMULT($O39:$Y39,Portfolio!$F$127:$F$137))</f>
        <v>-0.0172449009891861</v>
      </c>
    </row>
    <row r="40">
      <c r="A40" s="312" t="n">
        <v>20</v>
      </c>
      <c r="B40" s="313">
        <f>'Quarterly returns'!A28</f>
        <v>40907.0</v>
      </c>
      <c r="C40" s="68">
        <f>(1+'Quarterly returns'!N25)*(1+'Quarterly returns'!N26)*(1+'Quarterly returns'!N27)*(1+'Quarterly returns'!N28)-1</f>
        <v>-0.114308470481479</v>
      </c>
      <c r="D40" s="68">
        <f>(1+'Quarterly returns'!O25)*(1+'Quarterly returns'!O26)*(1+'Quarterly returns'!O27)*(1+'Quarterly returns'!O28)-1</f>
        <v>-0.0497545346273869</v>
      </c>
      <c r="E40" s="68">
        <f>(1+'Quarterly returns'!P25)*(1+'Quarterly returns'!P26)*(1+'Quarterly returns'!P27)*(1+'Quarterly returns'!P28)-1</f>
        <v>-0.124801464324506</v>
      </c>
      <c r="F40" s="68">
        <f>(1+'Quarterly returns'!Q25)*(1+'Quarterly returns'!Q26)*(1+'Quarterly returns'!Q27)*(1+'Quarterly returns'!Q28)-1</f>
        <v>0.0199622539776536</v>
      </c>
      <c r="G40" s="68">
        <f>(1+'Quarterly returns'!R25)*(1+'Quarterly returns'!R26)*(1+'Quarterly returns'!R27)*(1+'Quarterly returns'!R28)-1</f>
        <v>-0.0119093584922934</v>
      </c>
      <c r="H40" s="68">
        <f>(1+'Quarterly returns'!S25)*(1+'Quarterly returns'!S26)*(1+'Quarterly returns'!S27)*(1+'Quarterly returns'!S28)-1</f>
        <v>-0.0546837189892585</v>
      </c>
      <c r="I40" s="68">
        <f>(1+'Quarterly returns'!T25)*(1+'Quarterly returns'!T26)*(1+'Quarterly returns'!T27)*(1+'Quarterly returns'!T28)-1</f>
        <v>0.10496617445578</v>
      </c>
      <c r="J40" s="68">
        <f>(1+'Quarterly returns'!U25)*(1+'Quarterly returns'!U26)*(1+'Quarterly returns'!U27)*(1+'Quarterly returns'!U28)-1</f>
        <v>0.0885480465686301</v>
      </c>
      <c r="K40" s="68">
        <f>(1+'Quarterly returns'!V25)*(1+'Quarterly returns'!V26)*(1+'Quarterly returns'!V27)*(1+'Quarterly returns'!V28)-1</f>
        <v>0.113738620906143</v>
      </c>
      <c r="L40" s="68">
        <f>(1+'Quarterly returns'!W25)*(1+'Quarterly returns'!W26)*(1+'Quarterly returns'!W27)*(1+'Quarterly returns'!W28)-1</f>
        <v>0.105129426711132</v>
      </c>
      <c r="M40" s="68">
        <f>(1+'Quarterly returns'!X25)*(1+'Quarterly returns'!X26)*(1+'Quarterly returns'!X27)*(1+'Quarterly returns'!X28)-1</f>
        <v>0.0499940746927305</v>
      </c>
      <c r="N40" s="77" t="n"/>
      <c r="O40" s="68">
        <f>C40-AVERAGE(C$21:C$97)+Forecast!$G$6</f>
        <v>-0.119104178076574</v>
      </c>
      <c r="P40" s="68">
        <f>D40-AVERAGE(D$21:D$97)+Forecast!$G$7</f>
        <v>-0.0778783258715636</v>
      </c>
      <c r="Q40" s="68">
        <f>E40-AVERAGE(E$21:E$97)+Forecast!$G$8</f>
        <v>-0.143194192255865</v>
      </c>
      <c r="R40" s="68">
        <f>F40-AVERAGE(F$21:F$97)+Forecast!$G$9</f>
        <v>0.0266000867884372</v>
      </c>
      <c r="S40" s="68">
        <f>G40-AVERAGE(G$21:G$97)+Forecast!$G$10</f>
        <v>0.041026238726246</v>
      </c>
      <c r="T40" s="68">
        <f>H40-AVERAGE(H$21:H$97)+Forecast!$G$11</f>
        <v>-0.0734276485323074</v>
      </c>
      <c r="U40" s="68">
        <f>I40-AVERAGE(I$21:I$97)+Forecast!$G$12</f>
        <v>0.0626371159443425</v>
      </c>
      <c r="V40" s="68">
        <f>J40-AVERAGE(J$21:J$97)+Forecast!$G$13</f>
        <v>0.016708316493101</v>
      </c>
      <c r="W40" s="68">
        <f>K40-AVERAGE(K$21:K$97)+Forecast!$G$14</f>
        <v>0.121669033677102</v>
      </c>
      <c r="X40" s="68">
        <f>L40-AVERAGE(L$21:L$97)+Forecast!$G$15</f>
        <v>0.113372743825643</v>
      </c>
      <c r="Y40" s="68">
        <f>M40-AVERAGE(M$21:M$97)+Forecast!$G$16</f>
        <v>0.0650491469908005</v>
      </c>
      <c r="Z40" s="68">
        <f>SUMPRODUCT($O40:$Y40,Risk!$B$56:$L$56)</f>
        <v>-0.0286837128791257</v>
      </c>
      <c r="AA40" s="68">
        <f>SUMPRODUCT($O40:$Y40,Risk!$B$57:$L$57)</f>
        <v>-0.0199150161544321</v>
      </c>
      <c r="AB40" s="68">
        <f>SUMPRODUCT($O40:$Y40,Risk!$B$58:$L$58)</f>
        <v>-0.0301391451854547</v>
      </c>
      <c r="AC40" s="68">
        <f>SUMPRODUCT(MMULT($O40:$Y40,Portfolio!$C$127:$C$137))</f>
        <v>-0.0367741201116361</v>
      </c>
      <c r="AD40" s="68">
        <f>SUMPRODUCT(MMULT($O40:$Y40,Portfolio!$D$127:$D$137))</f>
        <v>-0.0281158533703757</v>
      </c>
      <c r="AE40" s="68">
        <f>SUMPRODUCT(MMULT($O40:$Y40,Portfolio!$E$127:$E$137))</f>
        <v>-0.0347128835989681</v>
      </c>
      <c r="AF40" s="314">
        <f>SUMPRODUCT(MMULT($O40:$Y40,Portfolio!$F$127:$F$137))</f>
        <v>-0.0177910251246821</v>
      </c>
    </row>
    <row r="41">
      <c r="A41" s="312" t="n">
        <v>21</v>
      </c>
      <c r="B41" s="313">
        <f>'Quarterly returns'!A29</f>
        <v>40998.0</v>
      </c>
      <c r="C41" s="68">
        <f>(1+'Quarterly returns'!N26)*(1+'Quarterly returns'!N27)*(1+'Quarterly returns'!N28)*(1+'Quarterly returns'!N29)-1</f>
        <v>-0.0619989276677684</v>
      </c>
      <c r="D41" s="68">
        <f>(1+'Quarterly returns'!O26)*(1+'Quarterly returns'!O27)*(1+'Quarterly returns'!O28)*(1+'Quarterly returns'!O29)-1</f>
        <v>0.0186282915554103</v>
      </c>
      <c r="E41" s="68">
        <f>(1+'Quarterly returns'!P26)*(1+'Quarterly returns'!P27)*(1+'Quarterly returns'!P28)*(1+'Quarterly returns'!P29)-1</f>
        <v>-0.0390763469920111</v>
      </c>
      <c r="F41" s="68">
        <f>(1+'Quarterly returns'!Q26)*(1+'Quarterly returns'!Q27)*(1+'Quarterly returns'!Q28)*(1+'Quarterly returns'!Q29)-1</f>
        <v>0.0747201465604208</v>
      </c>
      <c r="G41" s="68">
        <f>(1+'Quarterly returns'!R26)*(1+'Quarterly returns'!R27)*(1+'Quarterly returns'!R28)*(1+'Quarterly returns'!R29)-1</f>
        <v>-0.0637179528775622</v>
      </c>
      <c r="H41" s="68">
        <f>(1+'Quarterly returns'!S26)*(1+'Quarterly returns'!S27)*(1+'Quarterly returns'!S28)*(1+'Quarterly returns'!S29)-1</f>
        <v>0.0116925587203089</v>
      </c>
      <c r="I41" s="68">
        <f>(1+'Quarterly returns'!T26)*(1+'Quarterly returns'!T27)*(1+'Quarterly returns'!T28)*(1+'Quarterly returns'!T29)-1</f>
        <v>0.110718235870092</v>
      </c>
      <c r="J41" s="68">
        <f>(1+'Quarterly returns'!U26)*(1+'Quarterly returns'!U27)*(1+'Quarterly returns'!U28)*(1+'Quarterly returns'!U29)-1</f>
        <v>0.0776732154469011</v>
      </c>
      <c r="K41" s="68">
        <f>(1+'Quarterly returns'!V26)*(1+'Quarterly returns'!V27)*(1+'Quarterly returns'!V28)*(1+'Quarterly returns'!V29)-1</f>
        <v>0.100031709521849</v>
      </c>
      <c r="L41" s="68">
        <f>(1+'Quarterly returns'!W26)*(1+'Quarterly returns'!W27)*(1+'Quarterly returns'!W28)*(1+'Quarterly returns'!W29)-1</f>
        <v>0.119046120933744</v>
      </c>
      <c r="M41" s="68">
        <f>(1+'Quarterly returns'!X26)*(1+'Quarterly returns'!X27)*(1+'Quarterly returns'!X28)*(1+'Quarterly returns'!X29)-1</f>
        <v>0.0488868199594701</v>
      </c>
      <c r="N41" s="77" t="n"/>
      <c r="O41" s="68">
        <f>C41-AVERAGE(C$21:C$97)+Forecast!$G$6</f>
        <v>-0.0667946352628633</v>
      </c>
      <c r="P41" s="68">
        <f>D41-AVERAGE(D$21:D$97)+Forecast!$G$7</f>
        <v>-0.00949549968876634</v>
      </c>
      <c r="Q41" s="68">
        <f>E41-AVERAGE(E$21:E$97)+Forecast!$G$8</f>
        <v>-0.0574690749233704</v>
      </c>
      <c r="R41" s="68">
        <f>F41-AVERAGE(F$21:F$97)+Forecast!$G$9</f>
        <v>0.0813579793712044</v>
      </c>
      <c r="S41" s="68">
        <f>G41-AVERAGE(G$21:G$97)+Forecast!$G$10</f>
        <v>-0.0107823556590229</v>
      </c>
      <c r="T41" s="68">
        <f>H41-AVERAGE(H$21:H$97)+Forecast!$G$11</f>
        <v>-0.00705137082273998</v>
      </c>
      <c r="U41" s="68">
        <f>I41-AVERAGE(I$21:I$97)+Forecast!$G$12</f>
        <v>0.0683891773586544</v>
      </c>
      <c r="V41" s="68">
        <f>J41-AVERAGE(J$21:J$97)+Forecast!$G$13</f>
        <v>0.00583348537137191</v>
      </c>
      <c r="W41" s="68">
        <f>K41-AVERAGE(K$21:K$97)+Forecast!$G$14</f>
        <v>0.107962122292809</v>
      </c>
      <c r="X41" s="68">
        <f>L41-AVERAGE(L$21:L$97)+Forecast!$G$15</f>
        <v>0.127289438048255</v>
      </c>
      <c r="Y41" s="68">
        <f>M41-AVERAGE(M$21:M$97)+Forecast!$G$16</f>
        <v>0.0639418922575401</v>
      </c>
      <c r="Z41" s="68">
        <f>SUMPRODUCT($O41:$Y41,Risk!$B$56:$L$56)</f>
        <v>0.0103722497400315</v>
      </c>
      <c r="AA41" s="68">
        <f>SUMPRODUCT($O41:$Y41,Risk!$B$57:$L$57)</f>
        <v>0.0176866638688744</v>
      </c>
      <c r="AB41" s="68">
        <f>SUMPRODUCT($O41:$Y41,Risk!$B$58:$L$58)</f>
        <v>0.012633011035123</v>
      </c>
      <c r="AC41" s="68">
        <f>SUMPRODUCT(MMULT($O41:$Y41,Portfolio!$C$127:$C$137))</f>
        <v>0.00695746938057429</v>
      </c>
      <c r="AD41" s="68">
        <f>SUMPRODUCT(MMULT($O41:$Y41,Portfolio!$D$127:$D$137))</f>
        <v>0.016100634753076</v>
      </c>
      <c r="AE41" s="68">
        <f>SUMPRODUCT(MMULT($O41:$Y41,Portfolio!$E$127:$E$137))</f>
        <v>0.00748113451315783</v>
      </c>
      <c r="AF41" s="314">
        <f>SUMPRODUCT(MMULT($O41:$Y41,Portfolio!$F$127:$F$137))</f>
        <v>0.0201257967307923</v>
      </c>
    </row>
    <row r="42">
      <c r="A42" s="312" t="n">
        <v>22</v>
      </c>
      <c r="B42" s="313">
        <f>'Quarterly returns'!A30</f>
        <v>41089.0</v>
      </c>
      <c r="C42" s="68">
        <f>(1+'Quarterly returns'!N27)*(1+'Quarterly returns'!N28)*(1+'Quarterly returns'!N29)*(1+'Quarterly returns'!N30)-1</f>
        <v>-0.0704403229463604</v>
      </c>
      <c r="D42" s="68">
        <f>(1+'Quarterly returns'!O27)*(1+'Quarterly returns'!O28)*(1+'Quarterly returns'!O29)*(1+'Quarterly returns'!O30)-1</f>
        <v>0.0270337351071215</v>
      </c>
      <c r="E42" s="68">
        <f>(1+'Quarterly returns'!P27)*(1+'Quarterly returns'!P28)*(1+'Quarterly returns'!P29)*(1+'Quarterly returns'!P30)-1</f>
        <v>-0.021005886279914</v>
      </c>
      <c r="F42" s="68">
        <f>(1+'Quarterly returns'!Q27)*(1+'Quarterly returns'!Q28)*(1+'Quarterly returns'!Q29)*(1+'Quarterly returns'!Q30)-1</f>
        <v>0.130858866470223</v>
      </c>
      <c r="G42" s="68">
        <f>(1+'Quarterly returns'!R27)*(1+'Quarterly returns'!R28)*(1+'Quarterly returns'!R29)*(1+'Quarterly returns'!R30)-1</f>
        <v>-0.0677197480305014</v>
      </c>
      <c r="H42" s="68">
        <f>(1+'Quarterly returns'!S27)*(1+'Quarterly returns'!S28)*(1+'Quarterly returns'!S29)*(1+'Quarterly returns'!S30)-1</f>
        <v>0.0153040942431386</v>
      </c>
      <c r="I42" s="68">
        <f>(1+'Quarterly returns'!T27)*(1+'Quarterly returns'!T28)*(1+'Quarterly returns'!T29)*(1+'Quarterly returns'!T30)-1</f>
        <v>0.0746931627599008</v>
      </c>
      <c r="J42" s="68">
        <f>(1+'Quarterly returns'!U27)*(1+'Quarterly returns'!U28)*(1+'Quarterly returns'!U29)*(1+'Quarterly returns'!U30)-1</f>
        <v>0.0327602176601431</v>
      </c>
      <c r="K42" s="68">
        <f>(1+'Quarterly returns'!V27)*(1+'Quarterly returns'!V28)*(1+'Quarterly returns'!V29)*(1+'Quarterly returns'!V30)-1</f>
        <v>0.124099283126494</v>
      </c>
      <c r="L42" s="68">
        <f>(1+'Quarterly returns'!W27)*(1+'Quarterly returns'!W28)*(1+'Quarterly returns'!W29)*(1+'Quarterly returns'!W30)-1</f>
        <v>0.115846292643393</v>
      </c>
      <c r="M42" s="68">
        <f>(1+'Quarterly returns'!X27)*(1+'Quarterly returns'!X28)*(1+'Quarterly returns'!X29)*(1+'Quarterly returns'!X30)-1</f>
        <v>0.0470049166537014</v>
      </c>
      <c r="N42" s="77" t="n"/>
      <c r="O42" s="68">
        <f>C42-AVERAGE(C$21:C$97)+Forecast!$G$6</f>
        <v>-0.0752360305414553</v>
      </c>
      <c r="P42" s="68">
        <f>D42-AVERAGE(D$21:D$97)+Forecast!$G$7</f>
        <v>-0.00109005613705521</v>
      </c>
      <c r="Q42" s="68">
        <f>E42-AVERAGE(E$21:E$97)+Forecast!$G$8</f>
        <v>-0.0393986142112732</v>
      </c>
      <c r="R42" s="68">
        <f>F42-AVERAGE(F$21:F$97)+Forecast!$G$9</f>
        <v>0.137496699281006</v>
      </c>
      <c r="S42" s="68">
        <f>G42-AVERAGE(G$21:G$97)+Forecast!$G$10</f>
        <v>-0.0147841508119621</v>
      </c>
      <c r="T42" s="68">
        <f>H42-AVERAGE(H$21:H$97)+Forecast!$G$11</f>
        <v>-0.00343983529991031</v>
      </c>
      <c r="U42" s="68">
        <f>I42-AVERAGE(I$21:I$97)+Forecast!$G$12</f>
        <v>0.0323641042484634</v>
      </c>
      <c r="V42" s="68">
        <f>J42-AVERAGE(J$21:J$97)+Forecast!$G$13</f>
        <v>-0.039079512415386</v>
      </c>
      <c r="W42" s="68">
        <f>K42-AVERAGE(K$21:K$97)+Forecast!$G$14</f>
        <v>0.132029695897454</v>
      </c>
      <c r="X42" s="68">
        <f>L42-AVERAGE(L$21:L$97)+Forecast!$G$15</f>
        <v>0.124089609757905</v>
      </c>
      <c r="Y42" s="68">
        <f>M42-AVERAGE(M$21:M$97)+Forecast!$G$16</f>
        <v>0.0620599889517714</v>
      </c>
      <c r="Z42" s="68">
        <f>SUMPRODUCT($O42:$Y42,Risk!$B$56:$L$56)</f>
        <v>0.0175130688759819</v>
      </c>
      <c r="AA42" s="68">
        <f>SUMPRODUCT($O42:$Y42,Risk!$B$57:$L$57)</f>
        <v>0.0226988665563989</v>
      </c>
      <c r="AB42" s="68">
        <f>SUMPRODUCT($O42:$Y42,Risk!$B$58:$L$58)</f>
        <v>0.0210888068328888</v>
      </c>
      <c r="AC42" s="68">
        <f>SUMPRODUCT(MMULT($O42:$Y42,Portfolio!$C$127:$C$137))</f>
        <v>0.0152229541487631</v>
      </c>
      <c r="AD42" s="68">
        <f>SUMPRODUCT(MMULT($O42:$Y42,Portfolio!$D$127:$D$137))</f>
        <v>0.024310033682631</v>
      </c>
      <c r="AE42" s="68">
        <f>SUMPRODUCT(MMULT($O42:$Y42,Portfolio!$E$127:$E$137))</f>
        <v>0.0136390665939618</v>
      </c>
      <c r="AF42" s="314">
        <f>SUMPRODUCT(MMULT($O42:$Y42,Portfolio!$F$127:$F$137))</f>
        <v>0.0232187877088127</v>
      </c>
    </row>
    <row r="43">
      <c r="A43" s="312" t="n">
        <v>23</v>
      </c>
      <c r="B43" s="313">
        <f>'Quarterly returns'!A31</f>
        <v>41180.0</v>
      </c>
      <c r="C43" s="68">
        <f>(1+'Quarterly returns'!N28)*(1+'Quarterly returns'!N29)*(1+'Quarterly returns'!N30)*(1+'Quarterly returns'!N31)-1</f>
        <v>0.133634288676183</v>
      </c>
      <c r="D43" s="68">
        <f>(1+'Quarterly returns'!O28)*(1+'Quarterly returns'!O29)*(1+'Quarterly returns'!O30)*(1+'Quarterly returns'!O31)-1</f>
        <v>0.139183105363889</v>
      </c>
      <c r="E43" s="68">
        <f>(1+'Quarterly returns'!P28)*(1+'Quarterly returns'!P29)*(1+'Quarterly returns'!P30)*(1+'Quarterly returns'!P31)-1</f>
        <v>0.0919218373711872</v>
      </c>
      <c r="F43" s="68">
        <f>(1+'Quarterly returns'!Q28)*(1+'Quarterly returns'!Q29)*(1+'Quarterly returns'!Q30)*(1+'Quarterly returns'!Q31)-1</f>
        <v>0.204462799218402</v>
      </c>
      <c r="G43" s="68">
        <f>(1+'Quarterly returns'!R28)*(1+'Quarterly returns'!R29)*(1+'Quarterly returns'!R30)*(1+'Quarterly returns'!R31)-1</f>
        <v>0.05364748642568</v>
      </c>
      <c r="H43" s="68">
        <f>(1+'Quarterly returns'!S28)*(1+'Quarterly returns'!S29)*(1+'Quarterly returns'!S30)*(1+'Quarterly returns'!S31)-1</f>
        <v>0.0413050280031497</v>
      </c>
      <c r="I43" s="68">
        <f>(1+'Quarterly returns'!T28)*(1+'Quarterly returns'!T29)*(1+'Quarterly returns'!T30)*(1+'Quarterly returns'!T31)-1</f>
        <v>0.057636346115377</v>
      </c>
      <c r="J43" s="68">
        <f>(1+'Quarterly returns'!U28)*(1+'Quarterly returns'!U29)*(1+'Quarterly returns'!U30)*(1+'Quarterly returns'!U31)-1</f>
        <v>0.0795437724531458</v>
      </c>
      <c r="K43" s="68">
        <f>(1+'Quarterly returns'!V28)*(1+'Quarterly returns'!V29)*(1+'Quarterly returns'!V30)*(1+'Quarterly returns'!V31)-1</f>
        <v>0.0956573885394429</v>
      </c>
      <c r="L43" s="68">
        <f>(1+'Quarterly returns'!W28)*(1+'Quarterly returns'!W29)*(1+'Quarterly returns'!W30)*(1+'Quarterly returns'!W31)-1</f>
        <v>0.100618786474676</v>
      </c>
      <c r="M43" s="68">
        <f>(1+'Quarterly returns'!X28)*(1+'Quarterly returns'!X29)*(1+'Quarterly returns'!X30)*(1+'Quarterly returns'!X31)-1</f>
        <v>0.0436061614120218</v>
      </c>
      <c r="N43" s="77" t="n"/>
      <c r="O43" s="68">
        <f>C43-AVERAGE(C$21:C$97)+Forecast!$G$6</f>
        <v>0.128838581081088</v>
      </c>
      <c r="P43" s="68">
        <f>D43-AVERAGE(D$21:D$97)+Forecast!$G$7</f>
        <v>0.111059314119713</v>
      </c>
      <c r="Q43" s="68">
        <f>E43-AVERAGE(E$21:E$97)+Forecast!$G$8</f>
        <v>0.0735291094398279</v>
      </c>
      <c r="R43" s="68">
        <f>F43-AVERAGE(F$21:F$97)+Forecast!$G$9</f>
        <v>0.211100632029185</v>
      </c>
      <c r="S43" s="68">
        <f>G43-AVERAGE(G$21:G$97)+Forecast!$G$10</f>
        <v>0.106583083644219</v>
      </c>
      <c r="T43" s="68">
        <f>H43-AVERAGE(H$21:H$97)+Forecast!$G$11</f>
        <v>0.0225610984601008</v>
      </c>
      <c r="U43" s="68">
        <f>I43-AVERAGE(I$21:I$97)+Forecast!$G$12</f>
        <v>0.0153072876039396</v>
      </c>
      <c r="V43" s="68">
        <f>J43-AVERAGE(J$21:J$97)+Forecast!$G$13</f>
        <v>0.00770404237761663</v>
      </c>
      <c r="W43" s="68">
        <f>K43-AVERAGE(K$21:K$97)+Forecast!$G$14</f>
        <v>0.103587801310403</v>
      </c>
      <c r="X43" s="68">
        <f>L43-AVERAGE(L$21:L$97)+Forecast!$G$15</f>
        <v>0.108862103589188</v>
      </c>
      <c r="Y43" s="68">
        <f>M43-AVERAGE(M$21:M$97)+Forecast!$G$16</f>
        <v>0.0586612337100917</v>
      </c>
      <c r="Z43" s="68">
        <f>SUMPRODUCT($O43:$Y43,Risk!$B$56:$L$56)</f>
        <v>0.123210783302698</v>
      </c>
      <c r="AA43" s="68">
        <f>SUMPRODUCT($O43:$Y43,Risk!$B$57:$L$57)</f>
        <v>0.108033815269147</v>
      </c>
      <c r="AB43" s="68">
        <f>SUMPRODUCT($O43:$Y43,Risk!$B$58:$L$58)</f>
        <v>0.119741846315704</v>
      </c>
      <c r="AC43" s="68">
        <f>SUMPRODUCT(MMULT($O43:$Y43,Portfolio!$C$127:$C$137))</f>
        <v>0.115140531578999</v>
      </c>
      <c r="AD43" s="68">
        <f>SUMPRODUCT(MMULT($O43:$Y43,Portfolio!$D$127:$D$137))</f>
        <v>0.119223945848478</v>
      </c>
      <c r="AE43" s="68">
        <f>SUMPRODUCT(MMULT($O43:$Y43,Portfolio!$E$127:$E$137))</f>
        <v>0.112377502244163</v>
      </c>
      <c r="AF43" s="314">
        <f>SUMPRODUCT(MMULT($O43:$Y43,Portfolio!$F$127:$F$137))</f>
        <v>0.113960936108494</v>
      </c>
    </row>
    <row r="44">
      <c r="A44" s="312" t="n">
        <v>24</v>
      </c>
      <c r="B44" s="313">
        <f>'Quarterly returns'!A32</f>
        <v>41274.0</v>
      </c>
      <c r="C44" s="68">
        <f>(1+'Quarterly returns'!N29)*(1+'Quarterly returns'!N30)*(1+'Quarterly returns'!N31)*(1+'Quarterly returns'!N32)-1</f>
        <v>0.18840818253076</v>
      </c>
      <c r="D44" s="68">
        <f>(1+'Quarterly returns'!O29)*(1+'Quarterly returns'!O30)*(1+'Quarterly returns'!O31)*(1+'Quarterly returns'!O32)-1</f>
        <v>0.149590978928279</v>
      </c>
      <c r="E44" s="68">
        <f>(1+'Quarterly returns'!P29)*(1+'Quarterly returns'!P30)*(1+'Quarterly returns'!P31)*(1+'Quarterly returns'!P32)-1</f>
        <v>0.159170394564914</v>
      </c>
      <c r="F44" s="68">
        <f>(1+'Quarterly returns'!Q29)*(1+'Quarterly returns'!Q30)*(1+'Quarterly returns'!Q31)*(1+'Quarterly returns'!Q32)-1</f>
        <v>0.221042650889367</v>
      </c>
      <c r="G44" s="68">
        <f>(1+'Quarterly returns'!R29)*(1+'Quarterly returns'!R30)*(1+'Quarterly returns'!R31)*(1+'Quarterly returns'!R32)-1</f>
        <v>-0.0117627755187503</v>
      </c>
      <c r="H44" s="68">
        <f>(1+'Quarterly returns'!S29)*(1+'Quarterly returns'!S30)*(1+'Quarterly returns'!S31)*(1+'Quarterly returns'!S32)-1</f>
        <v>0.0995303281185815</v>
      </c>
      <c r="I44" s="68">
        <f>(1+'Quarterly returns'!T29)*(1+'Quarterly returns'!T30)*(1+'Quarterly returns'!T31)*(1+'Quarterly returns'!T32)-1</f>
        <v>-0.013351944590806</v>
      </c>
      <c r="J44" s="68">
        <f>(1+'Quarterly returns'!U29)*(1+'Quarterly returns'!U30)*(1+'Quarterly returns'!U31)*(1+'Quarterly returns'!U32)-1</f>
        <v>0.0546334140711804</v>
      </c>
      <c r="K44" s="68">
        <f>(1+'Quarterly returns'!V29)*(1+'Quarterly returns'!V30)*(1+'Quarterly returns'!V31)*(1+'Quarterly returns'!V32)-1</f>
        <v>0.0770387072529133</v>
      </c>
      <c r="L44" s="68">
        <f>(1+'Quarterly returns'!W29)*(1+'Quarterly returns'!W30)*(1+'Quarterly returns'!W31)*(1+'Quarterly returns'!W32)-1</f>
        <v>0.0966087081477225</v>
      </c>
      <c r="M44" s="68">
        <f>(1+'Quarterly returns'!X29)*(1+'Quarterly returns'!X30)*(1+'Quarterly returns'!X31)*(1+'Quarterly returns'!X32)-1</f>
        <v>0.0396890338201243</v>
      </c>
      <c r="N44" s="77" t="n"/>
      <c r="O44" s="68">
        <f>C44-AVERAGE(C$21:C$97)+Forecast!$G$6</f>
        <v>0.183612474935665</v>
      </c>
      <c r="P44" s="68">
        <f>D44-AVERAGE(D$21:D$97)+Forecast!$G$7</f>
        <v>0.121467187684102</v>
      </c>
      <c r="Q44" s="68">
        <f>E44-AVERAGE(E$21:E$97)+Forecast!$G$8</f>
        <v>0.140777666633554</v>
      </c>
      <c r="R44" s="68">
        <f>F44-AVERAGE(F$21:F$97)+Forecast!$G$9</f>
        <v>0.227680483700151</v>
      </c>
      <c r="S44" s="68">
        <f>G44-AVERAGE(G$21:G$97)+Forecast!$G$10</f>
        <v>0.0411728216997891</v>
      </c>
      <c r="T44" s="68">
        <f>H44-AVERAGE(H$21:H$97)+Forecast!$G$11</f>
        <v>0.0807863985755326</v>
      </c>
      <c r="U44" s="68">
        <f>I44-AVERAGE(I$21:I$97)+Forecast!$G$12</f>
        <v>-0.0556810031022435</v>
      </c>
      <c r="V44" s="68">
        <f>J44-AVERAGE(J$21:J$97)+Forecast!$G$13</f>
        <v>-0.0172063160043488</v>
      </c>
      <c r="W44" s="68">
        <f>K44-AVERAGE(K$21:K$97)+Forecast!$G$14</f>
        <v>0.084969120023873</v>
      </c>
      <c r="X44" s="68">
        <f>L44-AVERAGE(L$21:L$97)+Forecast!$G$15</f>
        <v>0.104852025262234</v>
      </c>
      <c r="Y44" s="68">
        <f>M44-AVERAGE(M$21:M$97)+Forecast!$G$16</f>
        <v>0.0547441061181943</v>
      </c>
      <c r="Z44" s="68">
        <f>SUMPRODUCT($O44:$Y44,Risk!$B$56:$L$56)</f>
        <v>0.145472093333935</v>
      </c>
      <c r="AA44" s="68">
        <f>SUMPRODUCT($O44:$Y44,Risk!$B$57:$L$57)</f>
        <v>0.122964087191426</v>
      </c>
      <c r="AB44" s="68">
        <f>SUMPRODUCT($O44:$Y44,Risk!$B$58:$L$58)</f>
        <v>0.139173817566833</v>
      </c>
      <c r="AC44" s="68">
        <f>SUMPRODUCT(MMULT($O44:$Y44,Portfolio!$C$127:$C$137))</f>
        <v>0.136155473790179</v>
      </c>
      <c r="AD44" s="68">
        <f>SUMPRODUCT(MMULT($O44:$Y44,Portfolio!$D$127:$D$137))</f>
        <v>0.140194856692289</v>
      </c>
      <c r="AE44" s="68">
        <f>SUMPRODUCT(MMULT($O44:$Y44,Portfolio!$E$127:$E$137))</f>
        <v>0.12990497641021</v>
      </c>
      <c r="AF44" s="314">
        <f>SUMPRODUCT(MMULT($O44:$Y44,Portfolio!$F$127:$F$137))</f>
        <v>0.13048983746849</v>
      </c>
    </row>
    <row r="45">
      <c r="A45" s="312" t="n">
        <v>25</v>
      </c>
      <c r="B45" s="313">
        <f>'Quarterly returns'!A33</f>
        <v>41362.0</v>
      </c>
      <c r="C45" s="68">
        <f>(1+'Quarterly returns'!N30)*(1+'Quarterly returns'!N31)*(1+'Quarterly returns'!N32)*(1+'Quarterly returns'!N33)-1</f>
        <v>0.177994168163971</v>
      </c>
      <c r="D45" s="68">
        <f>(1+'Quarterly returns'!O30)*(1+'Quarterly returns'!O31)*(1+'Quarterly returns'!O32)*(1+'Quarterly returns'!O33)-1</f>
        <v>0.14219851484736</v>
      </c>
      <c r="E45" s="68">
        <f>(1+'Quarterly returns'!P30)*(1+'Quarterly returns'!P31)*(1+'Quarterly returns'!P32)*(1+'Quarterly returns'!P33)-1</f>
        <v>0.0486412061885464</v>
      </c>
      <c r="F45" s="68">
        <f>(1+'Quarterly returns'!Q30)*(1+'Quarterly returns'!Q31)*(1+'Quarterly returns'!Q32)*(1+'Quarterly returns'!Q33)-1</f>
        <v>0.211579374567736</v>
      </c>
      <c r="G45" s="68">
        <f>(1+'Quarterly returns'!R30)*(1+'Quarterly returns'!R31)*(1+'Quarterly returns'!R32)*(1+'Quarterly returns'!R33)-1</f>
        <v>-0.0556441977825724</v>
      </c>
      <c r="H45" s="68">
        <f>(1+'Quarterly returns'!S30)*(1+'Quarterly returns'!S31)*(1+'Quarterly returns'!S32)*(1+'Quarterly returns'!S33)-1</f>
        <v>0.0427277036224962</v>
      </c>
      <c r="I45" s="68">
        <f>(1+'Quarterly returns'!T30)*(1+'Quarterly returns'!T31)*(1+'Quarterly returns'!T32)*(1+'Quarterly returns'!T33)-1</f>
        <v>0.0123363567023267</v>
      </c>
      <c r="J45" s="68">
        <f>(1+'Quarterly returns'!U30)*(1+'Quarterly returns'!U31)*(1+'Quarterly returns'!U32)*(1+'Quarterly returns'!U33)-1</f>
        <v>0.0719067149040615</v>
      </c>
      <c r="K45" s="68">
        <f>(1+'Quarterly returns'!V30)*(1+'Quarterly returns'!V31)*(1+'Quarterly returns'!V32)*(1+'Quarterly returns'!V33)-1</f>
        <v>0.0704028613755892</v>
      </c>
      <c r="L45" s="68">
        <f>(1+'Quarterly returns'!W30)*(1+'Quarterly returns'!W31)*(1+'Quarterly returns'!W32)*(1+'Quarterly returns'!W33)-1</f>
        <v>0.0863368006747263</v>
      </c>
      <c r="M45" s="68">
        <f>(1+'Quarterly returns'!X30)*(1+'Quarterly returns'!X31)*(1+'Quarterly returns'!X32)*(1+'Quarterly returns'!X33)-1</f>
        <v>0.0358305539684014</v>
      </c>
      <c r="N45" s="77" t="n"/>
      <c r="O45" s="68">
        <f>C45-AVERAGE(C$21:C$97)+Forecast!$G$6</f>
        <v>0.173198460568876</v>
      </c>
      <c r="P45" s="68">
        <f>D45-AVERAGE(D$21:D$97)+Forecast!$G$7</f>
        <v>0.114074723603183</v>
      </c>
      <c r="Q45" s="68">
        <f>E45-AVERAGE(E$21:E$97)+Forecast!$G$8</f>
        <v>0.0302484782571871</v>
      </c>
      <c r="R45" s="68">
        <f>F45-AVERAGE(F$21:F$97)+Forecast!$G$9</f>
        <v>0.21821720737852</v>
      </c>
      <c r="S45" s="68">
        <f>G45-AVERAGE(G$21:G$97)+Forecast!$G$10</f>
        <v>-0.00270860056403302</v>
      </c>
      <c r="T45" s="68">
        <f>H45-AVERAGE(H$21:H$97)+Forecast!$G$11</f>
        <v>0.0239837740794473</v>
      </c>
      <c r="U45" s="68">
        <f>I45-AVERAGE(I$21:I$97)+Forecast!$G$12</f>
        <v>-0.0299927018091107</v>
      </c>
      <c r="V45" s="68">
        <f>J45-AVERAGE(J$21:J$97)+Forecast!$G$13</f>
        <v>6.6984828532346e-05</v>
      </c>
      <c r="W45" s="68">
        <f>K45-AVERAGE(K$21:K$97)+Forecast!$G$14</f>
        <v>0.0783332741465489</v>
      </c>
      <c r="X45" s="68">
        <f>L45-AVERAGE(L$21:L$97)+Forecast!$G$15</f>
        <v>0.0945801177892379</v>
      </c>
      <c r="Y45" s="68">
        <f>M45-AVERAGE(M$21:M$97)+Forecast!$G$16</f>
        <v>0.0508856262664714</v>
      </c>
      <c r="Z45" s="68">
        <f>SUMPRODUCT($O45:$Y45,Risk!$B$56:$L$56)</f>
        <v>0.136794444069813</v>
      </c>
      <c r="AA45" s="68">
        <f>SUMPRODUCT($O45:$Y45,Risk!$B$57:$L$57)</f>
        <v>0.110004492979796</v>
      </c>
      <c r="AB45" s="68">
        <f>SUMPRODUCT($O45:$Y45,Risk!$B$58:$L$58)</f>
        <v>0.122743708759833</v>
      </c>
      <c r="AC45" s="68">
        <f>SUMPRODUCT(MMULT($O45:$Y45,Portfolio!$C$127:$C$137))</f>
        <v>0.118730374079468</v>
      </c>
      <c r="AD45" s="68">
        <f>SUMPRODUCT(MMULT($O45:$Y45,Portfolio!$D$127:$D$137))</f>
        <v>0.124343119840721</v>
      </c>
      <c r="AE45" s="68">
        <f>SUMPRODUCT(MMULT($O45:$Y45,Portfolio!$E$127:$E$137))</f>
        <v>0.117858582668675</v>
      </c>
      <c r="AF45" s="314">
        <f>SUMPRODUCT(MMULT($O45:$Y45,Portfolio!$F$127:$F$137))</f>
        <v>0.121764154361522</v>
      </c>
    </row>
    <row r="46">
      <c r="A46" s="312" t="n">
        <v>26</v>
      </c>
      <c r="B46" s="313">
        <f>'Quarterly returns'!A34</f>
        <v>41453.0</v>
      </c>
      <c r="C46" s="68">
        <f>(1+'Quarterly returns'!N31)*(1+'Quarterly returns'!N32)*(1+'Quarterly returns'!N33)*(1+'Quarterly returns'!N34)-1</f>
        <v>0.206722282570557</v>
      </c>
      <c r="D46" s="68">
        <f>(1+'Quarterly returns'!O31)*(1+'Quarterly returns'!O32)*(1+'Quarterly returns'!O33)*(1+'Quarterly returns'!O34)-1</f>
        <v>0.367609450756544</v>
      </c>
      <c r="E46" s="68">
        <f>(1+'Quarterly returns'!P31)*(1+'Quarterly returns'!P32)*(1+'Quarterly returns'!P33)*(1+'Quarterly returns'!P34)-1</f>
        <v>0.192288999633301</v>
      </c>
      <c r="F46" s="68">
        <f>(1+'Quarterly returns'!Q31)*(1+'Quarterly returns'!Q32)*(1+'Quarterly returns'!Q33)*(1+'Quarterly returns'!Q34)-1</f>
        <v>0.286098648498873</v>
      </c>
      <c r="G46" s="68">
        <f>(1+'Quarterly returns'!R31)*(1+'Quarterly returns'!R32)*(1+'Quarterly returns'!R33)*(1+'Quarterly returns'!R34)-1</f>
        <v>0.142666397219641</v>
      </c>
      <c r="H46" s="68">
        <f>(1+'Quarterly returns'!S31)*(1+'Quarterly returns'!S32)*(1+'Quarterly returns'!S33)*(1+'Quarterly returns'!S34)-1</f>
        <v>0.104375980259842</v>
      </c>
      <c r="I46" s="68">
        <f>(1+'Quarterly returns'!T31)*(1+'Quarterly returns'!T32)*(1+'Quarterly returns'!T33)*(1+'Quarterly returns'!T34)-1</f>
        <v>-0.0130489990277217</v>
      </c>
      <c r="J46" s="68">
        <f>(1+'Quarterly returns'!U31)*(1+'Quarterly returns'!U32)*(1+'Quarterly returns'!U33)*(1+'Quarterly returns'!U34)-1</f>
        <v>0.158828835999487</v>
      </c>
      <c r="K46" s="68">
        <f>(1+'Quarterly returns'!V31)*(1+'Quarterly returns'!V32)*(1+'Quarterly returns'!V33)*(1+'Quarterly returns'!V34)-1</f>
        <v>0.0277749205578575</v>
      </c>
      <c r="L46" s="68">
        <f>(1+'Quarterly returns'!W31)*(1+'Quarterly returns'!W32)*(1+'Quarterly returns'!W33)*(1+'Quarterly returns'!W34)-1</f>
        <v>0.0459073904046701</v>
      </c>
      <c r="M46" s="68">
        <f>(1+'Quarterly returns'!X31)*(1+'Quarterly returns'!X32)*(1+'Quarterly returns'!X33)*(1+'Quarterly returns'!X34)-1</f>
        <v>0.032789924873134</v>
      </c>
      <c r="N46" s="77" t="n"/>
      <c r="O46" s="68">
        <f>C46-AVERAGE(C$21:C$97)+Forecast!$G$6</f>
        <v>0.201926574975462</v>
      </c>
      <c r="P46" s="68">
        <f>D46-AVERAGE(D$21:D$97)+Forecast!$G$7</f>
        <v>0.339485659512367</v>
      </c>
      <c r="Q46" s="68">
        <f>E46-AVERAGE(E$21:E$97)+Forecast!$G$8</f>
        <v>0.173896271701942</v>
      </c>
      <c r="R46" s="68">
        <f>F46-AVERAGE(F$21:F$97)+Forecast!$G$9</f>
        <v>0.292736481309656</v>
      </c>
      <c r="S46" s="68">
        <f>G46-AVERAGE(G$21:G$97)+Forecast!$G$10</f>
        <v>0.19560199443818</v>
      </c>
      <c r="T46" s="68">
        <f>H46-AVERAGE(H$21:H$97)+Forecast!$G$11</f>
        <v>0.0856320507167927</v>
      </c>
      <c r="U46" s="68">
        <f>I46-AVERAGE(I$21:I$97)+Forecast!$G$12</f>
        <v>-0.0553780575391592</v>
      </c>
      <c r="V46" s="68">
        <f>J46-AVERAGE(J$21:J$97)+Forecast!$G$13</f>
        <v>0.0869891059239573</v>
      </c>
      <c r="W46" s="68">
        <f>K46-AVERAGE(K$21:K$97)+Forecast!$G$14</f>
        <v>0.0357053333288172</v>
      </c>
      <c r="X46" s="68">
        <f>L46-AVERAGE(L$21:L$97)+Forecast!$G$15</f>
        <v>0.0541507075191817</v>
      </c>
      <c r="Y46" s="68">
        <f>M46-AVERAGE(M$21:M$97)+Forecast!$G$16</f>
        <v>0.047844997171204</v>
      </c>
      <c r="Z46" s="68">
        <f>SUMPRODUCT($O46:$Y46,Risk!$B$56:$L$56)</f>
        <v>0.190978416426465</v>
      </c>
      <c r="AA46" s="68">
        <f>SUMPRODUCT($O46:$Y46,Risk!$B$57:$L$57)</f>
        <v>0.179199292153995</v>
      </c>
      <c r="AB46" s="68">
        <f>SUMPRODUCT($O46:$Y46,Risk!$B$58:$L$58)</f>
        <v>0.204064332426546</v>
      </c>
      <c r="AC46" s="68">
        <f>SUMPRODUCT(MMULT($O46:$Y46,Portfolio!$C$127:$C$137))</f>
        <v>0.204643109587342</v>
      </c>
      <c r="AD46" s="68">
        <f>SUMPRODUCT(MMULT($O46:$Y46,Portfolio!$D$127:$D$137))</f>
        <v>0.199059341902657</v>
      </c>
      <c r="AE46" s="68">
        <f>SUMPRODUCT(MMULT($O46:$Y46,Portfolio!$E$127:$E$137))</f>
        <v>0.201356348732089</v>
      </c>
      <c r="AF46" s="314">
        <f>SUMPRODUCT(MMULT($O46:$Y46,Portfolio!$F$127:$F$137))</f>
        <v>0.184773695224497</v>
      </c>
    </row>
    <row r="47">
      <c r="A47" s="312" t="n">
        <v>27</v>
      </c>
      <c r="B47" s="313">
        <f>'Quarterly returns'!A35</f>
        <v>41547.0</v>
      </c>
      <c r="C47" s="68">
        <f>(1+'Quarterly returns'!N32)*(1+'Quarterly returns'!N33)*(1+'Quarterly returns'!N34)*(1+'Quarterly returns'!N35)-1</f>
        <v>0.235452567194795</v>
      </c>
      <c r="D47" s="68">
        <f>(1+'Quarterly returns'!O32)*(1+'Quarterly returns'!O33)*(1+'Quarterly returns'!O34)*(1+'Quarterly returns'!O35)-1</f>
        <v>0.368358570835842</v>
      </c>
      <c r="E47" s="68">
        <f>(1+'Quarterly returns'!P32)*(1+'Quarterly returns'!P33)*(1+'Quarterly returns'!P34)*(1+'Quarterly returns'!P35)-1</f>
        <v>0.18092837532669</v>
      </c>
      <c r="F47" s="68">
        <f>(1+'Quarterly returns'!Q32)*(1+'Quarterly returns'!Q33)*(1+'Quarterly returns'!Q34)*(1+'Quarterly returns'!Q35)-1</f>
        <v>0.231704528538631</v>
      </c>
      <c r="G47" s="68">
        <f>(1+'Quarterly returns'!R32)*(1+'Quarterly returns'!R33)*(1+'Quarterly returns'!R34)*(1+'Quarterly returns'!R35)-1</f>
        <v>0.0660344787458047</v>
      </c>
      <c r="H47" s="68">
        <f>(1+'Quarterly returns'!S32)*(1+'Quarterly returns'!S33)*(1+'Quarterly returns'!S34)*(1+'Quarterly returns'!S35)-1</f>
        <v>0.14529676445146</v>
      </c>
      <c r="I47" s="68">
        <f>(1+'Quarterly returns'!T32)*(1+'Quarterly returns'!T33)*(1+'Quarterly returns'!T34)*(1+'Quarterly returns'!T35)-1</f>
        <v>0.0460544786652772</v>
      </c>
      <c r="J47" s="68">
        <f>(1+'Quarterly returns'!U32)*(1+'Quarterly returns'!U33)*(1+'Quarterly returns'!U34)*(1+'Quarterly returns'!U35)-1</f>
        <v>0.129506082182874</v>
      </c>
      <c r="K47" s="68">
        <f>(1+'Quarterly returns'!V32)*(1+'Quarterly returns'!V33)*(1+'Quarterly returns'!V34)*(1+'Quarterly returns'!V35)-1</f>
        <v>0.0182137261889548</v>
      </c>
      <c r="L47" s="68">
        <f>(1+'Quarterly returns'!W32)*(1+'Quarterly returns'!W33)*(1+'Quarterly returns'!W34)*(1+'Quarterly returns'!W35)-1</f>
        <v>0.0315081268318678</v>
      </c>
      <c r="M47" s="68">
        <f>(1+'Quarterly returns'!X32)*(1+'Quarterly returns'!X33)*(1+'Quarterly returns'!X34)*(1+'Quarterly returns'!X35)-1</f>
        <v>0.0306366464281571</v>
      </c>
      <c r="N47" s="77" t="n"/>
      <c r="O47" s="68">
        <f>C47-AVERAGE(C$21:C$97)+Forecast!$G$6</f>
        <v>0.2306568595997</v>
      </c>
      <c r="P47" s="68">
        <f>D47-AVERAGE(D$21:D$97)+Forecast!$G$7</f>
        <v>0.340234779591666</v>
      </c>
      <c r="Q47" s="68">
        <f>E47-AVERAGE(E$21:E$97)+Forecast!$G$8</f>
        <v>0.162535647395331</v>
      </c>
      <c r="R47" s="68">
        <f>F47-AVERAGE(F$21:F$97)+Forecast!$G$9</f>
        <v>0.238342361349414</v>
      </c>
      <c r="S47" s="68">
        <f>G47-AVERAGE(G$21:G$97)+Forecast!$G$10</f>
        <v>0.118970075964344</v>
      </c>
      <c r="T47" s="68">
        <f>H47-AVERAGE(H$21:H$97)+Forecast!$G$11</f>
        <v>0.126552834908411</v>
      </c>
      <c r="U47" s="68">
        <f>I47-AVERAGE(I$21:I$97)+Forecast!$G$12</f>
        <v>0.0037254201538398</v>
      </c>
      <c r="V47" s="68">
        <f>J47-AVERAGE(J$21:J$97)+Forecast!$G$13</f>
        <v>0.0576663521073452</v>
      </c>
      <c r="W47" s="68">
        <f>K47-AVERAGE(K$21:K$97)+Forecast!$G$14</f>
        <v>0.0261441389599145</v>
      </c>
      <c r="X47" s="68">
        <f>L47-AVERAGE(L$21:L$97)+Forecast!$G$15</f>
        <v>0.0397514439463794</v>
      </c>
      <c r="Y47" s="68">
        <f>M47-AVERAGE(M$21:M$97)+Forecast!$G$16</f>
        <v>0.0456917187262271</v>
      </c>
      <c r="Z47" s="68">
        <f>SUMPRODUCT($O47:$Y47,Risk!$B$56:$L$56)</f>
        <v>0.194444092563688</v>
      </c>
      <c r="AA47" s="68">
        <f>SUMPRODUCT($O47:$Y47,Risk!$B$57:$L$57)</f>
        <v>0.180832983001063</v>
      </c>
      <c r="AB47" s="68">
        <f>SUMPRODUCT($O47:$Y47,Risk!$B$58:$L$58)</f>
        <v>0.201743991926366</v>
      </c>
      <c r="AC47" s="68">
        <f>SUMPRODUCT(MMULT($O47:$Y47,Portfolio!$C$127:$C$137))</f>
        <v>0.204289952038505</v>
      </c>
      <c r="AD47" s="68">
        <f>SUMPRODUCT(MMULT($O47:$Y47,Portfolio!$D$127:$D$137))</f>
        <v>0.198427197313543</v>
      </c>
      <c r="AE47" s="68">
        <f>SUMPRODUCT(MMULT($O47:$Y47,Portfolio!$E$127:$E$137))</f>
        <v>0.203642097436884</v>
      </c>
      <c r="AF47" s="314">
        <f>SUMPRODUCT(MMULT($O47:$Y47,Portfolio!$F$127:$F$137))</f>
        <v>0.189574324074743</v>
      </c>
    </row>
    <row r="48">
      <c r="A48" s="312" t="n">
        <v>28</v>
      </c>
      <c r="B48" s="313">
        <f>'Quarterly returns'!A36</f>
        <v>41639.0</v>
      </c>
      <c r="C48" s="68">
        <f>(1+'Quarterly returns'!N33)*(1+'Quarterly returns'!N34)*(1+'Quarterly returns'!N35)*(1+'Quarterly returns'!N36)-1</f>
        <v>0.196557373488132</v>
      </c>
      <c r="D48" s="68">
        <f>(1+'Quarterly returns'!O33)*(1+'Quarterly returns'!O34)*(1+'Quarterly returns'!O35)*(1+'Quarterly returns'!O36)-1</f>
        <v>0.503649758726325</v>
      </c>
      <c r="E48" s="68">
        <f>(1+'Quarterly returns'!P33)*(1+'Quarterly returns'!P34)*(1+'Quarterly returns'!P35)*(1+'Quarterly returns'!P36)-1</f>
        <v>0.204457226061139</v>
      </c>
      <c r="F48" s="68">
        <f>(1+'Quarterly returns'!Q33)*(1+'Quarterly returns'!Q34)*(1+'Quarterly returns'!Q35)*(1+'Quarterly returns'!Q36)-1</f>
        <v>0.229683935968003</v>
      </c>
      <c r="G48" s="68">
        <f>(1+'Quarterly returns'!R33)*(1+'Quarterly returns'!R34)*(1+'Quarterly returns'!R35)*(1+'Quarterly returns'!R36)-1</f>
        <v>0.146320591948285</v>
      </c>
      <c r="H48" s="68">
        <f>(1+'Quarterly returns'!S33)*(1+'Quarterly returns'!S34)*(1+'Quarterly returns'!S35)*(1+'Quarterly returns'!S36)-1</f>
        <v>0.146724508334831</v>
      </c>
      <c r="I48" s="68">
        <f>(1+'Quarterly returns'!T33)*(1+'Quarterly returns'!T34)*(1+'Quarterly returns'!T35)*(1+'Quarterly returns'!T36)-1</f>
        <v>0.0874985338789773</v>
      </c>
      <c r="J48" s="68">
        <f>(1+'Quarterly returns'!U33)*(1+'Quarterly returns'!U34)*(1+'Quarterly returns'!U35)*(1+'Quarterly returns'!U36)-1</f>
        <v>0.257755617787115</v>
      </c>
      <c r="K48" s="68">
        <f>(1+'Quarterly returns'!V33)*(1+'Quarterly returns'!V34)*(1+'Quarterly returns'!V35)*(1+'Quarterly returns'!V36)-1</f>
        <v>0.0198574802726925</v>
      </c>
      <c r="L48" s="68">
        <f>(1+'Quarterly returns'!W33)*(1+'Quarterly returns'!W34)*(1+'Quarterly returns'!W35)*(1+'Quarterly returns'!W36)-1</f>
        <v>0.0226828980645504</v>
      </c>
      <c r="M48" s="68">
        <f>(1+'Quarterly returns'!X33)*(1+'Quarterly returns'!X34)*(1+'Quarterly returns'!X35)*(1+'Quarterly returns'!X36)-1</f>
        <v>0.0286598604290516</v>
      </c>
      <c r="N48" s="77" t="n"/>
      <c r="O48" s="68">
        <f>C48-AVERAGE(C$21:C$97)+Forecast!$G$6</f>
        <v>0.191761665893037</v>
      </c>
      <c r="P48" s="68">
        <f>D48-AVERAGE(D$21:D$97)+Forecast!$G$7</f>
        <v>0.475525967482148</v>
      </c>
      <c r="Q48" s="68">
        <f>E48-AVERAGE(E$21:E$97)+Forecast!$G$8</f>
        <v>0.18606449812978</v>
      </c>
      <c r="R48" s="68">
        <f>F48-AVERAGE(F$21:F$97)+Forecast!$G$9</f>
        <v>0.236321768778787</v>
      </c>
      <c r="S48" s="68">
        <f>G48-AVERAGE(G$21:G$97)+Forecast!$G$10</f>
        <v>0.199256189166824</v>
      </c>
      <c r="T48" s="68">
        <f>H48-AVERAGE(H$21:H$97)+Forecast!$G$11</f>
        <v>0.127980578791782</v>
      </c>
      <c r="U48" s="68">
        <f>I48-AVERAGE(I$21:I$97)+Forecast!$G$12</f>
        <v>0.0451694753675399</v>
      </c>
      <c r="V48" s="68">
        <f>J48-AVERAGE(J$21:J$97)+Forecast!$G$13</f>
        <v>0.185915887711586</v>
      </c>
      <c r="W48" s="68">
        <f>K48-AVERAGE(K$21:K$97)+Forecast!$G$14</f>
        <v>0.0277878930436522</v>
      </c>
      <c r="X48" s="68">
        <f>L48-AVERAGE(L$21:L$97)+Forecast!$G$15</f>
        <v>0.030926215179062</v>
      </c>
      <c r="Y48" s="68">
        <f>M48-AVERAGE(M$21:M$97)+Forecast!$G$16</f>
        <v>0.0437149327271215</v>
      </c>
      <c r="Z48" s="68">
        <f>SUMPRODUCT($O48:$Y48,Risk!$B$56:$L$56)</f>
        <v>0.205144363193294</v>
      </c>
      <c r="AA48" s="68">
        <f>SUMPRODUCT($O48:$Y48,Risk!$B$57:$L$57)</f>
        <v>0.210111457720304</v>
      </c>
      <c r="AB48" s="68">
        <f>SUMPRODUCT($O48:$Y48,Risk!$B$58:$L$58)</f>
        <v>0.231225806648507</v>
      </c>
      <c r="AC48" s="68">
        <f>SUMPRODUCT(MMULT($O48:$Y48,Portfolio!$C$127:$C$137))</f>
        <v>0.23522945049321</v>
      </c>
      <c r="AD48" s="68">
        <f>SUMPRODUCT(MMULT($O48:$Y48,Portfolio!$D$127:$D$137))</f>
        <v>0.225410142386099</v>
      </c>
      <c r="AE48" s="68">
        <f>SUMPRODUCT(MMULT($O48:$Y48,Portfolio!$E$127:$E$137))</f>
        <v>0.237643938741492</v>
      </c>
      <c r="AF48" s="314">
        <f>SUMPRODUCT(MMULT($O48:$Y48,Portfolio!$F$127:$F$137))</f>
        <v>0.217201337287131</v>
      </c>
    </row>
    <row r="49">
      <c r="A49" s="312" t="n">
        <v>29</v>
      </c>
      <c r="B49" s="313">
        <f>'Quarterly returns'!A37</f>
        <v>41729.0</v>
      </c>
      <c r="C49" s="68">
        <f>(1+'Quarterly returns'!N34)*(1+'Quarterly returns'!N35)*(1+'Quarterly returns'!N36)*(1+'Quarterly returns'!N37)-1</f>
        <v>0.131863908120263</v>
      </c>
      <c r="D49" s="68">
        <f>(1+'Quarterly returns'!O34)*(1+'Quarterly returns'!O35)*(1+'Quarterly returns'!O36)*(1+'Quarterly returns'!O37)-1</f>
        <v>0.341104958246262</v>
      </c>
      <c r="E49" s="68">
        <f>(1+'Quarterly returns'!P34)*(1+'Quarterly returns'!P35)*(1+'Quarterly returns'!P36)*(1+'Quarterly returns'!P37)-1</f>
        <v>0.167175516836527</v>
      </c>
      <c r="F49" s="68">
        <f>(1+'Quarterly returns'!Q34)*(1+'Quarterly returns'!Q35)*(1+'Quarterly returns'!Q36)*(1+'Quarterly returns'!Q37)-1</f>
        <v>0.166818364393023</v>
      </c>
      <c r="G49" s="68">
        <f>(1+'Quarterly returns'!R34)*(1+'Quarterly returns'!R35)*(1+'Quarterly returns'!R36)*(1+'Quarterly returns'!R37)-1</f>
        <v>0.137553899881768</v>
      </c>
      <c r="H49" s="68">
        <f>(1+'Quarterly returns'!S34)*(1+'Quarterly returns'!S35)*(1+'Quarterly returns'!S36)*(1+'Quarterly returns'!S37)-1</f>
        <v>0.132785455135038</v>
      </c>
      <c r="I49" s="68">
        <f>(1+'Quarterly returns'!T34)*(1+'Quarterly returns'!T35)*(1+'Quarterly returns'!T36)*(1+'Quarterly returns'!T37)-1</f>
        <v>0.0607590582525548</v>
      </c>
      <c r="J49" s="68">
        <f>(1+'Quarterly returns'!U34)*(1+'Quarterly returns'!U35)*(1+'Quarterly returns'!U36)*(1+'Quarterly returns'!U37)-1</f>
        <v>0.23755755445829</v>
      </c>
      <c r="K49" s="68">
        <f>(1+'Quarterly returns'!V34)*(1+'Quarterly returns'!V35)*(1+'Quarterly returns'!V36)*(1+'Quarterly returns'!V37)-1</f>
        <v>0.0329752484665944</v>
      </c>
      <c r="L49" s="68">
        <f>(1+'Quarterly returns'!W34)*(1+'Quarterly returns'!W35)*(1+'Quarterly returns'!W36)*(1+'Quarterly returns'!W37)-1</f>
        <v>0.0368391087187185</v>
      </c>
      <c r="M49" s="68">
        <f>(1+'Quarterly returns'!X34)*(1+'Quarterly returns'!X35)*(1+'Quarterly returns'!X36)*(1+'Quarterly returns'!X37)-1</f>
        <v>0.0276575137742376</v>
      </c>
      <c r="N49" s="77" t="n"/>
      <c r="O49" s="68">
        <f>C49-AVERAGE(C$21:C$97)+Forecast!$G$6</f>
        <v>0.127068200525168</v>
      </c>
      <c r="P49" s="68">
        <f>D49-AVERAGE(D$21:D$97)+Forecast!$G$7</f>
        <v>0.312981167002085</v>
      </c>
      <c r="Q49" s="68">
        <f>E49-AVERAGE(E$21:E$97)+Forecast!$G$8</f>
        <v>0.148782788905168</v>
      </c>
      <c r="R49" s="68">
        <f>F49-AVERAGE(F$21:F$97)+Forecast!$G$9</f>
        <v>0.173456197203806</v>
      </c>
      <c r="S49" s="68">
        <f>G49-AVERAGE(G$21:G$97)+Forecast!$G$10</f>
        <v>0.190489497100307</v>
      </c>
      <c r="T49" s="68">
        <f>H49-AVERAGE(H$21:H$97)+Forecast!$G$11</f>
        <v>0.114041525591989</v>
      </c>
      <c r="U49" s="68">
        <f>I49-AVERAGE(I$21:I$97)+Forecast!$G$12</f>
        <v>0.0184299997411174</v>
      </c>
      <c r="V49" s="68">
        <f>J49-AVERAGE(J$21:J$97)+Forecast!$G$13</f>
        <v>0.165717824382761</v>
      </c>
      <c r="W49" s="68">
        <f>K49-AVERAGE(K$21:K$97)+Forecast!$G$14</f>
        <v>0.0409056612375541</v>
      </c>
      <c r="X49" s="68">
        <f>L49-AVERAGE(L$21:L$97)+Forecast!$G$15</f>
        <v>0.0450824258332301</v>
      </c>
      <c r="Y49" s="68">
        <f>M49-AVERAGE(M$21:M$97)+Forecast!$G$16</f>
        <v>0.0427125860723076</v>
      </c>
      <c r="Z49" s="68">
        <f>SUMPRODUCT($O49:$Y49,Risk!$B$56:$L$56)</f>
        <v>0.143501457608218</v>
      </c>
      <c r="AA49" s="68">
        <f>SUMPRODUCT($O49:$Y49,Risk!$B$57:$L$57)</f>
        <v>0.150491485625618</v>
      </c>
      <c r="AB49" s="68">
        <f>SUMPRODUCT($O49:$Y49,Risk!$B$58:$L$58)</f>
        <v>0.163371874098474</v>
      </c>
      <c r="AC49" s="68">
        <f>SUMPRODUCT(MMULT($O49:$Y49,Portfolio!$C$127:$C$137))</f>
        <v>0.166738279499827</v>
      </c>
      <c r="AD49" s="68">
        <f>SUMPRODUCT(MMULT($O49:$Y49,Portfolio!$D$127:$D$137))</f>
        <v>0.15879290859406</v>
      </c>
      <c r="AE49" s="68">
        <f>SUMPRODUCT(MMULT($O49:$Y49,Portfolio!$E$127:$E$137))</f>
        <v>0.166798871490524</v>
      </c>
      <c r="AF49" s="314">
        <f>SUMPRODUCT(MMULT($O49:$Y49,Portfolio!$F$127:$F$137))</f>
        <v>0.152068703456994</v>
      </c>
    </row>
    <row r="50">
      <c r="A50" s="312" t="n">
        <v>30</v>
      </c>
      <c r="B50" s="313">
        <f>'Quarterly returns'!A38</f>
        <v>41820.0</v>
      </c>
      <c r="C50" s="68">
        <f>(1+'Quarterly returns'!N35)*(1+'Quarterly returns'!N36)*(1+'Quarterly returns'!N37)*(1+'Quarterly returns'!N38)-1</f>
        <v>0.1764070633577</v>
      </c>
      <c r="D50" s="68">
        <f>(1+'Quarterly returns'!O35)*(1+'Quarterly returns'!O36)*(1+'Quarterly returns'!O37)*(1+'Quarterly returns'!O38)-1</f>
        <v>0.186574870647374</v>
      </c>
      <c r="E50" s="68">
        <f>(1+'Quarterly returns'!P35)*(1+'Quarterly returns'!P36)*(1+'Quarterly returns'!P37)*(1+'Quarterly returns'!P38)-1</f>
        <v>0.106580273026251</v>
      </c>
      <c r="F50" s="68">
        <f>(1+'Quarterly returns'!Q35)*(1+'Quarterly returns'!Q36)*(1+'Quarterly returns'!Q37)*(1+'Quarterly returns'!Q38)-1</f>
        <v>0.107663295912089</v>
      </c>
      <c r="G50" s="68">
        <f>(1+'Quarterly returns'!R35)*(1+'Quarterly returns'!R36)*(1+'Quarterly returns'!R37)*(1+'Quarterly returns'!R38)-1</f>
        <v>0.0706932515868399</v>
      </c>
      <c r="H50" s="68">
        <f>(1+'Quarterly returns'!S35)*(1+'Quarterly returns'!S36)*(1+'Quarterly returns'!S37)*(1+'Quarterly returns'!S38)-1</f>
        <v>0.0999549374938991</v>
      </c>
      <c r="I50" s="68">
        <f>(1+'Quarterly returns'!T35)*(1+'Quarterly returns'!T36)*(1+'Quarterly returns'!T37)*(1+'Quarterly returns'!T38)-1</f>
        <v>0.0831111642745526</v>
      </c>
      <c r="J50" s="68">
        <f>(1+'Quarterly returns'!U35)*(1+'Quarterly returns'!U36)*(1+'Quarterly returns'!U37)*(1+'Quarterly returns'!U38)-1</f>
        <v>0.217487320631112</v>
      </c>
      <c r="K50" s="68">
        <f>(1+'Quarterly returns'!V35)*(1+'Quarterly returns'!V36)*(1+'Quarterly returns'!V37)*(1+'Quarterly returns'!V38)-1</f>
        <v>0.060858100958235</v>
      </c>
      <c r="L50" s="68">
        <f>(1+'Quarterly returns'!W35)*(1+'Quarterly returns'!W36)*(1+'Quarterly returns'!W37)*(1+'Quarterly returns'!W38)-1</f>
        <v>0.0775912896505644</v>
      </c>
      <c r="M50" s="68">
        <f>(1+'Quarterly returns'!X35)*(1+'Quarterly returns'!X36)*(1+'Quarterly returns'!X37)*(1+'Quarterly returns'!X38)-1</f>
        <v>0.0268200697240319</v>
      </c>
      <c r="N50" s="77" t="n"/>
      <c r="O50" s="68">
        <f>C50-AVERAGE(C$21:C$97)+Forecast!$G$6</f>
        <v>0.171611355762606</v>
      </c>
      <c r="P50" s="68">
        <f>D50-AVERAGE(D$21:D$97)+Forecast!$G$7</f>
        <v>0.158451079403197</v>
      </c>
      <c r="Q50" s="68">
        <f>E50-AVERAGE(E$21:E$97)+Forecast!$G$8</f>
        <v>0.088187545094892</v>
      </c>
      <c r="R50" s="68">
        <f>F50-AVERAGE(F$21:F$97)+Forecast!$G$9</f>
        <v>0.114301128722873</v>
      </c>
      <c r="S50" s="68">
        <f>G50-AVERAGE(G$21:G$97)+Forecast!$G$10</f>
        <v>0.123628848805379</v>
      </c>
      <c r="T50" s="68">
        <f>H50-AVERAGE(H$21:H$97)+Forecast!$G$11</f>
        <v>0.0812110079508501</v>
      </c>
      <c r="U50" s="68">
        <f>I50-AVERAGE(I$21:I$97)+Forecast!$G$12</f>
        <v>0.0407821057631151</v>
      </c>
      <c r="V50" s="68">
        <f>J50-AVERAGE(J$21:J$97)+Forecast!$G$13</f>
        <v>0.145647590555582</v>
      </c>
      <c r="W50" s="68">
        <f>K50-AVERAGE(K$21:K$97)+Forecast!$G$14</f>
        <v>0.0687885137291947</v>
      </c>
      <c r="X50" s="68">
        <f>L50-AVERAGE(L$21:L$97)+Forecast!$G$15</f>
        <v>0.085834606765076</v>
      </c>
      <c r="Y50" s="68">
        <f>M50-AVERAGE(M$21:M$97)+Forecast!$G$16</f>
        <v>0.0418751420221019</v>
      </c>
      <c r="Z50" s="68">
        <f>SUMPRODUCT($O50:$Y50,Risk!$B$56:$L$56)</f>
        <v>0.131881176600101</v>
      </c>
      <c r="AA50" s="68">
        <f>SUMPRODUCT($O50:$Y50,Risk!$B$57:$L$57)</f>
        <v>0.124032274550986</v>
      </c>
      <c r="AB50" s="68">
        <f>SUMPRODUCT($O50:$Y50,Risk!$B$58:$L$58)</f>
        <v>0.130203900462758</v>
      </c>
      <c r="AC50" s="68">
        <f>SUMPRODUCT(MMULT($O50:$Y50,Portfolio!$C$127:$C$137))</f>
        <v>0.130412055572503</v>
      </c>
      <c r="AD50" s="68">
        <f>SUMPRODUCT(MMULT($O50:$Y50,Portfolio!$D$127:$D$137))</f>
        <v>0.12898610757794</v>
      </c>
      <c r="AE50" s="68">
        <f>SUMPRODUCT(MMULT($O50:$Y50,Portfolio!$E$127:$E$137))</f>
        <v>0.131221718549975</v>
      </c>
      <c r="AF50" s="314">
        <f>SUMPRODUCT(MMULT($O50:$Y50,Portfolio!$F$127:$F$137))</f>
        <v>0.131383898424601</v>
      </c>
    </row>
    <row r="51">
      <c r="A51" s="312" t="n">
        <v>31</v>
      </c>
      <c r="B51" s="313">
        <f>'Quarterly returns'!A39</f>
        <v>41912.0</v>
      </c>
      <c r="C51" s="68">
        <f>(1+'Quarterly returns'!N36)*(1+'Quarterly returns'!N37)*(1+'Quarterly returns'!N38)*(1+'Quarterly returns'!N39)-1</f>
        <v>0.0588706894126654</v>
      </c>
      <c r="D51" s="68">
        <f>(1+'Quarterly returns'!O36)*(1+'Quarterly returns'!O37)*(1+'Quarterly returns'!O38)*(1+'Quarterly returns'!O39)-1</f>
        <v>0.238855898489972</v>
      </c>
      <c r="E51" s="68">
        <f>(1+'Quarterly returns'!P36)*(1+'Quarterly returns'!P37)*(1+'Quarterly returns'!P38)*(1+'Quarterly returns'!P39)-1</f>
        <v>0.160868964183358</v>
      </c>
      <c r="F51" s="68">
        <f>(1+'Quarterly returns'!Q36)*(1+'Quarterly returns'!Q37)*(1+'Quarterly returns'!Q38)*(1+'Quarterly returns'!Q39)-1</f>
        <v>0.213381182148456</v>
      </c>
      <c r="G51" s="68">
        <f>(1+'Quarterly returns'!R36)*(1+'Quarterly returns'!R37)*(1+'Quarterly returns'!R38)*(1+'Quarterly returns'!R39)-1</f>
        <v>-0.0143582055965733</v>
      </c>
      <c r="H51" s="68">
        <f>(1+'Quarterly returns'!S36)*(1+'Quarterly returns'!S37)*(1+'Quarterly returns'!S38)*(1+'Quarterly returns'!S39)-1</f>
        <v>0.0732404074654178</v>
      </c>
      <c r="I51" s="68">
        <f>(1+'Quarterly returns'!T36)*(1+'Quarterly returns'!T37)*(1+'Quarterly returns'!T38)*(1+'Quarterly returns'!T39)-1</f>
        <v>0.0805278580251363</v>
      </c>
      <c r="J51" s="68">
        <f>(1+'Quarterly returns'!U36)*(1+'Quarterly returns'!U37)*(1+'Quarterly returns'!U38)*(1+'Quarterly returns'!U39)-1</f>
        <v>0.284043123421596</v>
      </c>
      <c r="K51" s="68">
        <f>(1+'Quarterly returns'!V36)*(1+'Quarterly returns'!V37)*(1+'Quarterly returns'!V38)*(1+'Quarterly returns'!V39)-1</f>
        <v>0.0601802263461178</v>
      </c>
      <c r="L51" s="68">
        <f>(1+'Quarterly returns'!W36)*(1+'Quarterly returns'!W37)*(1+'Quarterly returns'!W38)*(1+'Quarterly returns'!W39)-1</f>
        <v>0.0811236680658705</v>
      </c>
      <c r="M51" s="68">
        <f>(1+'Quarterly returns'!X36)*(1+'Quarterly returns'!X37)*(1+'Quarterly returns'!X38)*(1+'Quarterly returns'!X39)-1</f>
        <v>0.0263410119136431</v>
      </c>
      <c r="N51" s="77" t="n"/>
      <c r="O51" s="68">
        <f>C51-AVERAGE(C$21:C$97)+Forecast!$G$6</f>
        <v>0.0540749818175705</v>
      </c>
      <c r="P51" s="68">
        <f>D51-AVERAGE(D$21:D$97)+Forecast!$G$7</f>
        <v>0.210732107245795</v>
      </c>
      <c r="Q51" s="68">
        <f>E51-AVERAGE(E$21:E$97)+Forecast!$G$8</f>
        <v>0.142476236251999</v>
      </c>
      <c r="R51" s="68">
        <f>F51-AVERAGE(F$21:F$97)+Forecast!$G$9</f>
        <v>0.22001901495924</v>
      </c>
      <c r="S51" s="68">
        <f>G51-AVERAGE(G$21:G$97)+Forecast!$G$10</f>
        <v>0.038577391621966</v>
      </c>
      <c r="T51" s="68">
        <f>H51-AVERAGE(H$21:H$97)+Forecast!$G$11</f>
        <v>0.0544964779223689</v>
      </c>
      <c r="U51" s="68">
        <f>I51-AVERAGE(I$21:I$97)+Forecast!$G$12</f>
        <v>0.0381987995136989</v>
      </c>
      <c r="V51" s="68">
        <f>J51-AVERAGE(J$21:J$97)+Forecast!$G$13</f>
        <v>0.212203393346066</v>
      </c>
      <c r="W51" s="68">
        <f>K51-AVERAGE(K$21:K$97)+Forecast!$G$14</f>
        <v>0.0681106391170775</v>
      </c>
      <c r="X51" s="68">
        <f>L51-AVERAGE(L$21:L$97)+Forecast!$G$15</f>
        <v>0.0893669851803821</v>
      </c>
      <c r="Y51" s="68">
        <f>M51-AVERAGE(M$21:M$97)+Forecast!$G$16</f>
        <v>0.0413960842117131</v>
      </c>
      <c r="Z51" s="68">
        <f>SUMPRODUCT($O51:$Y51,Risk!$B$56:$L$56)</f>
        <v>0.106041996248923</v>
      </c>
      <c r="AA51" s="68">
        <f>SUMPRODUCT($O51:$Y51,Risk!$B$57:$L$57)</f>
        <v>0.115386247215025</v>
      </c>
      <c r="AB51" s="68">
        <f>SUMPRODUCT($O51:$Y51,Risk!$B$58:$L$58)</f>
        <v>0.123711930739939</v>
      </c>
      <c r="AC51" s="68">
        <f>SUMPRODUCT(MMULT($O51:$Y51,Portfolio!$C$127:$C$137))</f>
        <v>0.122238503999555</v>
      </c>
      <c r="AD51" s="68">
        <f>SUMPRODUCT(MMULT($O51:$Y51,Portfolio!$D$127:$D$137))</f>
        <v>0.124135747151454</v>
      </c>
      <c r="AE51" s="68">
        <f>SUMPRODUCT(MMULT($O51:$Y51,Portfolio!$E$127:$E$137))</f>
        <v>0.123271801861668</v>
      </c>
      <c r="AF51" s="314">
        <f>SUMPRODUCT(MMULT($O51:$Y51,Portfolio!$F$127:$F$137))</f>
        <v>0.111046924374431</v>
      </c>
    </row>
    <row r="52">
      <c r="A52" s="312" t="n">
        <v>32</v>
      </c>
      <c r="B52" s="313">
        <f>'Quarterly returns'!A40</f>
        <v>42004.0</v>
      </c>
      <c r="C52" s="68">
        <f>(1+'Quarterly returns'!N37)*(1+'Quarterly returns'!N38)*(1+'Quarterly returns'!N39)*(1+'Quarterly returns'!N40)-1</f>
        <v>0.0502205473189501</v>
      </c>
      <c r="D52" s="68">
        <f>(1+'Quarterly returns'!O37)*(1+'Quarterly returns'!O38)*(1+'Quarterly returns'!O39)*(1+'Quarterly returns'!O40)-1</f>
        <v>0.206960271742828</v>
      </c>
      <c r="E52" s="68">
        <f>(1+'Quarterly returns'!P37)*(1+'Quarterly returns'!P38)*(1+'Quarterly returns'!P39)*(1+'Quarterly returns'!P40)-1</f>
        <v>0.154131373811987</v>
      </c>
      <c r="F52" s="68">
        <f>(1+'Quarterly returns'!Q37)*(1+'Quarterly returns'!Q38)*(1+'Quarterly returns'!Q39)*(1+'Quarterly returns'!Q40)-1</f>
        <v>0.390473061927565</v>
      </c>
      <c r="G52" s="68">
        <f>(1+'Quarterly returns'!R37)*(1+'Quarterly returns'!R38)*(1+'Quarterly returns'!R39)*(1+'Quarterly returns'!R40)-1</f>
        <v>-0.268198239965597</v>
      </c>
      <c r="H52" s="68">
        <f>(1+'Quarterly returns'!S37)*(1+'Quarterly returns'!S38)*(1+'Quarterly returns'!S39)*(1+'Quarterly returns'!S40)-1</f>
        <v>0.0411890707535136</v>
      </c>
      <c r="I52" s="68">
        <f>(1+'Quarterly returns'!T37)*(1+'Quarterly returns'!T38)*(1+'Quarterly returns'!T39)*(1+'Quarterly returns'!T40)-1</f>
        <v>0.0775670919888494</v>
      </c>
      <c r="J52" s="68">
        <f>(1+'Quarterly returns'!U37)*(1+'Quarterly returns'!U38)*(1+'Quarterly returns'!U39)*(1+'Quarterly returns'!U40)-1</f>
        <v>0.20809787436885</v>
      </c>
      <c r="K52" s="68">
        <f>(1+'Quarterly returns'!V37)*(1+'Quarterly returns'!V38)*(1+'Quarterly returns'!V39)*(1+'Quarterly returns'!V40)-1</f>
        <v>0.0980976555252469</v>
      </c>
      <c r="L52" s="68">
        <f>(1+'Quarterly returns'!W37)*(1+'Quarterly returns'!W38)*(1+'Quarterly returns'!W39)*(1+'Quarterly returns'!W40)-1</f>
        <v>0.103710727282046</v>
      </c>
      <c r="M52" s="68">
        <f>(1+'Quarterly returns'!X37)*(1+'Quarterly returns'!X38)*(1+'Quarterly returns'!X39)*(1+'Quarterly returns'!X40)-1</f>
        <v>0.0269241447931283</v>
      </c>
      <c r="N52" s="77" t="n"/>
      <c r="O52" s="68">
        <f>C52-AVERAGE(C$21:C$97)+Forecast!$G$6</f>
        <v>0.0454248397238552</v>
      </c>
      <c r="P52" s="68">
        <f>D52-AVERAGE(D$21:D$97)+Forecast!$G$7</f>
        <v>0.178836480498651</v>
      </c>
      <c r="Q52" s="68">
        <f>E52-AVERAGE(E$21:E$97)+Forecast!$G$8</f>
        <v>0.135738645880628</v>
      </c>
      <c r="R52" s="68">
        <f>F52-AVERAGE(F$21:F$97)+Forecast!$G$9</f>
        <v>0.397110894738349</v>
      </c>
      <c r="S52" s="68">
        <f>G52-AVERAGE(G$21:G$97)+Forecast!$G$10</f>
        <v>-0.215262642747058</v>
      </c>
      <c r="T52" s="68">
        <f>H52-AVERAGE(H$21:H$97)+Forecast!$G$11</f>
        <v>0.0224451412104647</v>
      </c>
      <c r="U52" s="68">
        <f>I52-AVERAGE(I$21:I$97)+Forecast!$G$12</f>
        <v>0.0352380334774119</v>
      </c>
      <c r="V52" s="68">
        <f>J52-AVERAGE(J$21:J$97)+Forecast!$G$13</f>
        <v>0.136258144293321</v>
      </c>
      <c r="W52" s="68">
        <f>K52-AVERAGE(K$21:K$97)+Forecast!$G$14</f>
        <v>0.106028068296207</v>
      </c>
      <c r="X52" s="68">
        <f>L52-AVERAGE(L$21:L$97)+Forecast!$G$15</f>
        <v>0.111954044396557</v>
      </c>
      <c r="Y52" s="68">
        <f>M52-AVERAGE(M$21:M$97)+Forecast!$G$16</f>
        <v>0.0419792170911983</v>
      </c>
      <c r="Z52" s="68">
        <f>SUMPRODUCT($O52:$Y52,Risk!$B$56:$L$56)</f>
        <v>0.121447400455647</v>
      </c>
      <c r="AA52" s="68">
        <f>SUMPRODUCT($O52:$Y52,Risk!$B$57:$L$57)</f>
        <v>0.116527027755274</v>
      </c>
      <c r="AB52" s="68">
        <f>SUMPRODUCT($O52:$Y52,Risk!$B$58:$L$58)</f>
        <v>0.128625271129565</v>
      </c>
      <c r="AC52" s="68">
        <f>SUMPRODUCT(MMULT($O52:$Y52,Portfolio!$C$127:$C$137))</f>
        <v>0.123036392348259</v>
      </c>
      <c r="AD52" s="68">
        <f>SUMPRODUCT(MMULT($O52:$Y52,Portfolio!$D$127:$D$137))</f>
        <v>0.135114798066452</v>
      </c>
      <c r="AE52" s="68">
        <f>SUMPRODUCT(MMULT($O52:$Y52,Portfolio!$E$127:$E$137))</f>
        <v>0.125445439700113</v>
      </c>
      <c r="AF52" s="314">
        <f>SUMPRODUCT(MMULT($O52:$Y52,Portfolio!$F$127:$F$137))</f>
        <v>0.109168905690329</v>
      </c>
    </row>
    <row r="53">
      <c r="A53" s="312" t="n">
        <v>33</v>
      </c>
      <c r="B53" s="313">
        <f>'Quarterly returns'!A41</f>
        <v>42094.0</v>
      </c>
      <c r="C53" s="68">
        <f>(1+'Quarterly returns'!N38)*(1+'Quarterly returns'!N39)*(1+'Quarterly returns'!N40)*(1+'Quarterly returns'!N41)-1</f>
        <v>0.132460717742324</v>
      </c>
      <c r="D53" s="68">
        <f>(1+'Quarterly returns'!O38)*(1+'Quarterly returns'!O39)*(1+'Quarterly returns'!O40)*(1+'Quarterly returns'!O41)-1</f>
        <v>0.39043581477737</v>
      </c>
      <c r="E53" s="68">
        <f>(1+'Quarterly returns'!P38)*(1+'Quarterly returns'!P39)*(1+'Quarterly returns'!P40)*(1+'Quarterly returns'!P41)-1</f>
        <v>0.35043781199283</v>
      </c>
      <c r="F53" s="68">
        <f>(1+'Quarterly returns'!Q38)*(1+'Quarterly returns'!Q39)*(1+'Quarterly returns'!Q40)*(1+'Quarterly returns'!Q41)-1</f>
        <v>0.529658603897997</v>
      </c>
      <c r="G53" s="68">
        <f>(1+'Quarterly returns'!R38)*(1+'Quarterly returns'!R39)*(1+'Quarterly returns'!R40)*(1+'Quarterly returns'!R41)-1</f>
        <v>-0.275915430983298</v>
      </c>
      <c r="H53" s="68">
        <f>(1+'Quarterly returns'!S38)*(1+'Quarterly returns'!S39)*(1+'Quarterly returns'!S40)*(1+'Quarterly returns'!S41)-1</f>
        <v>0.0847621614531673</v>
      </c>
      <c r="I53" s="68">
        <f>(1+'Quarterly returns'!T38)*(1+'Quarterly returns'!T39)*(1+'Quarterly returns'!T40)*(1+'Quarterly returns'!T41)-1</f>
        <v>0.0678186303539423</v>
      </c>
      <c r="J53" s="68">
        <f>(1+'Quarterly returns'!U38)*(1+'Quarterly returns'!U39)*(1+'Quarterly returns'!U40)*(1+'Quarterly returns'!U41)-1</f>
        <v>0.278725215830186</v>
      </c>
      <c r="K53" s="68">
        <f>(1+'Quarterly returns'!V38)*(1+'Quarterly returns'!V39)*(1+'Quarterly returns'!V40)*(1+'Quarterly returns'!V41)-1</f>
        <v>0.111269925679969</v>
      </c>
      <c r="L53" s="68">
        <f>(1+'Quarterly returns'!W38)*(1+'Quarterly returns'!W39)*(1+'Quarterly returns'!W40)*(1+'Quarterly returns'!W41)-1</f>
        <v>0.102509703103745</v>
      </c>
      <c r="M53" s="68">
        <f>(1+'Quarterly returns'!X38)*(1+'Quarterly returns'!X39)*(1+'Quarterly returns'!X40)*(1+'Quarterly returns'!X41)-1</f>
        <v>0.027171558928716</v>
      </c>
      <c r="N53" s="77" t="n"/>
      <c r="O53" s="68">
        <f>C53-AVERAGE(C$21:C$97)+Forecast!$G$6</f>
        <v>0.12766501014723</v>
      </c>
      <c r="P53" s="68">
        <f>D53-AVERAGE(D$21:D$97)+Forecast!$G$7</f>
        <v>0.362312023533193</v>
      </c>
      <c r="Q53" s="68">
        <f>E53-AVERAGE(E$21:E$97)+Forecast!$G$8</f>
        <v>0.332045084061471</v>
      </c>
      <c r="R53" s="68">
        <f>F53-AVERAGE(F$21:F$97)+Forecast!$G$9</f>
        <v>0.536296436708781</v>
      </c>
      <c r="S53" s="68">
        <f>G53-AVERAGE(G$21:G$97)+Forecast!$G$10</f>
        <v>-0.222979833764759</v>
      </c>
      <c r="T53" s="68">
        <f>H53-AVERAGE(H$21:H$97)+Forecast!$G$11</f>
        <v>0.0660182319101184</v>
      </c>
      <c r="U53" s="68">
        <f>I53-AVERAGE(I$21:I$97)+Forecast!$G$12</f>
        <v>0.0254895718425049</v>
      </c>
      <c r="V53" s="68">
        <f>J53-AVERAGE(J$21:J$97)+Forecast!$G$13</f>
        <v>0.206885485754657</v>
      </c>
      <c r="W53" s="68">
        <f>K53-AVERAGE(K$21:K$97)+Forecast!$G$14</f>
        <v>0.119200338450929</v>
      </c>
      <c r="X53" s="68">
        <f>L53-AVERAGE(L$21:L$97)+Forecast!$G$15</f>
        <v>0.110753020218256</v>
      </c>
      <c r="Y53" s="68">
        <f>M53-AVERAGE(M$21:M$97)+Forecast!$G$16</f>
        <v>0.042226631226786</v>
      </c>
      <c r="Z53" s="68">
        <f>SUMPRODUCT($O53:$Y53,Risk!$B$56:$L$56)</f>
        <v>0.206854209007384</v>
      </c>
      <c r="AA53" s="68">
        <f>SUMPRODUCT($O53:$Y53,Risk!$B$57:$L$57)</f>
        <v>0.2023234864683</v>
      </c>
      <c r="AB53" s="68">
        <f>SUMPRODUCT($O53:$Y53,Risk!$B$58:$L$58)</f>
        <v>0.228833994656575</v>
      </c>
      <c r="AC53" s="68">
        <f>SUMPRODUCT(MMULT($O53:$Y53,Portfolio!$C$127:$C$137))</f>
        <v>0.223269367293128</v>
      </c>
      <c r="AD53" s="68">
        <f>SUMPRODUCT(MMULT($O53:$Y53,Portfolio!$D$127:$D$137))</f>
        <v>0.234817924531144</v>
      </c>
      <c r="AE53" s="68">
        <f>SUMPRODUCT(MMULT($O53:$Y53,Portfolio!$E$127:$E$137))</f>
        <v>0.223162467079302</v>
      </c>
      <c r="AF53" s="314">
        <f>SUMPRODUCT(MMULT($O53:$Y53,Portfolio!$F$127:$F$137))</f>
        <v>0.192998018506384</v>
      </c>
    </row>
    <row r="54">
      <c r="A54" s="312" t="n">
        <v>34</v>
      </c>
      <c r="B54" s="313">
        <f>'Quarterly returns'!A42</f>
        <v>42185.0</v>
      </c>
      <c r="C54" s="68">
        <f>(1+'Quarterly returns'!N39)*(1+'Quarterly returns'!N40)*(1+'Quarterly returns'!N41)*(1+'Quarterly returns'!N42)-1</f>
        <v>0.0567161371119054</v>
      </c>
      <c r="D54" s="68">
        <f>(1+'Quarterly returns'!O39)*(1+'Quarterly returns'!O40)*(1+'Quarterly returns'!O41)*(1+'Quarterly returns'!O42)-1</f>
        <v>0.338404535317393</v>
      </c>
      <c r="E54" s="68">
        <f>(1+'Quarterly returns'!P39)*(1+'Quarterly returns'!P40)*(1+'Quarterly returns'!P41)*(1+'Quarterly returns'!P42)-1</f>
        <v>0.309398407008416</v>
      </c>
      <c r="F54" s="68">
        <f>(1+'Quarterly returns'!Q39)*(1+'Quarterly returns'!Q40)*(1+'Quarterly returns'!Q41)*(1+'Quarterly returns'!Q42)-1</f>
        <v>0.320724310870069</v>
      </c>
      <c r="G54" s="68">
        <f>(1+'Quarterly returns'!R39)*(1+'Quarterly returns'!R40)*(1+'Quarterly returns'!R41)*(1+'Quarterly returns'!R42)-1</f>
        <v>-0.224025414140317</v>
      </c>
      <c r="H54" s="68">
        <f>(1+'Quarterly returns'!S39)*(1+'Quarterly returns'!S40)*(1+'Quarterly returns'!S41)*(1+'Quarterly returns'!S42)-1</f>
        <v>0.164248039365658</v>
      </c>
      <c r="I54" s="68">
        <f>(1+'Quarterly returns'!T39)*(1+'Quarterly returns'!T40)*(1+'Quarterly returns'!T41)*(1+'Quarterly returns'!T42)-1</f>
        <v>0.0853203510929119</v>
      </c>
      <c r="J54" s="68">
        <f>(1+'Quarterly returns'!U39)*(1+'Quarterly returns'!U40)*(1+'Quarterly returns'!U41)*(1+'Quarterly returns'!U42)-1</f>
        <v>0.219188403240596</v>
      </c>
      <c r="K54" s="68">
        <f>(1+'Quarterly returns'!V39)*(1+'Quarterly returns'!V40)*(1+'Quarterly returns'!V41)*(1+'Quarterly returns'!V42)-1</f>
        <v>0.0562763048329187</v>
      </c>
      <c r="L54" s="68">
        <f>(1+'Quarterly returns'!W39)*(1+'Quarterly returns'!W40)*(1+'Quarterly returns'!W41)*(1+'Quarterly returns'!W42)-1</f>
        <v>0.0561614687822967</v>
      </c>
      <c r="M54" s="68">
        <f>(1+'Quarterly returns'!X39)*(1+'Quarterly returns'!X40)*(1+'Quarterly returns'!X41)*(1+'Quarterly returns'!X42)-1</f>
        <v>0.0260389412310311</v>
      </c>
      <c r="N54" s="77" t="n"/>
      <c r="O54" s="68">
        <f>C54-AVERAGE(C$21:C$97)+Forecast!$G$6</f>
        <v>0.0519204295168105</v>
      </c>
      <c r="P54" s="68">
        <f>D54-AVERAGE(D$21:D$97)+Forecast!$G$7</f>
        <v>0.310280744073217</v>
      </c>
      <c r="Q54" s="68">
        <f>E54-AVERAGE(E$21:E$97)+Forecast!$G$8</f>
        <v>0.291005679077056</v>
      </c>
      <c r="R54" s="68">
        <f>F54-AVERAGE(F$21:F$97)+Forecast!$G$9</f>
        <v>0.327362143680852</v>
      </c>
      <c r="S54" s="68">
        <f>G54-AVERAGE(G$21:G$97)+Forecast!$G$10</f>
        <v>-0.171089816921777</v>
      </c>
      <c r="T54" s="68">
        <f>H54-AVERAGE(H$21:H$97)+Forecast!$G$11</f>
        <v>0.145504109822609</v>
      </c>
      <c r="U54" s="68">
        <f>I54-AVERAGE(I$21:I$97)+Forecast!$G$12</f>
        <v>0.0429912925814745</v>
      </c>
      <c r="V54" s="68">
        <f>J54-AVERAGE(J$21:J$97)+Forecast!$G$13</f>
        <v>0.147348673165066</v>
      </c>
      <c r="W54" s="68">
        <f>K54-AVERAGE(K$21:K$97)+Forecast!$G$14</f>
        <v>0.0642067176038784</v>
      </c>
      <c r="X54" s="68">
        <f>L54-AVERAGE(L$21:L$97)+Forecast!$G$15</f>
        <v>0.0644047858968083</v>
      </c>
      <c r="Y54" s="68">
        <f>M54-AVERAGE(M$21:M$97)+Forecast!$G$16</f>
        <v>0.0410940135291011</v>
      </c>
      <c r="Z54" s="68">
        <f>SUMPRODUCT($O54:$Y54,Risk!$B$56:$L$56)</f>
        <v>0.133220506448816</v>
      </c>
      <c r="AA54" s="68">
        <f>SUMPRODUCT($O54:$Y54,Risk!$B$57:$L$57)</f>
        <v>0.145962901830902</v>
      </c>
      <c r="AB54" s="68">
        <f>SUMPRODUCT($O54:$Y54,Risk!$B$58:$L$58)</f>
        <v>0.161375892441493</v>
      </c>
      <c r="AC54" s="68">
        <f>SUMPRODUCT(MMULT($O54:$Y54,Portfolio!$C$127:$C$137))</f>
        <v>0.1619886593923</v>
      </c>
      <c r="AD54" s="68">
        <f>SUMPRODUCT(MMULT($O54:$Y54,Portfolio!$D$127:$D$137))</f>
        <v>0.1657637607205</v>
      </c>
      <c r="AE54" s="68">
        <f>SUMPRODUCT(MMULT($O54:$Y54,Portfolio!$E$127:$E$137))</f>
        <v>0.1610252056805</v>
      </c>
      <c r="AF54" s="314">
        <f>SUMPRODUCT(MMULT($O54:$Y54,Portfolio!$F$127:$F$137))</f>
        <v>0.135198998789791</v>
      </c>
    </row>
    <row r="55">
      <c r="A55" s="312" t="n">
        <v>35</v>
      </c>
      <c r="B55" s="313">
        <f>'Quarterly returns'!A43</f>
        <v>42277.0</v>
      </c>
      <c r="C55" s="68">
        <f>(1+'Quarterly returns'!N40)*(1+'Quarterly returns'!N41)*(1+'Quarterly returns'!N42)*(1+'Quarterly returns'!N43)-1</f>
        <v>-0.00156560867632705</v>
      </c>
      <c r="D55" s="68">
        <f>(1+'Quarterly returns'!O40)*(1+'Quarterly returns'!O41)*(1+'Quarterly returns'!O42)*(1+'Quarterly returns'!O43)-1</f>
        <v>0.243177937619522</v>
      </c>
      <c r="E55" s="68">
        <f>(1+'Quarterly returns'!P40)*(1+'Quarterly returns'!P41)*(1+'Quarterly returns'!P42)*(1+'Quarterly returns'!P43)-1</f>
        <v>0.161484547452272</v>
      </c>
      <c r="F55" s="68">
        <f>(1+'Quarterly returns'!Q40)*(1+'Quarterly returns'!Q41)*(1+'Quarterly returns'!Q42)*(1+'Quarterly returns'!Q43)-1</f>
        <v>0.375137973446388</v>
      </c>
      <c r="G55" s="68">
        <f>(1+'Quarterly returns'!R40)*(1+'Quarterly returns'!R41)*(1+'Quarterly returns'!R42)*(1+'Quarterly returns'!R43)-1</f>
        <v>-0.274090083548688</v>
      </c>
      <c r="H55" s="68">
        <f>(1+'Quarterly returns'!S40)*(1+'Quarterly returns'!S41)*(1+'Quarterly returns'!S42)*(1+'Quarterly returns'!S43)-1</f>
        <v>0.132583220358479</v>
      </c>
      <c r="I55" s="68">
        <f>(1+'Quarterly returns'!T40)*(1+'Quarterly returns'!T41)*(1+'Quarterly returns'!T42)*(1+'Quarterly returns'!T43)-1</f>
        <v>0.0632725075442444</v>
      </c>
      <c r="J55" s="68">
        <f>(1+'Quarterly returns'!U40)*(1+'Quarterly returns'!U41)*(1+'Quarterly returns'!U42)*(1+'Quarterly returns'!U43)-1</f>
        <v>0.182416289758023</v>
      </c>
      <c r="K55" s="68">
        <f>(1+'Quarterly returns'!V40)*(1+'Quarterly returns'!V41)*(1+'Quarterly returns'!V42)*(1+'Quarterly returns'!V43)-1</f>
        <v>0.0691357563300004</v>
      </c>
      <c r="L55" s="68">
        <f>(1+'Quarterly returns'!W40)*(1+'Quarterly returns'!W41)*(1+'Quarterly returns'!W42)*(1+'Quarterly returns'!W43)-1</f>
        <v>0.0571643609777075</v>
      </c>
      <c r="M55" s="68">
        <f>(1+'Quarterly returns'!X40)*(1+'Quarterly returns'!X41)*(1+'Quarterly returns'!X42)*(1+'Quarterly returns'!X43)-1</f>
        <v>0.0248986682107704</v>
      </c>
      <c r="N55" s="77" t="n"/>
      <c r="O55" s="68">
        <f>C55-AVERAGE(C$21:C$97)+Forecast!$G$6</f>
        <v>-0.00636131627142193</v>
      </c>
      <c r="P55" s="68">
        <f>D55-AVERAGE(D$21:D$97)+Forecast!$G$7</f>
        <v>0.215054146375346</v>
      </c>
      <c r="Q55" s="68">
        <f>E55-AVERAGE(E$21:E$97)+Forecast!$G$8</f>
        <v>0.143091819520913</v>
      </c>
      <c r="R55" s="68">
        <f>F55-AVERAGE(F$21:F$97)+Forecast!$G$9</f>
        <v>0.381775806257171</v>
      </c>
      <c r="S55" s="68">
        <f>G55-AVERAGE(G$21:G$97)+Forecast!$G$10</f>
        <v>-0.221154486330149</v>
      </c>
      <c r="T55" s="68">
        <f>H55-AVERAGE(H$21:H$97)+Forecast!$G$11</f>
        <v>0.11383929081543</v>
      </c>
      <c r="U55" s="68">
        <f>I55-AVERAGE(I$21:I$97)+Forecast!$G$12</f>
        <v>0.020943449032807</v>
      </c>
      <c r="V55" s="68">
        <f>J55-AVERAGE(J$21:J$97)+Forecast!$G$13</f>
        <v>0.110576559682494</v>
      </c>
      <c r="W55" s="68">
        <f>K55-AVERAGE(K$21:K$97)+Forecast!$G$14</f>
        <v>0.0770661691009601</v>
      </c>
      <c r="X55" s="68">
        <f>L55-AVERAGE(L$21:L$97)+Forecast!$G$15</f>
        <v>0.0654076780922191</v>
      </c>
      <c r="Y55" s="68">
        <f>M55-AVERAGE(M$21:M$97)+Forecast!$G$16</f>
        <v>0.0399537405088403</v>
      </c>
      <c r="Z55" s="68">
        <f>SUMPRODUCT($O55:$Y55,Risk!$B$56:$L$56)</f>
        <v>0.0982331848403578</v>
      </c>
      <c r="AA55" s="68">
        <f>SUMPRODUCT($O55:$Y55,Risk!$B$57:$L$57)</f>
        <v>0.105436922641028</v>
      </c>
      <c r="AB55" s="68">
        <f>SUMPRODUCT($O55:$Y55,Risk!$B$58:$L$58)</f>
        <v>0.114056006459832</v>
      </c>
      <c r="AC55" s="68">
        <f>SUMPRODUCT(MMULT($O55:$Y55,Portfolio!$C$127:$C$137))</f>
        <v>0.114898770717236</v>
      </c>
      <c r="AD55" s="68">
        <f>SUMPRODUCT(MMULT($O55:$Y55,Portfolio!$D$127:$D$137))</f>
        <v>0.119319759812251</v>
      </c>
      <c r="AE55" s="68">
        <f>SUMPRODUCT(MMULT($O55:$Y55,Portfolio!$E$127:$E$137))</f>
        <v>0.117202000800156</v>
      </c>
      <c r="AF55" s="314">
        <f>SUMPRODUCT(MMULT($O55:$Y55,Portfolio!$F$127:$F$137))</f>
        <v>0.0899981714201388</v>
      </c>
    </row>
    <row r="56">
      <c r="A56" s="312" t="n">
        <v>36</v>
      </c>
      <c r="B56" s="313">
        <f>'Quarterly returns'!A44</f>
        <v>42369.0</v>
      </c>
      <c r="C56" s="68">
        <f>(1+'Quarterly returns'!N41)*(1+'Quarterly returns'!N42)*(1+'Quarterly returns'!N43)*(1+'Quarterly returns'!N44)-1</f>
        <v>0.037815470112796</v>
      </c>
      <c r="D56" s="68">
        <f>(1+'Quarterly returns'!O41)*(1+'Quarterly returns'!O42)*(1+'Quarterly returns'!O43)*(1+'Quarterly returns'!O44)-1</f>
        <v>0.154557648439579</v>
      </c>
      <c r="E56" s="68">
        <f>(1+'Quarterly returns'!P41)*(1+'Quarterly returns'!P42)*(1+'Quarterly returns'!P43)*(1+'Quarterly returns'!P44)-1</f>
        <v>0.0640148740750319</v>
      </c>
      <c r="F56" s="68">
        <f>(1+'Quarterly returns'!Q41)*(1+'Quarterly returns'!Q42)*(1+'Quarterly returns'!Q43)*(1+'Quarterly returns'!Q44)-1</f>
        <v>0.167360792256172</v>
      </c>
      <c r="G56" s="68">
        <f>(1+'Quarterly returns'!R41)*(1+'Quarterly returns'!R42)*(1+'Quarterly returns'!R43)*(1+'Quarterly returns'!R44)-1</f>
        <v>-0.244767809472189</v>
      </c>
      <c r="H56" s="68">
        <f>(1+'Quarterly returns'!S41)*(1+'Quarterly returns'!S42)*(1+'Quarterly returns'!S43)*(1+'Quarterly returns'!S44)-1</f>
        <v>0.0568423808059722</v>
      </c>
      <c r="I56" s="68">
        <f>(1+'Quarterly returns'!T41)*(1+'Quarterly returns'!T42)*(1+'Quarterly returns'!T43)*(1+'Quarterly returns'!T44)-1</f>
        <v>0.0742590298587165</v>
      </c>
      <c r="J56" s="68">
        <f>(1+'Quarterly returns'!U41)*(1+'Quarterly returns'!U42)*(1+'Quarterly returns'!U43)*(1+'Quarterly returns'!U44)-1</f>
        <v>0.18929083900194</v>
      </c>
      <c r="K56" s="68">
        <f>(1+'Quarterly returns'!V41)*(1+'Quarterly returns'!V42)*(1+'Quarterly returns'!V43)*(1+'Quarterly returns'!V44)-1</f>
        <v>0.0258631743053082</v>
      </c>
      <c r="L56" s="68">
        <f>(1+'Quarterly returns'!W41)*(1+'Quarterly returns'!W42)*(1+'Quarterly returns'!W43)*(1+'Quarterly returns'!W44)-1</f>
        <v>0.0334695488634513</v>
      </c>
      <c r="M56" s="68">
        <f>(1+'Quarterly returns'!X41)*(1+'Quarterly returns'!X42)*(1+'Quarterly returns'!X43)*(1+'Quarterly returns'!X44)-1</f>
        <v>0.023310268556217</v>
      </c>
      <c r="N56" s="77" t="n"/>
      <c r="O56" s="68">
        <f>C56-AVERAGE(C$21:C$97)+Forecast!$G$6</f>
        <v>0.0330197625177011</v>
      </c>
      <c r="P56" s="68">
        <f>D56-AVERAGE(D$21:D$97)+Forecast!$G$7</f>
        <v>0.126433857195403</v>
      </c>
      <c r="Q56" s="68">
        <f>E56-AVERAGE(E$21:E$97)+Forecast!$G$8</f>
        <v>0.0456221461436727</v>
      </c>
      <c r="R56" s="68">
        <f>F56-AVERAGE(F$21:F$97)+Forecast!$G$9</f>
        <v>0.173998625066956</v>
      </c>
      <c r="S56" s="68">
        <f>G56-AVERAGE(G$21:G$97)+Forecast!$G$10</f>
        <v>-0.19183221225365</v>
      </c>
      <c r="T56" s="68">
        <f>H56-AVERAGE(H$21:H$97)+Forecast!$G$11</f>
        <v>0.0380984512629232</v>
      </c>
      <c r="U56" s="68">
        <f>I56-AVERAGE(I$21:I$97)+Forecast!$G$12</f>
        <v>0.031929971347279</v>
      </c>
      <c r="V56" s="68">
        <f>J56-AVERAGE(J$21:J$97)+Forecast!$G$13</f>
        <v>0.117451108926411</v>
      </c>
      <c r="W56" s="68">
        <f>K56-AVERAGE(K$21:K$97)+Forecast!$G$14</f>
        <v>0.0337935870762679</v>
      </c>
      <c r="X56" s="68">
        <f>L56-AVERAGE(L$21:L$97)+Forecast!$G$15</f>
        <v>0.0417128659779629</v>
      </c>
      <c r="Y56" s="68">
        <f>M56-AVERAGE(M$21:M$97)+Forecast!$G$16</f>
        <v>0.0383653408542869</v>
      </c>
      <c r="Z56" s="68">
        <f>SUMPRODUCT($O56:$Y56,Risk!$B$56:$L$56)</f>
        <v>0.0669861801523339</v>
      </c>
      <c r="AA56" s="68">
        <f>SUMPRODUCT($O56:$Y56,Risk!$B$57:$L$57)</f>
        <v>0.0651678228954849</v>
      </c>
      <c r="AB56" s="68">
        <f>SUMPRODUCT($O56:$Y56,Risk!$B$58:$L$58)</f>
        <v>0.067985965860832</v>
      </c>
      <c r="AC56" s="68">
        <f>SUMPRODUCT(MMULT($O56:$Y56,Portfolio!$C$127:$C$137))</f>
        <v>0.0673090050209347</v>
      </c>
      <c r="AD56" s="68">
        <f>SUMPRODUCT(MMULT($O56:$Y56,Portfolio!$D$127:$D$137))</f>
        <v>0.0728449443717017</v>
      </c>
      <c r="AE56" s="68">
        <f>SUMPRODUCT(MMULT($O56:$Y56,Portfolio!$E$127:$E$137))</f>
        <v>0.0721126131468866</v>
      </c>
      <c r="AF56" s="314">
        <f>SUMPRODUCT(MMULT($O56:$Y56,Portfolio!$F$127:$F$137))</f>
        <v>0.0635644782677648</v>
      </c>
    </row>
    <row r="57">
      <c r="A57" s="312" t="n">
        <v>37</v>
      </c>
      <c r="B57" s="313">
        <f>'Quarterly returns'!A45</f>
        <v>42460.0</v>
      </c>
      <c r="C57" s="68">
        <f>(1+'Quarterly returns'!N42)*(1+'Quarterly returns'!N43)*(1+'Quarterly returns'!N44)*(1+'Quarterly returns'!N45)-1</f>
        <v>-0.0804530893730933</v>
      </c>
      <c r="D57" s="68">
        <f>(1+'Quarterly returns'!O42)*(1+'Quarterly returns'!O43)*(1+'Quarterly returns'!O44)*(1+'Quarterly returns'!O45)-1</f>
        <v>-0.0467442111267761</v>
      </c>
      <c r="E57" s="68">
        <f>(1+'Quarterly returns'!P42)*(1+'Quarterly returns'!P43)*(1+'Quarterly returns'!P44)*(1+'Quarterly returns'!P45)-1</f>
        <v>-0.0799769850336183</v>
      </c>
      <c r="F57" s="68">
        <f>(1+'Quarterly returns'!Q42)*(1+'Quarterly returns'!Q43)*(1+'Quarterly returns'!Q44)*(1+'Quarterly returns'!Q45)-1</f>
        <v>0.0280962341886761</v>
      </c>
      <c r="G57" s="68">
        <f>(1+'Quarterly returns'!R42)*(1+'Quarterly returns'!R43)*(1+'Quarterly returns'!R44)*(1+'Quarterly returns'!R45)-1</f>
        <v>-0.291618338635182</v>
      </c>
      <c r="H57" s="68">
        <f>(1+'Quarterly returns'!S42)*(1+'Quarterly returns'!S43)*(1+'Quarterly returns'!S44)*(1+'Quarterly returns'!S45)-1</f>
        <v>0.0415794823276576</v>
      </c>
      <c r="I57" s="68">
        <f>(1+'Quarterly returns'!T42)*(1+'Quarterly returns'!T43)*(1+'Quarterly returns'!T44)*(1+'Quarterly returns'!T45)-1</f>
        <v>0.0694547159354277</v>
      </c>
      <c r="J57" s="68">
        <f>(1+'Quarterly returns'!U42)*(1+'Quarterly returns'!U43)*(1+'Quarterly returns'!U44)*(1+'Quarterly returns'!U45)-1</f>
        <v>0.0541463973469258</v>
      </c>
      <c r="K57" s="68">
        <f>(1+'Quarterly returns'!V42)*(1+'Quarterly returns'!V43)*(1+'Quarterly returns'!V44)*(1+'Quarterly returns'!V45)-1</f>
        <v>0.0196586935083929</v>
      </c>
      <c r="L57" s="68">
        <f>(1+'Quarterly returns'!W42)*(1+'Quarterly returns'!W43)*(1+'Quarterly returns'!W44)*(1+'Quarterly returns'!W45)-1</f>
        <v>0.0450743126223923</v>
      </c>
      <c r="M57" s="68">
        <f>(1+'Quarterly returns'!X42)*(1+'Quarterly returns'!X43)*(1+'Quarterly returns'!X44)*(1+'Quarterly returns'!X45)-1</f>
        <v>0.02243493319284</v>
      </c>
      <c r="N57" s="77" t="n"/>
      <c r="O57" s="68">
        <f>C57-AVERAGE(C$21:C$97)+Forecast!$G$6</f>
        <v>-0.0852487969681882</v>
      </c>
      <c r="P57" s="68">
        <f>D57-AVERAGE(D$21:D$97)+Forecast!$G$7</f>
        <v>-0.0748680023709528</v>
      </c>
      <c r="Q57" s="68">
        <f>E57-AVERAGE(E$21:E$97)+Forecast!$G$8</f>
        <v>-0.0983697129649775</v>
      </c>
      <c r="R57" s="68">
        <f>F57-AVERAGE(F$21:F$97)+Forecast!$G$9</f>
        <v>0.0347340669994597</v>
      </c>
      <c r="S57" s="68">
        <f>G57-AVERAGE(G$21:G$97)+Forecast!$G$10</f>
        <v>-0.238682741416642</v>
      </c>
      <c r="T57" s="68">
        <f>H57-AVERAGE(H$21:H$97)+Forecast!$G$11</f>
        <v>0.0228355527846087</v>
      </c>
      <c r="U57" s="68">
        <f>I57-AVERAGE(I$21:I$97)+Forecast!$G$12</f>
        <v>0.0271256574239903</v>
      </c>
      <c r="V57" s="68">
        <f>J57-AVERAGE(J$21:J$97)+Forecast!$G$13</f>
        <v>-0.0176933327286034</v>
      </c>
      <c r="W57" s="68">
        <f>K57-AVERAGE(K$21:K$97)+Forecast!$G$14</f>
        <v>0.0275891062793526</v>
      </c>
      <c r="X57" s="68">
        <f>L57-AVERAGE(L$21:L$97)+Forecast!$G$15</f>
        <v>0.0533176297369038</v>
      </c>
      <c r="Y57" s="68">
        <f>M57-AVERAGE(M$21:M$97)+Forecast!$G$16</f>
        <v>0.0374900054909099</v>
      </c>
      <c r="Z57" s="68">
        <f>SUMPRODUCT($O57:$Y57,Risk!$B$56:$L$56)</f>
        <v>-0.0345716358563009</v>
      </c>
      <c r="AA57" s="68">
        <f>SUMPRODUCT($O57:$Y57,Risk!$B$57:$L$57)</f>
        <v>-0.0322970196434076</v>
      </c>
      <c r="AB57" s="68">
        <f>SUMPRODUCT($O57:$Y57,Risk!$B$58:$L$58)</f>
        <v>-0.0427190179279177</v>
      </c>
      <c r="AC57" s="68">
        <f>SUMPRODUCT(MMULT($O57:$Y57,Portfolio!$C$127:$C$137))</f>
        <v>-0.0440064000775371</v>
      </c>
      <c r="AD57" s="68">
        <f>SUMPRODUCT(MMULT($O57:$Y57,Portfolio!$D$127:$D$137))</f>
        <v>-0.0355611378639172</v>
      </c>
      <c r="AE57" s="68">
        <f>SUMPRODUCT(MMULT($O57:$Y57,Portfolio!$E$127:$E$137))</f>
        <v>-0.0403612498109173</v>
      </c>
      <c r="AF57" s="314">
        <f>SUMPRODUCT(MMULT($O57:$Y57,Portfolio!$F$127:$F$137))</f>
        <v>-0.033851185991087</v>
      </c>
    </row>
    <row r="58">
      <c r="A58" s="312" t="n">
        <v>38</v>
      </c>
      <c r="B58" s="313">
        <f>'Quarterly returns'!A46</f>
        <v>42551.0</v>
      </c>
      <c r="C58" s="68">
        <f>(1+'Quarterly returns'!N43)*(1+'Quarterly returns'!N44)*(1+'Quarterly returns'!N45)*(1+'Quarterly returns'!N46)-1</f>
        <v>0.0200828515177598</v>
      </c>
      <c r="D58" s="68">
        <f>(1+'Quarterly returns'!O43)*(1+'Quarterly returns'!O44)*(1+'Quarterly returns'!O45)*(1+'Quarterly returns'!O46)-1</f>
        <v>0.0107443791298862</v>
      </c>
      <c r="E58" s="68">
        <f>(1+'Quarterly returns'!P43)*(1+'Quarterly returns'!P44)*(1+'Quarterly returns'!P45)*(1+'Quarterly returns'!P46)-1</f>
        <v>-0.04361103053699</v>
      </c>
      <c r="F58" s="68">
        <f>(1+'Quarterly returns'!Q43)*(1+'Quarterly returns'!Q44)*(1+'Quarterly returns'!Q45)*(1+'Quarterly returns'!Q46)-1</f>
        <v>0.217679944923282</v>
      </c>
      <c r="G58" s="68">
        <f>(1+'Quarterly returns'!R43)*(1+'Quarterly returns'!R44)*(1+'Quarterly returns'!R45)*(1+'Quarterly returns'!R46)-1</f>
        <v>-0.237001195319876</v>
      </c>
      <c r="H58" s="68">
        <f>(1+'Quarterly returns'!S43)*(1+'Quarterly returns'!S44)*(1+'Quarterly returns'!S45)*(1+'Quarterly returns'!S46)-1</f>
        <v>-0.000133421676722034</v>
      </c>
      <c r="I58" s="68">
        <f>(1+'Quarterly returns'!T43)*(1+'Quarterly returns'!T44)*(1+'Quarterly returns'!T45)*(1+'Quarterly returns'!T46)-1</f>
        <v>0.0192448749768193</v>
      </c>
      <c r="J58" s="68">
        <f>(1+'Quarterly returns'!U43)*(1+'Quarterly returns'!U44)*(1+'Quarterly returns'!U45)*(1+'Quarterly returns'!U46)-1</f>
        <v>0.117407061872163</v>
      </c>
      <c r="K58" s="68">
        <f>(1+'Quarterly returns'!V43)*(1+'Quarterly returns'!V44)*(1+'Quarterly returns'!V45)*(1+'Quarterly returns'!V46)-1</f>
        <v>0.0702342734669628</v>
      </c>
      <c r="L58" s="68">
        <f>(1+'Quarterly returns'!W43)*(1+'Quarterly returns'!W44)*(1+'Quarterly returns'!W45)*(1+'Quarterly returns'!W46)-1</f>
        <v>0.0933666421072024</v>
      </c>
      <c r="M58" s="68">
        <f>(1+'Quarterly returns'!X43)*(1+'Quarterly returns'!X44)*(1+'Quarterly returns'!X45)*(1+'Quarterly returns'!X46)-1</f>
        <v>0.0223743955073836</v>
      </c>
      <c r="N58" s="77" t="n"/>
      <c r="O58" s="68">
        <f>C58-AVERAGE(C$21:C$97)+Forecast!$G$6</f>
        <v>0.0152871439226649</v>
      </c>
      <c r="P58" s="68">
        <f>D58-AVERAGE(D$21:D$97)+Forecast!$G$7</f>
        <v>-0.0173794121142905</v>
      </c>
      <c r="Q58" s="68">
        <f>E58-AVERAGE(E$21:E$97)+Forecast!$G$8</f>
        <v>-0.0620037584683493</v>
      </c>
      <c r="R58" s="68">
        <f>F58-AVERAGE(F$21:F$97)+Forecast!$G$9</f>
        <v>0.224317777734066</v>
      </c>
      <c r="S58" s="68">
        <f>G58-AVERAGE(G$21:G$97)+Forecast!$G$10</f>
        <v>-0.184065598101337</v>
      </c>
      <c r="T58" s="68">
        <f>H58-AVERAGE(H$21:H$97)+Forecast!$G$11</f>
        <v>-0.018877351219771</v>
      </c>
      <c r="U58" s="68">
        <f>I58-AVERAGE(I$21:I$97)+Forecast!$G$12</f>
        <v>-0.0230841835346182</v>
      </c>
      <c r="V58" s="68">
        <f>J58-AVERAGE(J$21:J$97)+Forecast!$G$13</f>
        <v>0.045567331796634</v>
      </c>
      <c r="W58" s="68">
        <f>K58-AVERAGE(K$21:K$97)+Forecast!$G$14</f>
        <v>0.0781646862379225</v>
      </c>
      <c r="X58" s="68">
        <f>L58-AVERAGE(L$21:L$97)+Forecast!$G$15</f>
        <v>0.101609959221714</v>
      </c>
      <c r="Y58" s="68">
        <f>M58-AVERAGE(M$21:M$97)+Forecast!$G$16</f>
        <v>0.0374294678054536</v>
      </c>
      <c r="Z58" s="68">
        <f>SUMPRODUCT($O58:$Y58,Risk!$B$56:$L$56)</f>
        <v>0.0475443153394217</v>
      </c>
      <c r="AA58" s="68">
        <f>SUMPRODUCT($O58:$Y58,Risk!$B$57:$L$57)</f>
        <v>0.0327852093072771</v>
      </c>
      <c r="AB58" s="68">
        <f>SUMPRODUCT($O58:$Y58,Risk!$B$58:$L$58)</f>
        <v>0.0333531376412751</v>
      </c>
      <c r="AC58" s="68">
        <f>SUMPRODUCT(MMULT($O58:$Y58,Portfolio!$C$127:$C$137))</f>
        <v>0.0282446429231137</v>
      </c>
      <c r="AD58" s="68">
        <f>SUMPRODUCT(MMULT($O58:$Y58,Portfolio!$D$127:$D$137))</f>
        <v>0.0396385210256913</v>
      </c>
      <c r="AE58" s="68">
        <f>SUMPRODUCT(MMULT($O58:$Y58,Portfolio!$E$127:$E$137))</f>
        <v>0.0310007966140131</v>
      </c>
      <c r="AF58" s="314">
        <f>SUMPRODUCT(MMULT($O58:$Y58,Portfolio!$F$127:$F$137))</f>
        <v>0.0330622607388671</v>
      </c>
    </row>
    <row r="59">
      <c r="A59" s="312" t="n">
        <v>39</v>
      </c>
      <c r="B59" s="313">
        <f>'Quarterly returns'!A47</f>
        <v>42643.0</v>
      </c>
      <c r="C59" s="68">
        <f>(1+'Quarterly returns'!N44)*(1+'Quarterly returns'!N45)*(1+'Quarterly returns'!N46)*(1+'Quarterly returns'!N47)-1</f>
        <v>0.140114182195306</v>
      </c>
      <c r="D59" s="68">
        <f>(1+'Quarterly returns'!O44)*(1+'Quarterly returns'!O45)*(1+'Quarterly returns'!O46)*(1+'Quarterly returns'!O47)-1</f>
        <v>0.0201056695911843</v>
      </c>
      <c r="E59" s="68">
        <f>(1+'Quarterly returns'!P44)*(1+'Quarterly returns'!P45)*(1+'Quarterly returns'!P46)*(1+'Quarterly returns'!P47)-1</f>
        <v>0.0403650707564767</v>
      </c>
      <c r="F59" s="68">
        <f>(1+'Quarterly returns'!Q44)*(1+'Quarterly returns'!Q45)*(1+'Quarterly returns'!Q46)*(1+'Quarterly returns'!Q47)-1</f>
        <v>0.0685042065268215</v>
      </c>
      <c r="G59" s="68">
        <f>(1+'Quarterly returns'!R44)*(1+'Quarterly returns'!R45)*(1+'Quarterly returns'!R46)*(1+'Quarterly returns'!R47)-1</f>
        <v>-0.19441341210456</v>
      </c>
      <c r="H59" s="68">
        <f>(1+'Quarterly returns'!S44)*(1+'Quarterly returns'!S45)*(1+'Quarterly returns'!S46)*(1+'Quarterly returns'!S47)-1</f>
        <v>0.0353824882907907</v>
      </c>
      <c r="I59" s="68">
        <f>(1+'Quarterly returns'!T44)*(1+'Quarterly returns'!T45)*(1+'Quarterly returns'!T46)*(1+'Quarterly returns'!T47)-1</f>
        <v>0.0142236740789654</v>
      </c>
      <c r="J59" s="68">
        <f>(1+'Quarterly returns'!U44)*(1+'Quarterly returns'!U45)*(1+'Quarterly returns'!U46)*(1+'Quarterly returns'!U47)-1</f>
        <v>0.100374595954891</v>
      </c>
      <c r="K59" s="68">
        <f>(1+'Quarterly returns'!V44)*(1+'Quarterly returns'!V45)*(1+'Quarterly returns'!V46)*(1+'Quarterly returns'!V47)-1</f>
        <v>0.0570433992582782</v>
      </c>
      <c r="L59" s="68">
        <f>(1+'Quarterly returns'!W44)*(1+'Quarterly returns'!W45)*(1+'Quarterly returns'!W46)*(1+'Quarterly returns'!W47)-1</f>
        <v>0.0821473370173245</v>
      </c>
      <c r="M59" s="68">
        <f>(1+'Quarterly returns'!X44)*(1+'Quarterly returns'!X45)*(1+'Quarterly returns'!X46)*(1+'Quarterly returns'!X47)-1</f>
        <v>0.0217882652826304</v>
      </c>
      <c r="N59" s="77" t="n"/>
      <c r="O59" s="68">
        <f>C59-AVERAGE(C$21:C$97)+Forecast!$G$6</f>
        <v>0.135318474600211</v>
      </c>
      <c r="P59" s="68">
        <f>D59-AVERAGE(D$21:D$97)+Forecast!$G$7</f>
        <v>-0.00801812165299237</v>
      </c>
      <c r="Q59" s="68">
        <f>E59-AVERAGE(E$21:E$97)+Forecast!$G$8</f>
        <v>0.0219723428251174</v>
      </c>
      <c r="R59" s="68">
        <f>F59-AVERAGE(F$21:F$97)+Forecast!$G$9</f>
        <v>0.0751420393376052</v>
      </c>
      <c r="S59" s="68">
        <f>G59-AVERAGE(G$21:G$97)+Forecast!$G$10</f>
        <v>-0.141477814886021</v>
      </c>
      <c r="T59" s="68">
        <f>H59-AVERAGE(H$21:H$97)+Forecast!$G$11</f>
        <v>0.0166385587477418</v>
      </c>
      <c r="U59" s="68">
        <f>I59-AVERAGE(I$21:I$97)+Forecast!$G$12</f>
        <v>-0.028105384432472</v>
      </c>
      <c r="V59" s="68">
        <f>J59-AVERAGE(J$21:J$97)+Forecast!$G$13</f>
        <v>0.028534865879362</v>
      </c>
      <c r="W59" s="68">
        <f>K59-AVERAGE(K$21:K$97)+Forecast!$G$14</f>
        <v>0.0649738120292379</v>
      </c>
      <c r="X59" s="68">
        <f>L59-AVERAGE(L$21:L$97)+Forecast!$G$15</f>
        <v>0.0903906541318361</v>
      </c>
      <c r="Y59" s="68">
        <f>M59-AVERAGE(M$21:M$97)+Forecast!$G$16</f>
        <v>0.0368433375807004</v>
      </c>
      <c r="Z59" s="68">
        <f>SUMPRODUCT($O59:$Y59,Risk!$B$56:$L$56)</f>
        <v>0.0795943272088281</v>
      </c>
      <c r="AA59" s="68">
        <f>SUMPRODUCT($O59:$Y59,Risk!$B$57:$L$57)</f>
        <v>0.0559842443408102</v>
      </c>
      <c r="AB59" s="68">
        <f>SUMPRODUCT($O59:$Y59,Risk!$B$58:$L$58)</f>
        <v>0.0595375194822685</v>
      </c>
      <c r="AC59" s="68">
        <f>SUMPRODUCT(MMULT($O59:$Y59,Portfolio!$C$127:$C$137))</f>
        <v>0.0550693933345205</v>
      </c>
      <c r="AD59" s="68">
        <f>SUMPRODUCT(MMULT($O59:$Y59,Portfolio!$D$127:$D$137))</f>
        <v>0.0653659488648668</v>
      </c>
      <c r="AE59" s="68">
        <f>SUMPRODUCT(MMULT($O59:$Y59,Portfolio!$E$127:$E$137))</f>
        <v>0.0545025290722123</v>
      </c>
      <c r="AF59" s="314">
        <f>SUMPRODUCT(MMULT($O59:$Y59,Portfolio!$F$127:$F$137))</f>
        <v>0.0692615969609352</v>
      </c>
    </row>
    <row r="60">
      <c r="A60" s="312" t="n">
        <v>40</v>
      </c>
      <c r="B60" s="313">
        <f>'Quarterly returns'!A48</f>
        <v>42734.0</v>
      </c>
      <c r="C60" s="68">
        <f>(1+'Quarterly returns'!N45)*(1+'Quarterly returns'!N46)*(1+'Quarterly returns'!N47)*(1+'Quarterly returns'!N48)-1</f>
        <v>0.116467233553996</v>
      </c>
      <c r="D60" s="68">
        <f>(1+'Quarterly returns'!O45)*(1+'Quarterly returns'!O46)*(1+'Quarterly returns'!O47)*(1+'Quarterly returns'!O48)-1</f>
        <v>0.101703985567589</v>
      </c>
      <c r="E60" s="68">
        <f>(1+'Quarterly returns'!P45)*(1+'Quarterly returns'!P46)*(1+'Quarterly returns'!P47)*(1+'Quarterly returns'!P48)-1</f>
        <v>0.106310152621318</v>
      </c>
      <c r="F60" s="68">
        <f>(1+'Quarterly returns'!Q45)*(1+'Quarterly returns'!Q46)*(1+'Quarterly returns'!Q47)*(1+'Quarterly returns'!Q48)-1</f>
        <v>0.0823840518140824</v>
      </c>
      <c r="G60" s="68">
        <f>(1+'Quarterly returns'!R45)*(1+'Quarterly returns'!R46)*(1+'Quarterly returns'!R47)*(1+'Quarterly returns'!R48)-1</f>
        <v>0.118958587432725</v>
      </c>
      <c r="H60" s="68">
        <f>(1+'Quarterly returns'!S45)*(1+'Quarterly returns'!S46)*(1+'Quarterly returns'!S47)*(1+'Quarterly returns'!S48)-1</f>
        <v>0.168196337058784</v>
      </c>
      <c r="I60" s="68">
        <f>(1+'Quarterly returns'!T45)*(1+'Quarterly returns'!T46)*(1+'Quarterly returns'!T47)*(1+'Quarterly returns'!T48)-1</f>
        <v>0.00788254102709018</v>
      </c>
      <c r="J60" s="68">
        <f>(1+'Quarterly returns'!U45)*(1+'Quarterly returns'!U46)*(1+'Quarterly returns'!U47)*(1+'Quarterly returns'!U48)-1</f>
        <v>0.0679297048496452</v>
      </c>
      <c r="K60" s="68">
        <f>(1+'Quarterly returns'!V45)*(1+'Quarterly returns'!V46)*(1+'Quarterly returns'!V47)*(1+'Quarterly returns'!V48)-1</f>
        <v>0.0292952067661418</v>
      </c>
      <c r="L60" s="68">
        <f>(1+'Quarterly returns'!W45)*(1+'Quarterly returns'!W46)*(1+'Quarterly returns'!W47)*(1+'Quarterly returns'!W48)-1</f>
        <v>0.052376405567226</v>
      </c>
      <c r="M60" s="68">
        <f>(1+'Quarterly returns'!X45)*(1+'Quarterly returns'!X46)*(1+'Quarterly returns'!X47)*(1+'Quarterly returns'!X48)-1</f>
        <v>0.0206934159906902</v>
      </c>
      <c r="N60" s="77" t="n"/>
      <c r="O60" s="68">
        <f>C60-AVERAGE(C$21:C$97)+Forecast!$G$6</f>
        <v>0.111671525958901</v>
      </c>
      <c r="P60" s="68">
        <f>D60-AVERAGE(D$21:D$97)+Forecast!$G$7</f>
        <v>0.0735801943234125</v>
      </c>
      <c r="Q60" s="68">
        <f>E60-AVERAGE(E$21:E$97)+Forecast!$G$8</f>
        <v>0.0879174246899587</v>
      </c>
      <c r="R60" s="68">
        <f>F60-AVERAGE(F$21:F$97)+Forecast!$G$9</f>
        <v>0.089021884624866</v>
      </c>
      <c r="S60" s="68">
        <f>G60-AVERAGE(G$21:G$97)+Forecast!$G$10</f>
        <v>0.171894184651265</v>
      </c>
      <c r="T60" s="68">
        <f>H60-AVERAGE(H$21:H$97)+Forecast!$G$11</f>
        <v>0.149452407515736</v>
      </c>
      <c r="U60" s="68">
        <f>I60-AVERAGE(I$21:I$97)+Forecast!$G$12</f>
        <v>-0.0344465174843472</v>
      </c>
      <c r="V60" s="68">
        <f>J60-AVERAGE(J$21:J$97)+Forecast!$G$13</f>
        <v>-0.00391002522588396</v>
      </c>
      <c r="W60" s="68">
        <f>K60-AVERAGE(K$21:K$97)+Forecast!$G$14</f>
        <v>0.0372256195371016</v>
      </c>
      <c r="X60" s="68">
        <f>L60-AVERAGE(L$21:L$97)+Forecast!$G$15</f>
        <v>0.0606197226817376</v>
      </c>
      <c r="Y60" s="68">
        <f>M60-AVERAGE(M$21:M$97)+Forecast!$G$16</f>
        <v>0.0357484882887602</v>
      </c>
      <c r="Z60" s="68">
        <f>SUMPRODUCT($O60:$Y60,Risk!$B$56:$L$56)</f>
        <v>0.0812226526360471</v>
      </c>
      <c r="AA60" s="68">
        <f>SUMPRODUCT($O60:$Y60,Risk!$B$57:$L$57)</f>
        <v>0.077158201458137</v>
      </c>
      <c r="AB60" s="68">
        <f>SUMPRODUCT($O60:$Y60,Risk!$B$58:$L$58)</f>
        <v>0.0819209308293146</v>
      </c>
      <c r="AC60" s="68">
        <f>SUMPRODUCT(MMULT($O60:$Y60,Portfolio!$C$127:$C$137))</f>
        <v>0.0859580896193029</v>
      </c>
      <c r="AD60" s="68">
        <f>SUMPRODUCT(MMULT($O60:$Y60,Portfolio!$D$127:$D$137))</f>
        <v>0.0791100974761013</v>
      </c>
      <c r="AE60" s="68">
        <f>SUMPRODUCT(MMULT($O60:$Y60,Portfolio!$E$127:$E$137))</f>
        <v>0.0804893781905727</v>
      </c>
      <c r="AF60" s="314">
        <f>SUMPRODUCT(MMULT($O60:$Y60,Portfolio!$F$127:$F$137))</f>
        <v>0.0763792211752818</v>
      </c>
    </row>
    <row r="61">
      <c r="A61" s="312" t="n">
        <v>41</v>
      </c>
      <c r="B61" s="313">
        <f>'Quarterly returns'!A49</f>
        <v>42825.0</v>
      </c>
      <c r="C61" s="68">
        <f>(1+'Quarterly returns'!N46)*(1+'Quarterly returns'!N47)*(1+'Quarterly returns'!N48)*(1+'Quarterly returns'!N49)-1</f>
        <v>0.194877460763546</v>
      </c>
      <c r="D61" s="68">
        <f>(1+'Quarterly returns'!O46)*(1+'Quarterly returns'!O47)*(1+'Quarterly returns'!O48)*(1+'Quarterly returns'!O49)-1</f>
        <v>0.188851671965057</v>
      </c>
      <c r="E61" s="68">
        <f>(1+'Quarterly returns'!P46)*(1+'Quarterly returns'!P47)*(1+'Quarterly returns'!P48)*(1+'Quarterly returns'!P49)-1</f>
        <v>0.164626860798639</v>
      </c>
      <c r="F61" s="68">
        <f>(1+'Quarterly returns'!Q46)*(1+'Quarterly returns'!Q47)*(1+'Quarterly returns'!Q48)*(1+'Quarterly returns'!Q49)-1</f>
        <v>0.0346880686231037</v>
      </c>
      <c r="G61" s="68">
        <f>(1+'Quarterly returns'!R46)*(1+'Quarterly returns'!R47)*(1+'Quarterly returns'!R48)*(1+'Quarterly returns'!R49)-1</f>
        <v>0.0935566621903183</v>
      </c>
      <c r="H61" s="68">
        <f>(1+'Quarterly returns'!S46)*(1+'Quarterly returns'!S47)*(1+'Quarterly returns'!S48)*(1+'Quarterly returns'!S49)-1</f>
        <v>0.160173767424453</v>
      </c>
      <c r="I61" s="68">
        <f>(1+'Quarterly returns'!T46)*(1+'Quarterly returns'!T47)*(1+'Quarterly returns'!T48)*(1+'Quarterly returns'!T49)-1</f>
        <v>0.0280064054172262</v>
      </c>
      <c r="J61" s="68">
        <f>(1+'Quarterly returns'!U46)*(1+'Quarterly returns'!U47)*(1+'Quarterly returns'!U48)*(1+'Quarterly returns'!U49)-1</f>
        <v>0.139747892473882</v>
      </c>
      <c r="K61" s="68">
        <f>(1+'Quarterly returns'!V46)*(1+'Quarterly returns'!V47)*(1+'Quarterly returns'!V48)*(1+'Quarterly returns'!V49)-1</f>
        <v>0.0209906585689568</v>
      </c>
      <c r="L61" s="68">
        <f>(1+'Quarterly returns'!W46)*(1+'Quarterly returns'!W47)*(1+'Quarterly returns'!W48)*(1+'Quarterly returns'!W49)-1</f>
        <v>0.021623612239372</v>
      </c>
      <c r="M61" s="68">
        <f>(1+'Quarterly returns'!X46)*(1+'Quarterly returns'!X47)*(1+'Quarterly returns'!X48)*(1+'Quarterly returns'!X49)-1</f>
        <v>0.0192678565575222</v>
      </c>
      <c r="N61" s="77" t="n"/>
      <c r="O61" s="68">
        <f>C61-AVERAGE(C$21:C$97)+Forecast!$G$6</f>
        <v>0.190081753168451</v>
      </c>
      <c r="P61" s="68">
        <f>D61-AVERAGE(D$21:D$97)+Forecast!$G$7</f>
        <v>0.16072788072088</v>
      </c>
      <c r="Q61" s="68">
        <f>E61-AVERAGE(E$21:E$97)+Forecast!$G$8</f>
        <v>0.14623413286728</v>
      </c>
      <c r="R61" s="68">
        <f>F61-AVERAGE(F$21:F$97)+Forecast!$G$9</f>
        <v>0.0413259014338873</v>
      </c>
      <c r="S61" s="68">
        <f>G61-AVERAGE(G$21:G$97)+Forecast!$G$10</f>
        <v>0.146492259408858</v>
      </c>
      <c r="T61" s="68">
        <f>H61-AVERAGE(H$21:H$97)+Forecast!$G$11</f>
        <v>0.141429837881405</v>
      </c>
      <c r="U61" s="68">
        <f>I61-AVERAGE(I$21:I$97)+Forecast!$G$12</f>
        <v>-0.0143226530942112</v>
      </c>
      <c r="V61" s="68">
        <f>J61-AVERAGE(J$21:J$97)+Forecast!$G$13</f>
        <v>0.067908162398353</v>
      </c>
      <c r="W61" s="68">
        <f>K61-AVERAGE(K$21:K$97)+Forecast!$G$14</f>
        <v>0.0289210713399165</v>
      </c>
      <c r="X61" s="68">
        <f>L61-AVERAGE(L$21:L$97)+Forecast!$G$15</f>
        <v>0.0298669293538836</v>
      </c>
      <c r="Y61" s="68">
        <f>M61-AVERAGE(M$21:M$97)+Forecast!$G$16</f>
        <v>0.0343229288555921</v>
      </c>
      <c r="Z61" s="68">
        <f>SUMPRODUCT($O61:$Y61,Risk!$B$56:$L$56)</f>
        <v>0.121440987624135</v>
      </c>
      <c r="AA61" s="68">
        <f>SUMPRODUCT($O61:$Y61,Risk!$B$57:$L$57)</f>
        <v>0.113347869195069</v>
      </c>
      <c r="AB61" s="68">
        <f>SUMPRODUCT($O61:$Y61,Risk!$B$58:$L$58)</f>
        <v>0.12187859758284</v>
      </c>
      <c r="AC61" s="68">
        <f>SUMPRODUCT(MMULT($O61:$Y61,Portfolio!$C$127:$C$137))</f>
        <v>0.126280608133207</v>
      </c>
      <c r="AD61" s="68">
        <f>SUMPRODUCT(MMULT($O61:$Y61,Portfolio!$D$127:$D$137))</f>
        <v>0.118950471617941</v>
      </c>
      <c r="AE61" s="68">
        <f>SUMPRODUCT(MMULT($O61:$Y61,Portfolio!$E$127:$E$137))</f>
        <v>0.122968616521864</v>
      </c>
      <c r="AF61" s="314">
        <f>SUMPRODUCT(MMULT($O61:$Y61,Portfolio!$F$127:$F$137))</f>
        <v>0.120158553245003</v>
      </c>
    </row>
    <row r="62">
      <c r="A62" s="312" t="n">
        <v>42</v>
      </c>
      <c r="B62" s="313">
        <f>'Quarterly returns'!A50</f>
        <v>42916.0</v>
      </c>
      <c r="C62" s="68">
        <f>(1+'Quarterly returns'!N47)*(1+'Quarterly returns'!N48)*(1+'Quarterly returns'!N49)*(1+'Quarterly returns'!N50)-1</f>
        <v>0.131191095217317</v>
      </c>
      <c r="D62" s="68">
        <f>(1+'Quarterly returns'!O47)*(1+'Quarterly returns'!O48)*(1+'Quarterly returns'!O49)*(1+'Quarterly returns'!O50)-1</f>
        <v>0.159919938995932</v>
      </c>
      <c r="E62" s="68">
        <f>(1+'Quarterly returns'!P47)*(1+'Quarterly returns'!P48)*(1+'Quarterly returns'!P49)*(1+'Quarterly returns'!P50)-1</f>
        <v>0.186128862637504</v>
      </c>
      <c r="F62" s="68">
        <f>(1+'Quarterly returns'!Q47)*(1+'Quarterly returns'!Q48)*(1+'Quarterly returns'!Q49)*(1+'Quarterly returns'!Q50)-1</f>
        <v>-0.037490358850879</v>
      </c>
      <c r="G62" s="68">
        <f>(1+'Quarterly returns'!R47)*(1+'Quarterly returns'!R48)*(1+'Quarterly returns'!R49)*(1+'Quarterly returns'!R50)-1</f>
        <v>-0.116726826570877</v>
      </c>
      <c r="H62" s="68">
        <f>(1+'Quarterly returns'!S47)*(1+'Quarterly returns'!S48)*(1+'Quarterly returns'!S49)*(1+'Quarterly returns'!S50)-1</f>
        <v>0.110817353128961</v>
      </c>
      <c r="I62" s="68">
        <f>(1+'Quarterly returns'!T47)*(1+'Quarterly returns'!T48)*(1+'Quarterly returns'!T49)*(1+'Quarterly returns'!T50)-1</f>
        <v>0.0638688217055468</v>
      </c>
      <c r="J62" s="68">
        <f>(1+'Quarterly returns'!U47)*(1+'Quarterly returns'!U48)*(1+'Quarterly returns'!U49)*(1+'Quarterly returns'!U50)-1</f>
        <v>0.112607874824234</v>
      </c>
      <c r="K62" s="68">
        <f>(1+'Quarterly returns'!V47)*(1+'Quarterly returns'!V48)*(1+'Quarterly returns'!V49)*(1+'Quarterly returns'!V50)-1</f>
        <v>0.00261081171915434</v>
      </c>
      <c r="L62" s="68">
        <f>(1+'Quarterly returns'!W47)*(1+'Quarterly returns'!W48)*(1+'Quarterly returns'!W49)*(1+'Quarterly returns'!W50)-1</f>
        <v>0.00472549387096732</v>
      </c>
      <c r="M62" s="68">
        <f>(1+'Quarterly returns'!X47)*(1+'Quarterly returns'!X48)*(1+'Quarterly returns'!X49)*(1+'Quarterly returns'!X50)-1</f>
        <v>0.0181491638058597</v>
      </c>
      <c r="N62" s="77" t="n"/>
      <c r="O62" s="68">
        <f>C62-AVERAGE(C$21:C$97)+Forecast!$G$6</f>
        <v>0.126395387622223</v>
      </c>
      <c r="P62" s="68">
        <f>D62-AVERAGE(D$21:D$97)+Forecast!$G$7</f>
        <v>0.131796147751755</v>
      </c>
      <c r="Q62" s="68">
        <f>E62-AVERAGE(E$21:E$97)+Forecast!$G$8</f>
        <v>0.167736134706144</v>
      </c>
      <c r="R62" s="68">
        <f>F62-AVERAGE(F$21:F$97)+Forecast!$G$9</f>
        <v>-0.0308525260400954</v>
      </c>
      <c r="S62" s="68">
        <f>G62-AVERAGE(G$21:G$97)+Forecast!$G$10</f>
        <v>-0.0637912293523372</v>
      </c>
      <c r="T62" s="68">
        <f>H62-AVERAGE(H$21:H$97)+Forecast!$G$11</f>
        <v>0.092073423585912</v>
      </c>
      <c r="U62" s="68">
        <f>I62-AVERAGE(I$21:I$97)+Forecast!$G$12</f>
        <v>0.0215397631941093</v>
      </c>
      <c r="V62" s="68">
        <f>J62-AVERAGE(J$21:J$97)+Forecast!$G$13</f>
        <v>0.0407681447487051</v>
      </c>
      <c r="W62" s="68">
        <f>K62-AVERAGE(K$21:K$97)+Forecast!$G$14</f>
        <v>0.0105412244901141</v>
      </c>
      <c r="X62" s="68">
        <f>L62-AVERAGE(L$21:L$97)+Forecast!$G$15</f>
        <v>0.0129688109854789</v>
      </c>
      <c r="Y62" s="68">
        <f>M62-AVERAGE(M$21:M$97)+Forecast!$G$16</f>
        <v>0.0332042361039297</v>
      </c>
      <c r="Z62" s="68">
        <f>SUMPRODUCT($O62:$Y62,Risk!$B$56:$L$56)</f>
        <v>0.078775117074861</v>
      </c>
      <c r="AA62" s="68">
        <f>SUMPRODUCT($O62:$Y62,Risk!$B$57:$L$57)</f>
        <v>0.0751978811350243</v>
      </c>
      <c r="AB62" s="68">
        <f>SUMPRODUCT($O62:$Y62,Risk!$B$58:$L$58)</f>
        <v>0.0820193419990043</v>
      </c>
      <c r="AC62" s="68">
        <f>SUMPRODUCT(MMULT($O62:$Y62,Portfolio!$C$127:$C$137))</f>
        <v>0.0830748331787132</v>
      </c>
      <c r="AD62" s="68">
        <f>SUMPRODUCT(MMULT($O62:$Y62,Portfolio!$D$127:$D$137))</f>
        <v>0.084184211218939</v>
      </c>
      <c r="AE62" s="68">
        <f>SUMPRODUCT(MMULT($O62:$Y62,Portfolio!$E$127:$E$137))</f>
        <v>0.0809354918499664</v>
      </c>
      <c r="AF62" s="314">
        <f>SUMPRODUCT(MMULT($O62:$Y62,Portfolio!$F$127:$F$137))</f>
        <v>0.0849616756869946</v>
      </c>
    </row>
    <row r="63">
      <c r="A63" s="312" t="n">
        <v>43</v>
      </c>
      <c r="B63" s="313">
        <f>'Quarterly returns'!A51</f>
        <v>43007.0</v>
      </c>
      <c r="C63" s="68">
        <f>(1+'Quarterly returns'!N48)*(1+'Quarterly returns'!N49)*(1+'Quarterly returns'!N50)*(1+'Quarterly returns'!N51)-1</f>
        <v>0.0853106641235499</v>
      </c>
      <c r="D63" s="68">
        <f>(1+'Quarterly returns'!O48)*(1+'Quarterly returns'!O49)*(1+'Quarterly returns'!O50)*(1+'Quarterly returns'!O51)-1</f>
        <v>0.156172673651291</v>
      </c>
      <c r="E63" s="68">
        <f>(1+'Quarterly returns'!P48)*(1+'Quarterly returns'!P49)*(1+'Quarterly returns'!P50)*(1+'Quarterly returns'!P51)-1</f>
        <v>0.191781363334394</v>
      </c>
      <c r="F63" s="68">
        <f>(1+'Quarterly returns'!Q48)*(1+'Quarterly returns'!Q49)*(1+'Quarterly returns'!Q50)*(1+'Quarterly returns'!Q51)-1</f>
        <v>-0.0230481184557193</v>
      </c>
      <c r="G63" s="68">
        <f>(1+'Quarterly returns'!R48)*(1+'Quarterly returns'!R49)*(1+'Quarterly returns'!R50)*(1+'Quarterly returns'!R51)-1</f>
        <v>-0.00729450254310227</v>
      </c>
      <c r="H63" s="68">
        <f>(1+'Quarterly returns'!S48)*(1+'Quarterly returns'!S49)*(1+'Quarterly returns'!S50)*(1+'Quarterly returns'!S51)-1</f>
        <v>0.0578411470710296</v>
      </c>
      <c r="I63" s="68">
        <f>(1+'Quarterly returns'!T48)*(1+'Quarterly returns'!T49)*(1+'Quarterly returns'!T50)*(1+'Quarterly returns'!T51)-1</f>
        <v>0.0895742147939349</v>
      </c>
      <c r="J63" s="68">
        <f>(1+'Quarterly returns'!U48)*(1+'Quarterly returns'!U49)*(1+'Quarterly returns'!U50)*(1+'Quarterly returns'!U51)-1</f>
        <v>0.111153959651121</v>
      </c>
      <c r="K63" s="68">
        <f>(1+'Quarterly returns'!V48)*(1+'Quarterly returns'!V49)*(1+'Quarterly returns'!V50)*(1+'Quarterly returns'!V51)-1</f>
        <v>-0.00740736904297856</v>
      </c>
      <c r="L63" s="68">
        <f>(1+'Quarterly returns'!W48)*(1+'Quarterly returns'!W49)*(1+'Quarterly returns'!W50)*(1+'Quarterly returns'!W51)-1</f>
        <v>0.0053163993847134</v>
      </c>
      <c r="M63" s="68">
        <f>(1+'Quarterly returns'!X48)*(1+'Quarterly returns'!X49)*(1+'Quarterly returns'!X50)*(1+'Quarterly returns'!X51)-1</f>
        <v>0.01767854557906</v>
      </c>
      <c r="N63" s="77" t="n"/>
      <c r="O63" s="68">
        <f>C63-AVERAGE(C$21:C$97)+Forecast!$G$6</f>
        <v>0.080514956528455</v>
      </c>
      <c r="P63" s="68">
        <f>D63-AVERAGE(D$21:D$97)+Forecast!$G$7</f>
        <v>0.128048882407114</v>
      </c>
      <c r="Q63" s="68">
        <f>E63-AVERAGE(E$21:E$97)+Forecast!$G$8</f>
        <v>0.173388635403035</v>
      </c>
      <c r="R63" s="68">
        <f>F63-AVERAGE(F$21:F$97)+Forecast!$G$9</f>
        <v>-0.0164102856449357</v>
      </c>
      <c r="S63" s="68">
        <f>G63-AVERAGE(G$21:G$97)+Forecast!$G$10</f>
        <v>0.0456410946754371</v>
      </c>
      <c r="T63" s="68">
        <f>H63-AVERAGE(H$21:H$97)+Forecast!$G$11</f>
        <v>0.0390972175279807</v>
      </c>
      <c r="U63" s="68">
        <f>I63-AVERAGE(I$21:I$97)+Forecast!$G$12</f>
        <v>0.0472451562824975</v>
      </c>
      <c r="V63" s="68">
        <f>J63-AVERAGE(J$21:J$97)+Forecast!$G$13</f>
        <v>0.0393142295755917</v>
      </c>
      <c r="W63" s="68">
        <f>K63-AVERAGE(K$21:K$97)+Forecast!$G$14</f>
        <v>0.000523043727981162</v>
      </c>
      <c r="X63" s="68">
        <f>L63-AVERAGE(L$21:L$97)+Forecast!$G$15</f>
        <v>0.013559716499225</v>
      </c>
      <c r="Y63" s="68">
        <f>M63-AVERAGE(M$21:M$97)+Forecast!$G$16</f>
        <v>0.03273361787713</v>
      </c>
      <c r="Z63" s="68">
        <f>SUMPRODUCT($O63:$Y63,Risk!$B$56:$L$56)</f>
        <v>0.0596293176588456</v>
      </c>
      <c r="AA63" s="68">
        <f>SUMPRODUCT($O63:$Y63,Risk!$B$57:$L$57)</f>
        <v>0.0629246777955632</v>
      </c>
      <c r="AB63" s="68">
        <f>SUMPRODUCT($O63:$Y63,Risk!$B$58:$L$58)</f>
        <v>0.071578505594475</v>
      </c>
      <c r="AC63" s="68">
        <f>SUMPRODUCT(MMULT($O63:$Y63,Portfolio!$C$127:$C$137))</f>
        <v>0.0706192850368208</v>
      </c>
      <c r="AD63" s="68">
        <f>SUMPRODUCT(MMULT($O63:$Y63,Portfolio!$D$127:$D$137))</f>
        <v>0.0710343506239823</v>
      </c>
      <c r="AE63" s="68">
        <f>SUMPRODUCT(MMULT($O63:$Y63,Portfolio!$E$127:$E$137))</f>
        <v>0.067597645938802</v>
      </c>
      <c r="AF63" s="314">
        <f>SUMPRODUCT(MMULT($O63:$Y63,Portfolio!$F$127:$F$137))</f>
        <v>0.0679102036277886</v>
      </c>
    </row>
    <row r="64">
      <c r="A64" s="312" t="n">
        <v>44</v>
      </c>
      <c r="B64" s="313">
        <f>'Quarterly returns'!A52</f>
        <v>43098.0</v>
      </c>
      <c r="C64" s="68">
        <f>(1+'Quarterly returns'!N49)*(1+'Quarterly returns'!N50)*(1+'Quarterly returns'!N51)*(1+'Quarterly returns'!N52)-1</f>
        <v>0.124710480002664</v>
      </c>
      <c r="D64" s="68">
        <f>(1+'Quarterly returns'!O49)*(1+'Quarterly returns'!O50)*(1+'Quarterly returns'!O51)*(1+'Quarterly returns'!O52)-1</f>
        <v>0.102910057738405</v>
      </c>
      <c r="E64" s="68">
        <f>(1+'Quarterly returns'!P49)*(1+'Quarterly returns'!P50)*(1+'Quarterly returns'!P51)*(1+'Quarterly returns'!P52)-1</f>
        <v>0.212744601079927</v>
      </c>
      <c r="F64" s="68">
        <f>(1+'Quarterly returns'!Q49)*(1+'Quarterly returns'!Q50)*(1+'Quarterly returns'!Q51)*(1+'Quarterly returns'!Q52)-1</f>
        <v>-0.0209446403077531</v>
      </c>
      <c r="G64" s="68">
        <f>(1+'Quarterly returns'!R49)*(1+'Quarterly returns'!R50)*(1+'Quarterly returns'!R51)*(1+'Quarterly returns'!R52)-1</f>
        <v>-0.0208322663416752</v>
      </c>
      <c r="H64" s="68">
        <f>(1+'Quarterly returns'!S49)*(1+'Quarterly returns'!S50)*(1+'Quarterly returns'!S51)*(1+'Quarterly returns'!S52)-1</f>
        <v>0.000199056984745427</v>
      </c>
      <c r="I64" s="68">
        <f>(1+'Quarterly returns'!T49)*(1+'Quarterly returns'!T50)*(1+'Quarterly returns'!T51)*(1+'Quarterly returns'!T52)-1</f>
        <v>0.0779162563496623</v>
      </c>
      <c r="J64" s="68">
        <f>(1+'Quarterly returns'!U49)*(1+'Quarterly returns'!U50)*(1+'Quarterly returns'!U51)*(1+'Quarterly returns'!U52)-1</f>
        <v>0.158696342812499</v>
      </c>
      <c r="K64" s="68">
        <f>(1+'Quarterly returns'!V49)*(1+'Quarterly returns'!V50)*(1+'Quarterly returns'!V51)*(1+'Quarterly returns'!V52)-1</f>
        <v>0.0366383328528215</v>
      </c>
      <c r="L64" s="68">
        <f>(1+'Quarterly returns'!W49)*(1+'Quarterly returns'!W50)*(1+'Quarterly returns'!W51)*(1+'Quarterly returns'!W52)-1</f>
        <v>0.0368015319650397</v>
      </c>
      <c r="M64" s="68">
        <f>(1+'Quarterly returns'!X49)*(1+'Quarterly returns'!X50)*(1+'Quarterly returns'!X51)*(1+'Quarterly returns'!X52)-1</f>
        <v>0.0175092872018414</v>
      </c>
      <c r="N64" s="77" t="n"/>
      <c r="O64" s="68">
        <f>C64-AVERAGE(C$21:C$97)+Forecast!$G$6</f>
        <v>0.11991477240757</v>
      </c>
      <c r="P64" s="68">
        <f>D64-AVERAGE(D$21:D$97)+Forecast!$G$7</f>
        <v>0.0747862664942281</v>
      </c>
      <c r="Q64" s="68">
        <f>E64-AVERAGE(E$21:E$97)+Forecast!$G$8</f>
        <v>0.194351873148568</v>
      </c>
      <c r="R64" s="68">
        <f>F64-AVERAGE(F$21:F$97)+Forecast!$G$9</f>
        <v>-0.0143068074969695</v>
      </c>
      <c r="S64" s="68">
        <f>G64-AVERAGE(G$21:G$97)+Forecast!$G$10</f>
        <v>0.0321033308768641</v>
      </c>
      <c r="T64" s="68">
        <f>H64-AVERAGE(H$21:H$97)+Forecast!$G$11</f>
        <v>-0.0185448725583035</v>
      </c>
      <c r="U64" s="68">
        <f>I64-AVERAGE(I$21:I$97)+Forecast!$G$12</f>
        <v>0.0355871978382248</v>
      </c>
      <c r="V64" s="68">
        <f>J64-AVERAGE(J$21:J$97)+Forecast!$G$13</f>
        <v>0.0868566127369696</v>
      </c>
      <c r="W64" s="68">
        <f>K64-AVERAGE(K$21:K$97)+Forecast!$G$14</f>
        <v>0.0445687456237812</v>
      </c>
      <c r="X64" s="68">
        <f>L64-AVERAGE(L$21:L$97)+Forecast!$G$15</f>
        <v>0.0450448490795512</v>
      </c>
      <c r="Y64" s="68">
        <f>M64-AVERAGE(M$21:M$97)+Forecast!$G$16</f>
        <v>0.0325643594999114</v>
      </c>
      <c r="Z64" s="68">
        <f>SUMPRODUCT($O64:$Y64,Risk!$B$56:$L$56)</f>
        <v>0.0740608864471015</v>
      </c>
      <c r="AA64" s="68">
        <f>SUMPRODUCT($O64:$Y64,Risk!$B$57:$L$57)</f>
        <v>0.0683161026081316</v>
      </c>
      <c r="AB64" s="68">
        <f>SUMPRODUCT($O64:$Y64,Risk!$B$58:$L$58)</f>
        <v>0.0781072176872803</v>
      </c>
      <c r="AC64" s="68">
        <f>SUMPRODUCT(MMULT($O64:$Y64,Portfolio!$C$127:$C$137))</f>
        <v>0.0729694467837364</v>
      </c>
      <c r="AD64" s="68">
        <f>SUMPRODUCT(MMULT($O64:$Y64,Portfolio!$D$127:$D$137))</f>
        <v>0.0789919052794808</v>
      </c>
      <c r="AE64" s="68">
        <f>SUMPRODUCT(MMULT($O64:$Y64,Portfolio!$E$127:$E$137))</f>
        <v>0.0690635887905826</v>
      </c>
      <c r="AF64" s="314">
        <f>SUMPRODUCT(MMULT($O64:$Y64,Portfolio!$F$127:$F$137))</f>
        <v>0.0773336052395154</v>
      </c>
    </row>
    <row r="65">
      <c r="A65" s="312" t="n">
        <v>45</v>
      </c>
      <c r="B65" s="313">
        <f>'Quarterly returns'!A53</f>
        <v>43189.0</v>
      </c>
      <c r="C65" s="68">
        <f>(1+'Quarterly returns'!N50)*(1+'Quarterly returns'!N51)*(1+'Quarterly returns'!N52)*(1+'Quarterly returns'!N53)-1</f>
        <v>0.0364780628861998</v>
      </c>
      <c r="D65" s="68">
        <f>(1+'Quarterly returns'!O50)*(1+'Quarterly returns'!O51)*(1+'Quarterly returns'!O52)*(1+'Quarterly returns'!O53)-1</f>
        <v>0.098821081239723</v>
      </c>
      <c r="E65" s="68">
        <f>(1+'Quarterly returns'!P50)*(1+'Quarterly returns'!P51)*(1+'Quarterly returns'!P52)*(1+'Quarterly returns'!P53)-1</f>
        <v>0.217712718220483</v>
      </c>
      <c r="F65" s="68">
        <f>(1+'Quarterly returns'!Q50)*(1+'Quarterly returns'!Q51)*(1+'Quarterly returns'!Q52)*(1+'Quarterly returns'!Q53)-1</f>
        <v>-0.0205790403343951</v>
      </c>
      <c r="G65" s="68">
        <f>(1+'Quarterly returns'!R50)*(1+'Quarterly returns'!R51)*(1+'Quarterly returns'!R52)*(1+'Quarterly returns'!R53)-1</f>
        <v>0.132048322430154</v>
      </c>
      <c r="H65" s="68">
        <f>(1+'Quarterly returns'!S50)*(1+'Quarterly returns'!S51)*(1+'Quarterly returns'!S52)*(1+'Quarterly returns'!S53)-1</f>
        <v>-0.0232333732345041</v>
      </c>
      <c r="I65" s="68">
        <f>(1+'Quarterly returns'!T50)*(1+'Quarterly returns'!T51)*(1+'Quarterly returns'!T52)*(1+'Quarterly returns'!T53)-1</f>
        <v>0.0718811838307123</v>
      </c>
      <c r="J65" s="68">
        <f>(1+'Quarterly returns'!U50)*(1+'Quarterly returns'!U51)*(1+'Quarterly returns'!U52)*(1+'Quarterly returns'!U53)-1</f>
        <v>0.185228852753785</v>
      </c>
      <c r="K65" s="68">
        <f>(1+'Quarterly returns'!V50)*(1+'Quarterly returns'!V51)*(1+'Quarterly returns'!V52)*(1+'Quarterly returns'!V53)-1</f>
        <v>0.0305512435575128</v>
      </c>
      <c r="L65" s="68">
        <f>(1+'Quarterly returns'!W50)*(1+'Quarterly returns'!W51)*(1+'Quarterly returns'!W52)*(1+'Quarterly returns'!W53)-1</f>
        <v>0.028902242757211</v>
      </c>
      <c r="M65" s="68">
        <f>(1+'Quarterly returns'!X50)*(1+'Quarterly returns'!X51)*(1+'Quarterly returns'!X52)*(1+'Quarterly returns'!X53)-1</f>
        <v>0.0218650401408844</v>
      </c>
      <c r="N65" s="77" t="n"/>
      <c r="O65" s="68">
        <f>C65-AVERAGE(C$21:C$97)+Forecast!$G$6</f>
        <v>0.0316823552911049</v>
      </c>
      <c r="P65" s="68">
        <f>D65-AVERAGE(D$21:D$97)+Forecast!$G$7</f>
        <v>0.0706972899955463</v>
      </c>
      <c r="Q65" s="68">
        <f>E65-AVERAGE(E$21:E$97)+Forecast!$G$8</f>
        <v>0.199319990289124</v>
      </c>
      <c r="R65" s="68">
        <f>F65-AVERAGE(F$21:F$97)+Forecast!$G$9</f>
        <v>-0.0139412075236115</v>
      </c>
      <c r="S65" s="68">
        <f>G65-AVERAGE(G$21:G$97)+Forecast!$G$10</f>
        <v>0.184983919648694</v>
      </c>
      <c r="T65" s="68">
        <f>H65-AVERAGE(H$21:H$97)+Forecast!$G$11</f>
        <v>-0.0419773027775531</v>
      </c>
      <c r="U65" s="68">
        <f>I65-AVERAGE(I$21:I$97)+Forecast!$G$12</f>
        <v>0.0295521253192749</v>
      </c>
      <c r="V65" s="68">
        <f>J65-AVERAGE(J$21:J$97)+Forecast!$G$13</f>
        <v>0.113389122678255</v>
      </c>
      <c r="W65" s="68">
        <f>K65-AVERAGE(K$21:K$97)+Forecast!$G$14</f>
        <v>0.0384816563284725</v>
      </c>
      <c r="X65" s="68">
        <f>L65-AVERAGE(L$21:L$97)+Forecast!$G$15</f>
        <v>0.0371455598717226</v>
      </c>
      <c r="Y65" s="68">
        <f>M65-AVERAGE(M$21:M$97)+Forecast!$G$16</f>
        <v>0.0369201124389544</v>
      </c>
      <c r="Z65" s="68">
        <f>SUMPRODUCT($O65:$Y65,Risk!$B$56:$L$56)</f>
        <v>0.0367465804729256</v>
      </c>
      <c r="AA65" s="68">
        <f>SUMPRODUCT($O65:$Y65,Risk!$B$57:$L$57)</f>
        <v>0.0463617511427947</v>
      </c>
      <c r="AB65" s="68">
        <f>SUMPRODUCT($O65:$Y65,Risk!$B$58:$L$58)</f>
        <v>0.0552426447576829</v>
      </c>
      <c r="AC65" s="68">
        <f>SUMPRODUCT(MMULT($O65:$Y65,Portfolio!$C$127:$C$137))</f>
        <v>0.0505522443892347</v>
      </c>
      <c r="AD65" s="68">
        <f>SUMPRODUCT(MMULT($O65:$Y65,Portfolio!$D$127:$D$137))</f>
        <v>0.0521686344863568</v>
      </c>
      <c r="AE65" s="68">
        <f>SUMPRODUCT(MMULT($O65:$Y65,Portfolio!$E$127:$E$137))</f>
        <v>0.0447457941467759</v>
      </c>
      <c r="AF65" s="314">
        <f>SUMPRODUCT(MMULT($O65:$Y65,Portfolio!$F$127:$F$137))</f>
        <v>0.0459023080422529</v>
      </c>
    </row>
    <row r="66">
      <c r="A66" s="312" t="n">
        <v>46</v>
      </c>
      <c r="B66" s="313">
        <f>'Quarterly returns'!A54</f>
        <v>43280.0</v>
      </c>
      <c r="C66" s="68">
        <f>(1+'Quarterly returns'!N51)*(1+'Quarterly returns'!N52)*(1+'Quarterly returns'!N53)*(1+'Quarterly returns'!N54)-1</f>
        <v>0.137307595176127</v>
      </c>
      <c r="D66" s="68">
        <f>(1+'Quarterly returns'!O51)*(1+'Quarterly returns'!O52)*(1+'Quarterly returns'!O53)*(1+'Quarterly returns'!O54)-1</f>
        <v>0.157249942637993</v>
      </c>
      <c r="E66" s="68">
        <f>(1+'Quarterly returns'!P51)*(1+'Quarterly returns'!P52)*(1+'Quarterly returns'!P53)*(1+'Quarterly returns'!P54)-1</f>
        <v>0.151017265429604</v>
      </c>
      <c r="F66" s="68">
        <f>(1+'Quarterly returns'!Q51)*(1+'Quarterly returns'!Q52)*(1+'Quarterly returns'!Q53)*(1+'Quarterly returns'!Q54)-1</f>
        <v>0.0942571588100514</v>
      </c>
      <c r="G66" s="68">
        <f>(1+'Quarterly returns'!R51)*(1+'Quarterly returns'!R52)*(1+'Quarterly returns'!R53)*(1+'Quarterly returns'!R54)-1</f>
        <v>0.350043031497949</v>
      </c>
      <c r="H66" s="68">
        <f>(1+'Quarterly returns'!S51)*(1+'Quarterly returns'!S52)*(1+'Quarterly returns'!S53)*(1+'Quarterly returns'!S54)-1</f>
        <v>-0.044056576151591</v>
      </c>
      <c r="I66" s="68">
        <f>(1+'Quarterly returns'!T51)*(1+'Quarterly returns'!T52)*(1+'Quarterly returns'!T53)*(1+'Quarterly returns'!T54)-1</f>
        <v>0.087560890495014</v>
      </c>
      <c r="J66" s="68">
        <f>(1+'Quarterly returns'!U51)*(1+'Quarterly returns'!U52)*(1+'Quarterly returns'!U53)*(1+'Quarterly returns'!U54)-1</f>
        <v>0.174563397497438</v>
      </c>
      <c r="K66" s="68">
        <f>(1+'Quarterly returns'!V51)*(1+'Quarterly returns'!V52)*(1+'Quarterly returns'!V53)*(1+'Quarterly returns'!V54)-1</f>
        <v>0.0284864657815151</v>
      </c>
      <c r="L66" s="68">
        <f>(1+'Quarterly returns'!W51)*(1+'Quarterly returns'!W52)*(1+'Quarterly returns'!W53)*(1+'Quarterly returns'!W54)-1</f>
        <v>0.0185468912107143</v>
      </c>
      <c r="M66" s="68">
        <f>(1+'Quarterly returns'!X51)*(1+'Quarterly returns'!X52)*(1+'Quarterly returns'!X53)*(1+'Quarterly returns'!X54)-1</f>
        <v>0.0222732350907011</v>
      </c>
      <c r="N66" s="77" t="n"/>
      <c r="O66" s="68">
        <f>C66-AVERAGE(C$21:C$97)+Forecast!$G$6</f>
        <v>0.132511887581032</v>
      </c>
      <c r="P66" s="68">
        <f>D66-AVERAGE(D$21:D$97)+Forecast!$G$7</f>
        <v>0.129126151393816</v>
      </c>
      <c r="Q66" s="68">
        <f>E66-AVERAGE(E$21:E$97)+Forecast!$G$8</f>
        <v>0.132624537498245</v>
      </c>
      <c r="R66" s="68">
        <f>F66-AVERAGE(F$21:F$97)+Forecast!$G$9</f>
        <v>0.100894991620835</v>
      </c>
      <c r="S66" s="68">
        <f>G66-AVERAGE(G$21:G$97)+Forecast!$G$10</f>
        <v>0.402978628716489</v>
      </c>
      <c r="T66" s="68">
        <f>H66-AVERAGE(H$21:H$97)+Forecast!$G$11</f>
        <v>-0.0628005056946399</v>
      </c>
      <c r="U66" s="68">
        <f>I66-AVERAGE(I$21:I$97)+Forecast!$G$12</f>
        <v>0.0452318319835766</v>
      </c>
      <c r="V66" s="68">
        <f>J66-AVERAGE(J$21:J$97)+Forecast!$G$13</f>
        <v>0.102723667421909</v>
      </c>
      <c r="W66" s="68">
        <f>K66-AVERAGE(K$21:K$97)+Forecast!$G$14</f>
        <v>0.0364168785524749</v>
      </c>
      <c r="X66" s="68">
        <f>L66-AVERAGE(L$21:L$97)+Forecast!$G$15</f>
        <v>0.0267902083252259</v>
      </c>
      <c r="Y66" s="68">
        <f>M66-AVERAGE(M$21:M$97)+Forecast!$G$16</f>
        <v>0.0373283073887711</v>
      </c>
      <c r="Z66" s="68">
        <f>SUMPRODUCT($O66:$Y66,Risk!$B$56:$L$56)</f>
        <v>0.0991382144393629</v>
      </c>
      <c r="AA66" s="68">
        <f>SUMPRODUCT($O66:$Y66,Risk!$B$57:$L$57)</f>
        <v>0.0936829811747265</v>
      </c>
      <c r="AB66" s="68">
        <f>SUMPRODUCT($O66:$Y66,Risk!$B$58:$L$58)</f>
        <v>0.108370443719846</v>
      </c>
      <c r="AC66" s="68">
        <f>SUMPRODUCT(MMULT($O66:$Y66,Portfolio!$C$127:$C$137))</f>
        <v>0.105089782380833</v>
      </c>
      <c r="AD66" s="68">
        <f>SUMPRODUCT(MMULT($O66:$Y66,Portfolio!$D$127:$D$137))</f>
        <v>0.098844466737758</v>
      </c>
      <c r="AE66" s="68">
        <f>SUMPRODUCT(MMULT($O66:$Y66,Portfolio!$E$127:$E$137))</f>
        <v>0.101919282709132</v>
      </c>
      <c r="AF66" s="314">
        <f>SUMPRODUCT(MMULT($O66:$Y66,Portfolio!$F$127:$F$137))</f>
        <v>0.0930529819817871</v>
      </c>
    </row>
    <row r="67">
      <c r="A67" s="312" t="n">
        <v>47</v>
      </c>
      <c r="B67" s="313">
        <f>'Quarterly returns'!A55</f>
        <v>43371.0</v>
      </c>
      <c r="C67" s="68">
        <f>(1+'Quarterly returns'!N52)*(1+'Quarterly returns'!N53)*(1+'Quarterly returns'!N54)*(1+'Quarterly returns'!N55)-1</f>
        <v>0.146761870434531</v>
      </c>
      <c r="D67" s="68">
        <f>(1+'Quarterly returns'!O52)*(1+'Quarterly returns'!O53)*(1+'Quarterly returns'!O54)*(1+'Quarterly returns'!O55)-1</f>
        <v>0.224436142196632</v>
      </c>
      <c r="E67" s="68">
        <f>(1+'Quarterly returns'!P52)*(1+'Quarterly returns'!P53)*(1+'Quarterly returns'!P54)*(1+'Quarterly returns'!P55)-1</f>
        <v>0.117386923104796</v>
      </c>
      <c r="F67" s="68">
        <f>(1+'Quarterly returns'!Q52)*(1+'Quarterly returns'!Q53)*(1+'Quarterly returns'!Q54)*(1+'Quarterly returns'!Q55)-1</f>
        <v>0.141575475767922</v>
      </c>
      <c r="G67" s="68">
        <f>(1+'Quarterly returns'!R52)*(1+'Quarterly returns'!R53)*(1+'Quarterly returns'!R54)*(1+'Quarterly returns'!R55)-1</f>
        <v>0.332889234741286</v>
      </c>
      <c r="H67" s="68">
        <f>(1+'Quarterly returns'!S52)*(1+'Quarterly returns'!S53)*(1+'Quarterly returns'!S54)*(1+'Quarterly returns'!S55)-1</f>
        <v>-0.0325459031719626</v>
      </c>
      <c r="I67" s="68">
        <f>(1+'Quarterly returns'!T52)*(1+'Quarterly returns'!T53)*(1+'Quarterly returns'!T54)*(1+'Quarterly returns'!T55)-1</f>
        <v>0.0603067760732479</v>
      </c>
      <c r="J67" s="68">
        <f>(1+'Quarterly returns'!U52)*(1+'Quarterly returns'!U53)*(1+'Quarterly returns'!U54)*(1+'Quarterly returns'!U55)-1</f>
        <v>0.187474556703622</v>
      </c>
      <c r="K67" s="68">
        <f>(1+'Quarterly returns'!V52)*(1+'Quarterly returns'!V53)*(1+'Quarterly returns'!V54)*(1+'Quarterly returns'!V55)-1</f>
        <v>0.0348187932717221</v>
      </c>
      <c r="L67" s="68">
        <f>(1+'Quarterly returns'!W52)*(1+'Quarterly returns'!W53)*(1+'Quarterly returns'!W54)*(1+'Quarterly returns'!W55)-1</f>
        <v>0.00888236552840249</v>
      </c>
      <c r="M67" s="68">
        <f>(1+'Quarterly returns'!X52)*(1+'Quarterly returns'!X53)*(1+'Quarterly returns'!X54)*(1+'Quarterly returns'!X55)-1</f>
        <v>0.0231544841616302</v>
      </c>
      <c r="N67" s="77" t="n"/>
      <c r="O67" s="68">
        <f>C67-AVERAGE(C$21:C$97)+Forecast!$G$6</f>
        <v>0.141966162839437</v>
      </c>
      <c r="P67" s="68">
        <f>D67-AVERAGE(D$21:D$97)+Forecast!$G$7</f>
        <v>0.196312350952455</v>
      </c>
      <c r="Q67" s="68">
        <f>E67-AVERAGE(E$21:E$97)+Forecast!$G$8</f>
        <v>0.0989941951734371</v>
      </c>
      <c r="R67" s="68">
        <f>F67-AVERAGE(F$21:F$97)+Forecast!$G$9</f>
        <v>0.148213308578705</v>
      </c>
      <c r="S67" s="68">
        <f>G67-AVERAGE(G$21:G$97)+Forecast!$G$10</f>
        <v>0.385824831959826</v>
      </c>
      <c r="T67" s="68">
        <f>H67-AVERAGE(H$21:H$97)+Forecast!$G$11</f>
        <v>-0.0512898327150115</v>
      </c>
      <c r="U67" s="68">
        <f>I67-AVERAGE(I$21:I$97)+Forecast!$G$12</f>
        <v>0.0179777175618104</v>
      </c>
      <c r="V67" s="68">
        <f>J67-AVERAGE(J$21:J$97)+Forecast!$G$13</f>
        <v>0.115634826628093</v>
      </c>
      <c r="W67" s="68">
        <f>K67-AVERAGE(K$21:K$97)+Forecast!$G$14</f>
        <v>0.0427492060426818</v>
      </c>
      <c r="X67" s="68">
        <f>L67-AVERAGE(L$21:L$97)+Forecast!$G$15</f>
        <v>0.0171256826429141</v>
      </c>
      <c r="Y67" s="68">
        <f>M67-AVERAGE(M$21:M$97)+Forecast!$G$16</f>
        <v>0.0382095564597002</v>
      </c>
      <c r="Z67" s="68">
        <f>SUMPRODUCT($O67:$Y67,Risk!$B$56:$L$56)</f>
        <v>0.121327370654151</v>
      </c>
      <c r="AA67" s="68">
        <f>SUMPRODUCT($O67:$Y67,Risk!$B$57:$L$57)</f>
        <v>0.114126644353791</v>
      </c>
      <c r="AB67" s="68">
        <f>SUMPRODUCT($O67:$Y67,Risk!$B$58:$L$58)</f>
        <v>0.130659707317409</v>
      </c>
      <c r="AC67" s="68">
        <f>SUMPRODUCT(MMULT($O67:$Y67,Portfolio!$C$127:$C$137))</f>
        <v>0.128763560876112</v>
      </c>
      <c r="AD67" s="68">
        <f>SUMPRODUCT(MMULT($O67:$Y67,Portfolio!$D$127:$D$137))</f>
        <v>0.12079952647367</v>
      </c>
      <c r="AE67" s="68">
        <f>SUMPRODUCT(MMULT($O67:$Y67,Portfolio!$E$127:$E$137))</f>
        <v>0.127472677915101</v>
      </c>
      <c r="AF67" s="314">
        <f>SUMPRODUCT(MMULT($O67:$Y67,Portfolio!$F$127:$F$137))</f>
        <v>0.115672720528829</v>
      </c>
    </row>
    <row r="68">
      <c r="A68" s="312" t="n">
        <v>48</v>
      </c>
      <c r="B68" s="313">
        <f>'Quarterly returns'!A56</f>
        <v>43465.0</v>
      </c>
      <c r="C68" s="68">
        <f>(1+'Quarterly returns'!N53)*(1+'Quarterly returns'!N54)*(1+'Quarterly returns'!N55)*(1+'Quarterly returns'!N56)-1</f>
        <v>-0.0353264146371033</v>
      </c>
      <c r="D68" s="68">
        <f>(1+'Quarterly returns'!O53)*(1+'Quarterly returns'!O54)*(1+'Quarterly returns'!O55)*(1+'Quarterly returns'!O56)-1</f>
        <v>0.0347821739598726</v>
      </c>
      <c r="E68" s="68">
        <f>(1+'Quarterly returns'!P53)*(1+'Quarterly returns'!P54)*(1+'Quarterly returns'!P55)*(1+'Quarterly returns'!P56)-1</f>
        <v>0.00301814144003254</v>
      </c>
      <c r="F68" s="68">
        <f>(1+'Quarterly returns'!Q53)*(1+'Quarterly returns'!Q54)*(1+'Quarterly returns'!Q55)*(1+'Quarterly returns'!Q56)-1</f>
        <v>0.0750101413466107</v>
      </c>
      <c r="G68" s="68">
        <f>(1+'Quarterly returns'!R53)*(1+'Quarterly returns'!R54)*(1+'Quarterly returns'!R55)*(1+'Quarterly returns'!R56)-1</f>
        <v>-0.0424902528672094</v>
      </c>
      <c r="H68" s="68">
        <f>(1+'Quarterly returns'!S53)*(1+'Quarterly returns'!S54)*(1+'Quarterly returns'!S55)*(1+'Quarterly returns'!S56)-1</f>
        <v>-0.0990140523144458</v>
      </c>
      <c r="I68" s="68">
        <f>(1+'Quarterly returns'!T53)*(1+'Quarterly returns'!T54)*(1+'Quarterly returns'!T55)*(1+'Quarterly returns'!T56)-1</f>
        <v>0.0483043318303815</v>
      </c>
      <c r="J68" s="68">
        <f>(1+'Quarterly returns'!U53)*(1+'Quarterly returns'!U54)*(1+'Quarterly returns'!U55)*(1+'Quarterly returns'!U56)-1</f>
        <v>0.0932962267874267</v>
      </c>
      <c r="K68" s="68">
        <f>(1+'Quarterly returns'!V53)*(1+'Quarterly returns'!V54)*(1+'Quarterly returns'!V55)*(1+'Quarterly returns'!V56)-1</f>
        <v>0.0428645476817247</v>
      </c>
      <c r="L68" s="68">
        <f>(1+'Quarterly returns'!W53)*(1+'Quarterly returns'!W54)*(1+'Quarterly returns'!W55)*(1+'Quarterly returns'!W56)-1</f>
        <v>0.0164962272717444</v>
      </c>
      <c r="M68" s="68">
        <f>(1+'Quarterly returns'!X53)*(1+'Quarterly returns'!X54)*(1+'Quarterly returns'!X55)*(1+'Quarterly returns'!X56)-1</f>
        <v>0.0236312498025326</v>
      </c>
      <c r="N68" s="77" t="n"/>
      <c r="O68" s="68">
        <f>C68-AVERAGE(C$21:C$97)+Forecast!$G$6</f>
        <v>-0.0401221222321982</v>
      </c>
      <c r="P68" s="68">
        <f>D68-AVERAGE(D$21:D$97)+Forecast!$G$7</f>
        <v>0.00665838271569591</v>
      </c>
      <c r="Q68" s="68">
        <f>E68-AVERAGE(E$21:E$97)+Forecast!$G$8</f>
        <v>-0.0153745864913267</v>
      </c>
      <c r="R68" s="68">
        <f>F68-AVERAGE(F$21:F$97)+Forecast!$G$9</f>
        <v>0.0816479741573943</v>
      </c>
      <c r="S68" s="68">
        <f>G68-AVERAGE(G$21:G$97)+Forecast!$G$10</f>
        <v>0.0104453443513299</v>
      </c>
      <c r="T68" s="68">
        <f>H68-AVERAGE(H$21:H$97)+Forecast!$G$11</f>
        <v>-0.117757981857495</v>
      </c>
      <c r="U68" s="68">
        <f>I68-AVERAGE(I$21:I$97)+Forecast!$G$12</f>
        <v>0.00597527331894409</v>
      </c>
      <c r="V68" s="68">
        <f>J68-AVERAGE(J$21:J$97)+Forecast!$G$13</f>
        <v>0.0214564967118975</v>
      </c>
      <c r="W68" s="68">
        <f>K68-AVERAGE(K$21:K$97)+Forecast!$G$14</f>
        <v>0.0507949604526844</v>
      </c>
      <c r="X68" s="68">
        <f>L68-AVERAGE(L$21:L$97)+Forecast!$G$15</f>
        <v>0.024739544386256</v>
      </c>
      <c r="Y68" s="68">
        <f>M68-AVERAGE(M$21:M$97)+Forecast!$G$16</f>
        <v>0.0386863221006026</v>
      </c>
      <c r="Z68" s="68">
        <f>SUMPRODUCT($O68:$Y68,Risk!$B$56:$L$56)</f>
        <v>0.00575407523184465</v>
      </c>
      <c r="AA68" s="68">
        <f>SUMPRODUCT($O68:$Y68,Risk!$B$57:$L$57)</f>
        <v>0.00295879679395443</v>
      </c>
      <c r="AB68" s="68">
        <f>SUMPRODUCT($O68:$Y68,Risk!$B$58:$L$58)</f>
        <v>0.00723087422762725</v>
      </c>
      <c r="AC68" s="68">
        <f>SUMPRODUCT(MMULT($O68:$Y68,Portfolio!$C$127:$C$137))</f>
        <v>0.000860255802153901</v>
      </c>
      <c r="AD68" s="68">
        <f>SUMPRODUCT(MMULT($O68:$Y68,Portfolio!$D$127:$D$137))</f>
        <v>0.00724646031541225</v>
      </c>
      <c r="AE68" s="68">
        <f>SUMPRODUCT(MMULT($O68:$Y68,Portfolio!$E$127:$E$137))</f>
        <v>0.00142247883622055</v>
      </c>
      <c r="AF68" s="314">
        <f>SUMPRODUCT(MMULT($O68:$Y68,Portfolio!$F$127:$F$137))</f>
        <v>0.00328326967129068</v>
      </c>
    </row>
    <row r="69">
      <c r="A69" s="312" t="n">
        <v>49</v>
      </c>
      <c r="B69" s="313">
        <f>'Quarterly returns'!A57</f>
        <v>43553.0</v>
      </c>
      <c r="C69" s="68">
        <f>(1+'Quarterly returns'!N54)*(1+'Quarterly returns'!N55)*(1+'Quarterly returns'!N56)*(1+'Quarterly returns'!N57)-1</f>
        <v>0.112487836326749</v>
      </c>
      <c r="D69" s="68">
        <f>(1+'Quarterly returns'!O54)*(1+'Quarterly returns'!O55)*(1+'Quarterly returns'!O56)*(1+'Quarterly returns'!O57)-1</f>
        <v>0.158325053187284</v>
      </c>
      <c r="E69" s="68">
        <f>(1+'Quarterly returns'!P54)*(1+'Quarterly returns'!P55)*(1+'Quarterly returns'!P56)*(1+'Quarterly returns'!P57)-1</f>
        <v>0.0629150769300331</v>
      </c>
      <c r="F69" s="68">
        <f>(1+'Quarterly returns'!Q54)*(1+'Quarterly returns'!Q55)*(1+'Quarterly returns'!Q56)*(1+'Quarterly returns'!Q57)-1</f>
        <v>0.274922797844052</v>
      </c>
      <c r="G69" s="68">
        <f>(1+'Quarterly returns'!R54)*(1+'Quarterly returns'!R55)*(1+'Quarterly returns'!R56)*(1+'Quarterly returns'!R57)-1</f>
        <v>0.0470293326664304</v>
      </c>
      <c r="H69" s="68">
        <f>(1+'Quarterly returns'!S54)*(1+'Quarterly returns'!S55)*(1+'Quarterly returns'!S56)*(1+'Quarterly returns'!S57)-1</f>
        <v>-0.103264630298644</v>
      </c>
      <c r="I69" s="68">
        <f>(1+'Quarterly returns'!T54)*(1+'Quarterly returns'!T55)*(1+'Quarterly returns'!T56)*(1+'Quarterly returns'!T57)-1</f>
        <v>0.0334948436767963</v>
      </c>
      <c r="J69" s="68">
        <f>(1+'Quarterly returns'!U54)*(1+'Quarterly returns'!U55)*(1+'Quarterly returns'!U56)*(1+'Quarterly returns'!U57)-1</f>
        <v>0.0813012389626497</v>
      </c>
      <c r="K69" s="68">
        <f>(1+'Quarterly returns'!V54)*(1+'Quarterly returns'!V55)*(1+'Quarterly returns'!V56)*(1+'Quarterly returns'!V57)-1</f>
        <v>0.0719315920312613</v>
      </c>
      <c r="L69" s="68">
        <f>(1+'Quarterly returns'!W54)*(1+'Quarterly returns'!W55)*(1+'Quarterly returns'!W56)*(1+'Quarterly returns'!W57)-1</f>
        <v>0.0457837656817539</v>
      </c>
      <c r="M69" s="68">
        <f>(1+'Quarterly returns'!X54)*(1+'Quarterly returns'!X55)*(1+'Quarterly returns'!X56)*(1+'Quarterly returns'!X57)-1</f>
        <v>0.0200824256590926</v>
      </c>
      <c r="N69" s="77" t="n"/>
      <c r="O69" s="68">
        <f>C69-AVERAGE(C$21:C$97)+Forecast!$G$6</f>
        <v>0.107692128731654</v>
      </c>
      <c r="P69" s="68">
        <f>D69-AVERAGE(D$21:D$97)+Forecast!$G$7</f>
        <v>0.130201261943108</v>
      </c>
      <c r="Q69" s="68">
        <f>E69-AVERAGE(E$21:E$97)+Forecast!$G$8</f>
        <v>0.0445223489986738</v>
      </c>
      <c r="R69" s="68">
        <f>F69-AVERAGE(F$21:F$97)+Forecast!$G$9</f>
        <v>0.281560630654836</v>
      </c>
      <c r="S69" s="68">
        <f>G69-AVERAGE(G$21:G$97)+Forecast!$G$10</f>
        <v>0.0999649298849697</v>
      </c>
      <c r="T69" s="68">
        <f>H69-AVERAGE(H$21:H$97)+Forecast!$G$11</f>
        <v>-0.122008559841693</v>
      </c>
      <c r="U69" s="68">
        <f>I69-AVERAGE(I$21:I$97)+Forecast!$G$12</f>
        <v>-0.00883421483464109</v>
      </c>
      <c r="V69" s="68">
        <f>J69-AVERAGE(J$21:J$97)+Forecast!$G$13</f>
        <v>0.00946150888712055</v>
      </c>
      <c r="W69" s="68">
        <f>K69-AVERAGE(K$21:K$97)+Forecast!$G$14</f>
        <v>0.079862004802221</v>
      </c>
      <c r="X69" s="68">
        <f>L69-AVERAGE(L$21:L$97)+Forecast!$G$15</f>
        <v>0.0540270827962655</v>
      </c>
      <c r="Y69" s="68">
        <f>M69-AVERAGE(M$21:M$97)+Forecast!$G$16</f>
        <v>0.0351374979571625</v>
      </c>
      <c r="Z69" s="68">
        <f>SUMPRODUCT($O69:$Y69,Risk!$B$56:$L$56)</f>
        <v>0.116034259147803</v>
      </c>
      <c r="AA69" s="68">
        <f>SUMPRODUCT($O69:$Y69,Risk!$B$57:$L$57)</f>
        <v>0.0933117238108622</v>
      </c>
      <c r="AB69" s="68">
        <f>SUMPRODUCT($O69:$Y69,Risk!$B$58:$L$58)</f>
        <v>0.112904891256381</v>
      </c>
      <c r="AC69" s="68">
        <f>SUMPRODUCT(MMULT($O69:$Y69,Portfolio!$C$127:$C$137))</f>
        <v>0.104386197001493</v>
      </c>
      <c r="AD69" s="68">
        <f>SUMPRODUCT(MMULT($O69:$Y69,Portfolio!$D$127:$D$137))</f>
        <v>0.110490283431281</v>
      </c>
      <c r="AE69" s="68">
        <f>SUMPRODUCT(MMULT($O69:$Y69,Portfolio!$E$127:$E$137))</f>
        <v>0.103939268331413</v>
      </c>
      <c r="AF69" s="314">
        <f>SUMPRODUCT(MMULT($O69:$Y69,Portfolio!$F$127:$F$137))</f>
        <v>0.0979407509497609</v>
      </c>
    </row>
    <row r="70">
      <c r="A70" s="312" t="n">
        <v>50</v>
      </c>
      <c r="B70" s="313">
        <f>'Quarterly returns'!A58</f>
        <v>43644.0</v>
      </c>
      <c r="C70" s="68">
        <f>(1+'Quarterly returns'!N55)*(1+'Quarterly returns'!N56)*(1+'Quarterly returns'!N57)*(1+'Quarterly returns'!N58)-1</f>
        <v>0.110386953008125</v>
      </c>
      <c r="D70" s="68">
        <f>(1+'Quarterly returns'!O55)*(1+'Quarterly returns'!O56)*(1+'Quarterly returns'!O57)*(1+'Quarterly returns'!O58)-1</f>
        <v>0.129894576259349</v>
      </c>
      <c r="E70" s="68">
        <f>(1+'Quarterly returns'!P55)*(1+'Quarterly returns'!P56)*(1+'Quarterly returns'!P57)*(1+'Quarterly returns'!P58)-1</f>
        <v>0.0764506746289106</v>
      </c>
      <c r="F70" s="68">
        <f>(1+'Quarterly returns'!Q55)*(1+'Quarterly returns'!Q56)*(1+'Quarterly returns'!Q57)*(1+'Quarterly returns'!Q58)-1</f>
        <v>0.162765042751745</v>
      </c>
      <c r="G70" s="68">
        <f>(1+'Quarterly returns'!R55)*(1+'Quarterly returns'!R56)*(1+'Quarterly returns'!R57)*(1+'Quarterly returns'!R58)-1</f>
        <v>-0.0681342577010583</v>
      </c>
      <c r="H70" s="68">
        <f>(1+'Quarterly returns'!S55)*(1+'Quarterly returns'!S56)*(1+'Quarterly returns'!S57)*(1+'Quarterly returns'!S58)-1</f>
        <v>-0.0657160713586948</v>
      </c>
      <c r="I70" s="68">
        <f>(1+'Quarterly returns'!T55)*(1+'Quarterly returns'!T56)*(1+'Quarterly returns'!T57)*(1+'Quarterly returns'!T58)-1</f>
        <v>0.00899529732318305</v>
      </c>
      <c r="J70" s="68">
        <f>(1+'Quarterly returns'!U55)*(1+'Quarterly returns'!U56)*(1+'Quarterly returns'!U57)*(1+'Quarterly returns'!U58)-1</f>
        <v>0.0997610123038</v>
      </c>
      <c r="K70" s="68">
        <f>(1+'Quarterly returns'!V55)*(1+'Quarterly returns'!V56)*(1+'Quarterly returns'!V57)*(1+'Quarterly returns'!V58)-1</f>
        <v>0.0956009902942405</v>
      </c>
      <c r="L70" s="68">
        <f>(1+'Quarterly returns'!W55)*(1+'Quarterly returns'!W56)*(1+'Quarterly returns'!W57)*(1+'Quarterly returns'!W58)-1</f>
        <v>0.0722553522483145</v>
      </c>
      <c r="M70" s="68">
        <f>(1+'Quarterly returns'!X55)*(1+'Quarterly returns'!X56)*(1+'Quarterly returns'!X57)*(1+'Quarterly returns'!X58)-1</f>
        <v>0.0196750851676646</v>
      </c>
      <c r="N70" s="77" t="n"/>
      <c r="O70" s="68">
        <f>C70-AVERAGE(C$21:C$97)+Forecast!$G$6</f>
        <v>0.10559124541303</v>
      </c>
      <c r="P70" s="68">
        <f>D70-AVERAGE(D$21:D$97)+Forecast!$G$7</f>
        <v>0.101770785015172</v>
      </c>
      <c r="Q70" s="68">
        <f>E70-AVERAGE(E$21:E$97)+Forecast!$G$8</f>
        <v>0.0580579466975514</v>
      </c>
      <c r="R70" s="68">
        <f>F70-AVERAGE(F$21:F$97)+Forecast!$G$9</f>
        <v>0.169402875562529</v>
      </c>
      <c r="S70" s="68">
        <f>G70-AVERAGE(G$21:G$97)+Forecast!$G$10</f>
        <v>-0.015198660482519</v>
      </c>
      <c r="T70" s="68">
        <f>H70-AVERAGE(H$21:H$97)+Forecast!$G$11</f>
        <v>-0.0844600009017438</v>
      </c>
      <c r="U70" s="68">
        <f>I70-AVERAGE(I$21:I$97)+Forecast!$G$12</f>
        <v>-0.0333337611882544</v>
      </c>
      <c r="V70" s="68">
        <f>J70-AVERAGE(J$21:J$97)+Forecast!$G$13</f>
        <v>0.0279212822282708</v>
      </c>
      <c r="W70" s="68">
        <f>K70-AVERAGE(K$21:K$97)+Forecast!$G$14</f>
        <v>0.1035314030652</v>
      </c>
      <c r="X70" s="68">
        <f>L70-AVERAGE(L$21:L$97)+Forecast!$G$15</f>
        <v>0.0804986693628261</v>
      </c>
      <c r="Y70" s="68">
        <f>M70-AVERAGE(M$21:M$97)+Forecast!$G$16</f>
        <v>0.0347301574657345</v>
      </c>
      <c r="Z70" s="68">
        <f>SUMPRODUCT($O70:$Y70,Risk!$B$56:$L$56)</f>
        <v>0.103931657755907</v>
      </c>
      <c r="AA70" s="68">
        <f>SUMPRODUCT($O70:$Y70,Risk!$B$57:$L$57)</f>
        <v>0.0841245466066762</v>
      </c>
      <c r="AB70" s="68">
        <f>SUMPRODUCT($O70:$Y70,Risk!$B$58:$L$58)</f>
        <v>0.0990174580249009</v>
      </c>
      <c r="AC70" s="68">
        <f>SUMPRODUCT(MMULT($O70:$Y70,Portfolio!$C$127:$C$137))</f>
        <v>0.0901543747111129</v>
      </c>
      <c r="AD70" s="68">
        <f>SUMPRODUCT(MMULT($O70:$Y70,Portfolio!$D$127:$D$137))</f>
        <v>0.100825957247318</v>
      </c>
      <c r="AE70" s="68">
        <f>SUMPRODUCT(MMULT($O70:$Y70,Portfolio!$E$127:$E$137))</f>
        <v>0.0883433928227203</v>
      </c>
      <c r="AF70" s="314">
        <f>SUMPRODUCT(MMULT($O70:$Y70,Portfolio!$F$127:$F$137))</f>
        <v>0.0976572548326858</v>
      </c>
    </row>
    <row r="71">
      <c r="A71" s="312" t="n">
        <v>51</v>
      </c>
      <c r="B71" s="313">
        <f>'Quarterly returns'!A59</f>
        <v>43738.0</v>
      </c>
      <c r="C71" s="68">
        <f>(1+'Quarterly returns'!N56)*(1+'Quarterly returns'!N57)*(1+'Quarterly returns'!N58)*(1+'Quarterly returns'!N59)-1</f>
        <v>0.120810256591187</v>
      </c>
      <c r="D71" s="68">
        <f>(1+'Quarterly returns'!O56)*(1+'Quarterly returns'!O57)*(1+'Quarterly returns'!O58)*(1+'Quarterly returns'!O59)-1</f>
        <v>0.110336723371083</v>
      </c>
      <c r="E71" s="68">
        <f>(1+'Quarterly returns'!P56)*(1+'Quarterly returns'!P57)*(1+'Quarterly returns'!P58)*(1+'Quarterly returns'!P59)-1</f>
        <v>0.0744723727834418</v>
      </c>
      <c r="F71" s="68">
        <f>(1+'Quarterly returns'!Q56)*(1+'Quarterly returns'!Q57)*(1+'Quarterly returns'!Q58)*(1+'Quarterly returns'!Q59)-1</f>
        <v>0.258819133666247</v>
      </c>
      <c r="G71" s="68">
        <f>(1+'Quarterly returns'!R56)*(1+'Quarterly returns'!R57)*(1+'Quarterly returns'!R58)*(1+'Quarterly returns'!R59)-1</f>
        <v>-0.102165322306426</v>
      </c>
      <c r="H71" s="68">
        <f>(1+'Quarterly returns'!S56)*(1+'Quarterly returns'!S57)*(1+'Quarterly returns'!S58)*(1+'Quarterly returns'!S59)-1</f>
        <v>0.0442644757909738</v>
      </c>
      <c r="I71" s="68">
        <f>(1+'Quarterly returns'!T56)*(1+'Quarterly returns'!T57)*(1+'Quarterly returns'!T58)*(1+'Quarterly returns'!T59)-1</f>
        <v>0.0397709817461678</v>
      </c>
      <c r="J71" s="68">
        <f>(1+'Quarterly returns'!U56)*(1+'Quarterly returns'!U57)*(1+'Quarterly returns'!U58)*(1+'Quarterly returns'!U59)-1</f>
        <v>0.0680480705266751</v>
      </c>
      <c r="K71" s="68">
        <f>(1+'Quarterly returns'!V56)*(1+'Quarterly returns'!V57)*(1+'Quarterly returns'!V58)*(1+'Quarterly returns'!V59)-1</f>
        <v>0.111128381447725</v>
      </c>
      <c r="L71" s="68">
        <f>(1+'Quarterly returns'!W56)*(1+'Quarterly returns'!W57)*(1+'Quarterly returns'!W58)*(1+'Quarterly returns'!W59)-1</f>
        <v>0.0980772101786882</v>
      </c>
      <c r="M71" s="68">
        <f>(1+'Quarterly returns'!X56)*(1+'Quarterly returns'!X57)*(1+'Quarterly returns'!X58)*(1+'Quarterly returns'!X59)-1</f>
        <v>0.0172340194653424</v>
      </c>
      <c r="N71" s="77" t="n"/>
      <c r="O71" s="68">
        <f>C71-AVERAGE(C$21:C$97)+Forecast!$G$6</f>
        <v>0.116014548996092</v>
      </c>
      <c r="P71" s="68">
        <f>D71-AVERAGE(D$21:D$97)+Forecast!$G$7</f>
        <v>0.0822129321269068</v>
      </c>
      <c r="Q71" s="68">
        <f>E71-AVERAGE(E$21:E$97)+Forecast!$G$8</f>
        <v>0.0560796448520825</v>
      </c>
      <c r="R71" s="68">
        <f>F71-AVERAGE(F$21:F$97)+Forecast!$G$9</f>
        <v>0.265456966477031</v>
      </c>
      <c r="S71" s="68">
        <f>G71-AVERAGE(G$21:G$97)+Forecast!$G$10</f>
        <v>-0.0492297250878863</v>
      </c>
      <c r="T71" s="68">
        <f>H71-AVERAGE(H$21:H$97)+Forecast!$G$11</f>
        <v>0.0255205462479249</v>
      </c>
      <c r="U71" s="68">
        <f>I71-AVERAGE(I$21:I$97)+Forecast!$G$12</f>
        <v>-0.00255807676526965</v>
      </c>
      <c r="V71" s="68">
        <f>J71-AVERAGE(J$21:J$97)+Forecast!$G$13</f>
        <v>-0.00379165954885413</v>
      </c>
      <c r="W71" s="68">
        <f>K71-AVERAGE(K$21:K$97)+Forecast!$G$14</f>
        <v>0.119058794218685</v>
      </c>
      <c r="X71" s="68">
        <f>L71-AVERAGE(L$21:L$97)+Forecast!$G$15</f>
        <v>0.1063205272932</v>
      </c>
      <c r="Y71" s="68">
        <f>M71-AVERAGE(M$21:M$97)+Forecast!$G$16</f>
        <v>0.0322890917634124</v>
      </c>
      <c r="Z71" s="68">
        <f>SUMPRODUCT($O71:$Y71,Risk!$B$56:$L$56)</f>
        <v>0.118018800411219</v>
      </c>
      <c r="AA71" s="68">
        <f>SUMPRODUCT($O71:$Y71,Risk!$B$57:$L$57)</f>
        <v>0.0984322206254202</v>
      </c>
      <c r="AB71" s="68">
        <f>SUMPRODUCT($O71:$Y71,Risk!$B$58:$L$58)</f>
        <v>0.108922210523615</v>
      </c>
      <c r="AC71" s="68">
        <f>SUMPRODUCT(MMULT($O71:$Y71,Portfolio!$C$127:$C$137))</f>
        <v>0.104146500174874</v>
      </c>
      <c r="AD71" s="68">
        <f>SUMPRODUCT(MMULT($O71:$Y71,Portfolio!$D$127:$D$137))</f>
        <v>0.111900435536273</v>
      </c>
      <c r="AE71" s="68">
        <f>SUMPRODUCT(MMULT($O71:$Y71,Portfolio!$E$127:$E$137))</f>
        <v>0.102879575539605</v>
      </c>
      <c r="AF71" s="314">
        <f>SUMPRODUCT(MMULT($O71:$Y71,Portfolio!$F$127:$F$137))</f>
        <v>0.102548400146191</v>
      </c>
    </row>
    <row r="72">
      <c r="A72" s="312" t="n">
        <v>52</v>
      </c>
      <c r="B72" s="313">
        <f>'Quarterly returns'!A60</f>
        <v>43830.0</v>
      </c>
      <c r="C72" s="68">
        <f>(1+'Quarterly returns'!N57)*(1+'Quarterly returns'!N58)*(1+'Quarterly returns'!N59)*(1+'Quarterly returns'!N60)-1</f>
        <v>0.240567649660643</v>
      </c>
      <c r="D72" s="68">
        <f>(1+'Quarterly returns'!O57)*(1+'Quarterly returns'!O58)*(1+'Quarterly returns'!O59)*(1+'Quarterly returns'!O60)-1</f>
        <v>0.282568608435354</v>
      </c>
      <c r="E72" s="68">
        <f>(1+'Quarterly returns'!P57)*(1+'Quarterly returns'!P58)*(1+'Quarterly returns'!P59)*(1+'Quarterly returns'!P60)-1</f>
        <v>0.186831277527174</v>
      </c>
      <c r="F72" s="68">
        <f>(1+'Quarterly returns'!Q57)*(1+'Quarterly returns'!Q58)*(1+'Quarterly returns'!Q59)*(1+'Quarterly returns'!Q60)-1</f>
        <v>0.242478177388527</v>
      </c>
      <c r="G72" s="68">
        <f>(1+'Quarterly returns'!R57)*(1+'Quarterly returns'!R58)*(1+'Quarterly returns'!R59)*(1+'Quarterly returns'!R60)-1</f>
        <v>0.1780209230243</v>
      </c>
      <c r="H72" s="68">
        <f>(1+'Quarterly returns'!S57)*(1+'Quarterly returns'!S58)*(1+'Quarterly returns'!S59)*(1+'Quarterly returns'!S60)-1</f>
        <v>0.159460746644234</v>
      </c>
      <c r="I72" s="68">
        <f>(1+'Quarterly returns'!T57)*(1+'Quarterly returns'!T58)*(1+'Quarterly returns'!T59)*(1+'Quarterly returns'!T60)-1</f>
        <v>0.0497852302343549</v>
      </c>
      <c r="J72" s="68">
        <f>(1+'Quarterly returns'!U57)*(1+'Quarterly returns'!U58)*(1+'Quarterly returns'!U59)*(1+'Quarterly returns'!U60)-1</f>
        <v>0.107860247864769</v>
      </c>
      <c r="K72" s="68">
        <f>(1+'Quarterly returns'!V57)*(1+'Quarterly returns'!V58)*(1+'Quarterly returns'!V59)*(1+'Quarterly returns'!V60)-1</f>
        <v>0.0725300120372081</v>
      </c>
      <c r="L72" s="68">
        <f>(1+'Quarterly returns'!W57)*(1+'Quarterly returns'!W58)*(1+'Quarterly returns'!W59)*(1+'Quarterly returns'!W60)-1</f>
        <v>0.0719390359512875</v>
      </c>
      <c r="M72" s="68">
        <f>(1+'Quarterly returns'!X57)*(1+'Quarterly returns'!X58)*(1+'Quarterly returns'!X59)*(1+'Quarterly returns'!X60)-1</f>
        <v>0.014798433211525</v>
      </c>
      <c r="N72" s="77" t="n"/>
      <c r="O72" s="68">
        <f>C72-AVERAGE(C$21:C$97)+Forecast!$G$6</f>
        <v>0.235771942065549</v>
      </c>
      <c r="P72" s="68">
        <f>D72-AVERAGE(D$21:D$97)+Forecast!$G$7</f>
        <v>0.254444817191178</v>
      </c>
      <c r="Q72" s="68">
        <f>E72-AVERAGE(E$21:E$97)+Forecast!$G$8</f>
        <v>0.168438549595814</v>
      </c>
      <c r="R72" s="68">
        <f>F72-AVERAGE(F$21:F$97)+Forecast!$G$9</f>
        <v>0.24911601019931</v>
      </c>
      <c r="S72" s="68">
        <f>G72-AVERAGE(G$21:G$97)+Forecast!$G$10</f>
        <v>0.230956520242839</v>
      </c>
      <c r="T72" s="68">
        <f>H72-AVERAGE(H$21:H$97)+Forecast!$G$11</f>
        <v>0.140716817101185</v>
      </c>
      <c r="U72" s="68">
        <f>I72-AVERAGE(I$21:I$97)+Forecast!$G$12</f>
        <v>0.00745617172291745</v>
      </c>
      <c r="V72" s="68">
        <f>J72-AVERAGE(J$21:J$97)+Forecast!$G$13</f>
        <v>0.0360205177892394</v>
      </c>
      <c r="W72" s="68">
        <f>K72-AVERAGE(K$21:K$97)+Forecast!$G$14</f>
        <v>0.0804604248081678</v>
      </c>
      <c r="X72" s="68">
        <f>L72-AVERAGE(L$21:L$97)+Forecast!$G$15</f>
        <v>0.0801823530657991</v>
      </c>
      <c r="Y72" s="68">
        <f>M72-AVERAGE(M$21:M$97)+Forecast!$G$16</f>
        <v>0.0298535055095949</v>
      </c>
      <c r="Z72" s="68">
        <f>SUMPRODUCT($O72:$Y72,Risk!$B$56:$L$56)</f>
        <v>0.190682738636547</v>
      </c>
      <c r="AA72" s="68">
        <f>SUMPRODUCT($O72:$Y72,Risk!$B$57:$L$57)</f>
        <v>0.176440414265046</v>
      </c>
      <c r="AB72" s="68">
        <f>SUMPRODUCT($O72:$Y72,Risk!$B$58:$L$58)</f>
        <v>0.194685055842284</v>
      </c>
      <c r="AC72" s="68">
        <f>SUMPRODUCT(MMULT($O72:$Y72,Portfolio!$C$127:$C$137))</f>
        <v>0.19660535519408</v>
      </c>
      <c r="AD72" s="68">
        <f>SUMPRODUCT(MMULT($O72:$Y72,Portfolio!$D$127:$D$137))</f>
        <v>0.189993735618428</v>
      </c>
      <c r="AE72" s="68">
        <f>SUMPRODUCT(MMULT($O72:$Y72,Portfolio!$E$127:$E$137))</f>
        <v>0.192689949460521</v>
      </c>
      <c r="AF72" s="314">
        <f>SUMPRODUCT(MMULT($O72:$Y72,Portfolio!$F$127:$F$137))</f>
        <v>0.181397845274229</v>
      </c>
    </row>
    <row r="73">
      <c r="A73" s="312" t="n">
        <v>53</v>
      </c>
      <c r="B73" s="313">
        <f>'Quarterly returns'!A61</f>
        <v>43921.0</v>
      </c>
      <c r="C73" s="68">
        <f>(1+'Quarterly returns'!N58)*(1+'Quarterly returns'!N59)*(1+'Quarterly returns'!N60)*(1+'Quarterly returns'!N61)-1</f>
        <v>-0.150226729487004</v>
      </c>
      <c r="D73" s="68">
        <f>(1+'Quarterly returns'!O58)*(1+'Quarterly returns'!O59)*(1+'Quarterly returns'!O60)*(1+'Quarterly returns'!O61)-1</f>
        <v>0.0547115310444433</v>
      </c>
      <c r="E73" s="68">
        <f>(1+'Quarterly returns'!P58)*(1+'Quarterly returns'!P59)*(1+'Quarterly returns'!P60)*(1+'Quarterly returns'!P61)-1</f>
        <v>0.0137667543241882</v>
      </c>
      <c r="F73" s="68">
        <f>(1+'Quarterly returns'!Q58)*(1+'Quarterly returns'!Q59)*(1+'Quarterly returns'!Q60)*(1+'Quarterly returns'!Q61)-1</f>
        <v>-0.0859582722818206</v>
      </c>
      <c r="G73" s="68">
        <f>(1+'Quarterly returns'!R58)*(1+'Quarterly returns'!R59)*(1+'Quarterly returns'!R60)*(1+'Quarterly returns'!R61)-1</f>
        <v>-0.315362568404889</v>
      </c>
      <c r="H73" s="68">
        <f>(1+'Quarterly returns'!S58)*(1+'Quarterly returns'!S59)*(1+'Quarterly returns'!S60)*(1+'Quarterly returns'!S61)-1</f>
        <v>0.177437742754223</v>
      </c>
      <c r="I73" s="68">
        <f>(1+'Quarterly returns'!T58)*(1+'Quarterly returns'!T59)*(1+'Quarterly returns'!T60)*(1+'Quarterly returns'!T61)-1</f>
        <v>0.176992774183603</v>
      </c>
      <c r="J73" s="68">
        <f>(1+'Quarterly returns'!U58)*(1+'Quarterly returns'!U59)*(1+'Quarterly returns'!U60)*(1+'Quarterly returns'!U61)-1</f>
        <v>-0.0197329054331856</v>
      </c>
      <c r="K73" s="68">
        <f>(1+'Quarterly returns'!V58)*(1+'Quarterly returns'!V59)*(1+'Quarterly returns'!V60)*(1+'Quarterly returns'!V61)-1</f>
        <v>0.0712451866321184</v>
      </c>
      <c r="L73" s="68">
        <f>(1+'Quarterly returns'!W58)*(1+'Quarterly returns'!W59)*(1+'Quarterly returns'!W60)*(1+'Quarterly returns'!W61)-1</f>
        <v>0.0747214760433761</v>
      </c>
      <c r="M73" s="68">
        <f>(1+'Quarterly returns'!X58)*(1+'Quarterly returns'!X59)*(1+'Quarterly returns'!X60)*(1+'Quarterly returns'!X61)-1</f>
        <v>0.0121254326848221</v>
      </c>
      <c r="N73" s="77" t="n"/>
      <c r="O73" s="68">
        <f>C73-AVERAGE(C$21:C$97)+Forecast!$G$6</f>
        <v>-0.155022437082099</v>
      </c>
      <c r="P73" s="68">
        <f>D73-AVERAGE(D$21:D$97)+Forecast!$G$7</f>
        <v>0.0265877398002666</v>
      </c>
      <c r="Q73" s="68">
        <f>E73-AVERAGE(E$21:E$97)+Forecast!$G$8</f>
        <v>-0.0046259736071711</v>
      </c>
      <c r="R73" s="68">
        <f>F73-AVERAGE(F$21:F$97)+Forecast!$G$9</f>
        <v>-0.079320439471037</v>
      </c>
      <c r="S73" s="68">
        <f>G73-AVERAGE(G$21:G$97)+Forecast!$G$10</f>
        <v>-0.26242697118635</v>
      </c>
      <c r="T73" s="68">
        <f>H73-AVERAGE(H$21:H$97)+Forecast!$G$11</f>
        <v>0.158693813211174</v>
      </c>
      <c r="U73" s="68">
        <f>I73-AVERAGE(I$21:I$97)+Forecast!$G$12</f>
        <v>0.134663715672165</v>
      </c>
      <c r="V73" s="68">
        <f>J73-AVERAGE(J$21:J$97)+Forecast!$G$13</f>
        <v>-0.0915726355087148</v>
      </c>
      <c r="W73" s="68">
        <f>K73-AVERAGE(K$21:K$97)+Forecast!$G$14</f>
        <v>0.0791755994030782</v>
      </c>
      <c r="X73" s="68">
        <f>L73-AVERAGE(L$21:L$97)+Forecast!$G$15</f>
        <v>0.0829647931578877</v>
      </c>
      <c r="Y73" s="68">
        <f>M73-AVERAGE(M$21:M$97)+Forecast!$G$16</f>
        <v>0.0271805049828921</v>
      </c>
      <c r="Z73" s="68">
        <f>SUMPRODUCT($O73:$Y73,Risk!$B$56:$L$56)</f>
        <v>-0.0442073121079949</v>
      </c>
      <c r="AA73" s="68">
        <f>SUMPRODUCT($O73:$Y73,Risk!$B$57:$L$57)</f>
        <v>-0.013060751734628</v>
      </c>
      <c r="AB73" s="68">
        <f>SUMPRODUCT($O73:$Y73,Risk!$B$58:$L$58)</f>
        <v>-0.0278794856282132</v>
      </c>
      <c r="AC73" s="68">
        <f>SUMPRODUCT(MMULT($O73:$Y73,Portfolio!$C$127:$C$137))</f>
        <v>-0.0266013339885047</v>
      </c>
      <c r="AD73" s="68">
        <f>SUMPRODUCT(MMULT($O73:$Y73,Portfolio!$D$127:$D$137))</f>
        <v>-0.0187810710378086</v>
      </c>
      <c r="AE73" s="68">
        <f>SUMPRODUCT(MMULT($O73:$Y73,Portfolio!$E$127:$E$137))</f>
        <v>-0.0255990141689383</v>
      </c>
      <c r="AF73" s="314">
        <f>SUMPRODUCT(MMULT($O73:$Y73,Portfolio!$F$127:$F$137))</f>
        <v>-0.010754693246858</v>
      </c>
    </row>
    <row r="74">
      <c r="A74" s="312" t="n">
        <v>54</v>
      </c>
      <c r="B74" s="313">
        <f>'Quarterly returns'!A62</f>
        <v>44012.0</v>
      </c>
      <c r="C74" s="68">
        <f>(1+'Quarterly returns'!N59)*(1+'Quarterly returns'!N60)*(1+'Quarterly returns'!N61)*(1+'Quarterly returns'!N62)-1</f>
        <v>-0.0720532177210539</v>
      </c>
      <c r="D74" s="68">
        <f>(1+'Quarterly returns'!O59)*(1+'Quarterly returns'!O60)*(1+'Quarterly returns'!O61)*(1+'Quarterly returns'!O62)-1</f>
        <v>0.0585088395478406</v>
      </c>
      <c r="E74" s="68">
        <f>(1+'Quarterly returns'!P59)*(1+'Quarterly returns'!P60)*(1+'Quarterly returns'!P61)*(1+'Quarterly returns'!P62)-1</f>
        <v>0.0368402106940087</v>
      </c>
      <c r="F74" s="68">
        <f>(1+'Quarterly returns'!Q59)*(1+'Quarterly returns'!Q60)*(1+'Quarterly returns'!Q61)*(1+'Quarterly returns'!Q62)-1</f>
        <v>-0.124950450291431</v>
      </c>
      <c r="G74" s="68">
        <f>(1+'Quarterly returns'!R59)*(1+'Quarterly returns'!R60)*(1+'Quarterly returns'!R61)*(1+'Quarterly returns'!R62)-1</f>
        <v>-0.32626624048697</v>
      </c>
      <c r="H74" s="68">
        <f>(1+'Quarterly returns'!S59)*(1+'Quarterly returns'!S60)*(1+'Quarterly returns'!S61)*(1+'Quarterly returns'!S62)-1</f>
        <v>0.0461256782491912</v>
      </c>
      <c r="I74" s="68">
        <f>(1+'Quarterly returns'!T59)*(1+'Quarterly returns'!T60)*(1+'Quarterly returns'!T61)*(1+'Quarterly returns'!T62)-1</f>
        <v>0.0584231240044453</v>
      </c>
      <c r="J74" s="68">
        <f>(1+'Quarterly returns'!U59)*(1+'Quarterly returns'!U60)*(1+'Quarterly returns'!U61)*(1+'Quarterly returns'!U62)-1</f>
        <v>-0.00260618533204215</v>
      </c>
      <c r="K74" s="68">
        <f>(1+'Quarterly returns'!V59)*(1+'Quarterly returns'!V60)*(1+'Quarterly returns'!V61)*(1+'Quarterly returns'!V62)-1</f>
        <v>0.0446283295931715</v>
      </c>
      <c r="L74" s="68">
        <f>(1+'Quarterly returns'!W59)*(1+'Quarterly returns'!W60)*(1+'Quarterly returns'!W61)*(1+'Quarterly returns'!W62)-1</f>
        <v>0.0572359252074401</v>
      </c>
      <c r="M74" s="68">
        <f>(1+'Quarterly returns'!X59)*(1+'Quarterly returns'!X60)*(1+'Quarterly returns'!X61)*(1+'Quarterly returns'!X62)-1</f>
        <v>0.00834114862012592</v>
      </c>
      <c r="N74" s="77" t="n"/>
      <c r="O74" s="68">
        <f>C74-AVERAGE(C$21:C$97)+Forecast!$G$6</f>
        <v>-0.0768489253161488</v>
      </c>
      <c r="P74" s="68">
        <f>D74-AVERAGE(D$21:D$97)+Forecast!$G$7</f>
        <v>0.0303850483036639</v>
      </c>
      <c r="Q74" s="68">
        <f>E74-AVERAGE(E$21:E$97)+Forecast!$G$8</f>
        <v>0.0184474827626494</v>
      </c>
      <c r="R74" s="68">
        <f>F74-AVERAGE(F$21:F$97)+Forecast!$G$9</f>
        <v>-0.118312617480648</v>
      </c>
      <c r="S74" s="68">
        <f>G74-AVERAGE(G$21:G$97)+Forecast!$G$10</f>
        <v>-0.273330643268431</v>
      </c>
      <c r="T74" s="68">
        <f>H74-AVERAGE(H$21:H$97)+Forecast!$G$11</f>
        <v>0.0273817487061423</v>
      </c>
      <c r="U74" s="68">
        <f>I74-AVERAGE(I$21:I$97)+Forecast!$G$12</f>
        <v>0.0160940654930078</v>
      </c>
      <c r="V74" s="68">
        <f>J74-AVERAGE(J$21:J$97)+Forecast!$G$13</f>
        <v>-0.0744459154075713</v>
      </c>
      <c r="W74" s="68">
        <f>K74-AVERAGE(K$21:K$97)+Forecast!$G$14</f>
        <v>0.0525587423641313</v>
      </c>
      <c r="X74" s="68">
        <f>L74-AVERAGE(L$21:L$97)+Forecast!$G$15</f>
        <v>0.0654792423219517</v>
      </c>
      <c r="Y74" s="68">
        <f>M74-AVERAGE(M$21:M$97)+Forecast!$G$16</f>
        <v>0.0233962209181959</v>
      </c>
      <c r="Z74" s="68">
        <f>SUMPRODUCT($O74:$Y74,Risk!$B$56:$L$56)</f>
        <v>-0.021733936009142</v>
      </c>
      <c r="AA74" s="68">
        <f>SUMPRODUCT($O74:$Y74,Risk!$B$57:$L$57)</f>
        <v>-0.0102335321904832</v>
      </c>
      <c r="AB74" s="68">
        <f>SUMPRODUCT($O74:$Y74,Risk!$B$58:$L$58)</f>
        <v>-0.0130358602271519</v>
      </c>
      <c r="AC74" s="68">
        <f>SUMPRODUCT(MMULT($O74:$Y74,Portfolio!$C$127:$C$137))</f>
        <v>-0.0178843267237051</v>
      </c>
      <c r="AD74" s="68">
        <f>SUMPRODUCT(MMULT($O74:$Y74,Portfolio!$D$127:$D$137))</f>
        <v>-0.00393560128716237</v>
      </c>
      <c r="AE74" s="68">
        <f>SUMPRODUCT(MMULT($O74:$Y74,Portfolio!$E$127:$E$137))</f>
        <v>-0.0198367087259244</v>
      </c>
      <c r="AF74" s="314">
        <f>SUMPRODUCT(MMULT($O74:$Y74,Portfolio!$F$127:$F$137))</f>
        <v>0.00712971049530372</v>
      </c>
    </row>
    <row r="75">
      <c r="A75" s="312" t="n">
        <v>55</v>
      </c>
      <c r="B75" s="313">
        <f>'Quarterly returns'!A63</f>
        <v>44104.0</v>
      </c>
      <c r="C75" s="68">
        <f>(1+'Quarterly returns'!N60)*(1+'Quarterly returns'!N61)*(1+'Quarterly returns'!N62)*(1+'Quarterly returns'!N63)-1</f>
        <v>-0.0875752539762226</v>
      </c>
      <c r="D75" s="68">
        <f>(1+'Quarterly returns'!O60)*(1+'Quarterly returns'!O61)*(1+'Quarterly returns'!O62)*(1+'Quarterly returns'!O63)-1</f>
        <v>0.0268042350562301</v>
      </c>
      <c r="E75" s="68">
        <f>(1+'Quarterly returns'!P60)*(1+'Quarterly returns'!P61)*(1+'Quarterly returns'!P62)*(1+'Quarterly returns'!P63)-1</f>
        <v>0.0618166038035839</v>
      </c>
      <c r="F75" s="68">
        <f>(1+'Quarterly returns'!Q60)*(1+'Quarterly returns'!Q61)*(1+'Quarterly returns'!Q62)*(1+'Quarterly returns'!Q63)-1</f>
        <v>-0.232547577226823</v>
      </c>
      <c r="G75" s="68">
        <f>(1+'Quarterly returns'!R60)*(1+'Quarterly returns'!R61)*(1+'Quarterly returns'!R62)*(1+'Quarterly returns'!R63)-1</f>
        <v>-0.321003384869223</v>
      </c>
      <c r="H75" s="68">
        <f>(1+'Quarterly returns'!S60)*(1+'Quarterly returns'!S61)*(1+'Quarterly returns'!S62)*(1+'Quarterly returns'!S63)-1</f>
        <v>0.0185541732627248</v>
      </c>
      <c r="I75" s="68">
        <f>(1+'Quarterly returns'!T60)*(1+'Quarterly returns'!T61)*(1+'Quarterly returns'!T62)*(1+'Quarterly returns'!T63)-1</f>
        <v>0.10609257423521</v>
      </c>
      <c r="J75" s="68">
        <f>(1+'Quarterly returns'!U60)*(1+'Quarterly returns'!U61)*(1+'Quarterly returns'!U62)*(1+'Quarterly returns'!U63)-1</f>
        <v>0.0562489111010884</v>
      </c>
      <c r="K75" s="68">
        <f>(1+'Quarterly returns'!V60)*(1+'Quarterly returns'!V61)*(1+'Quarterly returns'!V62)*(1+'Quarterly returns'!V63)-1</f>
        <v>0.0359613954406728</v>
      </c>
      <c r="L75" s="68">
        <f>(1+'Quarterly returns'!W60)*(1+'Quarterly returns'!W61)*(1+'Quarterly returns'!W62)*(1+'Quarterly returns'!W63)-1</f>
        <v>0.0378898283736573</v>
      </c>
      <c r="M75" s="68">
        <f>(1+'Quarterly returns'!X60)*(1+'Quarterly returns'!X61)*(1+'Quarterly returns'!X62)*(1+'Quarterly returns'!X63)-1</f>
        <v>0.00577779512133692</v>
      </c>
      <c r="N75" s="77" t="n"/>
      <c r="O75" s="68">
        <f>C75-AVERAGE(C$21:C$97)+Forecast!$G$6</f>
        <v>-0.0923709615713175</v>
      </c>
      <c r="P75" s="68">
        <f>D75-AVERAGE(D$21:D$97)+Forecast!$G$7</f>
        <v>-0.0013195561879466</v>
      </c>
      <c r="Q75" s="68">
        <f>E75-AVERAGE(E$21:E$97)+Forecast!$G$8</f>
        <v>0.0434238758722246</v>
      </c>
      <c r="R75" s="68">
        <f>F75-AVERAGE(F$21:F$97)+Forecast!$G$9</f>
        <v>-0.225909744416039</v>
      </c>
      <c r="S75" s="68">
        <f>G75-AVERAGE(G$21:G$97)+Forecast!$G$10</f>
        <v>-0.268067787650683</v>
      </c>
      <c r="T75" s="68">
        <f>H75-AVERAGE(H$21:H$97)+Forecast!$G$11</f>
        <v>-0.000189756280324124</v>
      </c>
      <c r="U75" s="68">
        <f>I75-AVERAGE(I$21:I$97)+Forecast!$G$12</f>
        <v>0.0637635157237727</v>
      </c>
      <c r="V75" s="68">
        <f>J75-AVERAGE(J$21:J$97)+Forecast!$G$13</f>
        <v>-0.0155908189744408</v>
      </c>
      <c r="W75" s="68">
        <f>K75-AVERAGE(K$21:K$97)+Forecast!$G$14</f>
        <v>0.0438918082116325</v>
      </c>
      <c r="X75" s="68">
        <f>L75-AVERAGE(L$21:L$97)+Forecast!$G$15</f>
        <v>0.0461331454881689</v>
      </c>
      <c r="Y75" s="68">
        <f>M75-AVERAGE(M$21:M$97)+Forecast!$G$16</f>
        <v>0.0208328674194069</v>
      </c>
      <c r="Z75" s="68">
        <f>SUMPRODUCT($O75:$Y75,Risk!$B$56:$L$56)</f>
        <v>-0.0480705467175634</v>
      </c>
      <c r="AA75" s="68">
        <f>SUMPRODUCT($O75:$Y75,Risk!$B$57:$L$57)</f>
        <v>-0.0300015771995332</v>
      </c>
      <c r="AB75" s="68">
        <f>SUMPRODUCT($O75:$Y75,Risk!$B$58:$L$58)</f>
        <v>-0.0372382330683886</v>
      </c>
      <c r="AC75" s="68">
        <f>SUMPRODUCT(MMULT($O75:$Y75,Portfolio!$C$127:$C$137))</f>
        <v>-0.0423788560453343</v>
      </c>
      <c r="AD75" s="68">
        <f>SUMPRODUCT(MMULT($O75:$Y75,Portfolio!$D$127:$D$137))</f>
        <v>-0.0281812248155987</v>
      </c>
      <c r="AE75" s="68">
        <f>SUMPRODUCT(MMULT($O75:$Y75,Portfolio!$E$127:$E$137))</f>
        <v>-0.0431285741892267</v>
      </c>
      <c r="AF75" s="314">
        <f>SUMPRODUCT(MMULT($O75:$Y75,Portfolio!$F$127:$F$137))</f>
        <v>-0.0127513955075606</v>
      </c>
    </row>
    <row r="76">
      <c r="A76" s="312" t="n">
        <v>56</v>
      </c>
      <c r="B76" s="313">
        <f>'Quarterly returns'!A64</f>
        <v>44196.0</v>
      </c>
      <c r="C76" s="68">
        <f>(1+'Quarterly returns'!N61)*(1+'Quarterly returns'!N62)*(1+'Quarterly returns'!N63)*(1+'Quarterly returns'!N64)-1</f>
        <v>0.0363534283063902</v>
      </c>
      <c r="D76" s="68">
        <f>(1+'Quarterly returns'!O61)*(1+'Quarterly returns'!O62)*(1+'Quarterly returns'!O63)*(1+'Quarterly returns'!O64)-1</f>
        <v>0.0390649909846927</v>
      </c>
      <c r="E76" s="68">
        <f>(1+'Quarterly returns'!P61)*(1+'Quarterly returns'!P62)*(1+'Quarterly returns'!P63)*(1+'Quarterly returns'!P64)-1</f>
        <v>0.0886029438373515</v>
      </c>
      <c r="F76" s="68">
        <f>(1+'Quarterly returns'!Q61)*(1+'Quarterly returns'!Q62)*(1+'Quarterly returns'!Q63)*(1+'Quarterly returns'!Q64)-1</f>
        <v>-0.175897378473855</v>
      </c>
      <c r="G76" s="68">
        <f>(1+'Quarterly returns'!R61)*(1+'Quarterly returns'!R62)*(1+'Quarterly returns'!R63)*(1+'Quarterly returns'!R64)-1</f>
        <v>-0.305153072690126</v>
      </c>
      <c r="H76" s="68">
        <f>(1+'Quarterly returns'!S61)*(1+'Quarterly returns'!S62)*(1+'Quarterly returns'!S63)*(1+'Quarterly returns'!S64)-1</f>
        <v>0.0248598380992437</v>
      </c>
      <c r="I76" s="68">
        <f>(1+'Quarterly returns'!T61)*(1+'Quarterly returns'!T62)*(1+'Quarterly returns'!T63)*(1+'Quarterly returns'!T64)-1</f>
        <v>0.101054710035837</v>
      </c>
      <c r="J76" s="68">
        <f>(1+'Quarterly returns'!U61)*(1+'Quarterly returns'!U62)*(1+'Quarterly returns'!U63)*(1+'Quarterly returns'!U64)-1</f>
        <v>0.080311135216065</v>
      </c>
      <c r="K76" s="68">
        <f>(1+'Quarterly returns'!V61)*(1+'Quarterly returns'!V62)*(1+'Quarterly returns'!V63)*(1+'Quarterly returns'!V64)-1</f>
        <v>0.0488812065458324</v>
      </c>
      <c r="L76" s="68">
        <f>(1+'Quarterly returns'!W61)*(1+'Quarterly returns'!W62)*(1+'Quarterly returns'!W63)*(1+'Quarterly returns'!W64)-1</f>
        <v>0.0455763295233715</v>
      </c>
      <c r="M76" s="68">
        <f>(1+'Quarterly returns'!X61)*(1+'Quarterly returns'!X62)*(1+'Quarterly returns'!X63)*(1+'Quarterly returns'!X64)-1</f>
        <v>0.00367281739277292</v>
      </c>
      <c r="N76" s="77" t="n"/>
      <c r="O76" s="68">
        <f>C76-AVERAGE(C$21:C$97)+Forecast!$G$6</f>
        <v>0.0315577207112953</v>
      </c>
      <c r="P76" s="68">
        <f>D76-AVERAGE(D$21:D$97)+Forecast!$G$7</f>
        <v>0.0109411997405161</v>
      </c>
      <c r="Q76" s="68">
        <f>E76-AVERAGE(E$21:E$97)+Forecast!$G$8</f>
        <v>0.0702102159059922</v>
      </c>
      <c r="R76" s="68">
        <f>F76-AVERAGE(F$21:F$97)+Forecast!$G$9</f>
        <v>-0.169259545663071</v>
      </c>
      <c r="S76" s="68">
        <f>G76-AVERAGE(G$21:G$97)+Forecast!$G$10</f>
        <v>-0.252217475471587</v>
      </c>
      <c r="T76" s="68">
        <f>H76-AVERAGE(H$21:H$97)+Forecast!$G$11</f>
        <v>0.00611590855619483</v>
      </c>
      <c r="U76" s="68">
        <f>I76-AVERAGE(I$21:I$97)+Forecast!$G$12</f>
        <v>0.0587256515243993</v>
      </c>
      <c r="V76" s="68">
        <f>J76-AVERAGE(J$21:J$97)+Forecast!$G$13</f>
        <v>0.00847140514053585</v>
      </c>
      <c r="W76" s="68">
        <f>K76-AVERAGE(K$21:K$97)+Forecast!$G$14</f>
        <v>0.0568116193167921</v>
      </c>
      <c r="X76" s="68">
        <f>L76-AVERAGE(L$21:L$97)+Forecast!$G$15</f>
        <v>0.0538196466378831</v>
      </c>
      <c r="Y76" s="68">
        <f>M76-AVERAGE(M$21:M$97)+Forecast!$G$16</f>
        <v>0.0187278896908429</v>
      </c>
      <c r="Z76" s="68">
        <f>SUMPRODUCT($O76:$Y76,Risk!$B$56:$L$56)</f>
        <v>0.0120236405732227</v>
      </c>
      <c r="AA76" s="68">
        <f>SUMPRODUCT($O76:$Y76,Risk!$B$57:$L$57)</f>
        <v>0.0124864385398818</v>
      </c>
      <c r="AB76" s="68">
        <f>SUMPRODUCT($O76:$Y76,Risk!$B$58:$L$58)</f>
        <v>0.00971162072019936</v>
      </c>
      <c r="AC76" s="68">
        <f>SUMPRODUCT(MMULT($O76:$Y76,Portfolio!$C$127:$C$137))</f>
        <v>0.00442952078064568</v>
      </c>
      <c r="AD76" s="68">
        <f>SUMPRODUCT(MMULT($O76:$Y76,Portfolio!$D$127:$D$137))</f>
        <v>0.0183901486640898</v>
      </c>
      <c r="AE76" s="68">
        <f>SUMPRODUCT(MMULT($O76:$Y76,Portfolio!$E$127:$E$137))</f>
        <v>0.00423671582851306</v>
      </c>
      <c r="AF76" s="314">
        <f>SUMPRODUCT(MMULT($O76:$Y76,Portfolio!$F$127:$F$137))</f>
        <v>0.033487539288122</v>
      </c>
    </row>
    <row r="77">
      <c r="A77" s="312" t="n">
        <v>57</v>
      </c>
      <c r="B77" s="313">
        <f>'Quarterly returns'!A65</f>
        <v>44286.0</v>
      </c>
      <c r="C77" s="68">
        <f>(1+'Quarterly returns'!N62)*(1+'Quarterly returns'!N63)*(1+'Quarterly returns'!N64)*(1+'Quarterly returns'!N65)-1</f>
        <v>0.411374119359183</v>
      </c>
      <c r="D77" s="68">
        <f>(1+'Quarterly returns'!O62)*(1+'Quarterly returns'!O63)*(1+'Quarterly returns'!O64)*(1+'Quarterly returns'!O65)-1</f>
        <v>0.217094381235875</v>
      </c>
      <c r="E77" s="68">
        <f>(1+'Quarterly returns'!P62)*(1+'Quarterly returns'!P63)*(1+'Quarterly returns'!P64)*(1+'Quarterly returns'!P65)-1</f>
        <v>0.233539885118426</v>
      </c>
      <c r="F77" s="68">
        <f>(1+'Quarterly returns'!Q62)*(1+'Quarterly returns'!Q63)*(1+'Quarterly returns'!Q64)*(1+'Quarterly returns'!Q65)-1</f>
        <v>0.0766291077411916</v>
      </c>
      <c r="G77" s="68">
        <f>(1+'Quarterly returns'!R62)*(1+'Quarterly returns'!R63)*(1+'Quarterly returns'!R64)*(1+'Quarterly returns'!R65)-1</f>
        <v>0.207160493110096</v>
      </c>
      <c r="H77" s="68">
        <f>(1+'Quarterly returns'!S62)*(1+'Quarterly returns'!S63)*(1+'Quarterly returns'!S64)*(1+'Quarterly returns'!S65)-1</f>
        <v>0.15535168106259</v>
      </c>
      <c r="I77" s="68">
        <f>(1+'Quarterly returns'!T62)*(1+'Quarterly returns'!T63)*(1+'Quarterly returns'!T64)*(1+'Quarterly returns'!T65)-1</f>
        <v>0.029402279252758</v>
      </c>
      <c r="J77" s="68">
        <f>(1+'Quarterly returns'!U62)*(1+'Quarterly returns'!U63)*(1+'Quarterly returns'!U64)*(1+'Quarterly returns'!U65)-1</f>
        <v>0.209987389299001</v>
      </c>
      <c r="K77" s="68">
        <f>(1+'Quarterly returns'!V62)*(1+'Quarterly returns'!V63)*(1+'Quarterly returns'!V64)*(1+'Quarterly returns'!V65)-1</f>
        <v>-0.0202013642960552</v>
      </c>
      <c r="L77" s="68">
        <f>(1+'Quarterly returns'!W62)*(1+'Quarterly returns'!W63)*(1+'Quarterly returns'!W64)*(1+'Quarterly returns'!W65)-1</f>
        <v>-0.0157963651817402</v>
      </c>
      <c r="M77" s="68">
        <f>(1+'Quarterly returns'!X62)*(1+'Quarterly returns'!X63)*(1+'Quarterly returns'!X64)*(1+'Quarterly returns'!X65)-1</f>
        <v>0.00114136280765575</v>
      </c>
      <c r="N77" s="77" t="n"/>
      <c r="O77" s="68">
        <f>C77-AVERAGE(C$21:C$97)+Forecast!$G$6</f>
        <v>0.406578411764088</v>
      </c>
      <c r="P77" s="68">
        <f>D77-AVERAGE(D$21:D$97)+Forecast!$G$7</f>
        <v>0.188970589991698</v>
      </c>
      <c r="Q77" s="68">
        <f>E77-AVERAGE(E$21:E$97)+Forecast!$G$8</f>
        <v>0.215147157187067</v>
      </c>
      <c r="R77" s="68">
        <f>F77-AVERAGE(F$21:F$97)+Forecast!$G$9</f>
        <v>0.0832669405519752</v>
      </c>
      <c r="S77" s="68">
        <f>G77-AVERAGE(G$21:G$97)+Forecast!$G$10</f>
        <v>0.260096090328635</v>
      </c>
      <c r="T77" s="68">
        <f>H77-AVERAGE(H$21:H$97)+Forecast!$G$11</f>
        <v>0.136607751519541</v>
      </c>
      <c r="U77" s="68">
        <f>I77-AVERAGE(I$21:I$97)+Forecast!$G$12</f>
        <v>-0.0129267792586795</v>
      </c>
      <c r="V77" s="68">
        <f>J77-AVERAGE(J$21:J$97)+Forecast!$G$13</f>
        <v>0.138147659223471</v>
      </c>
      <c r="W77" s="68">
        <f>K77-AVERAGE(K$21:K$97)+Forecast!$G$14</f>
        <v>-0.0122709515250955</v>
      </c>
      <c r="X77" s="68">
        <f>L77-AVERAGE(L$21:L$97)+Forecast!$G$15</f>
        <v>-0.00755304806722863</v>
      </c>
      <c r="Y77" s="68">
        <f>M77-AVERAGE(M$21:M$97)+Forecast!$G$16</f>
        <v>0.0161964351057257</v>
      </c>
      <c r="Z77" s="68">
        <f>SUMPRODUCT($O77:$Y77,Risk!$B$56:$L$56)</f>
        <v>0.207441040642431</v>
      </c>
      <c r="AA77" s="68">
        <f>SUMPRODUCT($O77:$Y77,Risk!$B$57:$L$57)</f>
        <v>0.173006705427037</v>
      </c>
      <c r="AB77" s="68">
        <f>SUMPRODUCT($O77:$Y77,Risk!$B$58:$L$58)</f>
        <v>0.189945267684774</v>
      </c>
      <c r="AC77" s="68">
        <f>SUMPRODUCT(MMULT($O77:$Y77,Portfolio!$C$127:$C$137))</f>
        <v>0.19615674605703</v>
      </c>
      <c r="AD77" s="68">
        <f>SUMPRODUCT(MMULT($O77:$Y77,Portfolio!$D$127:$D$137))</f>
        <v>0.183082420431447</v>
      </c>
      <c r="AE77" s="68">
        <f>SUMPRODUCT(MMULT($O77:$Y77,Portfolio!$E$127:$E$137))</f>
        <v>0.19419190274655</v>
      </c>
      <c r="AF77" s="314">
        <f>SUMPRODUCT(MMULT($O77:$Y77,Portfolio!$F$127:$F$137))</f>
        <v>0.182362349458214</v>
      </c>
    </row>
    <row r="78">
      <c r="A78" s="312" t="n">
        <v>58</v>
      </c>
      <c r="B78" s="313">
        <f>'Quarterly returns'!A66</f>
        <v>44377.0</v>
      </c>
      <c r="C78" s="68">
        <f>(1+'Quarterly returns'!N63)*(1+'Quarterly returns'!N64)*(1+'Quarterly returns'!N65)*(1+'Quarterly returns'!N66)-1</f>
        <v>0.302411649013549</v>
      </c>
      <c r="D78" s="68">
        <f>(1+'Quarterly returns'!O63)*(1+'Quarterly returns'!O64)*(1+'Quarterly returns'!O65)*(1+'Quarterly returns'!O66)-1</f>
        <v>0.261114621398063</v>
      </c>
      <c r="E78" s="68">
        <f>(1+'Quarterly returns'!P63)*(1+'Quarterly returns'!P64)*(1+'Quarterly returns'!P65)*(1+'Quarterly returns'!P66)-1</f>
        <v>0.251844764444772</v>
      </c>
      <c r="F78" s="68">
        <f>(1+'Quarterly returns'!Q63)*(1+'Quarterly returns'!Q64)*(1+'Quarterly returns'!Q65)*(1+'Quarterly returns'!Q66)-1</f>
        <v>0.228477687205571</v>
      </c>
      <c r="G78" s="68">
        <f>(1+'Quarterly returns'!R63)*(1+'Quarterly returns'!R64)*(1+'Quarterly returns'!R65)*(1+'Quarterly returns'!R66)-1</f>
        <v>0.443182598713409</v>
      </c>
      <c r="H78" s="68">
        <f>(1+'Quarterly returns'!S63)*(1+'Quarterly returns'!S64)*(1+'Quarterly returns'!S65)*(1+'Quarterly returns'!S66)-1</f>
        <v>0.371831918823822</v>
      </c>
      <c r="I78" s="68">
        <f>(1+'Quarterly returns'!T63)*(1+'Quarterly returns'!T64)*(1+'Quarterly returns'!T65)*(1+'Quarterly returns'!T66)-1</f>
        <v>0.226004110797633</v>
      </c>
      <c r="J78" s="68">
        <f>(1+'Quarterly returns'!U63)*(1+'Quarterly returns'!U64)*(1+'Quarterly returns'!U65)*(1+'Quarterly returns'!U66)-1</f>
        <v>0.236966991752031</v>
      </c>
      <c r="K78" s="68">
        <f>(1+'Quarterly returns'!V63)*(1+'Quarterly returns'!V64)*(1+'Quarterly returns'!V65)*(1+'Quarterly returns'!V66)-1</f>
        <v>-0.00789737906543819</v>
      </c>
      <c r="L78" s="68">
        <f>(1+'Quarterly returns'!W63)*(1+'Quarterly returns'!W64)*(1+'Quarterly returns'!W65)*(1+'Quarterly returns'!W66)-1</f>
        <v>-0.0209883616903183</v>
      </c>
      <c r="M78" s="68">
        <f>(1+'Quarterly returns'!X63)*(1+'Quarterly returns'!X64)*(1+'Quarterly returns'!X65)*(1+'Quarterly returns'!X66)-1</f>
        <v>0.000584852080642628</v>
      </c>
      <c r="N78" s="77" t="n"/>
      <c r="O78" s="68">
        <f>C78-AVERAGE(C$21:C$97)+Forecast!$G$6</f>
        <v>0.297615941418454</v>
      </c>
      <c r="P78" s="68">
        <f>D78-AVERAGE(D$21:D$97)+Forecast!$G$7</f>
        <v>0.232990830153886</v>
      </c>
      <c r="Q78" s="68">
        <f>E78-AVERAGE(E$21:E$97)+Forecast!$G$8</f>
        <v>0.233452036513413</v>
      </c>
      <c r="R78" s="68">
        <f>F78-AVERAGE(F$21:F$97)+Forecast!$G$9</f>
        <v>0.235115520016355</v>
      </c>
      <c r="S78" s="68">
        <f>G78-AVERAGE(G$21:G$97)+Forecast!$G$10</f>
        <v>0.496118195931949</v>
      </c>
      <c r="T78" s="68">
        <f>H78-AVERAGE(H$21:H$97)+Forecast!$G$11</f>
        <v>0.353087989280773</v>
      </c>
      <c r="U78" s="68">
        <f>I78-AVERAGE(I$21:I$97)+Forecast!$G$12</f>
        <v>0.183675052286196</v>
      </c>
      <c r="V78" s="68">
        <f>J78-AVERAGE(J$21:J$97)+Forecast!$G$13</f>
        <v>0.165127261676502</v>
      </c>
      <c r="W78" s="68">
        <f>K78-AVERAGE(K$21:K$97)+Forecast!$G$14</f>
        <v>3.30337055215318e-05</v>
      </c>
      <c r="X78" s="68">
        <f>L78-AVERAGE(L$21:L$97)+Forecast!$G$15</f>
        <v>-0.0127450445758067</v>
      </c>
      <c r="Y78" s="68">
        <f>M78-AVERAGE(M$21:M$97)+Forecast!$G$16</f>
        <v>0.0156399243787126</v>
      </c>
      <c r="Z78" s="68">
        <f>SUMPRODUCT($O78:$Y78,Risk!$B$56:$L$56)</f>
        <v>0.189236240796068</v>
      </c>
      <c r="AA78" s="68">
        <f>SUMPRODUCT($O78:$Y78,Risk!$B$57:$L$57)</f>
        <v>0.190896132436448</v>
      </c>
      <c r="AB78" s="68">
        <f>SUMPRODUCT($O78:$Y78,Risk!$B$58:$L$58)</f>
        <v>0.193343389079581</v>
      </c>
      <c r="AC78" s="68">
        <f>SUMPRODUCT(MMULT($O78:$Y78,Portfolio!$C$127:$C$137))</f>
        <v>0.212499779667333</v>
      </c>
      <c r="AD78" s="68">
        <f>SUMPRODUCT(MMULT($O78:$Y78,Portfolio!$D$127:$D$137))</f>
        <v>0.179751381098029</v>
      </c>
      <c r="AE78" s="68">
        <f>SUMPRODUCT(MMULT($O78:$Y78,Portfolio!$E$127:$E$137))</f>
        <v>0.214509048126254</v>
      </c>
      <c r="AF78" s="314">
        <f>SUMPRODUCT(MMULT($O78:$Y78,Portfolio!$F$127:$F$137))</f>
        <v>0.162522137108906</v>
      </c>
    </row>
    <row r="79">
      <c r="A79" s="312" t="n">
        <v>59</v>
      </c>
      <c r="B79" s="313">
        <f>'Quarterly returns'!A67</f>
        <v>44469.0</v>
      </c>
      <c r="C79" s="68">
        <f>(1+'Quarterly returns'!N64)*(1+'Quarterly returns'!N65)*(1+'Quarterly returns'!N66)*(1+'Quarterly returns'!N67)-1</f>
        <v>0.314605752559557</v>
      </c>
      <c r="D79" s="68">
        <f>(1+'Quarterly returns'!O64)*(1+'Quarterly returns'!O65)*(1+'Quarterly returns'!O66)*(1+'Quarterly returns'!O67)-1</f>
        <v>0.28617194336758</v>
      </c>
      <c r="E79" s="68">
        <f>(1+'Quarterly returns'!P64)*(1+'Quarterly returns'!P65)*(1+'Quarterly returns'!P66)*(1+'Quarterly returns'!P67)-1</f>
        <v>0.163258549497775</v>
      </c>
      <c r="F79" s="68">
        <f>(1+'Quarterly returns'!Q64)*(1+'Quarterly returns'!Q65)*(1+'Quarterly returns'!Q66)*(1+'Quarterly returns'!Q67)-1</f>
        <v>0.318123281953271</v>
      </c>
      <c r="G79" s="68">
        <f>(1+'Quarterly returns'!R64)*(1+'Quarterly returns'!R65)*(1+'Quarterly returns'!R66)*(1+'Quarterly returns'!R67)-1</f>
        <v>0.570698224474135</v>
      </c>
      <c r="H79" s="68">
        <f>(1+'Quarterly returns'!S64)*(1+'Quarterly returns'!S65)*(1+'Quarterly returns'!S66)*(1+'Quarterly returns'!S67)-1</f>
        <v>0.325072925394207</v>
      </c>
      <c r="I79" s="68">
        <f>(1+'Quarterly returns'!T64)*(1+'Quarterly returns'!T65)*(1+'Quarterly returns'!T66)*(1+'Quarterly returns'!T67)-1</f>
        <v>0.163245544368796</v>
      </c>
      <c r="J79" s="68">
        <f>(1+'Quarterly returns'!U64)*(1+'Quarterly returns'!U65)*(1+'Quarterly returns'!U66)*(1+'Quarterly returns'!U67)-1</f>
        <v>0.319812434529196</v>
      </c>
      <c r="K79" s="68">
        <f>(1+'Quarterly returns'!V64)*(1+'Quarterly returns'!V65)*(1+'Quarterly returns'!V66)*(1+'Quarterly returns'!V67)-1</f>
        <v>-0.0165134820388785</v>
      </c>
      <c r="L79" s="68">
        <f>(1+'Quarterly returns'!W64)*(1+'Quarterly returns'!W65)*(1+'Quarterly returns'!W66)*(1+'Quarterly returns'!W67)-1</f>
        <v>-0.0233520802232752</v>
      </c>
      <c r="M79" s="68">
        <f>(1+'Quarterly returns'!X64)*(1+'Quarterly returns'!X65)*(1+'Quarterly returns'!X66)*(1+'Quarterly returns'!X67)-1</f>
        <v>0.000381429472752215</v>
      </c>
      <c r="N79" s="77" t="n"/>
      <c r="O79" s="68">
        <f>C79-AVERAGE(C$21:C$97)+Forecast!$G$6</f>
        <v>0.309810044964462</v>
      </c>
      <c r="P79" s="68">
        <f>D79-AVERAGE(D$21:D$97)+Forecast!$G$7</f>
        <v>0.258048152123404</v>
      </c>
      <c r="Q79" s="68">
        <f>E79-AVERAGE(E$21:E$97)+Forecast!$G$8</f>
        <v>0.144865821566416</v>
      </c>
      <c r="R79" s="68">
        <f>F79-AVERAGE(F$21:F$97)+Forecast!$G$9</f>
        <v>0.324761114764055</v>
      </c>
      <c r="S79" s="68">
        <f>G79-AVERAGE(G$21:G$97)+Forecast!$G$10</f>
        <v>0.623633821692675</v>
      </c>
      <c r="T79" s="68">
        <f>H79-AVERAGE(H$21:H$97)+Forecast!$G$11</f>
        <v>0.306328995851158</v>
      </c>
      <c r="U79" s="68">
        <f>I79-AVERAGE(I$21:I$97)+Forecast!$G$12</f>
        <v>0.120916485857359</v>
      </c>
      <c r="V79" s="68">
        <f>J79-AVERAGE(J$21:J$97)+Forecast!$G$13</f>
        <v>0.247972704453667</v>
      </c>
      <c r="W79" s="68">
        <f>K79-AVERAGE(K$21:K$97)+Forecast!$G$14</f>
        <v>-0.00858306926791876</v>
      </c>
      <c r="X79" s="68">
        <f>L79-AVERAGE(L$21:L$97)+Forecast!$G$15</f>
        <v>-0.0151087631087636</v>
      </c>
      <c r="Y79" s="68">
        <f>M79-AVERAGE(M$21:M$97)+Forecast!$G$16</f>
        <v>0.0154365017708222</v>
      </c>
      <c r="Z79" s="68">
        <f>SUMPRODUCT($O79:$Y79,Risk!$B$56:$L$56)</f>
        <v>0.20659415357194</v>
      </c>
      <c r="AA79" s="68">
        <f>SUMPRODUCT($O79:$Y79,Risk!$B$57:$L$57)</f>
        <v>0.202918623780603</v>
      </c>
      <c r="AB79" s="68">
        <f>SUMPRODUCT($O79:$Y79,Risk!$B$58:$L$58)</f>
        <v>0.207261104020854</v>
      </c>
      <c r="AC79" s="68">
        <f>SUMPRODUCT(MMULT($O79:$Y79,Portfolio!$C$127:$C$137))</f>
        <v>0.227022839962534</v>
      </c>
      <c r="AD79" s="68">
        <f>SUMPRODUCT(MMULT($O79:$Y79,Portfolio!$D$127:$D$137))</f>
        <v>0.189794442556196</v>
      </c>
      <c r="AE79" s="68">
        <f>SUMPRODUCT(MMULT($O79:$Y79,Portfolio!$E$127:$E$137))</f>
        <v>0.231453722454152</v>
      </c>
      <c r="AF79" s="314">
        <f>SUMPRODUCT(MMULT($O79:$Y79,Portfolio!$F$127:$F$137))</f>
        <v>0.172161951188684</v>
      </c>
    </row>
    <row r="80">
      <c r="A80" s="312" t="n">
        <v>60</v>
      </c>
      <c r="B80" s="313">
        <f>'Quarterly returns'!A68</f>
        <v>44561.0</v>
      </c>
      <c r="C80" s="68">
        <f>(1+'Quarterly returns'!N65)*(1+'Quarterly returns'!N66)*(1+'Quarterly returns'!N67)*(1+'Quarterly returns'!N68)-1</f>
        <v>0.177381318058063</v>
      </c>
      <c r="D80" s="68">
        <f>(1+'Quarterly returns'!O65)*(1+'Quarterly returns'!O66)*(1+'Quarterly returns'!O67)*(1+'Quarterly returns'!O68)-1</f>
        <v>0.323588892441393</v>
      </c>
      <c r="E80" s="68">
        <f>(1+'Quarterly returns'!P65)*(1+'Quarterly returns'!P66)*(1+'Quarterly returns'!P67)*(1+'Quarterly returns'!P68)-1</f>
        <v>0.0627853713294164</v>
      </c>
      <c r="F80" s="68">
        <f>(1+'Quarterly returns'!Q65)*(1+'Quarterly returns'!Q66)*(1+'Quarterly returns'!Q67)*(1+'Quarterly returns'!Q68)-1</f>
        <v>0.43357867166124</v>
      </c>
      <c r="G80" s="68">
        <f>(1+'Quarterly returns'!R65)*(1+'Quarterly returns'!R66)*(1+'Quarterly returns'!R67)*(1+'Quarterly returns'!R68)-1</f>
        <v>0.489633396650994</v>
      </c>
      <c r="H80" s="68">
        <f>(1+'Quarterly returns'!S65)*(1+'Quarterly returns'!S66)*(1+'Quarterly returns'!S67)*(1+'Quarterly returns'!S68)-1</f>
        <v>0.286649288806886</v>
      </c>
      <c r="I80" s="68">
        <f>(1+'Quarterly returns'!T65)*(1+'Quarterly returns'!T66)*(1+'Quarterly returns'!T67)*(1+'Quarterly returns'!T68)-1</f>
        <v>0.126393751338879</v>
      </c>
      <c r="J80" s="68">
        <f>(1+'Quarterly returns'!U65)*(1+'Quarterly returns'!U66)*(1+'Quarterly returns'!U67)*(1+'Quarterly returns'!U68)-1</f>
        <v>0.35971074469011</v>
      </c>
      <c r="K80" s="68">
        <f>(1+'Quarterly returns'!V65)*(1+'Quarterly returns'!V66)*(1+'Quarterly returns'!V67)*(1+'Quarterly returns'!V68)-1</f>
        <v>-0.03048360246628</v>
      </c>
      <c r="L80" s="68">
        <f>(1+'Quarterly returns'!W65)*(1+'Quarterly returns'!W66)*(1+'Quarterly returns'!W67)*(1+'Quarterly returns'!W68)-1</f>
        <v>-0.023952538612142</v>
      </c>
      <c r="M80" s="68">
        <f>(1+'Quarterly returns'!X65)*(1+'Quarterly returns'!X66)*(1+'Quarterly returns'!X67)*(1+'Quarterly returns'!X68)-1</f>
        <v>0.000268119096298758</v>
      </c>
      <c r="N80" s="77" t="n"/>
      <c r="O80" s="68">
        <f>C80-AVERAGE(C$21:C$97)+Forecast!$G$6</f>
        <v>0.172585610462968</v>
      </c>
      <c r="P80" s="68">
        <f>D80-AVERAGE(D$21:D$97)+Forecast!$G$7</f>
        <v>0.295465101197216</v>
      </c>
      <c r="Q80" s="68">
        <f>E80-AVERAGE(E$21:E$97)+Forecast!$G$8</f>
        <v>0.0443926433980572</v>
      </c>
      <c r="R80" s="68">
        <f>F80-AVERAGE(F$21:F$97)+Forecast!$G$9</f>
        <v>0.440216504472024</v>
      </c>
      <c r="S80" s="68">
        <f>G80-AVERAGE(G$21:G$97)+Forecast!$G$10</f>
        <v>0.542568993869533</v>
      </c>
      <c r="T80" s="68">
        <f>H80-AVERAGE(H$21:H$97)+Forecast!$G$11</f>
        <v>0.267905359263837</v>
      </c>
      <c r="U80" s="68">
        <f>I80-AVERAGE(I$21:I$97)+Forecast!$G$12</f>
        <v>0.0840646928274412</v>
      </c>
      <c r="V80" s="68">
        <f>J80-AVERAGE(J$21:J$97)+Forecast!$G$13</f>
        <v>0.287871014614581</v>
      </c>
      <c r="W80" s="68">
        <f>K80-AVERAGE(K$21:K$97)+Forecast!$G$14</f>
        <v>-0.0225531896953203</v>
      </c>
      <c r="X80" s="68">
        <f>L80-AVERAGE(L$21:L$97)+Forecast!$G$15</f>
        <v>-0.0157092214976304</v>
      </c>
      <c r="Y80" s="68">
        <f>M80-AVERAGE(M$21:M$97)+Forecast!$G$16</f>
        <v>0.0153231913943687</v>
      </c>
      <c r="Z80" s="68">
        <f>SUMPRODUCT($O80:$Y80,Risk!$B$56:$L$56)</f>
        <v>0.16858182209533</v>
      </c>
      <c r="AA80" s="68">
        <f>SUMPRODUCT($O80:$Y80,Risk!$B$57:$L$57)</f>
        <v>0.177183915401647</v>
      </c>
      <c r="AB80" s="68">
        <f>SUMPRODUCT($O80:$Y80,Risk!$B$58:$L$58)</f>
        <v>0.179652505816679</v>
      </c>
      <c r="AC80" s="68">
        <f>SUMPRODUCT(MMULT($O80:$Y80,Portfolio!$C$127:$C$137))</f>
        <v>0.199171590352248</v>
      </c>
      <c r="AD80" s="68">
        <f>SUMPRODUCT(MMULT($O80:$Y80,Portfolio!$D$127:$D$137))</f>
        <v>0.163240031325981</v>
      </c>
      <c r="AE80" s="68">
        <f>SUMPRODUCT(MMULT($O80:$Y80,Portfolio!$E$127:$E$137))</f>
        <v>0.207364430866431</v>
      </c>
      <c r="AF80" s="314">
        <f>SUMPRODUCT(MMULT($O80:$Y80,Portfolio!$F$127:$F$137))</f>
        <v>0.138148023879757</v>
      </c>
    </row>
    <row r="81">
      <c r="A81" s="312" t="n">
        <v>61</v>
      </c>
      <c r="B81" s="313">
        <f>'Quarterly returns'!A69</f>
        <v>44651.0</v>
      </c>
      <c r="C81" s="68">
        <f>(1+'Quarterly returns'!N66)*(1+'Quarterly returns'!N67)*(1+'Quarterly returns'!N68)*(1+'Quarterly returns'!N69)-1</f>
        <v>0.154804030481698</v>
      </c>
      <c r="D81" s="68">
        <f>(1+'Quarterly returns'!O66)*(1+'Quarterly returns'!O67)*(1+'Quarterly returns'!O68)*(1+'Quarterly returns'!O69)-1</f>
        <v>0.13716011112056</v>
      </c>
      <c r="E81" s="68">
        <f>(1+'Quarterly returns'!P66)*(1+'Quarterly returns'!P67)*(1+'Quarterly returns'!P68)*(1+'Quarterly returns'!P69)-1</f>
        <v>-0.0827709465931464</v>
      </c>
      <c r="F81" s="68">
        <f>(1+'Quarterly returns'!Q66)*(1+'Quarterly returns'!Q67)*(1+'Quarterly returns'!Q68)*(1+'Quarterly returns'!Q69)-1</f>
        <v>0.232813858106642</v>
      </c>
      <c r="G81" s="68">
        <f>(1+'Quarterly returns'!R66)*(1+'Quarterly returns'!R67)*(1+'Quarterly returns'!R68)*(1+'Quarterly returns'!R69)-1</f>
        <v>0.668948828782797</v>
      </c>
      <c r="H81" s="68">
        <f>(1+'Quarterly returns'!S66)*(1+'Quarterly returns'!S67)*(1+'Quarterly returns'!S68)*(1+'Quarterly returns'!S69)-1</f>
        <v>0.1619235683858</v>
      </c>
      <c r="I81" s="68">
        <f>(1+'Quarterly returns'!T66)*(1+'Quarterly returns'!T67)*(1+'Quarterly returns'!T68)*(1+'Quarterly returns'!T69)-1</f>
        <v>0.00229836435020259</v>
      </c>
      <c r="J81" s="68">
        <f>(1+'Quarterly returns'!U66)*(1+'Quarterly returns'!U67)*(1+'Quarterly returns'!U68)*(1+'Quarterly returns'!U69)-1</f>
        <v>0.367020030132996</v>
      </c>
      <c r="K81" s="68">
        <f>(1+'Quarterly returns'!V66)*(1+'Quarterly returns'!V67)*(1+'Quarterly returns'!V68)*(1+'Quarterly returns'!V69)-1</f>
        <v>-0.0599728774129055</v>
      </c>
      <c r="L81" s="68">
        <f>(1+'Quarterly returns'!W66)*(1+'Quarterly returns'!W67)*(1+'Quarterly returns'!W68)*(1+'Quarterly returns'!W69)-1</f>
        <v>-0.0440696427164211</v>
      </c>
      <c r="M81" s="68">
        <f>(1+'Quarterly returns'!X66)*(1+'Quarterly returns'!X67)*(1+'Quarterly returns'!X68)*(1+'Quarterly returns'!X69)-1</f>
        <v>0.000386647309444266</v>
      </c>
      <c r="N81" s="77" t="n"/>
      <c r="O81" s="68">
        <f>C81-AVERAGE(C$21:C$97)+Forecast!$G$6</f>
        <v>0.150008322886603</v>
      </c>
      <c r="P81" s="68">
        <f>D81-AVERAGE(D$21:D$97)+Forecast!$G$7</f>
        <v>0.109036319876384</v>
      </c>
      <c r="Q81" s="68">
        <f>E81-AVERAGE(E$21:E$97)+Forecast!$G$8</f>
        <v>-0.101163674524506</v>
      </c>
      <c r="R81" s="68">
        <f>F81-AVERAGE(F$21:F$97)+Forecast!$G$9</f>
        <v>0.239451690917426</v>
      </c>
      <c r="S81" s="68">
        <f>G81-AVERAGE(G$21:G$97)+Forecast!$G$10</f>
        <v>0.721884426001336</v>
      </c>
      <c r="T81" s="68">
        <f>H81-AVERAGE(H$21:H$97)+Forecast!$G$11</f>
        <v>0.143179638842751</v>
      </c>
      <c r="U81" s="68">
        <f>I81-AVERAGE(I$21:I$97)+Forecast!$G$12</f>
        <v>-0.0400306941612348</v>
      </c>
      <c r="V81" s="68">
        <f>J81-AVERAGE(J$21:J$97)+Forecast!$G$13</f>
        <v>0.295180300057467</v>
      </c>
      <c r="W81" s="68">
        <f>K81-AVERAGE(K$21:K$97)+Forecast!$G$14</f>
        <v>-0.0520424646419457</v>
      </c>
      <c r="X81" s="68">
        <f>L81-AVERAGE(L$21:L$97)+Forecast!$G$15</f>
        <v>-0.0358263256019095</v>
      </c>
      <c r="Y81" s="68">
        <f>M81-AVERAGE(M$21:M$97)+Forecast!$G$16</f>
        <v>0.0154417196075142</v>
      </c>
      <c r="Z81" s="68">
        <f>SUMPRODUCT($O81:$Y81,Risk!$B$56:$L$56)</f>
        <v>0.096164206849742</v>
      </c>
      <c r="AA81" s="68">
        <f>SUMPRODUCT($O81:$Y81,Risk!$B$57:$L$57)</f>
        <v>0.0958850749816617</v>
      </c>
      <c r="AB81" s="68">
        <f>SUMPRODUCT($O81:$Y81,Risk!$B$58:$L$58)</f>
        <v>0.0925153799858203</v>
      </c>
      <c r="AC81" s="68">
        <f>SUMPRODUCT(MMULT($O81:$Y81,Portfolio!$C$127:$C$137))</f>
        <v>0.109852786705629</v>
      </c>
      <c r="AD81" s="68">
        <f>SUMPRODUCT(MMULT($O81:$Y81,Portfolio!$D$127:$D$137))</f>
        <v>0.0722306375808883</v>
      </c>
      <c r="AE81" s="68">
        <f>SUMPRODUCT(MMULT($O81:$Y81,Portfolio!$E$127:$E$137))</f>
        <v>0.115361023177464</v>
      </c>
      <c r="AF81" s="314">
        <f>SUMPRODUCT(MMULT($O81:$Y81,Portfolio!$F$127:$F$137))</f>
        <v>0.0652885993979249</v>
      </c>
    </row>
    <row r="82">
      <c r="A82" s="312" t="n">
        <v>62</v>
      </c>
      <c r="B82" s="313">
        <f>'Quarterly returns'!A70</f>
        <v>44742.0</v>
      </c>
      <c r="C82" s="68">
        <f>(1+'Quarterly returns'!N67)*(1+'Quarterly returns'!N68)*(1+'Quarterly returns'!N69)*(1+'Quarterly returns'!N70)-1</f>
        <v>-0.0744204432900131</v>
      </c>
      <c r="D82" s="68">
        <f>(1+'Quarterly returns'!O67)*(1+'Quarterly returns'!O68)*(1+'Quarterly returns'!O69)*(1+'Quarterly returns'!O70)-1</f>
        <v>-0.0250076726210621</v>
      </c>
      <c r="E82" s="68">
        <f>(1+'Quarterly returns'!P67)*(1+'Quarterly returns'!P68)*(1+'Quarterly returns'!P69)*(1+'Quarterly returns'!P70)-1</f>
        <v>-0.12532729252859</v>
      </c>
      <c r="F82" s="68">
        <f>(1+'Quarterly returns'!Q67)*(1+'Quarterly returns'!Q68)*(1+'Quarterly returns'!Q69)*(1+'Quarterly returns'!Q70)-1</f>
        <v>0.0203495643030269</v>
      </c>
      <c r="G82" s="68">
        <f>(1+'Quarterly returns'!R67)*(1+'Quarterly returns'!R68)*(1+'Quarterly returns'!R69)*(1+'Quarterly returns'!R70)-1</f>
        <v>0.583566204419542</v>
      </c>
      <c r="H82" s="68">
        <f>(1+'Quarterly returns'!S67)*(1+'Quarterly returns'!S68)*(1+'Quarterly returns'!S69)*(1+'Quarterly returns'!S70)-1</f>
        <v>0.0194919857208924</v>
      </c>
      <c r="I82" s="68">
        <f>(1+'Quarterly returns'!T67)*(1+'Quarterly returns'!T68)*(1+'Quarterly returns'!T69)*(1+'Quarterly returns'!T70)-1</f>
        <v>-0.00899664517720034</v>
      </c>
      <c r="J82" s="68">
        <f>(1+'Quarterly returns'!U67)*(1+'Quarterly returns'!U68)*(1+'Quarterly returns'!U69)*(1+'Quarterly returns'!U70)-1</f>
        <v>0.0634003767054954</v>
      </c>
      <c r="K82" s="68">
        <f>(1+'Quarterly returns'!V67)*(1+'Quarterly returns'!V68)*(1+'Quarterly returns'!V69)*(1+'Quarterly returns'!V70)-1</f>
        <v>-0.117344280178192</v>
      </c>
      <c r="L82" s="68">
        <f>(1+'Quarterly returns'!W67)*(1+'Quarterly returns'!W68)*(1+'Quarterly returns'!W69)*(1+'Quarterly returns'!W70)-1</f>
        <v>-0.0932140231384269</v>
      </c>
      <c r="M82" s="68">
        <f>(1+'Quarterly returns'!X67)*(1+'Quarterly returns'!X68)*(1+'Quarterly returns'!X69)*(1+'Quarterly returns'!X70)-1</f>
        <v>0.000963172523835487</v>
      </c>
      <c r="N82" s="77" t="n"/>
      <c r="O82" s="68">
        <f>C82-AVERAGE(C$21:C$97)+Forecast!$G$6</f>
        <v>-0.079216150885108</v>
      </c>
      <c r="P82" s="68">
        <f>D82-AVERAGE(D$21:D$97)+Forecast!$G$7</f>
        <v>-0.0531314638652388</v>
      </c>
      <c r="Q82" s="68">
        <f>E82-AVERAGE(E$21:E$97)+Forecast!$G$8</f>
        <v>-0.143720020459949</v>
      </c>
      <c r="R82" s="68">
        <f>F82-AVERAGE(F$21:F$97)+Forecast!$G$9</f>
        <v>0.0269873971138105</v>
      </c>
      <c r="S82" s="68">
        <f>G82-AVERAGE(G$21:G$97)+Forecast!$G$10</f>
        <v>0.636501801638082</v>
      </c>
      <c r="T82" s="68">
        <f>H82-AVERAGE(H$21:H$97)+Forecast!$G$11</f>
        <v>0.000748056177843473</v>
      </c>
      <c r="U82" s="68">
        <f>I82-AVERAGE(I$21:I$97)+Forecast!$G$12</f>
        <v>-0.0513257036886378</v>
      </c>
      <c r="V82" s="68">
        <f>J82-AVERAGE(J$21:J$97)+Forecast!$G$13</f>
        <v>-0.00843935337003382</v>
      </c>
      <c r="W82" s="68">
        <f>K82-AVERAGE(K$21:K$97)+Forecast!$G$14</f>
        <v>-0.109413867407232</v>
      </c>
      <c r="X82" s="68">
        <f>L82-AVERAGE(L$21:L$97)+Forecast!$G$15</f>
        <v>-0.0849707060239153</v>
      </c>
      <c r="Y82" s="68">
        <f>M82-AVERAGE(M$21:M$97)+Forecast!$G$16</f>
        <v>0.0160182448219054</v>
      </c>
      <c r="Z82" s="68">
        <f>SUMPRODUCT($O82:$Y82,Risk!$B$56:$L$56)</f>
        <v>-0.0617024728711745</v>
      </c>
      <c r="AA82" s="68">
        <f>SUMPRODUCT($O82:$Y82,Risk!$B$57:$L$57)</f>
        <v>-0.0481877564898584</v>
      </c>
      <c r="AB82" s="68">
        <f>SUMPRODUCT($O82:$Y82,Risk!$B$58:$L$58)</f>
        <v>-0.0520626178148286</v>
      </c>
      <c r="AC82" s="68">
        <f>SUMPRODUCT(MMULT($O82:$Y82,Portfolio!$C$127:$C$137))</f>
        <v>-0.0420070401455624</v>
      </c>
      <c r="AD82" s="68">
        <f>SUMPRODUCT(MMULT($O82:$Y82,Portfolio!$D$127:$D$137))</f>
        <v>-0.0704175165144142</v>
      </c>
      <c r="AE82" s="68">
        <f>SUMPRODUCT(MMULT($O82:$Y82,Portfolio!$E$127:$E$137))</f>
        <v>-0.0436965451869227</v>
      </c>
      <c r="AF82" s="314">
        <f>SUMPRODUCT(MMULT($O82:$Y82,Portfolio!$F$127:$F$137))</f>
        <v>-0.075314702882891</v>
      </c>
    </row>
    <row r="83">
      <c r="A83" s="312" t="n">
        <v>63</v>
      </c>
      <c r="B83" s="313">
        <f>'Quarterly returns'!A71</f>
        <v>44834.0</v>
      </c>
      <c r="C83" s="68">
        <f>(1+'Quarterly returns'!N68)*(1+'Quarterly returns'!N69)*(1+'Quarterly returns'!N70)*(1+'Quarterly returns'!N71)-1</f>
        <v>-0.0857042033841066</v>
      </c>
      <c r="D83" s="68">
        <f>(1+'Quarterly returns'!O68)*(1+'Quarterly returns'!O69)*(1+'Quarterly returns'!O70)*(1+'Quarterly returns'!O71)-1</f>
        <v>-0.0464136182417061</v>
      </c>
      <c r="E83" s="68">
        <f>(1+'Quarterly returns'!P68)*(1+'Quarterly returns'!P69)*(1+'Quarterly returns'!P70)*(1+'Quarterly returns'!P71)-1</f>
        <v>-0.113897711378398</v>
      </c>
      <c r="F83" s="68">
        <f>(1+'Quarterly returns'!Q68)*(1+'Quarterly returns'!Q69)*(1+'Quarterly returns'!Q70)*(1+'Quarterly returns'!Q71)-1</f>
        <v>-0.0544776496167368</v>
      </c>
      <c r="G83" s="68">
        <f>(1+'Quarterly returns'!R68)*(1+'Quarterly returns'!R69)*(1+'Quarterly returns'!R70)*(1+'Quarterly returns'!R71)-1</f>
        <v>0.389044069940251</v>
      </c>
      <c r="H83" s="68">
        <f>(1+'Quarterly returns'!S68)*(1+'Quarterly returns'!S69)*(1+'Quarterly returns'!S70)*(1+'Quarterly returns'!S71)-1</f>
        <v>-0.104171850779551</v>
      </c>
      <c r="I83" s="68">
        <f>(1+'Quarterly returns'!T68)*(1+'Quarterly returns'!T69)*(1+'Quarterly returns'!T70)*(1+'Quarterly returns'!T71)-1</f>
        <v>-0.0380787774184477</v>
      </c>
      <c r="J83" s="68">
        <f>(1+'Quarterly returns'!U68)*(1+'Quarterly returns'!U69)*(1+'Quarterly returns'!U70)*(1+'Quarterly returns'!U71)-1</f>
        <v>-0.033948383863123</v>
      </c>
      <c r="K83" s="68">
        <f>(1+'Quarterly returns'!V68)*(1+'Quarterly returns'!V69)*(1+'Quarterly returns'!V70)*(1+'Quarterly returns'!V71)-1</f>
        <v>-0.125631300480508</v>
      </c>
      <c r="L83" s="68">
        <f>(1+'Quarterly returns'!W68)*(1+'Quarterly returns'!W69)*(1+'Quarterly returns'!W70)*(1+'Quarterly returns'!W71)-1</f>
        <v>-0.126764491859939</v>
      </c>
      <c r="M83" s="68">
        <f>(1+'Quarterly returns'!X68)*(1+'Quarterly returns'!X69)*(1+'Quarterly returns'!X70)*(1+'Quarterly returns'!X71)-1</f>
        <v>0.00514841729078008</v>
      </c>
      <c r="N83" s="77" t="n"/>
      <c r="O83" s="68">
        <f>C83-AVERAGE(C$21:C$97)+Forecast!$G$6</f>
        <v>-0.0904999109792015</v>
      </c>
      <c r="P83" s="68">
        <f>D83-AVERAGE(D$21:D$97)+Forecast!$G$7</f>
        <v>-0.0745374094858828</v>
      </c>
      <c r="Q83" s="68">
        <f>E83-AVERAGE(E$21:E$97)+Forecast!$G$8</f>
        <v>-0.132290439309757</v>
      </c>
      <c r="R83" s="68">
        <f>F83-AVERAGE(F$21:F$97)+Forecast!$G$9</f>
        <v>-0.0478398168059532</v>
      </c>
      <c r="S83" s="68">
        <f>G83-AVERAGE(G$21:G$97)+Forecast!$G$10</f>
        <v>0.44197966715879</v>
      </c>
      <c r="T83" s="68">
        <f>H83-AVERAGE(H$21:H$97)+Forecast!$G$11</f>
        <v>-0.1229157803226</v>
      </c>
      <c r="U83" s="68">
        <f>I83-AVERAGE(I$21:I$97)+Forecast!$G$12</f>
        <v>-0.0804078359298851</v>
      </c>
      <c r="V83" s="68">
        <f>J83-AVERAGE(J$21:J$97)+Forecast!$G$13</f>
        <v>-0.105788113938652</v>
      </c>
      <c r="W83" s="68">
        <f>K83-AVERAGE(K$21:K$97)+Forecast!$G$14</f>
        <v>-0.117700887709548</v>
      </c>
      <c r="X83" s="68">
        <f>L83-AVERAGE(L$21:L$97)+Forecast!$G$15</f>
        <v>-0.118521174745427</v>
      </c>
      <c r="Y83" s="68">
        <f>M83-AVERAGE(M$21:M$97)+Forecast!$G$16</f>
        <v>0.02020348958885</v>
      </c>
      <c r="Z83" s="68">
        <f>SUMPRODUCT($O83:$Y83,Risk!$B$56:$L$56)</f>
        <v>-0.0816140108342994</v>
      </c>
      <c r="AA83" s="68">
        <f>SUMPRODUCT($O83:$Y83,Risk!$B$57:$L$57)</f>
        <v>-0.0796328793598003</v>
      </c>
      <c r="AB83" s="68">
        <f>SUMPRODUCT($O83:$Y83,Risk!$B$58:$L$58)</f>
        <v>-0.0768255547907384</v>
      </c>
      <c r="AC83" s="68">
        <f>SUMPRODUCT(MMULT($O83:$Y83,Portfolio!$C$127:$C$137))</f>
        <v>-0.0735989529182014</v>
      </c>
      <c r="AD83" s="68">
        <f>SUMPRODUCT(MMULT($O83:$Y83,Portfolio!$D$127:$D$137))</f>
        <v>-0.0909770703202043</v>
      </c>
      <c r="AE83" s="68">
        <f>SUMPRODUCT(MMULT($O83:$Y83,Portfolio!$E$127:$E$137))</f>
        <v>-0.0763350028889311</v>
      </c>
      <c r="AF83" s="314">
        <f>SUMPRODUCT(MMULT($O83:$Y83,Portfolio!$F$127:$F$137))</f>
        <v>-0.0933593227911349</v>
      </c>
    </row>
    <row r="84">
      <c r="A84" s="312" t="n">
        <v>64</v>
      </c>
      <c r="B84" s="313">
        <f>'Quarterly returns'!A72</f>
        <v>44925.0</v>
      </c>
      <c r="C84" s="68">
        <f>(1+'Quarterly returns'!N69)*(1+'Quarterly returns'!N70)*(1+'Quarterly returns'!N71)*(1+'Quarterly returns'!N72)-1</f>
        <v>-0.0295865879400564</v>
      </c>
      <c r="D84" s="68">
        <f>(1+'Quarterly returns'!O69)*(1+'Quarterly returns'!O70)*(1+'Quarterly returns'!O71)*(1+'Quarterly returns'!O72)-1</f>
        <v>-0.0953743991276154</v>
      </c>
      <c r="E84" s="68">
        <f>(1+'Quarterly returns'!P69)*(1+'Quarterly returns'!P70)*(1+'Quarterly returns'!P71)*(1+'Quarterly returns'!P72)-1</f>
        <v>-0.0904646461308547</v>
      </c>
      <c r="F84" s="68">
        <f>(1+'Quarterly returns'!Q69)*(1+'Quarterly returns'!Q70)*(1+'Quarterly returns'!Q71)*(1+'Quarterly returns'!Q72)-1</f>
        <v>-0.16027289304508</v>
      </c>
      <c r="G84" s="68">
        <f>(1+'Quarterly returns'!R69)*(1+'Quarterly returns'!R70)*(1+'Quarterly returns'!R71)*(1+'Quarterly returns'!R72)-1</f>
        <v>0.35070541736578</v>
      </c>
      <c r="H84" s="68">
        <f>(1+'Quarterly returns'!S69)*(1+'Quarterly returns'!S70)*(1+'Quarterly returns'!S71)*(1+'Quarterly returns'!S72)-1</f>
        <v>-0.148372794319343</v>
      </c>
      <c r="I84" s="68">
        <f>(1+'Quarterly returns'!T69)*(1+'Quarterly returns'!T70)*(1+'Quarterly returns'!T71)*(1+'Quarterly returns'!T72)-1</f>
        <v>0.0239117446982013</v>
      </c>
      <c r="J84" s="68">
        <f>(1+'Quarterly returns'!U69)*(1+'Quarterly returns'!U70)*(1+'Quarterly returns'!U71)*(1+'Quarterly returns'!U72)-1</f>
        <v>0.00949395721386037</v>
      </c>
      <c r="K84" s="68">
        <f>(1+'Quarterly returns'!V69)*(1+'Quarterly returns'!V70)*(1+'Quarterly returns'!V71)*(1+'Quarterly returns'!V72)-1</f>
        <v>-0.11082469618679</v>
      </c>
      <c r="L84" s="68">
        <f>(1+'Quarterly returns'!W69)*(1+'Quarterly returns'!W70)*(1+'Quarterly returns'!W71)*(1+'Quarterly returns'!W72)-1</f>
        <v>-0.125909928570645</v>
      </c>
      <c r="M84" s="68">
        <f>(1+'Quarterly returns'!X69)*(1+'Quarterly returns'!X70)*(1+'Quarterly returns'!X71)*(1+'Quarterly returns'!X72)-1</f>
        <v>0.012555221974734</v>
      </c>
      <c r="N84" s="77" t="n"/>
      <c r="O84" s="68">
        <f>C84-AVERAGE(C$21:C$97)+Forecast!$G$6</f>
        <v>-0.0343822955351513</v>
      </c>
      <c r="P84" s="68">
        <f>D84-AVERAGE(D$21:D$97)+Forecast!$G$7</f>
        <v>-0.123498190371792</v>
      </c>
      <c r="Q84" s="68">
        <f>E84-AVERAGE(E$21:E$97)+Forecast!$G$8</f>
        <v>-0.108857374062214</v>
      </c>
      <c r="R84" s="68">
        <f>F84-AVERAGE(F$21:F$97)+Forecast!$G$9</f>
        <v>-0.153635060234297</v>
      </c>
      <c r="S84" s="68">
        <f>G84-AVERAGE(G$21:G$97)+Forecast!$G$10</f>
        <v>0.403641014584319</v>
      </c>
      <c r="T84" s="68">
        <f>H84-AVERAGE(H$21:H$97)+Forecast!$G$11</f>
        <v>-0.167116723862392</v>
      </c>
      <c r="U84" s="68">
        <f>I84-AVERAGE(I$21:I$97)+Forecast!$G$12</f>
        <v>-0.0184173138132361</v>
      </c>
      <c r="V84" s="68">
        <f>J84-AVERAGE(J$21:J$97)+Forecast!$G$13</f>
        <v>-0.0623457728616688</v>
      </c>
      <c r="W84" s="68">
        <f>K84-AVERAGE(K$21:K$97)+Forecast!$G$14</f>
        <v>-0.10289428341583</v>
      </c>
      <c r="X84" s="68">
        <f>L84-AVERAGE(L$21:L$97)+Forecast!$G$15</f>
        <v>-0.117666611456133</v>
      </c>
      <c r="Y84" s="68">
        <f>M84-AVERAGE(M$21:M$97)+Forecast!$G$16</f>
        <v>0.027610294272804</v>
      </c>
      <c r="Z84" s="68">
        <f>SUMPRODUCT($O84:$Y84,Risk!$B$56:$L$56)</f>
        <v>-0.0767308131416175</v>
      </c>
      <c r="AA84" s="68">
        <f>SUMPRODUCT($O84:$Y84,Risk!$B$57:$L$57)</f>
        <v>-0.0814814416231722</v>
      </c>
      <c r="AB84" s="68">
        <f>SUMPRODUCT($O84:$Y84,Risk!$B$58:$L$58)</f>
        <v>-0.0816187364758304</v>
      </c>
      <c r="AC84" s="68">
        <f>SUMPRODUCT(MMULT($O84:$Y84,Portfolio!$C$127:$C$137))</f>
        <v>-0.0809568677846835</v>
      </c>
      <c r="AD84" s="68">
        <f>SUMPRODUCT(MMULT($O84:$Y84,Portfolio!$D$127:$D$137))</f>
        <v>-0.0941144969406029</v>
      </c>
      <c r="AE84" s="68">
        <f>SUMPRODUCT(MMULT($O84:$Y84,Portfolio!$E$127:$E$137))</f>
        <v>-0.0819504998519656</v>
      </c>
      <c r="AF84" s="314">
        <f>SUMPRODUCT(MMULT($O84:$Y84,Portfolio!$F$127:$F$137))</f>
        <v>-0.0880217772146256</v>
      </c>
    </row>
    <row r="85">
      <c r="A85" s="312" t="n">
        <v>65</v>
      </c>
      <c r="B85" s="313">
        <f>'Quarterly returns'!A73</f>
        <v>45016.0</v>
      </c>
      <c r="C85" s="68">
        <f>(1+'Quarterly returns'!N70)*(1+'Quarterly returns'!N71)*(1+'Quarterly returns'!N72)*(1+'Quarterly returns'!N73)-1</f>
        <v>-0.010557555825875</v>
      </c>
      <c r="D85" s="68">
        <f>(1+'Quarterly returns'!O70)*(1+'Quarterly returns'!O71)*(1+'Quarterly returns'!O72)*(1+'Quarterly returns'!O73)-1</f>
        <v>0.0653952406559377</v>
      </c>
      <c r="E85" s="68">
        <f>(1+'Quarterly returns'!P70)*(1+'Quarterly returns'!P71)*(1+'Quarterly returns'!P72)*(1+'Quarterly returns'!P73)-1</f>
        <v>0.0514127864265281</v>
      </c>
      <c r="F85" s="68">
        <f>(1+'Quarterly returns'!Q70)*(1+'Quarterly returns'!Q71)*(1+'Quarterly returns'!Q72)*(1+'Quarterly returns'!Q73)-1</f>
        <v>-0.0778800518723883</v>
      </c>
      <c r="G85" s="68">
        <f>(1+'Quarterly returns'!R70)*(1+'Quarterly returns'!R71)*(1+'Quarterly returns'!R72)*(1+'Quarterly returns'!R73)-1</f>
        <v>0.00866718529021626</v>
      </c>
      <c r="H85" s="68">
        <f>(1+'Quarterly returns'!S70)*(1+'Quarterly returns'!S71)*(1+'Quarterly returns'!S72)*(1+'Quarterly returns'!S73)-1</f>
        <v>-0.111227563874415</v>
      </c>
      <c r="I85" s="68">
        <f>(1+'Quarterly returns'!T70)*(1+'Quarterly returns'!T71)*(1+'Quarterly returns'!T72)*(1+'Quarterly returns'!T73)-1</f>
        <v>0.144277824361861</v>
      </c>
      <c r="J85" s="68">
        <f>(1+'Quarterly returns'!U70)*(1+'Quarterly returns'!U71)*(1+'Quarterly returns'!U72)*(1+'Quarterly returns'!U73)-1</f>
        <v>0.0101611860479069</v>
      </c>
      <c r="K85" s="68">
        <f>(1+'Quarterly returns'!V70)*(1+'Quarterly returns'!V71)*(1+'Quarterly returns'!V72)*(1+'Quarterly returns'!V73)-1</f>
        <v>-0.00202214675685586</v>
      </c>
      <c r="L85" s="68">
        <f>(1+'Quarterly returns'!W70)*(1+'Quarterly returns'!W71)*(1+'Quarterly returns'!W72)*(1+'Quarterly returns'!W73)-1</f>
        <v>-0.0582212705966135</v>
      </c>
      <c r="M85" s="68">
        <f>(1+'Quarterly returns'!X70)*(1+'Quarterly returns'!X71)*(1+'Quarterly returns'!X72)*(1+'Quarterly returns'!X73)-1</f>
        <v>0.0203923954986789</v>
      </c>
      <c r="N85" s="77" t="n"/>
      <c r="O85" s="68">
        <f>C85-AVERAGE(C$21:C$97)+Forecast!$G$6</f>
        <v>-0.0153532634209699</v>
      </c>
      <c r="P85" s="68">
        <f>D85-AVERAGE(D$21:D$97)+Forecast!$G$7</f>
        <v>0.037271449411761</v>
      </c>
      <c r="Q85" s="68">
        <f>E85-AVERAGE(E$21:E$97)+Forecast!$G$8</f>
        <v>0.0330200584951689</v>
      </c>
      <c r="R85" s="68">
        <f>F85-AVERAGE(F$21:F$97)+Forecast!$G$9</f>
        <v>-0.0712422190616047</v>
      </c>
      <c r="S85" s="68">
        <f>G85-AVERAGE(G$21:G$97)+Forecast!$G$10</f>
        <v>0.0616027825087556</v>
      </c>
      <c r="T85" s="68">
        <f>H85-AVERAGE(H$21:H$97)+Forecast!$G$11</f>
        <v>-0.129971493417464</v>
      </c>
      <c r="U85" s="68">
        <f>I85-AVERAGE(I$21:I$97)+Forecast!$G$12</f>
        <v>0.101948765850424</v>
      </c>
      <c r="V85" s="68">
        <f>J85-AVERAGE(J$21:J$97)+Forecast!$G$13</f>
        <v>-0.0616785440276222</v>
      </c>
      <c r="W85" s="68">
        <f>K85-AVERAGE(K$21:K$97)+Forecast!$G$14</f>
        <v>0.00590826601410387</v>
      </c>
      <c r="X85" s="68">
        <f>L85-AVERAGE(L$21:L$97)+Forecast!$G$15</f>
        <v>-0.0499779534821019</v>
      </c>
      <c r="Y85" s="68">
        <f>M85-AVERAGE(M$21:M$97)+Forecast!$G$16</f>
        <v>0.0354474677967488</v>
      </c>
      <c r="Z85" s="68">
        <f>SUMPRODUCT($O85:$Y85,Risk!$B$56:$L$56)</f>
        <v>-0.00644191102287639</v>
      </c>
      <c r="AA85" s="68">
        <f>SUMPRODUCT($O85:$Y85,Risk!$B$57:$L$57)</f>
        <v>-0.00655492754904536</v>
      </c>
      <c r="AB85" s="68">
        <f>SUMPRODUCT($O85:$Y85,Risk!$B$58:$L$58)</f>
        <v>-0.00128385063354788</v>
      </c>
      <c r="AC85" s="68">
        <f>SUMPRODUCT(MMULT($O85:$Y85,Portfolio!$C$127:$C$137))</f>
        <v>-0.00629645069631328</v>
      </c>
      <c r="AD85" s="68">
        <f>SUMPRODUCT(MMULT($O85:$Y85,Portfolio!$D$127:$D$137))</f>
        <v>-0.0039246552586179</v>
      </c>
      <c r="AE85" s="68">
        <f>SUMPRODUCT(MMULT($O85:$Y85,Portfolio!$E$127:$E$137))</f>
        <v>-0.00512696313247836</v>
      </c>
      <c r="AF85" s="314">
        <f>SUMPRODUCT(MMULT($O85:$Y85,Portfolio!$F$127:$F$137))</f>
        <v>-0.00176244244369774</v>
      </c>
    </row>
    <row r="86">
      <c r="A86" s="312" t="n">
        <v>66</v>
      </c>
      <c r="B86" s="313">
        <f>'Quarterly returns'!A74</f>
        <v>45107.0</v>
      </c>
      <c r="C86" s="68">
        <f>(1+'Quarterly returns'!N71)*(1+'Quarterly returns'!N72)*(1+'Quarterly returns'!N73)*(1+'Quarterly returns'!N74)-1</f>
        <v>0.147522908191691</v>
      </c>
      <c r="D86" s="68">
        <f>(1+'Quarterly returns'!O71)*(1+'Quarterly returns'!O72)*(1+'Quarterly returns'!O73)*(1+'Quarterly returns'!O74)-1</f>
        <v>0.227789895502819</v>
      </c>
      <c r="E86" s="68">
        <f>(1+'Quarterly returns'!P71)*(1+'Quarterly returns'!P72)*(1+'Quarterly returns'!P73)*(1+'Quarterly returns'!P74)-1</f>
        <v>0.0718667310787178</v>
      </c>
      <c r="F86" s="68">
        <f>(1+'Quarterly returns'!Q71)*(1+'Quarterly returns'!Q72)*(1+'Quarterly returns'!Q73)*(1+'Quarterly returns'!Q74)-1</f>
        <v>0.0171128162908452</v>
      </c>
      <c r="G86" s="68">
        <f>(1+'Quarterly returns'!R71)*(1+'Quarterly returns'!R72)*(1+'Quarterly returns'!R73)*(1+'Quarterly returns'!R74)-1</f>
        <v>-0.113810719124402</v>
      </c>
      <c r="H86" s="68">
        <f>(1+'Quarterly returns'!S71)*(1+'Quarterly returns'!S72)*(1+'Quarterly returns'!S73)*(1+'Quarterly returns'!S74)-1</f>
        <v>0.0103964042019247</v>
      </c>
      <c r="I86" s="68">
        <f>(1+'Quarterly returns'!T71)*(1+'Quarterly returns'!T72)*(1+'Quarterly returns'!T73)*(1+'Quarterly returns'!T74)-1</f>
        <v>0.0874736030810088</v>
      </c>
      <c r="J86" s="68">
        <f>(1+'Quarterly returns'!U71)*(1+'Quarterly returns'!U72)*(1+'Quarterly returns'!U73)*(1+'Quarterly returns'!U74)-1</f>
        <v>0.188857738720477</v>
      </c>
      <c r="K86" s="68">
        <f>(1+'Quarterly returns'!V71)*(1+'Quarterly returns'!V72)*(1+'Quarterly returns'!V73)*(1+'Quarterly returns'!V74)-1</f>
        <v>0.0120792862431178</v>
      </c>
      <c r="L86" s="68">
        <f>(1+'Quarterly returns'!W71)*(1+'Quarterly returns'!W72)*(1+'Quarterly returns'!W73)*(1+'Quarterly returns'!W74)-1</f>
        <v>-0.0173271011102454</v>
      </c>
      <c r="M86" s="68">
        <f>(1+'Quarterly returns'!X71)*(1+'Quarterly returns'!X72)*(1+'Quarterly returns'!X73)*(1+'Quarterly returns'!X74)-1</f>
        <v>0.0289285735918892</v>
      </c>
      <c r="N86" s="77" t="n"/>
      <c r="O86" s="68">
        <f>C86-AVERAGE(C$21:C$97)+Forecast!$G$6</f>
        <v>0.142727200596596</v>
      </c>
      <c r="P86" s="68">
        <f>D86-AVERAGE(D$21:D$97)+Forecast!$G$7</f>
        <v>0.199666104258642</v>
      </c>
      <c r="Q86" s="68">
        <f>E86-AVERAGE(E$21:E$97)+Forecast!$G$8</f>
        <v>0.0534740031473585</v>
      </c>
      <c r="R86" s="68">
        <f>F86-AVERAGE(F$21:F$97)+Forecast!$G$9</f>
        <v>0.0237506491016288</v>
      </c>
      <c r="S86" s="68">
        <f>G86-AVERAGE(G$21:G$97)+Forecast!$G$10</f>
        <v>-0.0608751219058628</v>
      </c>
      <c r="T86" s="68">
        <f>H86-AVERAGE(H$21:H$97)+Forecast!$G$11</f>
        <v>-0.00834752534112425</v>
      </c>
      <c r="U86" s="68">
        <f>I86-AVERAGE(I$21:I$97)+Forecast!$G$12</f>
        <v>0.0451445445695714</v>
      </c>
      <c r="V86" s="68">
        <f>J86-AVERAGE(J$21:J$97)+Forecast!$G$13</f>
        <v>0.117018008644948</v>
      </c>
      <c r="W86" s="68">
        <f>K86-AVERAGE(K$21:K$97)+Forecast!$G$14</f>
        <v>0.0200096990140776</v>
      </c>
      <c r="X86" s="68">
        <f>L86-AVERAGE(L$21:L$97)+Forecast!$G$15</f>
        <v>-0.00908378399573379</v>
      </c>
      <c r="Y86" s="68">
        <f>M86-AVERAGE(M$21:M$97)+Forecast!$G$16</f>
        <v>0.0439836458899591</v>
      </c>
      <c r="Z86" s="68">
        <f>SUMPRODUCT($O86:$Y86,Risk!$B$56:$L$56)</f>
        <v>0.10475277334528</v>
      </c>
      <c r="AA86" s="68">
        <f>SUMPRODUCT($O86:$Y86,Risk!$B$57:$L$57)</f>
        <v>0.093220079593159</v>
      </c>
      <c r="AB86" s="68">
        <f>SUMPRODUCT($O86:$Y86,Risk!$B$58:$L$58)</f>
        <v>0.101062768968058</v>
      </c>
      <c r="AC86" s="68">
        <f>SUMPRODUCT(MMULT($O86:$Y86,Portfolio!$C$127:$C$137))</f>
        <v>0.100298177507641</v>
      </c>
      <c r="AD86" s="68">
        <f>SUMPRODUCT(MMULT($O86:$Y86,Portfolio!$D$127:$D$137))</f>
        <v>0.10182124272091</v>
      </c>
      <c r="AE86" s="68">
        <f>SUMPRODUCT(MMULT($O86:$Y86,Portfolio!$E$127:$E$137))</f>
        <v>0.105815589793027</v>
      </c>
      <c r="AF86" s="314">
        <f>SUMPRODUCT(MMULT($O86:$Y86,Portfolio!$F$127:$F$137))</f>
        <v>0.108172942961014</v>
      </c>
    </row>
    <row r="87">
      <c r="A87" s="312" t="n">
        <v>67</v>
      </c>
      <c r="B87" s="313">
        <f>'Quarterly returns'!A75</f>
        <v>45198.0</v>
      </c>
      <c r="C87" s="68">
        <f>(1+'Quarterly returns'!N72)*(1+'Quarterly returns'!N73)*(1+'Quarterly returns'!N74)*(1+'Quarterly returns'!N75)-1</f>
        <v>0.130867962680475</v>
      </c>
      <c r="D87" s="68">
        <f>(1+'Quarterly returns'!O72)*(1+'Quarterly returns'!O73)*(1+'Quarterly returns'!O74)*(1+'Quarterly returns'!O75)-1</f>
        <v>0.206035457947782</v>
      </c>
      <c r="E87" s="68">
        <f>(1+'Quarterly returns'!P72)*(1+'Quarterly returns'!P73)*(1+'Quarterly returns'!P74)*(1+'Quarterly returns'!P75)-1</f>
        <v>0.109270571004013</v>
      </c>
      <c r="F87" s="68">
        <f>(1+'Quarterly returns'!Q72)*(1+'Quarterly returns'!Q73)*(1+'Quarterly returns'!Q74)*(1+'Quarterly returns'!Q75)-1</f>
        <v>0.0218606830250239</v>
      </c>
      <c r="G87" s="68">
        <f>(1+'Quarterly returns'!R72)*(1+'Quarterly returns'!R73)*(1+'Quarterly returns'!R74)*(1+'Quarterly returns'!R75)-1</f>
        <v>0.105075066116119</v>
      </c>
      <c r="H87" s="68">
        <f>(1+'Quarterly returns'!S72)*(1+'Quarterly returns'!S73)*(1+'Quarterly returns'!S74)*(1+'Quarterly returns'!S75)-1</f>
        <v>0.157925466272526</v>
      </c>
      <c r="I87" s="68">
        <f>(1+'Quarterly returns'!T72)*(1+'Quarterly returns'!T73)*(1+'Quarterly returns'!T74)*(1+'Quarterly returns'!T75)-1</f>
        <v>0.126628114639699</v>
      </c>
      <c r="J87" s="68">
        <f>(1+'Quarterly returns'!U72)*(1+'Quarterly returns'!U73)*(1+'Quarterly returns'!U74)*(1+'Quarterly returns'!U75)-1</f>
        <v>0.280748878554468</v>
      </c>
      <c r="K87" s="68">
        <f>(1+'Quarterly returns'!V72)*(1+'Quarterly returns'!V73)*(1+'Quarterly returns'!V74)*(1+'Quarterly returns'!V75)-1</f>
        <v>0.0153846474379122</v>
      </c>
      <c r="L87" s="68">
        <f>(1+'Quarterly returns'!W72)*(1+'Quarterly returns'!W73)*(1+'Quarterly returns'!W74)*(1+'Quarterly returns'!W75)-1</f>
        <v>-0.00909230699916774</v>
      </c>
      <c r="M87" s="68">
        <f>(1+'Quarterly returns'!X72)*(1+'Quarterly returns'!X73)*(1+'Quarterly returns'!X74)*(1+'Quarterly returns'!X75)-1</f>
        <v>0.0356604530392874</v>
      </c>
      <c r="N87" s="77" t="n"/>
      <c r="O87" s="68">
        <f>C87-AVERAGE(C$21:C$97)+Forecast!$G$6</f>
        <v>0.12607225508538</v>
      </c>
      <c r="P87" s="68">
        <f>D87-AVERAGE(D$21:D$97)+Forecast!$G$7</f>
        <v>0.177911666703606</v>
      </c>
      <c r="Q87" s="68">
        <f>E87-AVERAGE(E$21:E$97)+Forecast!$G$8</f>
        <v>0.0908778430726535</v>
      </c>
      <c r="R87" s="68">
        <f>F87-AVERAGE(F$21:F$97)+Forecast!$G$9</f>
        <v>0.0284985158358075</v>
      </c>
      <c r="S87" s="68">
        <f>G87-AVERAGE(G$21:G$97)+Forecast!$G$10</f>
        <v>0.158010663334658</v>
      </c>
      <c r="T87" s="68">
        <f>H87-AVERAGE(H$21:H$97)+Forecast!$G$11</f>
        <v>0.139181536729477</v>
      </c>
      <c r="U87" s="68">
        <f>I87-AVERAGE(I$21:I$97)+Forecast!$G$12</f>
        <v>0.0842990561282618</v>
      </c>
      <c r="V87" s="68">
        <f>J87-AVERAGE(J$21:J$97)+Forecast!$G$13</f>
        <v>0.208909148478939</v>
      </c>
      <c r="W87" s="68">
        <f>K87-AVERAGE(K$21:K$97)+Forecast!$G$14</f>
        <v>0.023315060208872</v>
      </c>
      <c r="X87" s="68">
        <f>L87-AVERAGE(L$21:L$97)+Forecast!$G$15</f>
        <v>-0.000848989884656155</v>
      </c>
      <c r="Y87" s="68">
        <f>M87-AVERAGE(M$21:M$97)+Forecast!$G$16</f>
        <v>0.0507155253373574</v>
      </c>
      <c r="Z87" s="68">
        <f>SUMPRODUCT($O87:$Y87,Risk!$B$56:$L$56)</f>
        <v>0.0958405135726271</v>
      </c>
      <c r="AA87" s="68">
        <f>SUMPRODUCT($O87:$Y87,Risk!$B$57:$L$57)</f>
        <v>0.10254581672433</v>
      </c>
      <c r="AB87" s="68">
        <f>SUMPRODUCT($O87:$Y87,Risk!$B$58:$L$58)</f>
        <v>0.100291893951175</v>
      </c>
      <c r="AC87" s="68">
        <f>SUMPRODUCT(MMULT($O87:$Y87,Portfolio!$C$127:$C$137))</f>
        <v>0.108294884396493</v>
      </c>
      <c r="AD87" s="68">
        <f>SUMPRODUCT(MMULT($O87:$Y87,Portfolio!$D$127:$D$137))</f>
        <v>0.0960643047084907</v>
      </c>
      <c r="AE87" s="68">
        <f>SUMPRODUCT(MMULT($O87:$Y87,Portfolio!$E$127:$E$137))</f>
        <v>0.112876439023548</v>
      </c>
      <c r="AF87" s="314">
        <f>SUMPRODUCT(MMULT($O87:$Y87,Portfolio!$F$127:$F$137))</f>
        <v>0.0985973963301861</v>
      </c>
    </row>
    <row r="88">
      <c r="A88" s="312" t="n">
        <v>68</v>
      </c>
      <c r="B88" s="313">
        <f>'Quarterly returns'!A76</f>
        <v>45289.0</v>
      </c>
      <c r="C88" s="68">
        <f>(1+'Quarterly returns'!N73)*(1+'Quarterly returns'!N74)*(1+'Quarterly returns'!N75)*(1+'Quarterly returns'!N76)-1</f>
        <v>0.129750934255495</v>
      </c>
      <c r="D88" s="68">
        <f>(1+'Quarterly returns'!O73)*(1+'Quarterly returns'!O74)*(1+'Quarterly returns'!O75)*(1+'Quarterly returns'!O76)-1</f>
        <v>0.229849314660358</v>
      </c>
      <c r="E88" s="68">
        <f>(1+'Quarterly returns'!P73)*(1+'Quarterly returns'!P74)*(1+'Quarterly returns'!P75)*(1+'Quarterly returns'!P76)-1</f>
        <v>0.0961103030420689</v>
      </c>
      <c r="F88" s="68">
        <f>(1+'Quarterly returns'!Q73)*(1+'Quarterly returns'!Q74)*(1+'Quarterly returns'!Q75)*(1+'Quarterly returns'!Q76)-1</f>
        <v>0.109349441332088</v>
      </c>
      <c r="G88" s="68">
        <f>(1+'Quarterly returns'!R73)*(1+'Quarterly returns'!R74)*(1+'Quarterly returns'!R75)*(1+'Quarterly returns'!R76)-1</f>
        <v>-0.0485672699361007</v>
      </c>
      <c r="H88" s="68">
        <f>(1+'Quarterly returns'!S73)*(1+'Quarterly returns'!S74)*(1+'Quarterly returns'!S75)*(1+'Quarterly returns'!S76)-1</f>
        <v>0.109933369327508</v>
      </c>
      <c r="I88" s="68">
        <f>(1+'Quarterly returns'!T73)*(1+'Quarterly returns'!T74)*(1+'Quarterly returns'!T75)*(1+'Quarterly returns'!T76)-1</f>
        <v>0.0818461633402308</v>
      </c>
      <c r="J88" s="68">
        <f>(1+'Quarterly returns'!U73)*(1+'Quarterly returns'!U74)*(1+'Quarterly returns'!U75)*(1+'Quarterly returns'!U76)-1</f>
        <v>0.279560682996661</v>
      </c>
      <c r="K88" s="68">
        <f>(1+'Quarterly returns'!V73)*(1+'Quarterly returns'!V74)*(1+'Quarterly returns'!V75)*(1+'Quarterly returns'!V76)-1</f>
        <v>0.0556311723719034</v>
      </c>
      <c r="L88" s="68">
        <f>(1+'Quarterly returns'!W73)*(1+'Quarterly returns'!W74)*(1+'Quarterly returns'!W75)*(1+'Quarterly returns'!W76)-1</f>
        <v>0.0456805705358909</v>
      </c>
      <c r="M88" s="68">
        <f>(1+'Quarterly returns'!X73)*(1+'Quarterly returns'!X74)*(1+'Quarterly returns'!X75)*(1+'Quarterly returns'!X76)-1</f>
        <v>0.0388533897451633</v>
      </c>
      <c r="N88" s="77" t="n"/>
      <c r="O88" s="68">
        <f>C88-AVERAGE(C$21:C$97)+Forecast!$G$6</f>
        <v>0.1249552266604</v>
      </c>
      <c r="P88" s="68">
        <f>D88-AVERAGE(D$21:D$97)+Forecast!$G$7</f>
        <v>0.201725523416181</v>
      </c>
      <c r="Q88" s="68">
        <f>E88-AVERAGE(E$21:E$97)+Forecast!$G$8</f>
        <v>0.0777175751107097</v>
      </c>
      <c r="R88" s="68">
        <f>F88-AVERAGE(F$21:F$97)+Forecast!$G$9</f>
        <v>0.115987274142872</v>
      </c>
      <c r="S88" s="68">
        <f>G88-AVERAGE(G$21:G$97)+Forecast!$G$10</f>
        <v>0.00436832728243861</v>
      </c>
      <c r="T88" s="68">
        <f>H88-AVERAGE(H$21:H$97)+Forecast!$G$11</f>
        <v>0.0911894397844586</v>
      </c>
      <c r="U88" s="68">
        <f>I88-AVERAGE(I$21:I$97)+Forecast!$G$12</f>
        <v>0.0395171048287933</v>
      </c>
      <c r="V88" s="68">
        <f>J88-AVERAGE(J$21:J$97)+Forecast!$G$13</f>
        <v>0.207720952921132</v>
      </c>
      <c r="W88" s="68">
        <f>K88-AVERAGE(K$21:K$97)+Forecast!$G$14</f>
        <v>0.0635615851428631</v>
      </c>
      <c r="X88" s="68">
        <f>L88-AVERAGE(L$21:L$97)+Forecast!$G$15</f>
        <v>0.0539238876504025</v>
      </c>
      <c r="Y88" s="68">
        <f>M88-AVERAGE(M$21:M$97)+Forecast!$G$16</f>
        <v>0.0539084620432332</v>
      </c>
      <c r="Z88" s="68">
        <f>SUMPRODUCT($O88:$Y88,Risk!$B$56:$L$56)</f>
        <v>0.119547663888171</v>
      </c>
      <c r="AA88" s="68">
        <f>SUMPRODUCT($O88:$Y88,Risk!$B$57:$L$57)</f>
        <v>0.118615052418517</v>
      </c>
      <c r="AB88" s="68">
        <f>SUMPRODUCT($O88:$Y88,Risk!$B$58:$L$58)</f>
        <v>0.121535815570195</v>
      </c>
      <c r="AC88" s="68">
        <f>SUMPRODUCT(MMULT($O88:$Y88,Portfolio!$C$127:$C$137))</f>
        <v>0.12384730392466</v>
      </c>
      <c r="AD88" s="68">
        <f>SUMPRODUCT(MMULT($O88:$Y88,Portfolio!$D$127:$D$137))</f>
        <v>0.122146494647556</v>
      </c>
      <c r="AE88" s="68">
        <f>SUMPRODUCT(MMULT($O88:$Y88,Portfolio!$E$127:$E$137))</f>
        <v>0.128224160557095</v>
      </c>
      <c r="AF88" s="314">
        <f>SUMPRODUCT(MMULT($O88:$Y88,Portfolio!$F$127:$F$137))</f>
        <v>0.122989074700845</v>
      </c>
    </row>
    <row r="89">
      <c r="A89" s="312" t="n">
        <v>69</v>
      </c>
      <c r="B89" s="313">
        <f>'Quarterly returns'!A77</f>
        <v>45380.0</v>
      </c>
      <c r="C89" s="68">
        <f>(1+'Quarterly returns'!N74)*(1+'Quarterly returns'!N75)*(1+'Quarterly returns'!N76)*(1+'Quarterly returns'!N77)-1</f>
        <v>0.149809758445344</v>
      </c>
      <c r="D89" s="68">
        <f>(1+'Quarterly returns'!O74)*(1+'Quarterly returns'!O75)*(1+'Quarterly returns'!O76)*(1+'Quarterly returns'!O77)-1</f>
        <v>0.301473417933355</v>
      </c>
      <c r="E89" s="68">
        <f>(1+'Quarterly returns'!P74)*(1+'Quarterly returns'!P75)*(1+'Quarterly returns'!P76)*(1+'Quarterly returns'!P77)-1</f>
        <v>0.140130880413721</v>
      </c>
      <c r="F89" s="68">
        <f>(1+'Quarterly returns'!Q74)*(1+'Quarterly returns'!Q75)*(1+'Quarterly returns'!Q76)*(1+'Quarterly returns'!Q77)-1</f>
        <v>0.130052132383709</v>
      </c>
      <c r="G89" s="68">
        <f>(1+'Quarterly returns'!R74)*(1+'Quarterly returns'!R75)*(1+'Quarterly returns'!R76)*(1+'Quarterly returns'!R77)-1</f>
        <v>0.140990188871543</v>
      </c>
      <c r="H89" s="68">
        <f>(1+'Quarterly returns'!S74)*(1+'Quarterly returns'!S75)*(1+'Quarterly returns'!S76)*(1+'Quarterly returns'!S77)-1</f>
        <v>0.0734902992507871</v>
      </c>
      <c r="I89" s="68">
        <f>(1+'Quarterly returns'!T74)*(1+'Quarterly returns'!T75)*(1+'Quarterly returns'!T76)*(1+'Quarterly returns'!T77)-1</f>
        <v>0.129315361706201</v>
      </c>
      <c r="J89" s="68">
        <f>(1+'Quarterly returns'!U74)*(1+'Quarterly returns'!U75)*(1+'Quarterly returns'!U76)*(1+'Quarterly returns'!U77)-1</f>
        <v>0.402765641026801</v>
      </c>
      <c r="K89" s="68">
        <f>(1+'Quarterly returns'!V74)*(1+'Quarterly returns'!V75)*(1+'Quarterly returns'!V76)*(1+'Quarterly returns'!V77)-1</f>
        <v>0.0150380457208881</v>
      </c>
      <c r="L89" s="68">
        <f>(1+'Quarterly returns'!W74)*(1+'Quarterly returns'!W75)*(1+'Quarterly returns'!W76)*(1+'Quarterly returns'!W77)-1</f>
        <v>0.01259231189671</v>
      </c>
      <c r="M89" s="68">
        <f>(1+'Quarterly returns'!X74)*(1+'Quarterly returns'!X75)*(1+'Quarterly returns'!X76)*(1+'Quarterly returns'!X77)-1</f>
        <v>0.0419064857253502</v>
      </c>
      <c r="N89" s="77" t="n"/>
      <c r="O89" s="68">
        <f>C89-AVERAGE(C$21:C$97)+Forecast!$G$6</f>
        <v>0.145014050850249</v>
      </c>
      <c r="P89" s="68">
        <f>D89-AVERAGE(D$21:D$97)+Forecast!$G$7</f>
        <v>0.273349626689178</v>
      </c>
      <c r="Q89" s="68">
        <f>E89-AVERAGE(E$21:E$97)+Forecast!$G$8</f>
        <v>0.121738152482362</v>
      </c>
      <c r="R89" s="68">
        <f>F89-AVERAGE(F$21:F$97)+Forecast!$G$9</f>
        <v>0.136689965194492</v>
      </c>
      <c r="S89" s="68">
        <f>G89-AVERAGE(G$21:G$97)+Forecast!$G$10</f>
        <v>0.193925786090083</v>
      </c>
      <c r="T89" s="68">
        <f>H89-AVERAGE(H$21:H$97)+Forecast!$G$11</f>
        <v>0.0547463697077382</v>
      </c>
      <c r="U89" s="68">
        <f>I89-AVERAGE(I$21:I$97)+Forecast!$G$12</f>
        <v>0.0869863031947636</v>
      </c>
      <c r="V89" s="68">
        <f>J89-AVERAGE(J$21:J$97)+Forecast!$G$13</f>
        <v>0.330925910951272</v>
      </c>
      <c r="W89" s="68">
        <f>K89-AVERAGE(K$21:K$97)+Forecast!$G$14</f>
        <v>0.0229684584918478</v>
      </c>
      <c r="X89" s="68">
        <f>L89-AVERAGE(L$21:L$97)+Forecast!$G$15</f>
        <v>0.0208356290112215</v>
      </c>
      <c r="Y89" s="68">
        <f>M89-AVERAGE(M$21:M$97)+Forecast!$G$16</f>
        <v>0.0569615580234201</v>
      </c>
      <c r="Z89" s="68">
        <f>SUMPRODUCT($O89:$Y89,Risk!$B$56:$L$56)</f>
        <v>0.135443970353699</v>
      </c>
      <c r="AA89" s="68">
        <f>SUMPRODUCT($O89:$Y89,Risk!$B$57:$L$57)</f>
        <v>0.141447416008416</v>
      </c>
      <c r="AB89" s="68">
        <f>SUMPRODUCT($O89:$Y89,Risk!$B$58:$L$58)</f>
        <v>0.147314164737891</v>
      </c>
      <c r="AC89" s="68">
        <f>SUMPRODUCT(MMULT($O89:$Y89,Portfolio!$C$127:$C$137))</f>
        <v>0.150966954372352</v>
      </c>
      <c r="AD89" s="68">
        <f>SUMPRODUCT(MMULT($O89:$Y89,Portfolio!$D$127:$D$137))</f>
        <v>0.142160290585643</v>
      </c>
      <c r="AE89" s="68">
        <f>SUMPRODUCT(MMULT($O89:$Y89,Portfolio!$E$127:$E$137))</f>
        <v>0.157588041127115</v>
      </c>
      <c r="AF89" s="314">
        <f>SUMPRODUCT(MMULT($O89:$Y89,Portfolio!$F$127:$F$137))</f>
        <v>0.138147874497691</v>
      </c>
    </row>
    <row r="90">
      <c r="A90" s="312" t="n">
        <v>70</v>
      </c>
      <c r="B90" s="313">
        <f>'Quarterly returns'!A78</f>
        <v>45471.0</v>
      </c>
      <c r="C90" s="68">
        <f>(1+'Quarterly returns'!N75)*(1+'Quarterly returns'!N76)*(1+'Quarterly returns'!N77)*(1+'Quarterly returns'!N78)-1</f>
        <v>0.125108859393129</v>
      </c>
      <c r="D90" s="68">
        <f>(1+'Quarterly returns'!O75)*(1+'Quarterly returns'!O76)*(1+'Quarterly returns'!O77)*(1+'Quarterly returns'!O78)-1</f>
        <v>0.214843825907215</v>
      </c>
      <c r="E90" s="68">
        <f>(1+'Quarterly returns'!P75)*(1+'Quarterly returns'!P76)*(1+'Quarterly returns'!P77)*(1+'Quarterly returns'!P78)-1</f>
        <v>0.155777496090868</v>
      </c>
      <c r="F90" s="68">
        <f>(1+'Quarterly returns'!Q75)*(1+'Quarterly returns'!Q76)*(1+'Quarterly returns'!Q77)*(1+'Quarterly returns'!Q78)-1</f>
        <v>0.0697828061671135</v>
      </c>
      <c r="G90" s="68">
        <f>(1+'Quarterly returns'!R75)*(1+'Quarterly returns'!R76)*(1+'Quarterly returns'!R77)*(1+'Quarterly returns'!R78)-1</f>
        <v>0.146271865793536</v>
      </c>
      <c r="H90" s="68">
        <f>(1+'Quarterly returns'!S75)*(1+'Quarterly returns'!S76)*(1+'Quarterly returns'!S77)*(1+'Quarterly returns'!S78)-1</f>
        <v>-0.0140531450680651</v>
      </c>
      <c r="I90" s="68">
        <f>(1+'Quarterly returns'!T75)*(1+'Quarterly returns'!T76)*(1+'Quarterly returns'!T77)*(1+'Quarterly returns'!T78)-1</f>
        <v>0.136591773749422</v>
      </c>
      <c r="J90" s="68">
        <f>(1+'Quarterly returns'!U75)*(1+'Quarterly returns'!U76)*(1+'Quarterly returns'!U77)*(1+'Quarterly returns'!U78)-1</f>
        <v>0.323309263493356</v>
      </c>
      <c r="K90" s="68">
        <f>(1+'Quarterly returns'!V75)*(1+'Quarterly returns'!V76)*(1+'Quarterly returns'!V77)*(1+'Quarterly returns'!V78)-1</f>
        <v>0.0371811872902861</v>
      </c>
      <c r="L90" s="68">
        <f>(1+'Quarterly returns'!W75)*(1+'Quarterly returns'!W76)*(1+'Quarterly returns'!W77)*(1+'Quarterly returns'!W78)-1</f>
        <v>0.0120253893332198</v>
      </c>
      <c r="M90" s="68">
        <f>(1+'Quarterly returns'!X75)*(1+'Quarterly returns'!X76)*(1+'Quarterly returns'!X77)*(1+'Quarterly returns'!X78)-1</f>
        <v>0.0437375979099988</v>
      </c>
      <c r="N90" s="77" t="n"/>
      <c r="O90" s="68">
        <f>C90-AVERAGE(C$21:C$97)+Forecast!$G$6</f>
        <v>0.120313151798034</v>
      </c>
      <c r="P90" s="68">
        <f>D90-AVERAGE(D$21:D$97)+Forecast!$G$7</f>
        <v>0.186720034663039</v>
      </c>
      <c r="Q90" s="68">
        <f>E90-AVERAGE(E$21:E$97)+Forecast!$G$8</f>
        <v>0.137384768159509</v>
      </c>
      <c r="R90" s="68">
        <f>F90-AVERAGE(F$21:F$97)+Forecast!$G$9</f>
        <v>0.0764206389778971</v>
      </c>
      <c r="S90" s="68">
        <f>G90-AVERAGE(G$21:G$97)+Forecast!$G$10</f>
        <v>0.199207463012075</v>
      </c>
      <c r="T90" s="68">
        <f>H90-AVERAGE(H$21:H$97)+Forecast!$G$11</f>
        <v>-0.032797074611114</v>
      </c>
      <c r="U90" s="68">
        <f>I90-AVERAGE(I$21:I$97)+Forecast!$G$12</f>
        <v>0.0942627152379848</v>
      </c>
      <c r="V90" s="68">
        <f>J90-AVERAGE(J$21:J$97)+Forecast!$G$13</f>
        <v>0.251469533417827</v>
      </c>
      <c r="W90" s="68">
        <f>K90-AVERAGE(K$21:K$97)+Forecast!$G$14</f>
        <v>0.0451116000612458</v>
      </c>
      <c r="X90" s="68">
        <f>L90-AVERAGE(L$21:L$97)+Forecast!$G$15</f>
        <v>0.0202687064477314</v>
      </c>
      <c r="Y90" s="68">
        <f>M90-AVERAGE(M$21:M$97)+Forecast!$G$16</f>
        <v>0.0587926702080687</v>
      </c>
      <c r="Z90" s="68">
        <f>SUMPRODUCT($O90:$Y90,Risk!$B$56:$L$56)</f>
        <v>0.105615054989181</v>
      </c>
      <c r="AA90" s="68">
        <f>SUMPRODUCT($O90:$Y90,Risk!$B$57:$L$57)</f>
        <v>0.107387308855303</v>
      </c>
      <c r="AB90" s="68">
        <f>SUMPRODUCT($O90:$Y90,Risk!$B$58:$L$58)</f>
        <v>0.11495710022311</v>
      </c>
      <c r="AC90" s="68">
        <f>SUMPRODUCT(MMULT($O90:$Y90,Portfolio!$C$127:$C$137))</f>
        <v>0.113496705524338</v>
      </c>
      <c r="AD90" s="68">
        <f>SUMPRODUCT(MMULT($O90:$Y90,Portfolio!$D$127:$D$137))</f>
        <v>0.110194712797264</v>
      </c>
      <c r="AE90" s="68">
        <f>SUMPRODUCT(MMULT($O90:$Y90,Portfolio!$E$127:$E$137))</f>
        <v>0.116973156520377</v>
      </c>
      <c r="AF90" s="314">
        <f>SUMPRODUCT(MMULT($O90:$Y90,Portfolio!$F$127:$F$137))</f>
        <v>0.107355470286693</v>
      </c>
    </row>
    <row r="91">
      <c r="A91" s="312" t="n">
        <v>71</v>
      </c>
      <c r="B91" s="313">
        <f>'Quarterly returns'!A79</f>
        <v>45565.0</v>
      </c>
      <c r="C91" s="68">
        <f>(1+'Quarterly returns'!N76)*(1+'Quarterly returns'!N77)*(1+'Quarterly returns'!N78)*(1+'Quarterly returns'!N79)-1</f>
        <v>0.221534492892713</v>
      </c>
      <c r="D91" s="68">
        <f>(1+'Quarterly returns'!O76)*(1+'Quarterly returns'!O77)*(1+'Quarterly returns'!O78)*(1+'Quarterly returns'!O79)-1</f>
        <v>0.218955611348362</v>
      </c>
      <c r="E91" s="68">
        <f>(1+'Quarterly returns'!P76)*(1+'Quarterly returns'!P77)*(1+'Quarterly returns'!P78)*(1+'Quarterly returns'!P79)-1</f>
        <v>0.166927538198999</v>
      </c>
      <c r="F91" s="68">
        <f>(1+'Quarterly returns'!Q76)*(1+'Quarterly returns'!Q77)*(1+'Quarterly returns'!Q78)*(1+'Quarterly returns'!Q79)-1</f>
        <v>0.209681679459364</v>
      </c>
      <c r="G91" s="68">
        <f>(1+'Quarterly returns'!R76)*(1+'Quarterly returns'!R77)*(1+'Quarterly returns'!R78)*(1+'Quarterly returns'!R79)-1</f>
        <v>-0.126062166194207</v>
      </c>
      <c r="H91" s="68">
        <f>(1+'Quarterly returns'!S76)*(1+'Quarterly returns'!S77)*(1+'Quarterly returns'!S78)*(1+'Quarterly returns'!S79)-1</f>
        <v>-0.0392577124569672</v>
      </c>
      <c r="I91" s="68">
        <f>(1+'Quarterly returns'!T76)*(1+'Quarterly returns'!T77)*(1+'Quarterly returns'!T78)*(1+'Quarterly returns'!T79)-1</f>
        <v>0.106769708764127</v>
      </c>
      <c r="J91" s="68">
        <f>(1+'Quarterly returns'!U76)*(1+'Quarterly returns'!U77)*(1+'Quarterly returns'!U78)*(1+'Quarterly returns'!U79)-1</f>
        <v>0.376272637949215</v>
      </c>
      <c r="K91" s="68">
        <f>(1+'Quarterly returns'!V76)*(1+'Quarterly returns'!V77)*(1+'Quarterly returns'!V78)*(1+'Quarterly returns'!V79)-1</f>
        <v>0.0747270139826077</v>
      </c>
      <c r="L91" s="68">
        <f>(1+'Quarterly returns'!W76)*(1+'Quarterly returns'!W77)*(1+'Quarterly returns'!W78)*(1+'Quarterly returns'!W79)-1</f>
        <v>0.0796706832498855</v>
      </c>
      <c r="M91" s="68">
        <f>(1+'Quarterly returns'!X76)*(1+'Quarterly returns'!X77)*(1+'Quarterly returns'!X78)*(1+'Quarterly returns'!X79)-1</f>
        <v>0.0440936252539972</v>
      </c>
      <c r="N91" s="77" t="n"/>
      <c r="O91" s="68">
        <f>C91-AVERAGE(C$21:C$97)+Forecast!$G$6</f>
        <v>0.216738785297618</v>
      </c>
      <c r="P91" s="68">
        <f>D91-AVERAGE(D$21:D$97)+Forecast!$G$7</f>
        <v>0.190831820104185</v>
      </c>
      <c r="Q91" s="68">
        <f>E91-AVERAGE(E$21:E$97)+Forecast!$G$8</f>
        <v>0.148534810267639</v>
      </c>
      <c r="R91" s="68">
        <f>F91-AVERAGE(F$21:F$97)+Forecast!$G$9</f>
        <v>0.216319512270147</v>
      </c>
      <c r="S91" s="68">
        <f>G91-AVERAGE(G$21:G$97)+Forecast!$G$10</f>
        <v>-0.0731265689756675</v>
      </c>
      <c r="T91" s="68">
        <f>H91-AVERAGE(H$21:H$97)+Forecast!$G$11</f>
        <v>-0.0580016420000161</v>
      </c>
      <c r="U91" s="68">
        <f>I91-AVERAGE(I$21:I$97)+Forecast!$G$12</f>
        <v>0.0644406502526892</v>
      </c>
      <c r="V91" s="68">
        <f>J91-AVERAGE(J$21:J$97)+Forecast!$G$13</f>
        <v>0.304432907873685</v>
      </c>
      <c r="W91" s="68">
        <f>K91-AVERAGE(K$21:K$97)+Forecast!$G$14</f>
        <v>0.0826574267535675</v>
      </c>
      <c r="X91" s="68">
        <f>L91-AVERAGE(L$21:L$97)+Forecast!$G$15</f>
        <v>0.0879140003643971</v>
      </c>
      <c r="Y91" s="68">
        <f>M91-AVERAGE(M$21:M$97)+Forecast!$G$16</f>
        <v>0.0591486975520671</v>
      </c>
      <c r="Z91" s="68">
        <f>SUMPRODUCT($O91:$Y91,Risk!$B$56:$L$56)</f>
        <v>0.170065972237731</v>
      </c>
      <c r="AA91" s="68">
        <f>SUMPRODUCT($O91:$Y91,Risk!$B$57:$L$57)</f>
        <v>0.149303377292771</v>
      </c>
      <c r="AB91" s="68">
        <f>SUMPRODUCT($O91:$Y91,Risk!$B$58:$L$58)</f>
        <v>0.161971289712797</v>
      </c>
      <c r="AC91" s="68">
        <f>SUMPRODUCT(MMULT($O91:$Y91,Portfolio!$C$127:$C$137))</f>
        <v>0.154976764830037</v>
      </c>
      <c r="AD91" s="68">
        <f>SUMPRODUCT(MMULT($O91:$Y91,Portfolio!$D$127:$D$137))</f>
        <v>0.165192231417961</v>
      </c>
      <c r="AE91" s="68">
        <f>SUMPRODUCT(MMULT($O91:$Y91,Portfolio!$E$127:$E$137))</f>
        <v>0.16081443603304</v>
      </c>
      <c r="AF91" s="314">
        <f>SUMPRODUCT(MMULT($O91:$Y91,Portfolio!$F$127:$F$137))</f>
        <v>0.158444068536344</v>
      </c>
    </row>
    <row r="92">
      <c r="A92" s="312" t="n">
        <v>72</v>
      </c>
      <c r="B92" s="313">
        <f>'Quarterly returns'!A80</f>
        <v>45657.0</v>
      </c>
      <c r="C92" s="68">
        <f>(1+'Quarterly returns'!N77)*(1+'Quarterly returns'!N78)*(1+'Quarterly returns'!N79)*(1+'Quarterly returns'!N80)-1</f>
        <v>0.114438127325885</v>
      </c>
      <c r="D92" s="68">
        <f>(1+'Quarterly returns'!O77)*(1+'Quarterly returns'!O78)*(1+'Quarterly returns'!O79)*(1+'Quarterly returns'!O80)-1</f>
        <v>0.339778849956193</v>
      </c>
      <c r="E92" s="68">
        <f>(1+'Quarterly returns'!P77)*(1+'Quarterly returns'!P78)*(1+'Quarterly returns'!P79)*(1+'Quarterly returns'!P80)-1</f>
        <v>0.253043130392321</v>
      </c>
      <c r="F92" s="68">
        <f>(1+'Quarterly returns'!Q77)*(1+'Quarterly returns'!Q78)*(1+'Quarterly returns'!Q79)*(1+'Quarterly returns'!Q80)-1</f>
        <v>0.168783157708158</v>
      </c>
      <c r="G92" s="68">
        <f>(1+'Quarterly returns'!R77)*(1+'Quarterly returns'!R78)*(1+'Quarterly returns'!R79)*(1+'Quarterly returns'!R80)-1</f>
        <v>0.20396631859161</v>
      </c>
      <c r="H92" s="68">
        <f>(1+'Quarterly returns'!S77)*(1+'Quarterly returns'!S78)*(1+'Quarterly returns'!S79)*(1+'Quarterly returns'!S80)-1</f>
        <v>0.017819976806714</v>
      </c>
      <c r="I92" s="68">
        <f>(1+'Quarterly returns'!T77)*(1+'Quarterly returns'!T78)*(1+'Quarterly returns'!T79)*(1+'Quarterly returns'!T80)-1</f>
        <v>0.144116453536777</v>
      </c>
      <c r="J92" s="68">
        <f>(1+'Quarterly returns'!U77)*(1+'Quarterly returns'!U78)*(1+'Quarterly returns'!U79)*(1+'Quarterly returns'!U80)-1</f>
        <v>0.214922197434563</v>
      </c>
      <c r="K92" s="68">
        <f>(1+'Quarterly returns'!V77)*(1+'Quarterly returns'!V78)*(1+'Quarterly returns'!V79)*(1+'Quarterly returns'!V80)-1</f>
        <v>0.0269611317073701</v>
      </c>
      <c r="L92" s="68">
        <f>(1+'Quarterly returns'!W77)*(1+'Quarterly returns'!W78)*(1+'Quarterly returns'!W79)*(1+'Quarterly returns'!W80)-1</f>
        <v>0.00776028474244805</v>
      </c>
      <c r="M92" s="68">
        <f>(1+'Quarterly returns'!X77)*(1+'Quarterly returns'!X78)*(1+'Quarterly returns'!X79)*(1+'Quarterly returns'!X80)-1</f>
        <v>0.0446849180574513</v>
      </c>
      <c r="N92" s="77" t="n"/>
      <c r="O92" s="68">
        <f>C92-AVERAGE(C$21:C$97)+Forecast!$G$6</f>
        <v>0.10964241973079</v>
      </c>
      <c r="P92" s="68">
        <f>D92-AVERAGE(D$21:D$97)+Forecast!$G$7</f>
        <v>0.311655058712017</v>
      </c>
      <c r="Q92" s="68">
        <f>E92-AVERAGE(E$21:E$97)+Forecast!$G$8</f>
        <v>0.234650402460962</v>
      </c>
      <c r="R92" s="68">
        <f>F92-AVERAGE(F$21:F$97)+Forecast!$G$9</f>
        <v>0.175420990518942</v>
      </c>
      <c r="S92" s="68">
        <f>G92-AVERAGE(G$21:G$97)+Forecast!$G$10</f>
        <v>0.256901915810149</v>
      </c>
      <c r="T92" s="68">
        <f>H92-AVERAGE(H$21:H$97)+Forecast!$G$11</f>
        <v>-0.000923952736334929</v>
      </c>
      <c r="U92" s="68">
        <f>I92-AVERAGE(I$21:I$97)+Forecast!$G$12</f>
        <v>0.10178739502534</v>
      </c>
      <c r="V92" s="68">
        <f>J92-AVERAGE(J$21:J$97)+Forecast!$G$13</f>
        <v>0.143082467359034</v>
      </c>
      <c r="W92" s="68">
        <f>K92-AVERAGE(K$21:K$97)+Forecast!$G$14</f>
        <v>0.0348915444783299</v>
      </c>
      <c r="X92" s="68">
        <f>L92-AVERAGE(L$21:L$97)+Forecast!$G$15</f>
        <v>0.0160036018569596</v>
      </c>
      <c r="Y92" s="68">
        <f>M92-AVERAGE(M$21:M$97)+Forecast!$G$16</f>
        <v>0.0597399903555213</v>
      </c>
      <c r="Z92" s="68">
        <f>SUMPRODUCT($O92:$Y92,Risk!$B$56:$L$56)</f>
        <v>0.134425897831806</v>
      </c>
      <c r="AA92" s="68">
        <f>SUMPRODUCT($O92:$Y92,Risk!$B$57:$L$57)</f>
        <v>0.142402149126551</v>
      </c>
      <c r="AB92" s="68">
        <f>SUMPRODUCT($O92:$Y92,Risk!$B$58:$L$58)</f>
        <v>0.161662418995952</v>
      </c>
      <c r="AC92" s="68">
        <f>SUMPRODUCT(MMULT($O92:$Y92,Portfolio!$C$127:$C$137))</f>
        <v>0.159866859772776</v>
      </c>
      <c r="AD92" s="68">
        <f>SUMPRODUCT(MMULT($O92:$Y92,Portfolio!$D$127:$D$137))</f>
        <v>0.154801783432743</v>
      </c>
      <c r="AE92" s="68">
        <f>SUMPRODUCT(MMULT($O92:$Y92,Portfolio!$E$127:$E$137))</f>
        <v>0.159084409054138</v>
      </c>
      <c r="AF92" s="314">
        <f>SUMPRODUCT(MMULT($O92:$Y92,Portfolio!$F$127:$F$137))</f>
        <v>0.139752133792482</v>
      </c>
    </row>
    <row r="93">
      <c r="A93" s="312" t="n">
        <v>73</v>
      </c>
      <c r="B93" s="313">
        <f>'Quarterly returns'!A81</f>
        <v>45747.0</v>
      </c>
      <c r="C93" s="68">
        <f>(1+'Quarterly returns'!N78)*(1+'Quarterly returns'!N79)*(1+'Quarterly returns'!N80)*(1+'Quarterly returns'!N81)-1</f>
        <v>0.0220011492610768</v>
      </c>
      <c r="D93" s="68">
        <f>(1+'Quarterly returns'!O78)*(1+'Quarterly returns'!O79)*(1+'Quarterly returns'!O80)*(1+'Quarterly returns'!O81)-1</f>
        <v>0.125151273907149</v>
      </c>
      <c r="E93" s="68">
        <f>(1+'Quarterly returns'!P78)*(1+'Quarterly returns'!P79)*(1+'Quarterly returns'!P80)*(1+'Quarterly returns'!P81)-1</f>
        <v>0.169462988122176</v>
      </c>
      <c r="F93" s="68">
        <f>(1+'Quarterly returns'!Q78)*(1+'Quarterly returns'!Q79)*(1+'Quarterly returns'!Q80)*(1+'Quarterly returns'!Q81)-1</f>
        <v>0.120058819243475</v>
      </c>
      <c r="G93" s="68">
        <f>(1+'Quarterly returns'!R78)*(1+'Quarterly returns'!R79)*(1+'Quarterly returns'!R80)*(1+'Quarterly returns'!R81)-1</f>
        <v>0.0870146796233537</v>
      </c>
      <c r="H93" s="68">
        <f>(1+'Quarterly returns'!S78)*(1+'Quarterly returns'!S79)*(1+'Quarterly returns'!S80)*(1+'Quarterly returns'!S81)-1</f>
        <v>0.0198495281064275</v>
      </c>
      <c r="I93" s="68">
        <f>(1+'Quarterly returns'!T78)*(1+'Quarterly returns'!T79)*(1+'Quarterly returns'!T80)*(1+'Quarterly returns'!T81)-1</f>
        <v>0.0709587004903276</v>
      </c>
      <c r="J93" s="68">
        <f>(1+'Quarterly returns'!U78)*(1+'Quarterly returns'!U79)*(1+'Quarterly returns'!U80)*(1+'Quarterly returns'!U81)-1</f>
        <v>-0.0134229251754545</v>
      </c>
      <c r="K93" s="68">
        <f>(1+'Quarterly returns'!V78)*(1+'Quarterly returns'!V79)*(1+'Quarterly returns'!V80)*(1+'Quarterly returns'!V81)-1</f>
        <v>0.0314515687438071</v>
      </c>
      <c r="L93" s="68">
        <f>(1+'Quarterly returns'!W78)*(1+'Quarterly returns'!W79)*(1+'Quarterly returns'!W80)*(1+'Quarterly returns'!W81)-1</f>
        <v>0.0224892658869116</v>
      </c>
      <c r="M93" s="68">
        <f>(1+'Quarterly returns'!X78)*(1+'Quarterly returns'!X79)*(1+'Quarterly returns'!X80)*(1+'Quarterly returns'!X81)-1</f>
        <v>0.0445555513306697</v>
      </c>
      <c r="N93" s="77" t="n"/>
      <c r="O93" s="68">
        <f>C93-AVERAGE(C$21:C$97)+Forecast!$G$6</f>
        <v>0.0172054416659819</v>
      </c>
      <c r="P93" s="68">
        <f>D93-AVERAGE(D$21:D$97)+Forecast!$G$7</f>
        <v>0.0970274826629721</v>
      </c>
      <c r="Q93" s="68">
        <f>E93-AVERAGE(E$21:E$97)+Forecast!$G$8</f>
        <v>0.151070260190817</v>
      </c>
      <c r="R93" s="68">
        <f>F93-AVERAGE(F$21:F$97)+Forecast!$G$9</f>
        <v>0.126696652054259</v>
      </c>
      <c r="S93" s="68">
        <f>G93-AVERAGE(G$21:G$97)+Forecast!$G$10</f>
        <v>0.139950276841893</v>
      </c>
      <c r="T93" s="68">
        <f>H93-AVERAGE(H$21:H$97)+Forecast!$G$11</f>
        <v>0.00110559856337857</v>
      </c>
      <c r="U93" s="68">
        <f>I93-AVERAGE(I$21:I$97)+Forecast!$G$12</f>
        <v>0.0286296419788902</v>
      </c>
      <c r="V93" s="68">
        <f>J93-AVERAGE(J$21:J$97)+Forecast!$G$13</f>
        <v>-0.0852626552509837</v>
      </c>
      <c r="W93" s="68">
        <f>K93-AVERAGE(K$21:K$97)+Forecast!$G$14</f>
        <v>0.0393819815147668</v>
      </c>
      <c r="X93" s="68">
        <f>L93-AVERAGE(L$21:L$97)+Forecast!$G$15</f>
        <v>0.0307325830014232</v>
      </c>
      <c r="Y93" s="68">
        <f>M93-AVERAGE(M$21:M$97)+Forecast!$G$16</f>
        <v>0.0596106236287396</v>
      </c>
      <c r="Z93" s="68">
        <f>SUMPRODUCT($O93:$Y93,Risk!$B$56:$L$56)</f>
        <v>0.0514959859257537</v>
      </c>
      <c r="AA93" s="68">
        <f>SUMPRODUCT($O93:$Y93,Risk!$B$57:$L$57)</f>
        <v>0.0528265050230614</v>
      </c>
      <c r="AB93" s="68">
        <f>SUMPRODUCT($O93:$Y93,Risk!$B$58:$L$58)</f>
        <v>0.0662123057672146</v>
      </c>
      <c r="AC93" s="68">
        <f>SUMPRODUCT(MMULT($O93:$Y93,Portfolio!$C$127:$C$137))</f>
        <v>0.0627449180488262</v>
      </c>
      <c r="AD93" s="68">
        <f>SUMPRODUCT(MMULT($O93:$Y93,Portfolio!$D$127:$D$137))</f>
        <v>0.0631951004861682</v>
      </c>
      <c r="AE93" s="68">
        <f>SUMPRODUCT(MMULT($O93:$Y93,Portfolio!$E$127:$E$137))</f>
        <v>0.0561751846708189</v>
      </c>
      <c r="AF93" s="314">
        <f>SUMPRODUCT(MMULT($O93:$Y93,Portfolio!$F$127:$F$137))</f>
        <v>0.0487247822891102</v>
      </c>
    </row>
    <row r="94">
      <c r="A94" s="312" t="n">
        <v>74</v>
      </c>
      <c r="B94" s="313">
        <f>'Quarterly returns'!A82</f>
        <v>45838.0</v>
      </c>
      <c r="C94" s="68">
        <f>(1+'Quarterly returns'!N79)*(1+'Quarterly returns'!N80)*(1+'Quarterly returns'!N81)*(1+'Quarterly returns'!N82)-1</f>
        <v>0.132308812653186</v>
      </c>
      <c r="D94" s="68">
        <f>(1+'Quarterly returns'!O79)*(1+'Quarterly returns'!O80)*(1+'Quarterly returns'!O81)*(1+'Quarterly returns'!O82)-1</f>
        <v>0.164066337415756</v>
      </c>
      <c r="E94" s="68">
        <f>(1+'Quarterly returns'!P79)*(1+'Quarterly returns'!P80)*(1+'Quarterly returns'!P81)*(1+'Quarterly returns'!P82)-1</f>
        <v>0.157504713704149</v>
      </c>
      <c r="F94" s="68">
        <f>(1+'Quarterly returns'!Q79)*(1+'Quarterly returns'!Q80)*(1+'Quarterly returns'!Q81)*(1+'Quarterly returns'!Q82)-1</f>
        <v>0.117481534034555</v>
      </c>
      <c r="G94" s="68">
        <f>(1+'Quarterly returns'!R79)*(1+'Quarterly returns'!R80)*(1+'Quarterly returns'!R81)*(1+'Quarterly returns'!R82)-1</f>
        <v>0.021667403406531</v>
      </c>
      <c r="H94" s="68">
        <f>(1+'Quarterly returns'!S79)*(1+'Quarterly returns'!S80)*(1+'Quarterly returns'!S81)*(1+'Quarterly returns'!S82)-1</f>
        <v>0.0247882667413262</v>
      </c>
      <c r="I94" s="68">
        <f>(1+'Quarterly returns'!T79)*(1+'Quarterly returns'!T80)*(1+'Quarterly returns'!T81)*(1+'Quarterly returns'!T82)-1</f>
        <v>0.120884698286219</v>
      </c>
      <c r="J94" s="68">
        <f>(1+'Quarterly returns'!U79)*(1+'Quarterly returns'!U80)*(1+'Quarterly returns'!U81)*(1+'Quarterly returns'!U82)-1</f>
        <v>0.161250574681561</v>
      </c>
      <c r="K94" s="68">
        <f>(1+'Quarterly returns'!V79)*(1+'Quarterly returns'!V80)*(1+'Quarterly returns'!V81)*(1+'Quarterly returns'!V82)-1</f>
        <v>0.0691155083164954</v>
      </c>
      <c r="L94" s="68">
        <f>(1+'Quarterly returns'!W79)*(1+'Quarterly returns'!W80)*(1+'Quarterly returns'!W81)*(1+'Quarterly returns'!W82)-1</f>
        <v>0.0395300237782161</v>
      </c>
      <c r="M94" s="68">
        <f>(1+'Quarterly returns'!X79)*(1+'Quarterly returns'!X80)*(1+'Quarterly returns'!X81)*(1+'Quarterly returns'!X82)-1</f>
        <v>0.0438885220770282</v>
      </c>
      <c r="N94" s="77" t="n"/>
      <c r="O94" s="68">
        <f>C94-AVERAGE(C$21:C$97)+Forecast!$G$6</f>
        <v>0.127513105058091</v>
      </c>
      <c r="P94" s="68">
        <f>D94-AVERAGE(D$21:D$97)+Forecast!$G$7</f>
        <v>0.135942546171579</v>
      </c>
      <c r="Q94" s="68">
        <f>E94-AVERAGE(E$21:E$97)+Forecast!$G$8</f>
        <v>0.13911198577279</v>
      </c>
      <c r="R94" s="68">
        <f>F94-AVERAGE(F$21:F$97)+Forecast!$G$9</f>
        <v>0.124119366845338</v>
      </c>
      <c r="S94" s="68">
        <f>G94-AVERAGE(G$21:G$97)+Forecast!$G$10</f>
        <v>0.0746030006250703</v>
      </c>
      <c r="T94" s="68">
        <f>H94-AVERAGE(H$21:H$97)+Forecast!$G$11</f>
        <v>0.00604433719827725</v>
      </c>
      <c r="U94" s="68">
        <f>I94-AVERAGE(I$21:I$97)+Forecast!$G$12</f>
        <v>0.0785556397747812</v>
      </c>
      <c r="V94" s="68">
        <f>J94-AVERAGE(J$21:J$97)+Forecast!$G$13</f>
        <v>0.0894108446060319</v>
      </c>
      <c r="W94" s="68">
        <f>K94-AVERAGE(K$21:K$97)+Forecast!$G$14</f>
        <v>0.0770459210874551</v>
      </c>
      <c r="X94" s="68">
        <f>L94-AVERAGE(L$21:L$97)+Forecast!$G$15</f>
        <v>0.0477733408927277</v>
      </c>
      <c r="Y94" s="68">
        <f>M94-AVERAGE(M$21:M$97)+Forecast!$G$16</f>
        <v>0.0589435943750982</v>
      </c>
      <c r="Z94" s="68">
        <f>SUMPRODUCT($O94:$Y94,Risk!$B$56:$L$56)</f>
        <v>0.110110494982879</v>
      </c>
      <c r="AA94" s="68">
        <f>SUMPRODUCT($O94:$Y94,Risk!$B$57:$L$57)</f>
        <v>0.102009278283595</v>
      </c>
      <c r="AB94" s="68">
        <f>SUMPRODUCT($O94:$Y94,Risk!$B$58:$L$58)</f>
        <v>0.111353212370519</v>
      </c>
      <c r="AC94" s="68">
        <f>SUMPRODUCT(MMULT($O94:$Y94,Portfolio!$C$127:$C$137))</f>
        <v>0.108454514777766</v>
      </c>
      <c r="AD94" s="68">
        <f>SUMPRODUCT(MMULT($O94:$Y94,Portfolio!$D$127:$D$137))</f>
        <v>0.110337711571338</v>
      </c>
      <c r="AE94" s="68">
        <f>SUMPRODUCT(MMULT($O94:$Y94,Portfolio!$E$127:$E$137))</f>
        <v>0.108646412625273</v>
      </c>
      <c r="AF94" s="314">
        <f>SUMPRODUCT(MMULT($O94:$Y94,Portfolio!$F$127:$F$137))</f>
        <v>0.104697578612673</v>
      </c>
    </row>
    <row r="95">
      <c r="A95" s="312" t="n">
        <v>75</v>
      </c>
      <c r="B95" s="313">
        <f>'Quarterly returns'!A83</f>
        <v>45930.0</v>
      </c>
      <c r="C95" s="68">
        <f>(1+'Quarterly returns'!N80)*(1+'Quarterly returns'!N81)*(1+'Quarterly returns'!N82)*(1+'Quarterly returns'!N83)-1</f>
        <v>0.104991488856217</v>
      </c>
      <c r="D95" s="68">
        <f>(1+'Quarterly returns'!O80)*(1+'Quarterly returns'!O81)*(1+'Quarterly returns'!O82)*(1+'Quarterly returns'!O83)-1</f>
        <v>0.227696198656438</v>
      </c>
      <c r="E95" s="68">
        <f>(1+'Quarterly returns'!P80)*(1+'Quarterly returns'!P81)*(1+'Quarterly returns'!P82)*(1+'Quarterly returns'!P83)-1</f>
        <v>0.252613288324494</v>
      </c>
      <c r="F95" s="68">
        <f>(1+'Quarterly returns'!Q80)*(1+'Quarterly returns'!Q81)*(1+'Quarterly returns'!Q82)*(1+'Quarterly returns'!Q83)-1</f>
        <v>0.0492113431269787</v>
      </c>
      <c r="G95" s="68">
        <f>(1+'Quarterly returns'!R80)*(1+'Quarterly returns'!R81)*(1+'Quarterly returns'!R82)*(1+'Quarterly returns'!R83)-1</f>
        <v>0.152859637479642</v>
      </c>
      <c r="H95" s="68">
        <f>(1+'Quarterly returns'!S80)*(1+'Quarterly returns'!S81)*(1+'Quarterly returns'!S82)*(1+'Quarterly returns'!S83)-1</f>
        <v>0.0705690096701306</v>
      </c>
      <c r="I95" s="68">
        <f>(1+'Quarterly returns'!T80)*(1+'Quarterly returns'!T81)*(1+'Quarterly returns'!T82)*(1+'Quarterly returns'!T83)-1</f>
        <v>0.159604589368569</v>
      </c>
      <c r="J95" s="68">
        <f>(1+'Quarterly returns'!U80)*(1+'Quarterly returns'!U81)*(1+'Quarterly returns'!U82)*(1+'Quarterly returns'!U83)-1</f>
        <v>0.00713855816732312</v>
      </c>
      <c r="K95" s="68">
        <f>(1+'Quarterly returns'!V80)*(1+'Quarterly returns'!V81)*(1+'Quarterly returns'!V82)*(1+'Quarterly returns'!V83)-1</f>
        <v>0.0381489061473477</v>
      </c>
      <c r="L95" s="68">
        <f>(1+'Quarterly returns'!W80)*(1+'Quarterly returns'!W81)*(1+'Quarterly returns'!W82)*(1+'Quarterly returns'!W83)-1</f>
        <v>0.00871334843201743</v>
      </c>
      <c r="M95" s="68">
        <f>(1+'Quarterly returns'!X80)*(1+'Quarterly returns'!X81)*(1+'Quarterly returns'!X82)*(1+'Quarterly returns'!X83)-1</f>
        <v>0.0418570437683681</v>
      </c>
      <c r="N95" s="77" t="n"/>
      <c r="O95" s="68">
        <f>C95-AVERAGE(C$21:C$97)+Forecast!$G$6</f>
        <v>0.100195781261122</v>
      </c>
      <c r="P95" s="68">
        <f>D95-AVERAGE(D$21:D$97)+Forecast!$G$7</f>
        <v>0.199572407412261</v>
      </c>
      <c r="Q95" s="68">
        <f>E95-AVERAGE(E$21:E$97)+Forecast!$G$8</f>
        <v>0.234220560393135</v>
      </c>
      <c r="R95" s="68">
        <f>F95-AVERAGE(F$21:F$97)+Forecast!$G$9</f>
        <v>0.0558491759377623</v>
      </c>
      <c r="S95" s="68">
        <f>G95-AVERAGE(G$21:G$97)+Forecast!$G$10</f>
        <v>0.205795234698182</v>
      </c>
      <c r="T95" s="68">
        <f>H95-AVERAGE(H$21:H$97)+Forecast!$G$11</f>
        <v>0.0518250801270817</v>
      </c>
      <c r="U95" s="68">
        <f>I95-AVERAGE(I$21:I$97)+Forecast!$G$12</f>
        <v>0.117275530857131</v>
      </c>
      <c r="V95" s="68">
        <f>J95-AVERAGE(J$21:J$97)+Forecast!$G$13</f>
        <v>-0.0647011719082061</v>
      </c>
      <c r="W95" s="68">
        <f>K95-AVERAGE(K$21:K$97)+Forecast!$G$14</f>
        <v>0.0460793189183074</v>
      </c>
      <c r="X95" s="68">
        <f>L95-AVERAGE(L$21:L$97)+Forecast!$G$15</f>
        <v>0.016956665546529</v>
      </c>
      <c r="Y95" s="68">
        <f>M95-AVERAGE(M$21:M$97)+Forecast!$G$16</f>
        <v>0.056912116066438</v>
      </c>
      <c r="Z95" s="68">
        <f>SUMPRODUCT($O95:$Y95,Risk!$B$56:$L$56)</f>
        <v>0.0978299907867964</v>
      </c>
      <c r="AA95" s="68">
        <f>SUMPRODUCT($O95:$Y95,Risk!$B$57:$L$57)</f>
        <v>0.10219047303112</v>
      </c>
      <c r="AB95" s="68">
        <f>SUMPRODUCT($O95:$Y95,Risk!$B$58:$L$58)</f>
        <v>0.117570930296648</v>
      </c>
      <c r="AC95" s="68">
        <f>SUMPRODUCT(MMULT($O95:$Y95,Portfolio!$C$127:$C$137))</f>
        <v>0.116085908110293</v>
      </c>
      <c r="AD95" s="68">
        <f>SUMPRODUCT(MMULT($O95:$Y95,Portfolio!$D$127:$D$137))</f>
        <v>0.112836400586095</v>
      </c>
      <c r="AE95" s="68">
        <f>SUMPRODUCT(MMULT($O95:$Y95,Portfolio!$E$127:$E$137))</f>
        <v>0.110469055977362</v>
      </c>
      <c r="AF95" s="314">
        <f>SUMPRODUCT(MMULT($O95:$Y95,Portfolio!$F$127:$F$137))</f>
        <v>0.104422960779093</v>
      </c>
    </row>
    <row r="96">
      <c r="A96" s="312" t="n">
        <v>76</v>
      </c>
      <c r="B96" s="313">
        <f>'Quarterly returns'!A84</f>
        <v>46022.0</v>
      </c>
      <c r="C96" s="68">
        <f>(1+'Quarterly returns'!N81)*(1+'Quarterly returns'!N82)*(1+'Quarterly returns'!N83)*(1+'Quarterly returns'!N84)-1</f>
        <v>0.105620085632762</v>
      </c>
      <c r="D96" s="68">
        <f>(1+'Quarterly returns'!O81)*(1+'Quarterly returns'!O82)*(1+'Quarterly returns'!O83)*(1+'Quarterly returns'!O84)-1</f>
        <v>0.104278980557193</v>
      </c>
      <c r="E96" s="68">
        <f>(1+'Quarterly returns'!P81)*(1+'Quarterly returns'!P82)*(1+'Quarterly returns'!P83)*(1+'Quarterly returns'!P84)-1</f>
        <v>0.226105499710449</v>
      </c>
      <c r="F96" s="68">
        <f>(1+'Quarterly returns'!Q81)*(1+'Quarterly returns'!Q82)*(1+'Quarterly returns'!Q83)*(1+'Quarterly returns'!Q84)-1</f>
        <v>-0.00487090478182672</v>
      </c>
      <c r="G96" s="68">
        <f>(1+'Quarterly returns'!R81)*(1+'Quarterly returns'!R82)*(1+'Quarterly returns'!R83)*(1+'Quarterly returns'!R84)-1</f>
        <v>-0.00544236595390257</v>
      </c>
      <c r="H96" s="68">
        <f>(1+'Quarterly returns'!S81)*(1+'Quarterly returns'!S82)*(1+'Quarterly returns'!S83)*(1+'Quarterly returns'!S84)-1</f>
        <v>0.119015790982755</v>
      </c>
      <c r="I96" s="68">
        <f>(1+'Quarterly returns'!T81)*(1+'Quarterly returns'!T82)*(1+'Quarterly returns'!T83)*(1+'Quarterly returns'!T84)-1</f>
        <v>0.138823532797747</v>
      </c>
      <c r="J96" s="68">
        <f>(1+'Quarterly returns'!U81)*(1+'Quarterly returns'!U82)*(1+'Quarterly returns'!U83)*(1+'Quarterly returns'!U84)-1</f>
        <v>-0.013307824649774</v>
      </c>
      <c r="K96" s="68">
        <f>(1+'Quarterly returns'!V81)*(1+'Quarterly returns'!V82)*(1+'Quarterly returns'!V83)*(1+'Quarterly returns'!V84)-1</f>
        <v>0.0328786701508039</v>
      </c>
      <c r="L96" s="68">
        <f>(1+'Quarterly returns'!W81)*(1+'Quarterly returns'!W82)*(1+'Quarterly returns'!W83)*(1+'Quarterly returns'!W84)-1</f>
        <v>0.0257734205209952</v>
      </c>
      <c r="M96" s="68">
        <f>(1+'Quarterly returns'!X81)*(1+'Quarterly returns'!X82)*(1+'Quarterly returns'!X83)*(1+'Quarterly returns'!X84)-1</f>
        <v>0.0397011431502032</v>
      </c>
      <c r="N96" s="77" t="n"/>
      <c r="O96" s="68">
        <f>C96-AVERAGE(C$21:C$97)+Forecast!$G$6</f>
        <v>0.100824378037667</v>
      </c>
      <c r="P96" s="68">
        <f>D96-AVERAGE(D$21:D$97)+Forecast!$G$7</f>
        <v>0.0761551893130162</v>
      </c>
      <c r="Q96" s="68">
        <f>E96-AVERAGE(E$21:E$97)+Forecast!$G$8</f>
        <v>0.20771277177909</v>
      </c>
      <c r="R96" s="68">
        <f>F96-AVERAGE(F$21:F$97)+Forecast!$G$9</f>
        <v>0.00176692802895688</v>
      </c>
      <c r="S96" s="68">
        <f>G96-AVERAGE(G$21:G$97)+Forecast!$G$10</f>
        <v>0.0474932312646368</v>
      </c>
      <c r="T96" s="68">
        <f>H96-AVERAGE(H$21:H$97)+Forecast!$G$11</f>
        <v>0.100271861439706</v>
      </c>
      <c r="U96" s="68">
        <f>I96-AVERAGE(I$21:I$97)+Forecast!$G$12</f>
        <v>0.09649447428631</v>
      </c>
      <c r="V96" s="68">
        <f>J96-AVERAGE(J$21:J$97)+Forecast!$G$13</f>
        <v>-0.0851475547253032</v>
      </c>
      <c r="W96" s="68">
        <f>K96-AVERAGE(K$21:K$97)+Forecast!$G$14</f>
        <v>0.0408090829217637</v>
      </c>
      <c r="X96" s="68">
        <f>L96-AVERAGE(L$21:L$97)+Forecast!$G$15</f>
        <v>0.0340167376355068</v>
      </c>
      <c r="Y96" s="68">
        <f>M96-AVERAGE(M$21:M$97)+Forecast!$G$16</f>
        <v>0.0547562154482732</v>
      </c>
      <c r="Z96" s="68">
        <f>SUMPRODUCT($O96:$Y96,Risk!$B$56:$L$56)</f>
        <v>0.0684131184110498</v>
      </c>
      <c r="AA96" s="68">
        <f>SUMPRODUCT($O96:$Y96,Risk!$B$57:$L$57)</f>
        <v>0.0672400725564493</v>
      </c>
      <c r="AB96" s="68">
        <f>SUMPRODUCT($O96:$Y96,Risk!$B$58:$L$58)</f>
        <v>0.0745003100323611</v>
      </c>
      <c r="AC96" s="68">
        <f>SUMPRODUCT(MMULT($O96:$Y96,Portfolio!$C$127:$C$137))</f>
        <v>0.0741396069882685</v>
      </c>
      <c r="AD96" s="68">
        <f>SUMPRODUCT(MMULT($O96:$Y96,Portfolio!$D$127:$D$137))</f>
        <v>0.0746337989513387</v>
      </c>
      <c r="AE96" s="68">
        <f>SUMPRODUCT(MMULT($O96:$Y96,Portfolio!$E$127:$E$137))</f>
        <v>0.0682781726929503</v>
      </c>
      <c r="AF96" s="314">
        <f>SUMPRODUCT(MMULT($O96:$Y96,Portfolio!$F$127:$F$137))</f>
        <v>0.0693927346560318</v>
      </c>
    </row>
    <row r="97">
      <c r="A97" s="315" t="n">
        <v>77</v>
      </c>
      <c r="B97" s="316">
        <f>'Quarterly returns'!A85</f>
        <v>46112.0</v>
      </c>
      <c r="C97" s="317">
        <f>(1+'Quarterly returns'!N82)*(1+'Quarterly returns'!N83)*(1+'Quarterly returns'!N84)*(1+'Quarterly returns'!N85)-1</f>
        <v>0.112892832917661</v>
      </c>
      <c r="D97" s="317">
        <f>(1+'Quarterly returns'!O82)*(1+'Quarterly returns'!O83)*(1+'Quarterly returns'!O84)*(1+'Quarterly returns'!O85)-1</f>
        <v>0.0767158466596203</v>
      </c>
      <c r="E97" s="317">
        <f>(1+'Quarterly returns'!P82)*(1+'Quarterly returns'!P83)*(1+'Quarterly returns'!P84)*(1+'Quarterly returns'!P85)-1</f>
        <v>0.195146645623603</v>
      </c>
      <c r="F97" s="317">
        <f>(1+'Quarterly returns'!Q82)*(1+'Quarterly returns'!Q83)*(1+'Quarterly returns'!Q84)*(1+'Quarterly returns'!Q85)-1</f>
        <v>-0.023292144962758</v>
      </c>
      <c r="G97" s="317">
        <f>(1+'Quarterly returns'!R82)*(1+'Quarterly returns'!R83)*(1+'Quarterly returns'!R84)*(1+'Quarterly returns'!R85)-1</f>
        <v>0.301032206061954</v>
      </c>
      <c r="H97" s="317">
        <f>(1+'Quarterly returns'!S82)*(1+'Quarterly returns'!S83)*(1+'Quarterly returns'!S84)*(1+'Quarterly returns'!S85)-1</f>
        <v>0.109998104707048</v>
      </c>
      <c r="I97" s="317">
        <f>(1+'Quarterly returns'!T82)*(1+'Quarterly returns'!T83)*(1+'Quarterly returns'!T84)*(1+'Quarterly returns'!T85)-1</f>
        <v>0.0775231150931173</v>
      </c>
      <c r="J97" s="317">
        <f>(1+'Quarterly returns'!U82)*(1+'Quarterly returns'!U83)*(1+'Quarterly returns'!U84)*(1+'Quarterly returns'!U85)-1</f>
        <v>-0.148559979116879</v>
      </c>
      <c r="K97" s="317">
        <f>(1+'Quarterly returns'!V82)*(1+'Quarterly returns'!V83)*(1+'Quarterly returns'!V84)*(1+'Quarterly returns'!V85)-1</f>
        <v>0.0135777623611413</v>
      </c>
      <c r="L97" s="317">
        <f>(1+'Quarterly returns'!W82)*(1+'Quarterly returns'!W83)*(1+'Quarterly returns'!W84)*(1+'Quarterly returns'!W85)-1</f>
        <v>0.0131381102971084</v>
      </c>
      <c r="M97" s="317">
        <f>(1+'Quarterly returns'!X82)*(1+'Quarterly returns'!X83)*(1+'Quarterly returns'!X84)*(1+'Quarterly returns'!X85)-1</f>
        <v>0.0379951493513897</v>
      </c>
      <c r="N97" s="240" t="n"/>
      <c r="O97" s="317">
        <f>C97-AVERAGE(C$21:C$97)+Forecast!$G$6</f>
        <v>0.108097125322566</v>
      </c>
      <c r="P97" s="317">
        <f>D97-AVERAGE(D$21:D$97)+Forecast!$G$7</f>
        <v>0.0485920554154436</v>
      </c>
      <c r="Q97" s="317">
        <f>E97-AVERAGE(E$21:E$97)+Forecast!$G$8</f>
        <v>0.176753917692244</v>
      </c>
      <c r="R97" s="317">
        <f>F97-AVERAGE(F$21:F$97)+Forecast!$G$9</f>
        <v>-0.0166543121519744</v>
      </c>
      <c r="S97" s="317">
        <f>G97-AVERAGE(G$21:G$97)+Forecast!$G$10</f>
        <v>0.353967803280493</v>
      </c>
      <c r="T97" s="317">
        <f>H97-AVERAGE(H$21:H$97)+Forecast!$G$11</f>
        <v>0.0912541751639993</v>
      </c>
      <c r="U97" s="317">
        <f>I97-AVERAGE(I$21:I$97)+Forecast!$G$12</f>
        <v>0.0351940565816798</v>
      </c>
      <c r="V97" s="317">
        <f>J97-AVERAGE(J$21:J$97)+Forecast!$G$13</f>
        <v>-0.220399709192408</v>
      </c>
      <c r="W97" s="317">
        <f>K97-AVERAGE(K$21:K$97)+Forecast!$G$14</f>
        <v>0.021508175132101</v>
      </c>
      <c r="X97" s="317">
        <f>L97-AVERAGE(L$21:L$97)+Forecast!$G$15</f>
        <v>0.02138142741162</v>
      </c>
      <c r="Y97" s="317">
        <f>M97-AVERAGE(M$21:M$97)+Forecast!$G$16</f>
        <v>0.0530502216494597</v>
      </c>
      <c r="Z97" s="317">
        <f>SUMPRODUCT($O97:$Y97,Risk!$B$56:$L$56)</f>
        <v>0.0599420859751245</v>
      </c>
      <c r="AA97" s="317">
        <f>SUMPRODUCT($O97:$Y97,Risk!$B$57:$L$57)</f>
        <v>0.0558636937392211</v>
      </c>
      <c r="AB97" s="317">
        <f>SUMPRODUCT($O97:$Y97,Risk!$B$58:$L$58)</f>
        <v>0.068622976621813</v>
      </c>
      <c r="AC97" s="317">
        <f>SUMPRODUCT(MMULT($O97:$Y97,Portfolio!$C$127:$C$137))</f>
        <v>0.0692433035877166</v>
      </c>
      <c r="AD97" s="317">
        <f>SUMPRODUCT(MMULT($O97:$Y97,Portfolio!$D$127:$D$137))</f>
        <v>0.0609971138977358</v>
      </c>
      <c r="AE97" s="317">
        <f>SUMPRODUCT(MMULT($O97:$Y97,Portfolio!$E$127:$E$137))</f>
        <v>0.0569249313216704</v>
      </c>
      <c r="AF97" s="318">
        <f>SUMPRODUCT(MMULT($O97:$Y97,Portfolio!$F$127:$F$137))</f>
        <v>0.0575962147518514</v>
      </c>
    </row>
    <row r="99">
      <c r="A99" s="83" t="inlineStr">
        <is>
          <t>3. Simulated paths (draws pasted, seed in Inputs)</t>
        </is>
      </c>
      <c r="B99" s="84" t="n"/>
      <c r="C99" s="84" t="n"/>
      <c r="D99" s="84" t="n"/>
      <c r="E99" s="84" t="n"/>
      <c r="F99" s="84" t="n"/>
      <c r="G99" s="84" t="n"/>
      <c r="H99" s="84" t="n"/>
      <c r="I99" s="84" t="n"/>
      <c r="J99" s="84" t="n"/>
      <c r="K99" s="84" t="n"/>
      <c r="L99" s="84" t="n"/>
      <c r="M99" s="84" t="n"/>
      <c r="N99" s="84" t="n"/>
      <c r="O99" s="84" t="n"/>
      <c r="P99" s="84" t="n"/>
      <c r="Q99" s="84" t="n"/>
      <c r="R99" s="84" t="n"/>
      <c r="S99" s="85" t="n"/>
    </row>
    <row r="100">
      <c r="A100" s="319" t="n"/>
      <c r="B100" s="77" t="n"/>
      <c r="C100" s="77" t="n"/>
      <c r="D100" s="77" t="n"/>
      <c r="E100" s="77" t="n"/>
      <c r="F100" s="77" t="n"/>
      <c r="G100" s="77" t="n"/>
      <c r="H100" s="77" t="n"/>
      <c r="I100" s="77" t="n"/>
      <c r="J100" s="77" t="n"/>
      <c r="K100" s="77" t="n"/>
      <c r="L100" s="77" t="n"/>
      <c r="M100" s="77" t="n"/>
      <c r="N100" s="77" t="n"/>
      <c r="O100" s="77" t="n"/>
      <c r="P100" s="77" t="n"/>
      <c r="Q100" s="77" t="n"/>
      <c r="R100" s="77" t="n"/>
      <c r="S100" s="301" t="n"/>
    </row>
    <row r="101" ht="42" customHeight="1">
      <c r="A101" s="89" t="inlineStr">
        <is>
          <t>Path</t>
        </is>
      </c>
      <c r="B101" s="90" t="inlineStr">
        <is>
          <t>Draw 1</t>
        </is>
      </c>
      <c r="C101" s="90" t="inlineStr">
        <is>
          <t>Draw 2</t>
        </is>
      </c>
      <c r="D101" s="90" t="inlineStr">
        <is>
          <t>Draw 3</t>
        </is>
      </c>
      <c r="E101" s="90" t="inlineStr">
        <is>
          <t>Draw 4</t>
        </is>
      </c>
      <c r="F101" s="90" t="inlineStr">
        <is>
          <t>Draw 5</t>
        </is>
      </c>
      <c r="G101" s="90" t="inlineStr">
        <is>
          <t>Current</t>
        </is>
      </c>
      <c r="H101" s="90" t="inlineStr">
        <is>
          <t>Benchmark</t>
        </is>
      </c>
      <c r="I101" s="90" t="inlineStr">
        <is>
          <t>Recommended</t>
        </is>
      </c>
      <c r="J101" s="90" t="inlineStr">
        <is>
          <t>Relative: current (log)</t>
        </is>
      </c>
      <c r="K101" s="90" t="inlineStr">
        <is>
          <t>Relative: recommended (log)</t>
        </is>
      </c>
      <c r="L101" s="90" t="inlineStr">
        <is>
          <t>Alternatives fixed by scorecard</t>
        </is>
      </c>
      <c r="M101" s="90" t="inlineStr">
        <is>
          <t>No alternatives</t>
        </is>
      </c>
      <c r="N101" s="90" t="inlineStr">
        <is>
          <t>Alternatives at benchmark weights</t>
        </is>
      </c>
      <c r="O101" s="90" t="inlineStr">
        <is>
          <t>Core five only</t>
        </is>
      </c>
      <c r="P101" s="90" t="inlineStr">
        <is>
          <t>Relative: alternatives fixed by scorecard (log)</t>
        </is>
      </c>
      <c r="Q101" s="90" t="inlineStr">
        <is>
          <t>Relative: no alternatives (log)</t>
        </is>
      </c>
      <c r="R101" s="90" t="inlineStr">
        <is>
          <t>Relative: alternatives at benchmark weights (log)</t>
        </is>
      </c>
      <c r="S101" s="91" t="inlineStr">
        <is>
          <t>Relative: core five only (log)</t>
        </is>
      </c>
    </row>
    <row r="102">
      <c r="A102" s="320" t="n">
        <v>1</v>
      </c>
      <c r="B102" s="174" t="n">
        <v>56</v>
      </c>
      <c r="C102" s="174" t="n">
        <v>27</v>
      </c>
      <c r="D102" s="174" t="n">
        <v>32</v>
      </c>
      <c r="E102" s="174" t="n">
        <v>43</v>
      </c>
      <c r="F102" s="174" t="n">
        <v>73</v>
      </c>
      <c r="G102" s="68">
        <f>(1+INDEX($Z$21:$Z$97,B102))*(1+INDEX($Z$21:$Z$97,C102))*(1+INDEX($Z$21:$Z$97,D102))*(1+INDEX($Z$21:$Z$97,E102))*(1+INDEX($Z$21:$Z$97,F102))-1</f>
        <v>0.510417392670482</v>
      </c>
      <c r="H102" s="68">
        <f>(1+INDEX($AA$21:$AA$97,B102))*(1+INDEX($AA$21:$AA$97,C102))*(1+INDEX($AA$21:$AA$97,D102))*(1+INDEX($AA$21:$AA$97,E102))*(1+INDEX($AA$21:$AA$97,F102))-1</f>
        <v>0.49384738329171</v>
      </c>
      <c r="I102" s="68">
        <f>(1+INDEX($AB$21:$AB$97,B102))*(1+INDEX($AB$21:$AB$97,C102))*(1+INDEX($AB$21:$AB$97,D102))*(1+INDEX($AB$21:$AB$97,E102))*(1+INDEX($AB$21:$AB$97,F102))-1</f>
        <v>0.564684458277192</v>
      </c>
      <c r="J102" s="489">
        <f>LN((1+G102)/(1+H102))</f>
        <v>0.0110311032091054</v>
      </c>
      <c r="K102" s="489">
        <f>LN((1+I102)/(1+H102))</f>
        <v>0.0463292511511012</v>
      </c>
      <c r="L102" s="489">
        <f>(1+INDEX($AC$21:$AC$97,B102))*(1+INDEX($AC$21:$AC$97,C102))*(1+INDEX($AC$21:$AC$97,D102))*(1+INDEX($AC$21:$AC$97,E102))*(1+INDEX($AC$21:$AC$97,F102))-1</f>
        <v>0.545640397510339</v>
      </c>
      <c r="M102" s="489">
        <f>(1+INDEX($AD$21:$AD$97,B102))*(1+INDEX($AD$21:$AD$97,C102))*(1+INDEX($AD$21:$AD$97,D102))*(1+INDEX($AD$21:$AD$97,E102))*(1+INDEX($AD$21:$AD$97,F102))-1</f>
        <v>0.577545876943633</v>
      </c>
      <c r="N102" s="489">
        <f>(1+INDEX($AE$21:$AE$97,B102))*(1+INDEX($AE$21:$AE$97,C102))*(1+INDEX($AE$21:$AE$97,D102))*(1+INDEX($AE$21:$AE$97,E102))*(1+INDEX($AE$21:$AE$97,F102))-1</f>
        <v>0.533915644646112</v>
      </c>
      <c r="O102" s="489">
        <f>(1+INDEX($AF$21:$AF$97,B102))*(1+INDEX($AF$21:$AF$97,C102))*(1+INDEX($AF$21:$AF$97,D102))*(1+INDEX($AF$21:$AF$97,E102))*(1+INDEX($AF$21:$AF$97,F102))-1</f>
        <v>0.527181940031947</v>
      </c>
      <c r="P102" s="489">
        <f>LN((1+L102)/(1+H102))</f>
        <v>0.034083392831987</v>
      </c>
      <c r="Q102" s="489">
        <f>LN((1+M102)/(1+H102))</f>
        <v>0.0545154686584299</v>
      </c>
      <c r="R102" s="489">
        <f>LN((1+N102)/(1+H102))</f>
        <v>0.0264687825725829</v>
      </c>
      <c r="S102" s="542">
        <f>LN((1+O102)/(1+H102))</f>
        <v>0.022069239409163</v>
      </c>
    </row>
    <row r="103">
      <c r="A103" s="320" t="n">
        <v>2</v>
      </c>
      <c r="B103" s="174" t="n">
        <v>49</v>
      </c>
      <c r="C103" s="174" t="n">
        <v>59</v>
      </c>
      <c r="D103" s="174" t="n">
        <v>39</v>
      </c>
      <c r="E103" s="174" t="n">
        <v>14</v>
      </c>
      <c r="F103" s="174" t="n">
        <v>56</v>
      </c>
      <c r="G103" s="68">
        <f>(1+INDEX($Z$21:$Z$97,B103))*(1+INDEX($Z$21:$Z$97,C103))*(1+INDEX($Z$21:$Z$97,D103))*(1+INDEX($Z$21:$Z$97,E103))*(1+INDEX($Z$21:$Z$97,F103))-1</f>
        <v>0.648299112807869</v>
      </c>
      <c r="H103" s="68">
        <f>(1+INDEX($AA$21:$AA$97,B103))*(1+INDEX($AA$21:$AA$97,C103))*(1+INDEX($AA$21:$AA$97,D103))*(1+INDEX($AA$21:$AA$97,E103))*(1+INDEX($AA$21:$AA$97,F103))-1</f>
        <v>0.546947132378051</v>
      </c>
      <c r="I103" s="68">
        <f>(1+INDEX($AB$21:$AB$97,B103))*(1+INDEX($AB$21:$AB$97,C103))*(1+INDEX($AB$21:$AB$97,D103))*(1+INDEX($AB$21:$AB$97,E103))*(1+INDEX($AB$21:$AB$97,F103))-1</f>
        <v>0.596797308190791</v>
      </c>
      <c r="J103" s="489">
        <f>LN((1+G103)/(1+H103))</f>
        <v>0.0634605187882701</v>
      </c>
      <c r="K103" s="489">
        <f>LN((1+I103)/(1+H103))</f>
        <v>0.0317165441013806</v>
      </c>
      <c r="L103" s="489">
        <f>(1+INDEX($AC$21:$AC$97,B103))*(1+INDEX($AC$21:$AC$97,C103))*(1+INDEX($AC$21:$AC$97,D103))*(1+INDEX($AC$21:$AC$97,E103))*(1+INDEX($AC$21:$AC$97,F103))-1</f>
        <v>0.594313867673747</v>
      </c>
      <c r="M103" s="489">
        <f>(1+INDEX($AD$21:$AD$97,B103))*(1+INDEX($AD$21:$AD$97,C103))*(1+INDEX($AD$21:$AD$97,D103))*(1+INDEX($AD$21:$AD$97,E103))*(1+INDEX($AD$21:$AD$97,F103))-1</f>
        <v>0.596817257653227</v>
      </c>
      <c r="N103" s="489">
        <f>(1+INDEX($AE$21:$AE$97,B103))*(1+INDEX($AE$21:$AE$97,C103))*(1+INDEX($AE$21:$AE$97,D103))*(1+INDEX($AE$21:$AE$97,E103))*(1+INDEX($AE$21:$AE$97,F103))-1</f>
        <v>0.589849526591177</v>
      </c>
      <c r="O103" s="489">
        <f>(1+INDEX($AF$21:$AF$97,B103))*(1+INDEX($AF$21:$AF$97,C103))*(1+INDEX($AF$21:$AF$97,D103))*(1+INDEX($AF$21:$AF$97,E103))*(1+INDEX($AF$21:$AF$97,F103))-1</f>
        <v>0.554787490341831</v>
      </c>
      <c r="P103" s="489">
        <f>LN((1+L103)/(1+H103))</f>
        <v>0.03016006995708</v>
      </c>
      <c r="Q103" s="489">
        <f>LN((1+M103)/(1+H103))</f>
        <v>0.0317290374452239</v>
      </c>
      <c r="R103" s="489">
        <f>LN((1+N103)/(1+H103))</f>
        <v>0.0273559776697022</v>
      </c>
      <c r="S103" s="542">
        <f>LN((1+O103)/(1+H103))</f>
        <v>0.00505547741247895</v>
      </c>
    </row>
    <row r="104">
      <c r="A104" s="320" t="n">
        <v>3</v>
      </c>
      <c r="B104" s="174" t="n">
        <v>73</v>
      </c>
      <c r="C104" s="174" t="n">
        <v>20</v>
      </c>
      <c r="D104" s="174" t="n">
        <v>44</v>
      </c>
      <c r="E104" s="174" t="n">
        <v>16</v>
      </c>
      <c r="F104" s="174" t="n">
        <v>7</v>
      </c>
      <c r="G104" s="68">
        <f>(1+INDEX($Z$21:$Z$97,B104))*(1+INDEX($Z$21:$Z$97,C104))*(1+INDEX($Z$21:$Z$97,D104))*(1+INDEX($Z$21:$Z$97,E104))*(1+INDEX($Z$21:$Z$97,F104))-1</f>
        <v>-0.0192475018971595</v>
      </c>
      <c r="H104" s="68">
        <f>(1+INDEX($AA$21:$AA$97,B104))*(1+INDEX($AA$21:$AA$97,C104))*(1+INDEX($AA$21:$AA$97,D104))*(1+INDEX($AA$21:$AA$97,E104))*(1+INDEX($AA$21:$AA$97,F104))-1</f>
        <v>0.00715753247868278</v>
      </c>
      <c r="I104" s="68">
        <f>(1+INDEX($AB$21:$AB$97,B104))*(1+INDEX($AB$21:$AB$97,C104))*(1+INDEX($AB$21:$AB$97,D104))*(1+INDEX($AB$21:$AB$97,E104))*(1+INDEX($AB$21:$AB$97,F104))-1</f>
        <v>-0.000305521759798921</v>
      </c>
      <c r="J104" s="489">
        <f>LN((1+G104)/(1+H104))</f>
        <v>-0.0265671856786601</v>
      </c>
      <c r="K104" s="489">
        <f>LN((1+I104)/(1+H104))</f>
        <v>-0.00743760735921405</v>
      </c>
      <c r="L104" s="489">
        <f>(1+INDEX($AC$21:$AC$97,B104))*(1+INDEX($AC$21:$AC$97,C104))*(1+INDEX($AC$21:$AC$97,D104))*(1+INDEX($AC$21:$AC$97,E104))*(1+INDEX($AC$21:$AC$97,F104))-1</f>
        <v>-0.0275591866766172</v>
      </c>
      <c r="M104" s="489">
        <f>(1+INDEX($AD$21:$AD$97,B104))*(1+INDEX($AD$21:$AD$97,C104))*(1+INDEX($AD$21:$AD$97,D104))*(1+INDEX($AD$21:$AD$97,E104))*(1+INDEX($AD$21:$AD$97,F104))-1</f>
        <v>-0.00341374710079356</v>
      </c>
      <c r="N104" s="489">
        <f>(1+INDEX($AE$21:$AE$97,B104))*(1+INDEX($AE$21:$AE$97,C104))*(1+INDEX($AE$21:$AE$97,D104))*(1+INDEX($AE$21:$AE$97,E104))*(1+INDEX($AE$21:$AE$97,F104))-1</f>
        <v>-0.0390280790966791</v>
      </c>
      <c r="O104" s="489">
        <f>(1+INDEX($AF$21:$AF$97,B104))*(1+INDEX($AF$21:$AF$97,C104))*(1+INDEX($AF$21:$AF$97,D104))*(1+INDEX($AF$21:$AF$97,E104))*(1+INDEX($AF$21:$AF$97,F104))-1</f>
        <v>0.0121507374102359</v>
      </c>
      <c r="P104" s="489">
        <f>LN((1+L104)/(1+H104))</f>
        <v>-0.0350781045955881</v>
      </c>
      <c r="Q104" s="489">
        <f>LN((1+M104)/(1+H104))</f>
        <v>-0.0105516261484998</v>
      </c>
      <c r="R104" s="489">
        <f>LN((1+N104)/(1+H104))</f>
        <v>-0.0469421279798259</v>
      </c>
      <c r="S104" s="542">
        <f>LN((1+O104)/(1+H104))</f>
        <v>0.00494547086530292</v>
      </c>
    </row>
    <row r="105">
      <c r="A105" s="320" t="n">
        <v>4</v>
      </c>
      <c r="B105" s="174" t="n">
        <v>43</v>
      </c>
      <c r="C105" s="174" t="n">
        <v>8</v>
      </c>
      <c r="D105" s="174" t="n">
        <v>53</v>
      </c>
      <c r="E105" s="174" t="n">
        <v>26</v>
      </c>
      <c r="F105" s="174" t="n">
        <v>64</v>
      </c>
      <c r="G105" s="68">
        <f>(1+INDEX($Z$21:$Z$97,B105))*(1+INDEX($Z$21:$Z$97,C105))*(1+INDEX($Z$21:$Z$97,D105))*(1+INDEX($Z$21:$Z$97,E105))*(1+INDEX($Z$21:$Z$97,F105))-1</f>
        <v>-0.111245406971959</v>
      </c>
      <c r="H105" s="68">
        <f>(1+INDEX($AA$21:$AA$97,B105))*(1+INDEX($AA$21:$AA$97,C105))*(1+INDEX($AA$21:$AA$97,D105))*(1+INDEX($AA$21:$AA$97,E105))*(1+INDEX($AA$21:$AA$97,F105))-1</f>
        <v>-0.0589710358670232</v>
      </c>
      <c r="I105" s="68">
        <f>(1+INDEX($AB$21:$AB$97,B105))*(1+INDEX($AB$21:$AB$97,C105))*(1+INDEX($AB$21:$AB$97,D105))*(1+INDEX($AB$21:$AB$97,E105))*(1+INDEX($AB$21:$AB$97,F105))-1</f>
        <v>-0.0787793391612291</v>
      </c>
      <c r="J105" s="489">
        <f>LN((1+G105)/(1+H105))</f>
        <v>-0.0571527702061113</v>
      </c>
      <c r="K105" s="489">
        <f>LN((1+I105)/(1+H105))</f>
        <v>-0.0212743233999265</v>
      </c>
      <c r="L105" s="489">
        <f>(1+INDEX($AC$21:$AC$97,B105))*(1+INDEX($AC$21:$AC$97,C105))*(1+INDEX($AC$21:$AC$97,D105))*(1+INDEX($AC$21:$AC$97,E105))*(1+INDEX($AC$21:$AC$97,F105))-1</f>
        <v>-0.0900030083401802</v>
      </c>
      <c r="M105" s="489">
        <f>(1+INDEX($AD$21:$AD$97,B105))*(1+INDEX($AD$21:$AD$97,C105))*(1+INDEX($AD$21:$AD$97,D105))*(1+INDEX($AD$21:$AD$97,E105))*(1+INDEX($AD$21:$AD$97,F105))-1</f>
        <v>-0.0749423475075255</v>
      </c>
      <c r="N105" s="489">
        <f>(1+INDEX($AE$21:$AE$97,B105))*(1+INDEX($AE$21:$AE$97,C105))*(1+INDEX($AE$21:$AE$97,D105))*(1+INDEX($AE$21:$AE$97,E105))*(1+INDEX($AE$21:$AE$97,F105))-1</f>
        <v>-0.0923325217521489</v>
      </c>
      <c r="O105" s="489">
        <f>(1+INDEX($AF$21:$AF$97,B105))*(1+INDEX($AF$21:$AF$97,C105))*(1+INDEX($AF$21:$AF$97,D105))*(1+INDEX($AF$21:$AF$97,E105))*(1+INDEX($AF$21:$AF$97,F105))-1</f>
        <v>-0.0389573783113755</v>
      </c>
      <c r="P105" s="489">
        <f>LN((1+L105)/(1+H105))</f>
        <v>-0.033532625637147</v>
      </c>
      <c r="Q105" s="489">
        <f>LN((1+M105)/(1+H105))</f>
        <v>-0.0171178566851798</v>
      </c>
      <c r="R105" s="489">
        <f>LN((1+N105)/(1+H105))</f>
        <v>-0.0360958211288759</v>
      </c>
      <c r="S105" s="542">
        <f>LN((1+O105)/(1+H105))</f>
        <v>0.0210448401054996</v>
      </c>
    </row>
    <row r="106">
      <c r="A106" s="320" t="n">
        <v>5</v>
      </c>
      <c r="B106" s="174" t="n">
        <v>4</v>
      </c>
      <c r="C106" s="174" t="n">
        <v>9</v>
      </c>
      <c r="D106" s="174" t="n">
        <v>64</v>
      </c>
      <c r="E106" s="174" t="n">
        <v>58</v>
      </c>
      <c r="F106" s="174" t="n">
        <v>56</v>
      </c>
      <c r="G106" s="68">
        <f>(1+INDEX($Z$21:$Z$97,B106))*(1+INDEX($Z$21:$Z$97,C106))*(1+INDEX($Z$21:$Z$97,D106))*(1+INDEX($Z$21:$Z$97,E106))*(1+INDEX($Z$21:$Z$97,F106))-1</f>
        <v>-0.0369214359704417</v>
      </c>
      <c r="H106" s="68">
        <f>(1+INDEX($AA$21:$AA$97,B106))*(1+INDEX($AA$21:$AA$97,C106))*(1+INDEX($AA$21:$AA$97,D106))*(1+INDEX($AA$21:$AA$97,E106))*(1+INDEX($AA$21:$AA$97,F106))-1</f>
        <v>-0.00740540584660954</v>
      </c>
      <c r="I106" s="68">
        <f>(1+INDEX($AB$21:$AB$97,B106))*(1+INDEX($AB$21:$AB$97,C106))*(1+INDEX($AB$21:$AB$97,D106))*(1+INDEX($AB$21:$AB$97,E106))*(1+INDEX($AB$21:$AB$97,F106))-1</f>
        <v>-0.0453280871618079</v>
      </c>
      <c r="J106" s="489">
        <f>LN((1+G106)/(1+H106))</f>
        <v>-0.0301873259347461</v>
      </c>
      <c r="K106" s="489">
        <f>LN((1+I106)/(1+H106))</f>
        <v>-0.0389545823016748</v>
      </c>
      <c r="L106" s="489">
        <f>(1+INDEX($AC$21:$AC$97,B106))*(1+INDEX($AC$21:$AC$97,C106))*(1+INDEX($AC$21:$AC$97,D106))*(1+INDEX($AC$21:$AC$97,E106))*(1+INDEX($AC$21:$AC$97,F106))-1</f>
        <v>-0.0425289149061366</v>
      </c>
      <c r="M106" s="489">
        <f>(1+INDEX($AD$21:$AD$97,B106))*(1+INDEX($AD$21:$AD$97,C106))*(1+INDEX($AD$21:$AD$97,D106))*(1+INDEX($AD$21:$AD$97,E106))*(1+INDEX($AD$21:$AD$97,F106))-1</f>
        <v>-0.047831385539325</v>
      </c>
      <c r="N106" s="489">
        <f>(1+INDEX($AE$21:$AE$97,B106))*(1+INDEX($AE$21:$AE$97,C106))*(1+INDEX($AE$21:$AE$97,D106))*(1+INDEX($AE$21:$AE$97,E106))*(1+INDEX($AE$21:$AE$97,F106))-1</f>
        <v>-0.0484580740908925</v>
      </c>
      <c r="O106" s="489">
        <f>(1+INDEX($AF$21:$AF$97,B106))*(1+INDEX($AF$21:$AF$97,C106))*(1+INDEX($AF$21:$AF$97,D106))*(1+INDEX($AF$21:$AF$97,E106))*(1+INDEX($AF$21:$AF$97,F106))-1</f>
        <v>0.0126573867134148</v>
      </c>
      <c r="P106" s="489">
        <f>LN((1+L106)/(1+H106))</f>
        <v>-0.0360267947269732</v>
      </c>
      <c r="Q106" s="489">
        <f>LN((1+M106)/(1+H106))</f>
        <v>-0.0415801818521107</v>
      </c>
      <c r="R106" s="489">
        <f>LN((1+N106)/(1+H106))</f>
        <v>-0.0422385682621408</v>
      </c>
      <c r="S106" s="542">
        <f>LN((1+O106)/(1+H106))</f>
        <v>0.0200109135777447</v>
      </c>
    </row>
    <row r="107">
      <c r="A107" s="320" t="n">
        <v>6</v>
      </c>
      <c r="B107" s="174" t="n">
        <v>2</v>
      </c>
      <c r="C107" s="174" t="n">
        <v>63</v>
      </c>
      <c r="D107" s="174" t="n">
        <v>12</v>
      </c>
      <c r="E107" s="174" t="n">
        <v>3</v>
      </c>
      <c r="F107" s="174" t="n">
        <v>39</v>
      </c>
      <c r="G107" s="68">
        <f>(1+INDEX($Z$21:$Z$97,B107))*(1+INDEX($Z$21:$Z$97,C107))*(1+INDEX($Z$21:$Z$97,D107))*(1+INDEX($Z$21:$Z$97,E107))*(1+INDEX($Z$21:$Z$97,F107))-1</f>
        <v>0.497236212431812</v>
      </c>
      <c r="H107" s="68">
        <f>(1+INDEX($AA$21:$AA$97,B107))*(1+INDEX($AA$21:$AA$97,C107))*(1+INDEX($AA$21:$AA$97,D107))*(1+INDEX($AA$21:$AA$97,E107))*(1+INDEX($AA$21:$AA$97,F107))-1</f>
        <v>0.342793726103733</v>
      </c>
      <c r="I107" s="68">
        <f>(1+INDEX($AB$21:$AB$97,B107))*(1+INDEX($AB$21:$AB$97,C107))*(1+INDEX($AB$21:$AB$97,D107))*(1+INDEX($AB$21:$AB$97,E107))*(1+INDEX($AB$21:$AB$97,F107))-1</f>
        <v>0.356571378275376</v>
      </c>
      <c r="J107" s="489">
        <f>LN((1+G107)/(1+H107))</f>
        <v>0.10886856966189</v>
      </c>
      <c r="K107" s="489">
        <f>LN((1+I107)/(1+H107))</f>
        <v>0.0102081573125958</v>
      </c>
      <c r="L107" s="489">
        <f>(1+INDEX($AC$21:$AC$97,B107))*(1+INDEX($AC$21:$AC$97,C107))*(1+INDEX($AC$21:$AC$97,D107))*(1+INDEX($AC$21:$AC$97,E107))*(1+INDEX($AC$21:$AC$97,F107))-1</f>
        <v>0.364414696284106</v>
      </c>
      <c r="M107" s="489">
        <f>(1+INDEX($AD$21:$AD$97,B107))*(1+INDEX($AD$21:$AD$97,C107))*(1+INDEX($AD$21:$AD$97,D107))*(1+INDEX($AD$21:$AD$97,E107))*(1+INDEX($AD$21:$AD$97,F107))-1</f>
        <v>0.360542545569431</v>
      </c>
      <c r="N107" s="489">
        <f>(1+INDEX($AE$21:$AE$97,B107))*(1+INDEX($AE$21:$AE$97,C107))*(1+INDEX($AE$21:$AE$97,D107))*(1+INDEX($AE$21:$AE$97,E107))*(1+INDEX($AE$21:$AE$97,F107))-1</f>
        <v>0.351149281961869</v>
      </c>
      <c r="O107" s="489">
        <f>(1+INDEX($AF$21:$AF$97,B107))*(1+INDEX($AF$21:$AF$97,C107))*(1+INDEX($AF$21:$AF$97,D107))*(1+INDEX($AF$21:$AF$97,E107))*(1+INDEX($AF$21:$AF$97,F107))-1</f>
        <v>0.372500174286734</v>
      </c>
      <c r="P107" s="489">
        <f>LN((1+L107)/(1+H107))</f>
        <v>0.015973228883862</v>
      </c>
      <c r="Q107" s="489">
        <f>LN((1+M107)/(1+H107))</f>
        <v>0.0131312368984801</v>
      </c>
      <c r="R107" s="489">
        <f>LN((1+N107)/(1+H107))</f>
        <v>0.00620323639118154</v>
      </c>
      <c r="S107" s="542">
        <f>LN((1+O107)/(1+H107))</f>
        <v>0.0218817075228139</v>
      </c>
    </row>
    <row r="108">
      <c r="A108" s="320" t="n">
        <v>7</v>
      </c>
      <c r="B108" s="174" t="n">
        <v>21</v>
      </c>
      <c r="C108" s="174" t="n">
        <v>73</v>
      </c>
      <c r="D108" s="174" t="n">
        <v>41</v>
      </c>
      <c r="E108" s="174" t="n">
        <v>77</v>
      </c>
      <c r="F108" s="174" t="n">
        <v>30</v>
      </c>
      <c r="G108" s="68">
        <f>(1+INDEX($Z$21:$Z$97,B108))*(1+INDEX($Z$21:$Z$97,C108))*(1+INDEX($Z$21:$Z$97,D108))*(1+INDEX($Z$21:$Z$97,E108))*(1+INDEX($Z$21:$Z$97,F108))-1</f>
        <v>0.429382392375419</v>
      </c>
      <c r="H108" s="68">
        <f>(1+INDEX($AA$21:$AA$97,B108))*(1+INDEX($AA$21:$AA$97,C108))*(1+INDEX($AA$21:$AA$97,D108))*(1+INDEX($AA$21:$AA$97,E108))*(1+INDEX($AA$21:$AA$97,F108))-1</f>
        <v>0.415756009124454</v>
      </c>
      <c r="I108" s="68">
        <f>(1+INDEX($AB$21:$AB$97,B108))*(1+INDEX($AB$21:$AB$97,C108))*(1+INDEX($AB$21:$AB$97,D108))*(1+INDEX($AB$21:$AB$97,E108))*(1+INDEX($AB$21:$AB$97,F108))-1</f>
        <v>0.462927972439999</v>
      </c>
      <c r="J108" s="489">
        <f>LN((1+G108)/(1+H108))</f>
        <v>0.00957878705110973</v>
      </c>
      <c r="K108" s="489">
        <f>LN((1+I108)/(1+H108))</f>
        <v>0.0327762175599511</v>
      </c>
      <c r="L108" s="489">
        <f>(1+INDEX($AC$21:$AC$97,B108))*(1+INDEX($AC$21:$AC$97,C108))*(1+INDEX($AC$21:$AC$97,D108))*(1+INDEX($AC$21:$AC$97,E108))*(1+INDEX($AC$21:$AC$97,F108))-1</f>
        <v>0.456800530261937</v>
      </c>
      <c r="M108" s="489">
        <f>(1+INDEX($AD$21:$AD$97,B108))*(1+INDEX($AD$21:$AD$97,C108))*(1+INDEX($AD$21:$AD$97,D108))*(1+INDEX($AD$21:$AD$97,E108))*(1+INDEX($AD$21:$AD$97,F108))-1</f>
        <v>0.447982634121527</v>
      </c>
      <c r="N108" s="489">
        <f>(1+INDEX($AE$21:$AE$97,B108))*(1+INDEX($AE$21:$AE$97,C108))*(1+INDEX($AE$21:$AE$97,D108))*(1+INDEX($AE$21:$AE$97,E108))*(1+INDEX($AE$21:$AE$97,F108))-1</f>
        <v>0.428671489837883</v>
      </c>
      <c r="O108" s="489">
        <f>(1+INDEX($AF$21:$AF$97,B108))*(1+INDEX($AF$21:$AF$97,C108))*(1+INDEX($AF$21:$AF$97,D108))*(1+INDEX($AF$21:$AF$97,E108))*(1+INDEX($AF$21:$AF$97,F108))-1</f>
        <v>0.433919073972679</v>
      </c>
      <c r="P108" s="489">
        <f>LN((1+L108)/(1+H108))</f>
        <v>0.0285789429379834</v>
      </c>
      <c r="Q108" s="489">
        <f>LN((1+M108)/(1+H108))</f>
        <v>0.0225076303975055</v>
      </c>
      <c r="R108" s="489">
        <f>LN((1+N108)/(1+H108))</f>
        <v>0.00908131388825466</v>
      </c>
      <c r="S108" s="542">
        <f>LN((1+O108)/(1+H108))</f>
        <v>0.0127476363300804</v>
      </c>
    </row>
    <row r="109">
      <c r="A109" s="320" t="n">
        <v>8</v>
      </c>
      <c r="B109" s="174" t="n">
        <v>31</v>
      </c>
      <c r="C109" s="174" t="n">
        <v>25</v>
      </c>
      <c r="D109" s="174" t="n">
        <v>33</v>
      </c>
      <c r="E109" s="174" t="n">
        <v>11</v>
      </c>
      <c r="F109" s="174" t="n">
        <v>38</v>
      </c>
      <c r="G109" s="68">
        <f>(1+INDEX($Z$21:$Z$97,B109))*(1+INDEX($Z$21:$Z$97,C109))*(1+INDEX($Z$21:$Z$97,D109))*(1+INDEX($Z$21:$Z$97,E109))*(1+INDEX($Z$21:$Z$97,F109))-1</f>
        <v>0.577619732362778</v>
      </c>
      <c r="H109" s="68">
        <f>(1+INDEX($AA$21:$AA$97,B109))*(1+INDEX($AA$21:$AA$97,C109))*(1+INDEX($AA$21:$AA$97,D109))*(1+INDEX($AA$21:$AA$97,E109))*(1+INDEX($AA$21:$AA$97,F109))-1</f>
        <v>0.512854425825964</v>
      </c>
      <c r="I109" s="68">
        <f>(1+INDEX($AB$21:$AB$97,B109))*(1+INDEX($AB$21:$AB$97,C109))*(1+INDEX($AB$21:$AB$97,D109))*(1+INDEX($AB$21:$AB$97,E109))*(1+INDEX($AB$21:$AB$97,F109))-1</f>
        <v>0.548838280187629</v>
      </c>
      <c r="J109" s="489">
        <f>LN((1+G109)/(1+H109))</f>
        <v>0.0419189980282436</v>
      </c>
      <c r="K109" s="489">
        <f>LN((1+I109)/(1+H109))</f>
        <v>0.023506938668761</v>
      </c>
      <c r="L109" s="489">
        <f>(1+INDEX($AC$21:$AC$97,B109))*(1+INDEX($AC$21:$AC$97,C109))*(1+INDEX($AC$21:$AC$97,D109))*(1+INDEX($AC$21:$AC$97,E109))*(1+INDEX($AC$21:$AC$97,F109))-1</f>
        <v>0.524413411988162</v>
      </c>
      <c r="M109" s="489">
        <f>(1+INDEX($AD$21:$AD$97,B109))*(1+INDEX($AD$21:$AD$97,C109))*(1+INDEX($AD$21:$AD$97,D109))*(1+INDEX($AD$21:$AD$97,E109))*(1+INDEX($AD$21:$AD$97,F109))-1</f>
        <v>0.595606041301204</v>
      </c>
      <c r="N109" s="489">
        <f>(1+INDEX($AE$21:$AE$97,B109))*(1+INDEX($AE$21:$AE$97,C109))*(1+INDEX($AE$21:$AE$97,D109))*(1+INDEX($AE$21:$AE$97,E109))*(1+INDEX($AE$21:$AE$97,F109))-1</f>
        <v>0.52265856377292</v>
      </c>
      <c r="O109" s="489">
        <f>(1+INDEX($AF$21:$AF$97,B109))*(1+INDEX($AF$21:$AF$97,C109))*(1+INDEX($AF$21:$AF$97,D109))*(1+INDEX($AF$21:$AF$97,E109))*(1+INDEX($AF$21:$AF$97,F109))-1</f>
        <v>0.550489467569165</v>
      </c>
      <c r="P109" s="489">
        <f>LN((1+L109)/(1+H109))</f>
        <v>0.00761147359057576</v>
      </c>
      <c r="Q109" s="489">
        <f>LN((1+M109)/(1+H109))</f>
        <v>0.0532554126711049</v>
      </c>
      <c r="R109" s="489">
        <f>LN((1+N109)/(1+H109))</f>
        <v>0.00645964756006858</v>
      </c>
      <c r="S109" s="542">
        <f>LN((1+O109)/(1+H109))</f>
        <v>0.0245724520136787</v>
      </c>
    </row>
    <row r="110">
      <c r="A110" s="320" t="n">
        <v>9</v>
      </c>
      <c r="B110" s="174" t="n">
        <v>48</v>
      </c>
      <c r="C110" s="174" t="n">
        <v>20</v>
      </c>
      <c r="D110" s="174" t="n">
        <v>12</v>
      </c>
      <c r="E110" s="174" t="n">
        <v>56</v>
      </c>
      <c r="F110" s="174" t="n">
        <v>31</v>
      </c>
      <c r="G110" s="68">
        <f>(1+INDEX($Z$21:$Z$97,B110))*(1+INDEX($Z$21:$Z$97,C110))*(1+INDEX($Z$21:$Z$97,D110))*(1+INDEX($Z$21:$Z$97,E110))*(1+INDEX($Z$21:$Z$97,F110))-1</f>
        <v>0.269050852999269</v>
      </c>
      <c r="H110" s="68">
        <f>(1+INDEX($AA$21:$AA$97,B110))*(1+INDEX($AA$21:$AA$97,C110))*(1+INDEX($AA$21:$AA$97,D110))*(1+INDEX($AA$21:$AA$97,E110))*(1+INDEX($AA$21:$AA$97,F110))-1</f>
        <v>0.245284047719579</v>
      </c>
      <c r="I110" s="68">
        <f>(1+INDEX($AB$21:$AB$97,B110))*(1+INDEX($AB$21:$AB$97,C110))*(1+INDEX($AB$21:$AB$97,D110))*(1+INDEX($AB$21:$AB$97,E110))*(1+INDEX($AB$21:$AB$97,F110))-1</f>
        <v>0.245114460363402</v>
      </c>
      <c r="J110" s="489">
        <f>LN((1+G110)/(1+H110))</f>
        <v>0.018905606541795</v>
      </c>
      <c r="K110" s="489">
        <f>LN((1+I110)/(1+H110))</f>
        <v>-0.000136192947344645</v>
      </c>
      <c r="L110" s="489">
        <f>(1+INDEX($AC$21:$AC$97,B110))*(1+INDEX($AC$21:$AC$97,C110))*(1+INDEX($AC$21:$AC$97,D110))*(1+INDEX($AC$21:$AC$97,E110))*(1+INDEX($AC$21:$AC$97,F110))-1</f>
        <v>0.227740345480545</v>
      </c>
      <c r="M110" s="489">
        <f>(1+INDEX($AD$21:$AD$97,B110))*(1+INDEX($AD$21:$AD$97,C110))*(1+INDEX($AD$21:$AD$97,D110))*(1+INDEX($AD$21:$AD$97,E110))*(1+INDEX($AD$21:$AD$97,F110))-1</f>
        <v>0.2645554879219</v>
      </c>
      <c r="N110" s="489">
        <f>(1+INDEX($AE$21:$AE$97,B110))*(1+INDEX($AE$21:$AE$97,C110))*(1+INDEX($AE$21:$AE$97,D110))*(1+INDEX($AE$21:$AE$97,E110))*(1+INDEX($AE$21:$AE$97,F110))-1</f>
        <v>0.22462241313076</v>
      </c>
      <c r="O110" s="489">
        <f>(1+INDEX($AF$21:$AF$97,B110))*(1+INDEX($AF$21:$AF$97,C110))*(1+INDEX($AF$21:$AF$97,D110))*(1+INDEX($AF$21:$AF$97,E110))*(1+INDEX($AF$21:$AF$97,F110))-1</f>
        <v>0.279837378461919</v>
      </c>
      <c r="P110" s="489">
        <f>LN((1+L110)/(1+H110))</f>
        <v>-0.0141882923541397</v>
      </c>
      <c r="Q110" s="489">
        <f>LN((1+M110)/(1+H110))</f>
        <v>0.0153570128063818</v>
      </c>
      <c r="R110" s="489">
        <f>LN((1+N110)/(1+H110))</f>
        <v>-0.0167310923692182</v>
      </c>
      <c r="S110" s="542">
        <f>LN((1+O110)/(1+H110))</f>
        <v>0.027369367110591</v>
      </c>
    </row>
    <row r="111">
      <c r="A111" s="320" t="n">
        <v>10</v>
      </c>
      <c r="B111" s="174" t="n">
        <v>63</v>
      </c>
      <c r="C111" s="174" t="n">
        <v>29</v>
      </c>
      <c r="D111" s="174" t="n">
        <v>6</v>
      </c>
      <c r="E111" s="174" t="n">
        <v>28</v>
      </c>
      <c r="F111" s="174" t="n">
        <v>54</v>
      </c>
      <c r="G111" s="68">
        <f>(1+INDEX($Z$21:$Z$97,B111))*(1+INDEX($Z$21:$Z$97,C111))*(1+INDEX($Z$21:$Z$97,D111))*(1+INDEX($Z$21:$Z$97,E111))*(1+INDEX($Z$21:$Z$97,F111))-1</f>
        <v>0.0939498811825388</v>
      </c>
      <c r="H111" s="68">
        <f>(1+INDEX($AA$21:$AA$97,B111))*(1+INDEX($AA$21:$AA$97,C111))*(1+INDEX($AA$21:$AA$97,D111))*(1+INDEX($AA$21:$AA$97,E111))*(1+INDEX($AA$21:$AA$97,F111))-1</f>
        <v>0.148022524681108</v>
      </c>
      <c r="I111" s="68">
        <f>(1+INDEX($AB$21:$AB$97,B111))*(1+INDEX($AB$21:$AB$97,C111))*(1+INDEX($AB$21:$AB$97,D111))*(1+INDEX($AB$21:$AB$97,E111))*(1+INDEX($AB$21:$AB$97,F111))-1</f>
        <v>0.157310983279151</v>
      </c>
      <c r="J111" s="489">
        <f>LN((1+G111)/(1+H111))</f>
        <v>-0.0482460280042863</v>
      </c>
      <c r="K111" s="489">
        <f>LN((1+I111)/(1+H111))</f>
        <v>0.00805827775351165</v>
      </c>
      <c r="L111" s="489">
        <f>(1+INDEX($AC$21:$AC$97,B111))*(1+INDEX($AC$21:$AC$97,C111))*(1+INDEX($AC$21:$AC$97,D111))*(1+INDEX($AC$21:$AC$97,E111))*(1+INDEX($AC$21:$AC$97,F111))-1</f>
        <v>0.159629523653418</v>
      </c>
      <c r="M111" s="489">
        <f>(1+INDEX($AD$21:$AD$97,B111))*(1+INDEX($AD$21:$AD$97,C111))*(1+INDEX($AD$21:$AD$97,D111))*(1+INDEX($AD$21:$AD$97,E111))*(1+INDEX($AD$21:$AD$97,F111))-1</f>
        <v>0.126766876751346</v>
      </c>
      <c r="N111" s="489">
        <f>(1+INDEX($AE$21:$AE$97,B111))*(1+INDEX($AE$21:$AE$97,C111))*(1+INDEX($AE$21:$AE$97,D111))*(1+INDEX($AE$21:$AE$97,E111))*(1+INDEX($AE$21:$AE$97,F111))-1</f>
        <v>0.144335706228735</v>
      </c>
      <c r="O111" s="489">
        <f>(1+INDEX($AF$21:$AF$97,B111))*(1+INDEX($AF$21:$AF$97,C111))*(1+INDEX($AF$21:$AF$97,D111))*(1+INDEX($AF$21:$AF$97,E111))*(1+INDEX($AF$21:$AF$97,F111))-1</f>
        <v>0.156188085159938</v>
      </c>
      <c r="P111" s="489">
        <f>LN((1+L111)/(1+H111))</f>
        <v>0.0100596594387509</v>
      </c>
      <c r="Q111" s="489">
        <f>LN((1+M111)/(1+H111))</f>
        <v>-0.0186885577735602</v>
      </c>
      <c r="R111" s="489">
        <f>LN((1+N111)/(1+H111))</f>
        <v>-0.00321661909688304</v>
      </c>
      <c r="S111" s="542">
        <f>LN((1+O111)/(1+H111))</f>
        <v>0.00708754193372259</v>
      </c>
    </row>
    <row r="112">
      <c r="A112" s="320" t="n">
        <v>11</v>
      </c>
      <c r="B112" s="174" t="n">
        <v>43</v>
      </c>
      <c r="C112" s="174" t="n">
        <v>41</v>
      </c>
      <c r="D112" s="174" t="n">
        <v>72</v>
      </c>
      <c r="E112" s="174" t="n">
        <v>41</v>
      </c>
      <c r="F112" s="174" t="n">
        <v>33</v>
      </c>
      <c r="G112" s="68">
        <f>(1+INDEX($Z$21:$Z$97,B112))*(1+INDEX($Z$21:$Z$97,C112))*(1+INDEX($Z$21:$Z$97,D112))*(1+INDEX($Z$21:$Z$97,E112))*(1+INDEX($Z$21:$Z$97,F112))-1</f>
        <v>0.824474332450449</v>
      </c>
      <c r="H112" s="68">
        <f>(1+INDEX($AA$21:$AA$97,B112))*(1+INDEX($AA$21:$AA$97,C112))*(1+INDEX($AA$21:$AA$97,D112))*(1+INDEX($AA$21:$AA$97,E112))*(1+INDEX($AA$21:$AA$97,F112))-1</f>
        <v>0.809691709935055</v>
      </c>
      <c r="I112" s="68">
        <f>(1+INDEX($AB$21:$AB$97,B112))*(1+INDEX($AB$21:$AB$97,C112))*(1+INDEX($AB$21:$AB$97,D112))*(1+INDEX($AB$21:$AB$97,E112))*(1+INDEX($AB$21:$AB$97,F112))-1</f>
        <v>0.925257733105884</v>
      </c>
      <c r="J112" s="489">
        <f>LN((1+G112)/(1+H112))</f>
        <v>0.00813540376249262</v>
      </c>
      <c r="K112" s="489">
        <f>LN((1+I112)/(1+H112))</f>
        <v>0.0619033413374897</v>
      </c>
      <c r="L112" s="489">
        <f>(1+INDEX($AC$21:$AC$97,B112))*(1+INDEX($AC$21:$AC$97,C112))*(1+INDEX($AC$21:$AC$97,D112))*(1+INDEX($AC$21:$AC$97,E112))*(1+INDEX($AC$21:$AC$97,F112))-1</f>
        <v>0.926897066410925</v>
      </c>
      <c r="M112" s="489">
        <f>(1+INDEX($AD$21:$AD$97,B112))*(1+INDEX($AD$21:$AD$97,C112))*(1+INDEX($AD$21:$AD$97,D112))*(1+INDEX($AD$21:$AD$97,E112))*(1+INDEX($AD$21:$AD$97,F112))-1</f>
        <v>0.912209617757339</v>
      </c>
      <c r="N112" s="489">
        <f>(1+INDEX($AE$21:$AE$97,B112))*(1+INDEX($AE$21:$AE$97,C112))*(1+INDEX($AE$21:$AE$97,D112))*(1+INDEX($AE$21:$AE$97,E112))*(1+INDEX($AE$21:$AE$97,F112))-1</f>
        <v>0.908719262465203</v>
      </c>
      <c r="O112" s="489">
        <f>(1+INDEX($AF$21:$AF$97,B112))*(1+INDEX($AF$21:$AF$97,C112))*(1+INDEX($AF$21:$AF$97,D112))*(1+INDEX($AF$21:$AF$97,E112))*(1+INDEX($AF$21:$AF$97,F112))-1</f>
        <v>0.821981115038611</v>
      </c>
      <c r="P112" s="489">
        <f>LN((1+L112)/(1+H112))</f>
        <v>0.0627544667409702</v>
      </c>
      <c r="Q112" s="489">
        <f>LN((1+M112)/(1+H112))</f>
        <v>0.0551029365703745</v>
      </c>
      <c r="R112" s="489">
        <f>LN((1+N112)/(1+H112))</f>
        <v>0.0532759691640727</v>
      </c>
      <c r="S112" s="542">
        <f>LN((1+O112)/(1+H112))</f>
        <v>0.00676792905382554</v>
      </c>
    </row>
    <row r="113">
      <c r="A113" s="320" t="n">
        <v>12</v>
      </c>
      <c r="B113" s="174" t="n">
        <v>44</v>
      </c>
      <c r="C113" s="174" t="n">
        <v>14</v>
      </c>
      <c r="D113" s="174" t="n">
        <v>13</v>
      </c>
      <c r="E113" s="174" t="n">
        <v>34</v>
      </c>
      <c r="F113" s="174" t="n">
        <v>53</v>
      </c>
      <c r="G113" s="68">
        <f>(1+INDEX($Z$21:$Z$97,B113))*(1+INDEX($Z$21:$Z$97,C113))*(1+INDEX($Z$21:$Z$97,D113))*(1+INDEX($Z$21:$Z$97,E113))*(1+INDEX($Z$21:$Z$97,F113))-1</f>
        <v>0.621070008527324</v>
      </c>
      <c r="H113" s="68">
        <f>(1+INDEX($AA$21:$AA$97,B113))*(1+INDEX($AA$21:$AA$97,C113))*(1+INDEX($AA$21:$AA$97,D113))*(1+INDEX($AA$21:$AA$97,E113))*(1+INDEX($AA$21:$AA$97,F113))-1</f>
        <v>0.579848105239109</v>
      </c>
      <c r="I113" s="68">
        <f>(1+INDEX($AB$21:$AB$97,B113))*(1+INDEX($AB$21:$AB$97,C113))*(1+INDEX($AB$21:$AB$97,D113))*(1+INDEX($AB$21:$AB$97,E113))*(1+INDEX($AB$21:$AB$97,F113))-1</f>
        <v>0.629485582083317</v>
      </c>
      <c r="J113" s="489">
        <f>LN((1+G113)/(1+H113))</f>
        <v>0.0257577238088042</v>
      </c>
      <c r="K113" s="489">
        <f>LN((1+I113)/(1+H113))</f>
        <v>0.030935664701641</v>
      </c>
      <c r="L113" s="489">
        <f>(1+INDEX($AC$21:$AC$97,B113))*(1+INDEX($AC$21:$AC$97,C113))*(1+INDEX($AC$21:$AC$97,D113))*(1+INDEX($AC$21:$AC$97,E113))*(1+INDEX($AC$21:$AC$97,F113))-1</f>
        <v>0.631185929220647</v>
      </c>
      <c r="M113" s="489">
        <f>(1+INDEX($AD$21:$AD$97,B113))*(1+INDEX($AD$21:$AD$97,C113))*(1+INDEX($AD$21:$AD$97,D113))*(1+INDEX($AD$21:$AD$97,E113))*(1+INDEX($AD$21:$AD$97,F113))-1</f>
        <v>0.659138963151688</v>
      </c>
      <c r="N113" s="489">
        <f>(1+INDEX($AE$21:$AE$97,B113))*(1+INDEX($AE$21:$AE$97,C113))*(1+INDEX($AE$21:$AE$97,D113))*(1+INDEX($AE$21:$AE$97,E113))*(1+INDEX($AE$21:$AE$97,F113))-1</f>
        <v>0.60975460672168</v>
      </c>
      <c r="O113" s="489">
        <f>(1+INDEX($AF$21:$AF$97,B113))*(1+INDEX($AF$21:$AF$97,C113))*(1+INDEX($AF$21:$AF$97,D113))*(1+INDEX($AF$21:$AF$97,E113))*(1+INDEX($AF$21:$AF$97,F113))-1</f>
        <v>0.57612672618047</v>
      </c>
      <c r="P113" s="489">
        <f>LN((1+L113)/(1+H113))</f>
        <v>0.0319786077184774</v>
      </c>
      <c r="Q113" s="489">
        <f>LN((1+M113)/(1+H113))</f>
        <v>0.0489700644092008</v>
      </c>
      <c r="R113" s="489">
        <f>LN((1+N113)/(1+H113))</f>
        <v>0.0187530427013413</v>
      </c>
      <c r="S113" s="542">
        <f>LN((1+O113)/(1+H113))</f>
        <v>-0.00235830827694208</v>
      </c>
    </row>
    <row r="114">
      <c r="A114" s="320" t="n">
        <v>13</v>
      </c>
      <c r="B114" s="174" t="n">
        <v>77</v>
      </c>
      <c r="C114" s="174" t="n">
        <v>57</v>
      </c>
      <c r="D114" s="174" t="n">
        <v>76</v>
      </c>
      <c r="E114" s="174" t="n">
        <v>67</v>
      </c>
      <c r="F114" s="174" t="n">
        <v>23</v>
      </c>
      <c r="G114" s="68">
        <f>(1+INDEX($Z$21:$Z$97,B114))*(1+INDEX($Z$21:$Z$97,C114))*(1+INDEX($Z$21:$Z$97,D114))*(1+INDEX($Z$21:$Z$97,E114))*(1+INDEX($Z$21:$Z$97,F114))-1</f>
        <v>0.683045660240041</v>
      </c>
      <c r="H114" s="68">
        <f>(1+INDEX($AA$21:$AA$97,B114))*(1+INDEX($AA$21:$AA$97,C114))*(1+INDEX($AA$21:$AA$97,D114))*(1+INDEX($AA$21:$AA$97,E114))*(1+INDEX($AA$21:$AA$97,F114))-1</f>
        <v>0.614805186036909</v>
      </c>
      <c r="I114" s="68">
        <f>(1+INDEX($AB$21:$AB$97,B114))*(1+INDEX($AB$21:$AB$97,C114))*(1+INDEX($AB$21:$AB$97,D114))*(1+INDEX($AB$21:$AB$97,E114))*(1+INDEX($AB$21:$AB$97,F114))-1</f>
        <v>0.683386582354238</v>
      </c>
      <c r="J114" s="489">
        <f>LN((1+G114)/(1+H114))</f>
        <v>0.0413907235504802</v>
      </c>
      <c r="K114" s="489">
        <f>LN((1+I114)/(1+H114))</f>
        <v>0.0415932656429954</v>
      </c>
      <c r="L114" s="489">
        <f>(1+INDEX($AC$21:$AC$97,B114))*(1+INDEX($AC$21:$AC$97,C114))*(1+INDEX($AC$21:$AC$97,D114))*(1+INDEX($AC$21:$AC$97,E114))*(1+INDEX($AC$21:$AC$97,F114))-1</f>
        <v>0.697892905196825</v>
      </c>
      <c r="M114" s="489">
        <f>(1+INDEX($AD$21:$AD$97,B114))*(1+INDEX($AD$21:$AD$97,C114))*(1+INDEX($AD$21:$AD$97,D114))*(1+INDEX($AD$21:$AD$97,E114))*(1+INDEX($AD$21:$AD$97,F114))-1</f>
        <v>0.654789388049457</v>
      </c>
      <c r="N114" s="489">
        <f>(1+INDEX($AE$21:$AE$97,B114))*(1+INDEX($AE$21:$AE$97,C114))*(1+INDEX($AE$21:$AE$97,D114))*(1+INDEX($AE$21:$AE$97,E114))*(1+INDEX($AE$21:$AE$97,F114))-1</f>
        <v>0.669174587166223</v>
      </c>
      <c r="O114" s="489">
        <f>(1+INDEX($AF$21:$AF$97,B114))*(1+INDEX($AF$21:$AF$97,C114))*(1+INDEX($AF$21:$AF$97,D114))*(1+INDEX($AF$21:$AF$97,E114))*(1+INDEX($AF$21:$AF$97,F114))-1</f>
        <v>0.636500851702637</v>
      </c>
      <c r="P114" s="489">
        <f>LN((1+L114)/(1+H114))</f>
        <v>0.0501736931981235</v>
      </c>
      <c r="Q114" s="489">
        <f>LN((1+M114)/(1+H114))</f>
        <v>0.0244594211973108</v>
      </c>
      <c r="R114" s="489">
        <f>LN((1+N114)/(1+H114))</f>
        <v>0.0331149235028556</v>
      </c>
      <c r="S114" s="542">
        <f>LN((1+O114)/(1+H114))</f>
        <v>0.0133460138429635</v>
      </c>
    </row>
    <row r="115">
      <c r="A115" s="320" t="n">
        <v>14</v>
      </c>
      <c r="B115" s="174" t="n">
        <v>31</v>
      </c>
      <c r="C115" s="174" t="n">
        <v>30</v>
      </c>
      <c r="D115" s="174" t="n">
        <v>6</v>
      </c>
      <c r="E115" s="174" t="n">
        <v>24</v>
      </c>
      <c r="F115" s="174" t="n">
        <v>65</v>
      </c>
      <c r="G115" s="68">
        <f>(1+INDEX($Z$21:$Z$97,B115))*(1+INDEX($Z$21:$Z$97,C115))*(1+INDEX($Z$21:$Z$97,D115))*(1+INDEX($Z$21:$Z$97,E115))*(1+INDEX($Z$21:$Z$97,F115))-1</f>
        <v>0.258895331534727</v>
      </c>
      <c r="H115" s="68">
        <f>(1+INDEX($AA$21:$AA$97,B115))*(1+INDEX($AA$21:$AA$97,C115))*(1+INDEX($AA$21:$AA$97,D115))*(1+INDEX($AA$21:$AA$97,E115))*(1+INDEX($AA$21:$AA$97,F115))-1</f>
        <v>0.266081286626573</v>
      </c>
      <c r="I115" s="68">
        <f>(1+INDEX($AB$21:$AB$97,B115))*(1+INDEX($AB$21:$AB$97,C115))*(1+INDEX($AB$21:$AB$97,D115))*(1+INDEX($AB$21:$AB$97,E115))*(1+INDEX($AB$21:$AB$97,F115))-1</f>
        <v>0.281304992749973</v>
      </c>
      <c r="J115" s="489">
        <f>LN((1+G115)/(1+H115))</f>
        <v>-0.00569191369215823</v>
      </c>
      <c r="K115" s="489">
        <f>LN((1+I115)/(1+H115))</f>
        <v>0.0119525550474802</v>
      </c>
      <c r="L115" s="489">
        <f>(1+INDEX($AC$21:$AC$97,B115))*(1+INDEX($AC$21:$AC$97,C115))*(1+INDEX($AC$21:$AC$97,D115))*(1+INDEX($AC$21:$AC$97,E115))*(1+INDEX($AC$21:$AC$97,F115))-1</f>
        <v>0.266639572395499</v>
      </c>
      <c r="M115" s="489">
        <f>(1+INDEX($AD$21:$AD$97,B115))*(1+INDEX($AD$21:$AD$97,C115))*(1+INDEX($AD$21:$AD$97,D115))*(1+INDEX($AD$21:$AD$97,E115))*(1+INDEX($AD$21:$AD$97,F115))-1</f>
        <v>0.263173891193229</v>
      </c>
      <c r="N115" s="489">
        <f>(1+INDEX($AE$21:$AE$97,B115))*(1+INDEX($AE$21:$AE$97,C115))*(1+INDEX($AE$21:$AE$97,D115))*(1+INDEX($AE$21:$AE$97,E115))*(1+INDEX($AE$21:$AE$97,F115))-1</f>
        <v>0.250233073683526</v>
      </c>
      <c r="O115" s="489">
        <f>(1+INDEX($AF$21:$AF$97,B115))*(1+INDEX($AF$21:$AF$97,C115))*(1+INDEX($AF$21:$AF$97,D115))*(1+INDEX($AF$21:$AF$97,E115))*(1+INDEX($AF$21:$AF$97,F115))-1</f>
        <v>0.280884720780417</v>
      </c>
      <c r="P115" s="489">
        <f>LN((1+L115)/(1+H115))</f>
        <v>0.000440858514651685</v>
      </c>
      <c r="Q115" s="489">
        <f>LN((1+M115)/(1+H115))</f>
        <v>-0.00229901414409977</v>
      </c>
      <c r="R115" s="489">
        <f>LN((1+N115)/(1+H115))</f>
        <v>-0.0125965362270035</v>
      </c>
      <c r="S115" s="542">
        <f>LN((1+O115)/(1+H115))</f>
        <v>0.0116244981740125</v>
      </c>
    </row>
    <row r="116">
      <c r="A116" s="320" t="n">
        <v>15</v>
      </c>
      <c r="B116" s="174" t="n">
        <v>75</v>
      </c>
      <c r="C116" s="174" t="n">
        <v>41</v>
      </c>
      <c r="D116" s="174" t="n">
        <v>68</v>
      </c>
      <c r="E116" s="174" t="n">
        <v>31</v>
      </c>
      <c r="F116" s="174" t="n">
        <v>73</v>
      </c>
      <c r="G116" s="68">
        <f>(1+INDEX($Z$21:$Z$97,B116))*(1+INDEX($Z$21:$Z$97,C116))*(1+INDEX($Z$21:$Z$97,D116))*(1+INDEX($Z$21:$Z$97,E116))*(1+INDEX($Z$21:$Z$97,F116))-1</f>
        <v>0.602999328532133</v>
      </c>
      <c r="H116" s="68">
        <f>(1+INDEX($AA$21:$AA$97,B116))*(1+INDEX($AA$21:$AA$97,C116))*(1+INDEX($AA$21:$AA$97,D116))*(1+INDEX($AA$21:$AA$97,E116))*(1+INDEX($AA$21:$AA$97,F116))-1</f>
        <v>0.611945258932809</v>
      </c>
      <c r="I116" s="68">
        <f>(1+INDEX($AB$21:$AB$97,B116))*(1+INDEX($AB$21:$AB$97,C116))*(1+INDEX($AB$21:$AB$97,D116))*(1+INDEX($AB$21:$AB$97,E116))*(1+INDEX($AB$21:$AB$97,F116))-1</f>
        <v>0.684739619570709</v>
      </c>
      <c r="J116" s="489">
        <f>LN((1+G116)/(1+H116))</f>
        <v>-0.00556523028411259</v>
      </c>
      <c r="K116" s="489">
        <f>LN((1+I116)/(1+H116))</f>
        <v>0.0441693383894638</v>
      </c>
      <c r="L116" s="489">
        <f>(1+INDEX($AC$21:$AC$97,B116))*(1+INDEX($AC$21:$AC$97,C116))*(1+INDEX($AC$21:$AC$97,D116))*(1+INDEX($AC$21:$AC$97,E116))*(1+INDEX($AC$21:$AC$97,F116))-1</f>
        <v>0.684867455209755</v>
      </c>
      <c r="M116" s="489">
        <f>(1+INDEX($AD$21:$AD$97,B116))*(1+INDEX($AD$21:$AD$97,C116))*(1+INDEX($AD$21:$AD$97,D116))*(1+INDEX($AD$21:$AD$97,E116))*(1+INDEX($AD$21:$AD$97,F116))-1</f>
        <v>0.670026908176227</v>
      </c>
      <c r="N116" s="489">
        <f>(1+INDEX($AE$21:$AE$97,B116))*(1+INDEX($AE$21:$AE$97,C116))*(1+INDEX($AE$21:$AE$97,D116))*(1+INDEX($AE$21:$AE$97,E116))*(1+INDEX($AE$21:$AE$97,F116))-1</f>
        <v>0.669130496422175</v>
      </c>
      <c r="O116" s="489">
        <f>(1+INDEX($AF$21:$AF$97,B116))*(1+INDEX($AF$21:$AF$97,C116))*(1+INDEX($AF$21:$AF$97,D116))*(1+INDEX($AF$21:$AF$97,E116))*(1+INDEX($AF$21:$AF$97,F116))-1</f>
        <v>0.618767177183456</v>
      </c>
      <c r="P116" s="489">
        <f>LN((1+L116)/(1+H116))</f>
        <v>0.0442452140843267</v>
      </c>
      <c r="Q116" s="489">
        <f>LN((1+M116)/(1+H116))</f>
        <v>0.0353980539498035</v>
      </c>
      <c r="R116" s="489">
        <f>LN((1+N116)/(1+H116))</f>
        <v>0.0348611449832771</v>
      </c>
      <c r="S116" s="542">
        <f>LN((1+O116)/(1+H116))</f>
        <v>0.00422317276744603</v>
      </c>
    </row>
    <row r="117">
      <c r="A117" s="320" t="n">
        <v>16</v>
      </c>
      <c r="B117" s="174" t="n">
        <v>37</v>
      </c>
      <c r="C117" s="174" t="n">
        <v>24</v>
      </c>
      <c r="D117" s="174" t="n">
        <v>62</v>
      </c>
      <c r="E117" s="174" t="n">
        <v>77</v>
      </c>
      <c r="F117" s="174" t="n">
        <v>67</v>
      </c>
      <c r="G117" s="68">
        <f>(1+INDEX($Z$21:$Z$97,B117))*(1+INDEX($Z$21:$Z$97,C117))*(1+INDEX($Z$21:$Z$97,D117))*(1+INDEX($Z$21:$Z$97,E117))*(1+INDEX($Z$21:$Z$97,F117))-1</f>
        <v>0.205243028320695</v>
      </c>
      <c r="H117" s="68">
        <f>(1+INDEX($AA$21:$AA$97,B117))*(1+INDEX($AA$21:$AA$97,C117))*(1+INDEX($AA$21:$AA$97,D117))*(1+INDEX($AA$21:$AA$97,E117))*(1+INDEX($AA$21:$AA$97,F117))-1</f>
        <v>0.204103269761308</v>
      </c>
      <c r="I117" s="68">
        <f>(1+INDEX($AB$21:$AB$97,B117))*(1+INDEX($AB$21:$AB$97,C117))*(1+INDEX($AB$21:$AB$97,D117))*(1+INDEX($AB$21:$AB$97,E117))*(1+INDEX($AB$21:$AB$97,F117))-1</f>
        <v>0.21546231185045</v>
      </c>
      <c r="J117" s="489">
        <f>LN((1+G117)/(1+H117))</f>
        <v>0.000946114425572096</v>
      </c>
      <c r="K117" s="489">
        <f>LN((1+I117)/(1+H117))</f>
        <v>0.00938939256459835</v>
      </c>
      <c r="L117" s="489">
        <f>(1+INDEX($AC$21:$AC$97,B117))*(1+INDEX($AC$21:$AC$97,C117))*(1+INDEX($AC$21:$AC$97,D117))*(1+INDEX($AC$21:$AC$97,E117))*(1+INDEX($AC$21:$AC$97,F117))-1</f>
        <v>0.233067738576219</v>
      </c>
      <c r="M117" s="489">
        <f>(1+INDEX($AD$21:$AD$97,B117))*(1+INDEX($AD$21:$AD$97,C117))*(1+INDEX($AD$21:$AD$97,D117))*(1+INDEX($AD$21:$AD$97,E117))*(1+INDEX($AD$21:$AD$97,F117))-1</f>
        <v>0.188753881713993</v>
      </c>
      <c r="N117" s="489">
        <f>(1+INDEX($AE$21:$AE$97,B117))*(1+INDEX($AE$21:$AE$97,C117))*(1+INDEX($AE$21:$AE$97,D117))*(1+INDEX($AE$21:$AE$97,E117))*(1+INDEX($AE$21:$AE$97,F117))-1</f>
        <v>0.219653630709028</v>
      </c>
      <c r="O117" s="489">
        <f>(1+INDEX($AF$21:$AF$97,B117))*(1+INDEX($AF$21:$AF$97,C117))*(1+INDEX($AF$21:$AF$97,D117))*(1+INDEX($AF$21:$AF$97,E117))*(1+INDEX($AF$21:$AF$97,F117))-1</f>
        <v>0.173445957308409</v>
      </c>
      <c r="P117" s="489">
        <f>LN((1+L117)/(1+H117))</f>
        <v>0.0237700452557881</v>
      </c>
      <c r="Q117" s="489">
        <f>LN((1+M117)/(1+H117))</f>
        <v>-0.0128295151887232</v>
      </c>
      <c r="R117" s="489">
        <f>LN((1+N117)/(1+H117))</f>
        <v>0.0128317937450064</v>
      </c>
      <c r="S117" s="542">
        <f>LN((1+O117)/(1+H117))</f>
        <v>-0.025790432757506</v>
      </c>
    </row>
    <row r="118">
      <c r="A118" s="320" t="n">
        <v>17</v>
      </c>
      <c r="B118" s="174" t="n">
        <v>6</v>
      </c>
      <c r="C118" s="174" t="n">
        <v>2</v>
      </c>
      <c r="D118" s="174" t="n">
        <v>43</v>
      </c>
      <c r="E118" s="174" t="n">
        <v>6</v>
      </c>
      <c r="F118" s="174" t="n">
        <v>43</v>
      </c>
      <c r="G118" s="68">
        <f>(1+INDEX($Z$21:$Z$97,B118))*(1+INDEX($Z$21:$Z$97,C118))*(1+INDEX($Z$21:$Z$97,D118))*(1+INDEX($Z$21:$Z$97,E118))*(1+INDEX($Z$21:$Z$97,F118))-1</f>
        <v>0.0083321929830682</v>
      </c>
      <c r="H118" s="68">
        <f>(1+INDEX($AA$21:$AA$97,B118))*(1+INDEX($AA$21:$AA$97,C118))*(1+INDEX($AA$21:$AA$97,D118))*(1+INDEX($AA$21:$AA$97,E118))*(1+INDEX($AA$21:$AA$97,F118))-1</f>
        <v>0.036622666922091</v>
      </c>
      <c r="I118" s="68">
        <f>(1+INDEX($AB$21:$AB$97,B118))*(1+INDEX($AB$21:$AB$97,C118))*(1+INDEX($AB$21:$AB$97,D118))*(1+INDEX($AB$21:$AB$97,E118))*(1+INDEX($AB$21:$AB$97,F118))-1</f>
        <v>0.0131445013197682</v>
      </c>
      <c r="J118" s="489">
        <f>LN((1+G118)/(1+H118))</f>
        <v>-0.0276703212505967</v>
      </c>
      <c r="K118" s="489">
        <f>LN((1+I118)/(1+H118))</f>
        <v>-0.0229091311353871</v>
      </c>
      <c r="L118" s="489">
        <f>(1+INDEX($AC$21:$AC$97,B118))*(1+INDEX($AC$21:$AC$97,C118))*(1+INDEX($AC$21:$AC$97,D118))*(1+INDEX($AC$21:$AC$97,E118))*(1+INDEX($AC$21:$AC$97,F118))-1</f>
        <v>0.00546240268161036</v>
      </c>
      <c r="M118" s="489">
        <f>(1+INDEX($AD$21:$AD$97,B118))*(1+INDEX($AD$21:$AD$97,C118))*(1+INDEX($AD$21:$AD$97,D118))*(1+INDEX($AD$21:$AD$97,E118))*(1+INDEX($AD$21:$AD$97,F118))-1</f>
        <v>-0.00547068874437662</v>
      </c>
      <c r="N118" s="489">
        <f>(1+INDEX($AE$21:$AE$97,B118))*(1+INDEX($AE$21:$AE$97,C118))*(1+INDEX($AE$21:$AE$97,D118))*(1+INDEX($AE$21:$AE$97,E118))*(1+INDEX($AE$21:$AE$97,F118))-1</f>
        <v>-0.0181743065783611</v>
      </c>
      <c r="O118" s="489">
        <f>(1+INDEX($AF$21:$AF$97,B118))*(1+INDEX($AF$21:$AF$97,C118))*(1+INDEX($AF$21:$AF$97,D118))*(1+INDEX($AF$21:$AF$97,E118))*(1+INDEX($AF$21:$AF$97,F118))-1</f>
        <v>0.0493879906312571</v>
      </c>
      <c r="P118" s="489">
        <f>LN((1+L118)/(1+H118))</f>
        <v>-0.0305204552715218</v>
      </c>
      <c r="Q118" s="489">
        <f>LN((1+M118)/(1+H118))</f>
        <v>-0.0414537009021122</v>
      </c>
      <c r="R118" s="489">
        <f>LN((1+N118)/(1+H118))</f>
        <v>-0.0543094811290077</v>
      </c>
      <c r="S118" s="542">
        <f>LN((1+O118)/(1+H118))</f>
        <v>0.0122391350327328</v>
      </c>
    </row>
    <row r="119">
      <c r="A119" s="320" t="n">
        <v>18</v>
      </c>
      <c r="B119" s="174" t="n">
        <v>74</v>
      </c>
      <c r="C119" s="174" t="n">
        <v>36</v>
      </c>
      <c r="D119" s="174" t="n">
        <v>34</v>
      </c>
      <c r="E119" s="174" t="n">
        <v>41</v>
      </c>
      <c r="F119" s="174" t="n">
        <v>69</v>
      </c>
      <c r="G119" s="68">
        <f>(1+INDEX($Z$21:$Z$97,B119))*(1+INDEX($Z$21:$Z$97,C119))*(1+INDEX($Z$21:$Z$97,D119))*(1+INDEX($Z$21:$Z$97,E119))*(1+INDEX($Z$21:$Z$97,F119))-1</f>
        <v>0.709155438067969</v>
      </c>
      <c r="H119" s="68">
        <f>(1+INDEX($AA$21:$AA$97,B119))*(1+INDEX($AA$21:$AA$97,C119))*(1+INDEX($AA$21:$AA$97,D119))*(1+INDEX($AA$21:$AA$97,E119))*(1+INDEX($AA$21:$AA$97,F119))-1</f>
        <v>0.709466677975369</v>
      </c>
      <c r="I119" s="68">
        <f>(1+INDEX($AB$21:$AB$97,B119))*(1+INDEX($AB$21:$AB$97,C119))*(1+INDEX($AB$21:$AB$97,D119))*(1+INDEX($AB$21:$AB$97,E119))*(1+INDEX($AB$21:$AB$97,F119))-1</f>
        <v>0.774265794913833</v>
      </c>
      <c r="J119" s="489">
        <f>LN((1+G119)/(1+H119))</f>
        <v>-0.000182085002492249</v>
      </c>
      <c r="K119" s="489">
        <f>LN((1+I119)/(1+H119))</f>
        <v>0.0372052630442329</v>
      </c>
      <c r="L119" s="489">
        <f>(1+INDEX($AC$21:$AC$97,B119))*(1+INDEX($AC$21:$AC$97,C119))*(1+INDEX($AC$21:$AC$97,D119))*(1+INDEX($AC$21:$AC$97,E119))*(1+INDEX($AC$21:$AC$97,F119))-1</f>
        <v>0.782048014048023</v>
      </c>
      <c r="M119" s="489">
        <f>(1+INDEX($AD$21:$AD$97,B119))*(1+INDEX($AD$21:$AD$97,C119))*(1+INDEX($AD$21:$AD$97,D119))*(1+INDEX($AD$21:$AD$97,E119))*(1+INDEX($AD$21:$AD$97,F119))-1</f>
        <v>0.774763632135048</v>
      </c>
      <c r="N119" s="489">
        <f>(1+INDEX($AE$21:$AE$97,B119))*(1+INDEX($AE$21:$AE$97,C119))*(1+INDEX($AE$21:$AE$97,D119))*(1+INDEX($AE$21:$AE$97,E119))*(1+INDEX($AE$21:$AE$97,F119))-1</f>
        <v>0.793893930682297</v>
      </c>
      <c r="O119" s="489">
        <f>(1+INDEX($AF$21:$AF$97,B119))*(1+INDEX($AF$21:$AF$97,C119))*(1+INDEX($AF$21:$AF$97,D119))*(1+INDEX($AF$21:$AF$97,E119))*(1+INDEX($AF$21:$AF$97,F119))-1</f>
        <v>0.700424746042542</v>
      </c>
      <c r="P119" s="489">
        <f>LN((1+L119)/(1+H119))</f>
        <v>0.0415818349522246</v>
      </c>
      <c r="Q119" s="489">
        <f>LN((1+M119)/(1+H119))</f>
        <v>0.0374858114221564</v>
      </c>
      <c r="R119" s="489">
        <f>LN((1+N119)/(1+H119))</f>
        <v>0.0482071997647201</v>
      </c>
      <c r="S119" s="542">
        <f>LN((1+O119)/(1+H119))</f>
        <v>-0.00530336717567485</v>
      </c>
    </row>
    <row r="120">
      <c r="A120" s="320" t="n">
        <v>19</v>
      </c>
      <c r="B120" s="174" t="n">
        <v>16</v>
      </c>
      <c r="C120" s="174" t="n">
        <v>9</v>
      </c>
      <c r="D120" s="174" t="n">
        <v>33</v>
      </c>
      <c r="E120" s="174" t="n">
        <v>8</v>
      </c>
      <c r="F120" s="174" t="n">
        <v>57</v>
      </c>
      <c r="G120" s="68">
        <f>(1+INDEX($Z$21:$Z$97,B120))*(1+INDEX($Z$21:$Z$97,C120))*(1+INDEX($Z$21:$Z$97,D120))*(1+INDEX($Z$21:$Z$97,E120))*(1+INDEX($Z$21:$Z$97,F120))-1</f>
        <v>-0.0110694367891028</v>
      </c>
      <c r="H120" s="68">
        <f>(1+INDEX($AA$21:$AA$97,B120))*(1+INDEX($AA$21:$AA$97,C120))*(1+INDEX($AA$21:$AA$97,D120))*(1+INDEX($AA$21:$AA$97,E120))*(1+INDEX($AA$21:$AA$97,F120))-1</f>
        <v>0.0165014899904621</v>
      </c>
      <c r="I120" s="68">
        <f>(1+INDEX($AB$21:$AB$97,B120))*(1+INDEX($AB$21:$AB$97,C120))*(1+INDEX($AB$21:$AB$97,D120))*(1+INDEX($AB$21:$AB$97,E120))*(1+INDEX($AB$21:$AB$97,F120))-1</f>
        <v>-0.0109427476064206</v>
      </c>
      <c r="J120" s="489">
        <f>LN((1+G120)/(1+H120))</f>
        <v>-0.0274979788031558</v>
      </c>
      <c r="K120" s="489">
        <f>LN((1+I120)/(1+H120))</f>
        <v>-0.0273698797503144</v>
      </c>
      <c r="L120" s="489">
        <f>(1+INDEX($AC$21:$AC$97,B120))*(1+INDEX($AC$21:$AC$97,C120))*(1+INDEX($AC$21:$AC$97,D120))*(1+INDEX($AC$21:$AC$97,E120))*(1+INDEX($AC$21:$AC$97,F120))-1</f>
        <v>-0.0424610829501384</v>
      </c>
      <c r="M120" s="489">
        <f>(1+INDEX($AD$21:$AD$97,B120))*(1+INDEX($AD$21:$AD$97,C120))*(1+INDEX($AD$21:$AD$97,D120))*(1+INDEX($AD$21:$AD$97,E120))*(1+INDEX($AD$21:$AD$97,F120))-1</f>
        <v>0.0198758532457533</v>
      </c>
      <c r="N120" s="489">
        <f>(1+INDEX($AE$21:$AE$97,B120))*(1+INDEX($AE$21:$AE$97,C120))*(1+INDEX($AE$21:$AE$97,D120))*(1+INDEX($AE$21:$AE$97,E120))*(1+INDEX($AE$21:$AE$97,F120))-1</f>
        <v>-0.0427787935735816</v>
      </c>
      <c r="O120" s="489">
        <f>(1+INDEX($AF$21:$AF$97,B120))*(1+INDEX($AF$21:$AF$97,C120))*(1+INDEX($AF$21:$AF$97,D120))*(1+INDEX($AF$21:$AF$97,E120))*(1+INDEX($AF$21:$AF$97,F120))-1</f>
        <v>0.0672428262815417</v>
      </c>
      <c r="P120" s="489">
        <f>LN((1+L120)/(1+H120))</f>
        <v>-0.0597557342046758</v>
      </c>
      <c r="Q120" s="489">
        <f>LN((1+M120)/(1+H120))</f>
        <v>0.0033140874945736</v>
      </c>
      <c r="R120" s="489">
        <f>LN((1+N120)/(1+H120))</f>
        <v>-0.0600875884379696</v>
      </c>
      <c r="S120" s="542">
        <f>LN((1+O120)/(1+H120))</f>
        <v>0.0487117050583359</v>
      </c>
    </row>
    <row r="121">
      <c r="A121" s="320" t="n">
        <v>20</v>
      </c>
      <c r="B121" s="174" t="n">
        <v>17</v>
      </c>
      <c r="C121" s="174" t="n">
        <v>69</v>
      </c>
      <c r="D121" s="174" t="n">
        <v>68</v>
      </c>
      <c r="E121" s="174" t="n">
        <v>58</v>
      </c>
      <c r="F121" s="174" t="n">
        <v>58</v>
      </c>
      <c r="G121" s="68">
        <f>(1+INDEX($Z$21:$Z$97,B121))*(1+INDEX($Z$21:$Z$97,C121))*(1+INDEX($Z$21:$Z$97,D121))*(1+INDEX($Z$21:$Z$97,E121))*(1+INDEX($Z$21:$Z$97,F121))-1</f>
        <v>0.861109711528395</v>
      </c>
      <c r="H121" s="68">
        <f>(1+INDEX($AA$21:$AA$97,B121))*(1+INDEX($AA$21:$AA$97,C121))*(1+INDEX($AA$21:$AA$97,D121))*(1+INDEX($AA$21:$AA$97,E121))*(1+INDEX($AA$21:$AA$97,F121))-1</f>
        <v>0.859635216123407</v>
      </c>
      <c r="I121" s="68">
        <f>(1+INDEX($AB$21:$AB$97,B121))*(1+INDEX($AB$21:$AB$97,C121))*(1+INDEX($AB$21:$AB$97,D121))*(1+INDEX($AB$21:$AB$97,E121))*(1+INDEX($AB$21:$AB$97,F121))-1</f>
        <v>0.879488278910878</v>
      </c>
      <c r="J121" s="489">
        <f>LN((1+G121)/(1+H121))</f>
        <v>0.000792580792743156</v>
      </c>
      <c r="K121" s="489">
        <f>LN((1+I121)/(1+H121))</f>
        <v>0.0106191995949544</v>
      </c>
      <c r="L121" s="489">
        <f>(1+INDEX($AC$21:$AC$97,B121))*(1+INDEX($AC$21:$AC$97,C121))*(1+INDEX($AC$21:$AC$97,D121))*(1+INDEX($AC$21:$AC$97,E121))*(1+INDEX($AC$21:$AC$97,F121))-1</f>
        <v>0.937574903147799</v>
      </c>
      <c r="M121" s="489">
        <f>(1+INDEX($AD$21:$AD$97,B121))*(1+INDEX($AD$21:$AD$97,C121))*(1+INDEX($AD$21:$AD$97,D121))*(1+INDEX($AD$21:$AD$97,E121))*(1+INDEX($AD$21:$AD$97,F121))-1</f>
        <v>0.827417861405941</v>
      </c>
      <c r="N121" s="489">
        <f>(1+INDEX($AE$21:$AE$97,B121))*(1+INDEX($AE$21:$AE$97,C121))*(1+INDEX($AE$21:$AE$97,D121))*(1+INDEX($AE$21:$AE$97,E121))*(1+INDEX($AE$21:$AE$97,F121))-1</f>
        <v>0.966192015874402</v>
      </c>
      <c r="O121" s="489">
        <f>(1+INDEX($AF$21:$AF$97,B121))*(1+INDEX($AF$21:$AF$97,C121))*(1+INDEX($AF$21:$AF$97,D121))*(1+INDEX($AF$21:$AF$97,E121))*(1+INDEX($AF$21:$AF$97,F121))-1</f>
        <v>0.772556583671068</v>
      </c>
      <c r="P121" s="489">
        <f>LN((1+L121)/(1+H121))</f>
        <v>0.0410567930600481</v>
      </c>
      <c r="Q121" s="489">
        <f>LN((1+M121)/(1+H121))</f>
        <v>-0.0174763823746384</v>
      </c>
      <c r="R121" s="489">
        <f>LN((1+N121)/(1+H121))</f>
        <v>0.0557183371267718</v>
      </c>
      <c r="S121" s="542">
        <f>LN((1+O121)/(1+H121))</f>
        <v>-0.0479574461259829</v>
      </c>
    </row>
    <row r="122">
      <c r="A122" s="320" t="n">
        <v>21</v>
      </c>
      <c r="B122" s="174" t="n">
        <v>74</v>
      </c>
      <c r="C122" s="174" t="n">
        <v>27</v>
      </c>
      <c r="D122" s="174" t="n">
        <v>40</v>
      </c>
      <c r="E122" s="174" t="n">
        <v>2</v>
      </c>
      <c r="F122" s="174" t="n">
        <v>72</v>
      </c>
      <c r="G122" s="68">
        <f>(1+INDEX($Z$21:$Z$97,B122))*(1+INDEX($Z$21:$Z$97,C122))*(1+INDEX($Z$21:$Z$97,D122))*(1+INDEX($Z$21:$Z$97,E122))*(1+INDEX($Z$21:$Z$97,F122))-1</f>
        <v>0.870855402774861</v>
      </c>
      <c r="H122" s="68">
        <f>(1+INDEX($AA$21:$AA$97,B122))*(1+INDEX($AA$21:$AA$97,C122))*(1+INDEX($AA$21:$AA$97,D122))*(1+INDEX($AA$21:$AA$97,E122))*(1+INDEX($AA$21:$AA$97,F122))-1</f>
        <v>0.793049834328399</v>
      </c>
      <c r="I122" s="68">
        <f>(1+INDEX($AB$21:$AB$97,B122))*(1+INDEX($AB$21:$AB$97,C122))*(1+INDEX($AB$21:$AB$97,D122))*(1+INDEX($AB$21:$AB$97,E122))*(1+INDEX($AB$21:$AB$97,F122))-1</f>
        <v>0.883413246133277</v>
      </c>
      <c r="J122" s="489">
        <f>LN((1+G122)/(1+H122))</f>
        <v>0.0424777728522765</v>
      </c>
      <c r="K122" s="489">
        <f>LN((1+I122)/(1+H122))</f>
        <v>0.0491676991033854</v>
      </c>
      <c r="L122" s="489">
        <f>(1+INDEX($AC$21:$AC$97,B122))*(1+INDEX($AC$21:$AC$97,C122))*(1+INDEX($AC$21:$AC$97,D122))*(1+INDEX($AC$21:$AC$97,E122))*(1+INDEX($AC$21:$AC$97,F122))-1</f>
        <v>0.885787945472708</v>
      </c>
      <c r="M122" s="489">
        <f>(1+INDEX($AD$21:$AD$97,B122))*(1+INDEX($AD$21:$AD$97,C122))*(1+INDEX($AD$21:$AD$97,D122))*(1+INDEX($AD$21:$AD$97,E122))*(1+INDEX($AD$21:$AD$97,F122))-1</f>
        <v>0.871895948235795</v>
      </c>
      <c r="N122" s="489">
        <f>(1+INDEX($AE$21:$AE$97,B122))*(1+INDEX($AE$21:$AE$97,C122))*(1+INDEX($AE$21:$AE$97,D122))*(1+INDEX($AE$21:$AE$97,E122))*(1+INDEX($AE$21:$AE$97,F122))-1</f>
        <v>0.879089858495569</v>
      </c>
      <c r="O122" s="489">
        <f>(1+INDEX($AF$21:$AF$97,B122))*(1+INDEX($AF$21:$AF$97,C122))*(1+INDEX($AF$21:$AF$97,D122))*(1+INDEX($AF$21:$AF$97,E122))*(1+INDEX($AF$21:$AF$97,F122))-1</f>
        <v>0.819462702409398</v>
      </c>
      <c r="P122" s="489">
        <f>LN((1+L122)/(1+H122))</f>
        <v>0.0504277537053632</v>
      </c>
      <c r="Q122" s="489">
        <f>LN((1+M122)/(1+H122))</f>
        <v>0.0430338052413703</v>
      </c>
      <c r="R122" s="489">
        <f>LN((1+N122)/(1+H122))</f>
        <v>0.046869553735633</v>
      </c>
      <c r="S122" s="542">
        <f>LN((1+O122)/(1+H122))</f>
        <v>0.0146232509849308</v>
      </c>
    </row>
    <row r="123">
      <c r="A123" s="320" t="n">
        <v>22</v>
      </c>
      <c r="B123" s="174" t="n">
        <v>28</v>
      </c>
      <c r="C123" s="174" t="n">
        <v>53</v>
      </c>
      <c r="D123" s="174" t="n">
        <v>3</v>
      </c>
      <c r="E123" s="174" t="n">
        <v>65</v>
      </c>
      <c r="F123" s="174" t="n">
        <v>1</v>
      </c>
      <c r="G123" s="68">
        <f>(1+INDEX($Z$21:$Z$97,B123))*(1+INDEX($Z$21:$Z$97,C123))*(1+INDEX($Z$21:$Z$97,D123))*(1+INDEX($Z$21:$Z$97,E123))*(1+INDEX($Z$21:$Z$97,F123))-1</f>
        <v>0.436790862226859</v>
      </c>
      <c r="H123" s="68">
        <f>(1+INDEX($AA$21:$AA$97,B123))*(1+INDEX($AA$21:$AA$97,C123))*(1+INDEX($AA$21:$AA$97,D123))*(1+INDEX($AA$21:$AA$97,E123))*(1+INDEX($AA$21:$AA$97,F123))-1</f>
        <v>0.409444657057053</v>
      </c>
      <c r="I123" s="68">
        <f>(1+INDEX($AB$21:$AB$97,B123))*(1+INDEX($AB$21:$AB$97,C123))*(1+INDEX($AB$21:$AB$97,D123))*(1+INDEX($AB$21:$AB$97,E123))*(1+INDEX($AB$21:$AB$97,F123))-1</f>
        <v>0.413785127647178</v>
      </c>
      <c r="J123" s="489">
        <f>LN((1+G123)/(1+H123))</f>
        <v>0.0192162921733395</v>
      </c>
      <c r="K123" s="489">
        <f>LN((1+I123)/(1+H123))</f>
        <v>0.00307482871809739</v>
      </c>
      <c r="L123" s="489">
        <f>(1+INDEX($AC$21:$AC$97,B123))*(1+INDEX($AC$21:$AC$97,C123))*(1+INDEX($AC$21:$AC$97,D123))*(1+INDEX($AC$21:$AC$97,E123))*(1+INDEX($AC$21:$AC$97,F123))-1</f>
        <v>0.415666974530076</v>
      </c>
      <c r="M123" s="489">
        <f>(1+INDEX($AD$21:$AD$97,B123))*(1+INDEX($AD$21:$AD$97,C123))*(1+INDEX($AD$21:$AD$97,D123))*(1+INDEX($AD$21:$AD$97,E123))*(1+INDEX($AD$21:$AD$97,F123))-1</f>
        <v>0.426904773831986</v>
      </c>
      <c r="N123" s="489">
        <f>(1+INDEX($AE$21:$AE$97,B123))*(1+INDEX($AE$21:$AE$97,C123))*(1+INDEX($AE$21:$AE$97,D123))*(1+INDEX($AE$21:$AE$97,E123))*(1+INDEX($AE$21:$AE$97,F123))-1</f>
        <v>0.426066135708578</v>
      </c>
      <c r="O123" s="489">
        <f>(1+INDEX($AF$21:$AF$97,B123))*(1+INDEX($AF$21:$AF$97,C123))*(1+INDEX($AF$21:$AF$97,D123))*(1+INDEX($AF$21:$AF$97,E123))*(1+INDEX($AF$21:$AF$97,F123))-1</f>
        <v>0.438523873856281</v>
      </c>
      <c r="P123" s="489">
        <f>LN((1+L123)/(1+H123))</f>
        <v>0.00440501356832118</v>
      </c>
      <c r="Q123" s="489">
        <f>LN((1+M123)/(1+H123))</f>
        <v>0.0123118379819997</v>
      </c>
      <c r="R123" s="489">
        <f>LN((1+N123)/(1+H123))</f>
        <v>0.0117239328303852</v>
      </c>
      <c r="S123" s="542">
        <f>LN((1+O123)/(1+H123))</f>
        <v>0.0204217336629446</v>
      </c>
    </row>
    <row r="124">
      <c r="A124" s="320" t="n">
        <v>23</v>
      </c>
      <c r="B124" s="174" t="n">
        <v>65</v>
      </c>
      <c r="C124" s="174" t="n">
        <v>12</v>
      </c>
      <c r="D124" s="174" t="n">
        <v>4</v>
      </c>
      <c r="E124" s="174" t="n">
        <v>42</v>
      </c>
      <c r="F124" s="174" t="n">
        <v>67</v>
      </c>
      <c r="G124" s="68">
        <f>(1+INDEX($Z$21:$Z$97,B124))*(1+INDEX($Z$21:$Z$97,C124))*(1+INDEX($Z$21:$Z$97,D124))*(1+INDEX($Z$21:$Z$97,E124))*(1+INDEX($Z$21:$Z$97,F124))-1</f>
        <v>0.429740301662122</v>
      </c>
      <c r="H124" s="68">
        <f>(1+INDEX($AA$21:$AA$97,B124))*(1+INDEX($AA$21:$AA$97,C124))*(1+INDEX($AA$21:$AA$97,D124))*(1+INDEX($AA$21:$AA$97,E124))*(1+INDEX($AA$21:$AA$97,F124))-1</f>
        <v>0.384329108855382</v>
      </c>
      <c r="I124" s="68">
        <f>(1+INDEX($AB$21:$AB$97,B124))*(1+INDEX($AB$21:$AB$97,C124))*(1+INDEX($AB$21:$AB$97,D124))*(1+INDEX($AB$21:$AB$97,E124))*(1+INDEX($AB$21:$AB$97,F124))-1</f>
        <v>0.38847916035525</v>
      </c>
      <c r="J124" s="489">
        <f>LN((1+G124)/(1+H124))</f>
        <v>0.0322771962075727</v>
      </c>
      <c r="K124" s="489">
        <f>LN((1+I124)/(1+H124))</f>
        <v>0.00299339456304824</v>
      </c>
      <c r="L124" s="489">
        <f>(1+INDEX($AC$21:$AC$97,B124))*(1+INDEX($AC$21:$AC$97,C124))*(1+INDEX($AC$21:$AC$97,D124))*(1+INDEX($AC$21:$AC$97,E124))*(1+INDEX($AC$21:$AC$97,F124))-1</f>
        <v>0.405537256165509</v>
      </c>
      <c r="M124" s="489">
        <f>(1+INDEX($AD$21:$AD$97,B124))*(1+INDEX($AD$21:$AD$97,C124))*(1+INDEX($AD$21:$AD$97,D124))*(1+INDEX($AD$21:$AD$97,E124))*(1+INDEX($AD$21:$AD$97,F124))-1</f>
        <v>0.385697741845126</v>
      </c>
      <c r="N124" s="489">
        <f>(1+INDEX($AE$21:$AE$97,B124))*(1+INDEX($AE$21:$AE$97,C124))*(1+INDEX($AE$21:$AE$97,D124))*(1+INDEX($AE$21:$AE$97,E124))*(1+INDEX($AE$21:$AE$97,F124))-1</f>
        <v>0.392446030050877</v>
      </c>
      <c r="O124" s="489">
        <f>(1+INDEX($AF$21:$AF$97,B124))*(1+INDEX($AF$21:$AF$97,C124))*(1+INDEX($AF$21:$AF$97,D124))*(1+INDEX($AF$21:$AF$97,E124))*(1+INDEX($AF$21:$AF$97,F124))-1</f>
        <v>0.416600676438883</v>
      </c>
      <c r="P124" s="489">
        <f>LN((1+L124)/(1+H124))</f>
        <v>0.0152039940813027</v>
      </c>
      <c r="Q124" s="489">
        <f>LN((1+M124)/(1+H124))</f>
        <v>0.000988173165735843</v>
      </c>
      <c r="R124" s="489">
        <f>LN((1+N124)/(1+H124))</f>
        <v>0.00584631013221415</v>
      </c>
      <c r="S124" s="542">
        <f>LN((1+O124)/(1+H124))</f>
        <v>0.0230444875036442</v>
      </c>
    </row>
    <row r="125">
      <c r="A125" s="320" t="n">
        <v>24</v>
      </c>
      <c r="B125" s="174" t="n">
        <v>10</v>
      </c>
      <c r="C125" s="174" t="n">
        <v>5</v>
      </c>
      <c r="D125" s="174" t="n">
        <v>59</v>
      </c>
      <c r="E125" s="174" t="n">
        <v>39</v>
      </c>
      <c r="F125" s="174" t="n">
        <v>73</v>
      </c>
      <c r="G125" s="68">
        <f>(1+INDEX($Z$21:$Z$97,B125))*(1+INDEX($Z$21:$Z$97,C125))*(1+INDEX($Z$21:$Z$97,D125))*(1+INDEX($Z$21:$Z$97,E125))*(1+INDEX($Z$21:$Z$97,F125))-1</f>
        <v>0.115244700226402</v>
      </c>
      <c r="H125" s="68">
        <f>(1+INDEX($AA$21:$AA$97,B125))*(1+INDEX($AA$21:$AA$97,C125))*(1+INDEX($AA$21:$AA$97,D125))*(1+INDEX($AA$21:$AA$97,E125))*(1+INDEX($AA$21:$AA$97,F125))-1</f>
        <v>0.144744736535431</v>
      </c>
      <c r="I125" s="68">
        <f>(1+INDEX($AB$21:$AB$97,B125))*(1+INDEX($AB$21:$AB$97,C125))*(1+INDEX($AB$21:$AB$97,D125))*(1+INDEX($AB$21:$AB$97,E125))*(1+INDEX($AB$21:$AB$97,F125))-1</f>
        <v>0.114555293001127</v>
      </c>
      <c r="J125" s="489">
        <f>LN((1+G125)/(1+H125))</f>
        <v>-0.0261078317080372</v>
      </c>
      <c r="K125" s="489">
        <f>LN((1+I125)/(1+H125))</f>
        <v>-0.0267261896319199</v>
      </c>
      <c r="L125" s="489">
        <f>(1+INDEX($AC$21:$AC$97,B125))*(1+INDEX($AC$21:$AC$97,C125))*(1+INDEX($AC$21:$AC$97,D125))*(1+INDEX($AC$21:$AC$97,E125))*(1+INDEX($AC$21:$AC$97,F125))-1</f>
        <v>0.120937791555225</v>
      </c>
      <c r="M125" s="489">
        <f>(1+INDEX($AD$21:$AD$97,B125))*(1+INDEX($AD$21:$AD$97,C125))*(1+INDEX($AD$21:$AD$97,D125))*(1+INDEX($AD$21:$AD$97,E125))*(1+INDEX($AD$21:$AD$97,F125))-1</f>
        <v>0.118439969829083</v>
      </c>
      <c r="N125" s="489">
        <f>(1+INDEX($AE$21:$AE$97,B125))*(1+INDEX($AE$21:$AE$97,C125))*(1+INDEX($AE$21:$AE$97,D125))*(1+INDEX($AE$21:$AE$97,E125))*(1+INDEX($AE$21:$AE$97,F125))-1</f>
        <v>0.104631974757914</v>
      </c>
      <c r="O125" s="489">
        <f>(1+INDEX($AF$21:$AF$97,B125))*(1+INDEX($AF$21:$AF$97,C125))*(1+INDEX($AF$21:$AF$97,D125))*(1+INDEX($AF$21:$AF$97,E125))*(1+INDEX($AF$21:$AF$97,F125))-1</f>
        <v>0.141274899458153</v>
      </c>
      <c r="P125" s="489">
        <f>LN((1+L125)/(1+H125))</f>
        <v>-0.0210160257844188</v>
      </c>
      <c r="Q125" s="489">
        <f>LN((1+M125)/(1+H125))</f>
        <v>-0.0232468443672345</v>
      </c>
      <c r="R125" s="489">
        <f>LN((1+N125)/(1+H125))</f>
        <v>-0.0356694496512802</v>
      </c>
      <c r="S125" s="542">
        <f>LN((1+O125)/(1+H125))</f>
        <v>-0.00303570423222525</v>
      </c>
    </row>
    <row r="126">
      <c r="A126" s="320" t="n">
        <v>25</v>
      </c>
      <c r="B126" s="174" t="n">
        <v>5</v>
      </c>
      <c r="C126" s="174" t="n">
        <v>66</v>
      </c>
      <c r="D126" s="174" t="n">
        <v>36</v>
      </c>
      <c r="E126" s="174" t="n">
        <v>29</v>
      </c>
      <c r="F126" s="174" t="n">
        <v>47</v>
      </c>
      <c r="G126" s="68">
        <f>(1+INDEX($Z$21:$Z$97,B126))*(1+INDEX($Z$21:$Z$97,C126))*(1+INDEX($Z$21:$Z$97,D126))*(1+INDEX($Z$21:$Z$97,E126))*(1+INDEX($Z$21:$Z$97,F126))-1</f>
        <v>0.389763816492256</v>
      </c>
      <c r="H126" s="68">
        <f>(1+INDEX($AA$21:$AA$97,B126))*(1+INDEX($AA$21:$AA$97,C126))*(1+INDEX($AA$21:$AA$97,D126))*(1+INDEX($AA$21:$AA$97,E126))*(1+INDEX($AA$21:$AA$97,F126))-1</f>
        <v>0.405924783824142</v>
      </c>
      <c r="I126" s="68">
        <f>(1+INDEX($AB$21:$AB$97,B126))*(1+INDEX($AB$21:$AB$97,C126))*(1+INDEX($AB$21:$AB$97,D126))*(1+INDEX($AB$21:$AB$97,E126))*(1+INDEX($AB$21:$AB$97,F126))-1</f>
        <v>0.423089858497828</v>
      </c>
      <c r="J126" s="489">
        <f>LN((1+G126)/(1+H126))</f>
        <v>-0.0115614788760047</v>
      </c>
      <c r="K126" s="489">
        <f>LN((1+I126)/(1+H126))</f>
        <v>0.0121351689480694</v>
      </c>
      <c r="L126" s="489">
        <f>(1+INDEX($AC$21:$AC$97,B126))*(1+INDEX($AC$21:$AC$97,C126))*(1+INDEX($AC$21:$AC$97,D126))*(1+INDEX($AC$21:$AC$97,E126))*(1+INDEX($AC$21:$AC$97,F126))-1</f>
        <v>0.426750542211748</v>
      </c>
      <c r="M126" s="489">
        <f>(1+INDEX($AD$21:$AD$97,B126))*(1+INDEX($AD$21:$AD$97,C126))*(1+INDEX($AD$21:$AD$97,D126))*(1+INDEX($AD$21:$AD$97,E126))*(1+INDEX($AD$21:$AD$97,F126))-1</f>
        <v>0.4090802403645</v>
      </c>
      <c r="N126" s="489">
        <f>(1+INDEX($AE$21:$AE$97,B126))*(1+INDEX($AE$21:$AE$97,C126))*(1+INDEX($AE$21:$AE$97,D126))*(1+INDEX($AE$21:$AE$97,E126))*(1+INDEX($AE$21:$AE$97,F126))-1</f>
        <v>0.427465819448536</v>
      </c>
      <c r="O126" s="489">
        <f>(1+INDEX($AF$21:$AF$97,B126))*(1+INDEX($AF$21:$AF$97,C126))*(1+INDEX($AF$21:$AF$97,D126))*(1+INDEX($AF$21:$AF$97,E126))*(1+INDEX($AF$21:$AF$97,F126))-1</f>
        <v>0.421528576909564</v>
      </c>
      <c r="P126" s="489">
        <f>LN((1+L126)/(1+H126))</f>
        <v>0.0147042150787824</v>
      </c>
      <c r="Q126" s="489">
        <f>LN((1+M126)/(1+H126))</f>
        <v>0.00224188435535033</v>
      </c>
      <c r="R126" s="489">
        <f>LN((1+N126)/(1+H126))</f>
        <v>0.0152054225284833</v>
      </c>
      <c r="S126" s="542">
        <f>LN((1+O126)/(1+H126))</f>
        <v>0.0110374598665248</v>
      </c>
    </row>
    <row r="127">
      <c r="A127" s="320" t="n">
        <v>26</v>
      </c>
      <c r="B127" s="174" t="n">
        <v>27</v>
      </c>
      <c r="C127" s="174" t="n">
        <v>22</v>
      </c>
      <c r="D127" s="174" t="n">
        <v>35</v>
      </c>
      <c r="E127" s="174" t="n">
        <v>57</v>
      </c>
      <c r="F127" s="174" t="n">
        <v>60</v>
      </c>
      <c r="G127" s="68">
        <f>(1+INDEX($Z$21:$Z$97,B127))*(1+INDEX($Z$21:$Z$97,C127))*(1+INDEX($Z$21:$Z$97,D127))*(1+INDEX($Z$21:$Z$97,E127))*(1+INDEX($Z$21:$Z$97,F127))-1</f>
        <v>0.883325752660261</v>
      </c>
      <c r="H127" s="68">
        <f>(1+INDEX($AA$21:$AA$97,B127))*(1+INDEX($AA$21:$AA$97,C127))*(1+INDEX($AA$21:$AA$97,D127))*(1+INDEX($AA$21:$AA$97,E127))*(1+INDEX($AA$21:$AA$97,F127))-1</f>
        <v>0.843380675922422</v>
      </c>
      <c r="I127" s="68">
        <f>(1+INDEX($AB$21:$AB$97,B127))*(1+INDEX($AB$21:$AB$97,C127))*(1+INDEX($AB$21:$AB$97,D127))*(1+INDEX($AB$21:$AB$97,E127))*(1+INDEX($AB$21:$AB$97,F127))-1</f>
        <v>0.918949652509209</v>
      </c>
      <c r="J127" s="489">
        <f>LN((1+G127)/(1+H127))</f>
        <v>0.0214380216691122</v>
      </c>
      <c r="K127" s="489">
        <f>LN((1+I127)/(1+H127))</f>
        <v>0.0401767706883008</v>
      </c>
      <c r="L127" s="489">
        <f>(1+INDEX($AC$21:$AC$97,B127))*(1+INDEX($AC$21:$AC$97,C127))*(1+INDEX($AC$21:$AC$97,D127))*(1+INDEX($AC$21:$AC$97,E127))*(1+INDEX($AC$21:$AC$97,F127))-1</f>
        <v>0.955227752738106</v>
      </c>
      <c r="M127" s="489">
        <f>(1+INDEX($AD$21:$AD$97,B127))*(1+INDEX($AD$21:$AD$97,C127))*(1+INDEX($AD$21:$AD$97,D127))*(1+INDEX($AD$21:$AD$97,E127))*(1+INDEX($AD$21:$AD$97,F127))-1</f>
        <v>0.890956744570554</v>
      </c>
      <c r="N127" s="489">
        <f>(1+INDEX($AE$21:$AE$97,B127))*(1+INDEX($AE$21:$AE$97,C127))*(1+INDEX($AE$21:$AE$97,D127))*(1+INDEX($AE$21:$AE$97,E127))*(1+INDEX($AE$21:$AE$97,F127))-1</f>
        <v>0.965282166930394</v>
      </c>
      <c r="O127" s="489">
        <f>(1+INDEX($AF$21:$AF$97,B127))*(1+INDEX($AF$21:$AF$97,C127))*(1+INDEX($AF$21:$AF$97,D127))*(1+INDEX($AF$21:$AF$97,E127))*(1+INDEX($AF$21:$AF$97,F127))-1</f>
        <v>0.785398630889763</v>
      </c>
      <c r="P127" s="489">
        <f>LN((1+L127)/(1+H127))</f>
        <v>0.0589054745393817</v>
      </c>
      <c r="Q127" s="489">
        <f>LN((1+M127)/(1+H127))</f>
        <v>0.0254817053700497</v>
      </c>
      <c r="R127" s="489">
        <f>LN((1+N127)/(1+H127))</f>
        <v>0.0640346217376026</v>
      </c>
      <c r="S127" s="542">
        <f>LN((1+O127)/(1+H127))</f>
        <v>-0.0319594967507474</v>
      </c>
    </row>
    <row r="128">
      <c r="A128" s="320" t="n">
        <v>27</v>
      </c>
      <c r="B128" s="174" t="n">
        <v>60</v>
      </c>
      <c r="C128" s="174" t="n">
        <v>61</v>
      </c>
      <c r="D128" s="174" t="n">
        <v>67</v>
      </c>
      <c r="E128" s="174" t="n">
        <v>42</v>
      </c>
      <c r="F128" s="174" t="n">
        <v>74</v>
      </c>
      <c r="G128" s="68">
        <f>(1+INDEX($Z$21:$Z$97,B128))*(1+INDEX($Z$21:$Z$97,C128))*(1+INDEX($Z$21:$Z$97,D128))*(1+INDEX($Z$21:$Z$97,E128))*(1+INDEX($Z$21:$Z$97,F128))-1</f>
        <v>0.681044556412556</v>
      </c>
      <c r="H128" s="68">
        <f>(1+INDEX($AA$21:$AA$97,B128))*(1+INDEX($AA$21:$AA$97,C128))*(1+INDEX($AA$21:$AA$97,D128))*(1+INDEX($AA$21:$AA$97,E128))*(1+INDEX($AA$21:$AA$97,F128))-1</f>
        <v>0.685309342791026</v>
      </c>
      <c r="I128" s="68">
        <f>(1+INDEX($AB$21:$AB$97,B128))*(1+INDEX($AB$21:$AB$97,C128))*(1+INDEX($AB$21:$AB$97,D128))*(1+INDEX($AB$21:$AB$97,E128))*(1+INDEX($AB$21:$AB$97,F128))-1</f>
        <v>0.705205406340927</v>
      </c>
      <c r="J128" s="489">
        <f>LN((1+G128)/(1+H128))</f>
        <v>-0.00253377320853979</v>
      </c>
      <c r="K128" s="489">
        <f>LN((1+I128)/(1+H128))</f>
        <v>0.0117364432258657</v>
      </c>
      <c r="L128" s="489">
        <f>(1+INDEX($AC$21:$AC$97,B128))*(1+INDEX($AC$21:$AC$97,C128))*(1+INDEX($AC$21:$AC$97,D128))*(1+INDEX($AC$21:$AC$97,E128))*(1+INDEX($AC$21:$AC$97,F128))-1</f>
        <v>0.770836144051335</v>
      </c>
      <c r="M128" s="489">
        <f>(1+INDEX($AD$21:$AD$97,B128))*(1+INDEX($AD$21:$AD$97,C128))*(1+INDEX($AD$21:$AD$97,D128))*(1+INDEX($AD$21:$AD$97,E128))*(1+INDEX($AD$21:$AD$97,F128))-1</f>
        <v>0.645704115472523</v>
      </c>
      <c r="N128" s="489">
        <f>(1+INDEX($AE$21:$AE$97,B128))*(1+INDEX($AE$21:$AE$97,C128))*(1+INDEX($AE$21:$AE$97,D128))*(1+INDEX($AE$21:$AE$97,E128))*(1+INDEX($AE$21:$AE$97,F128))-1</f>
        <v>0.795947437853092</v>
      </c>
      <c r="O128" s="489">
        <f>(1+INDEX($AF$21:$AF$97,B128))*(1+INDEX($AF$21:$AF$97,C128))*(1+INDEX($AF$21:$AF$97,D128))*(1+INDEX($AF$21:$AF$97,E128))*(1+INDEX($AF$21:$AF$97,F128))-1</f>
        <v>0.596475996700659</v>
      </c>
      <c r="P128" s="489">
        <f>LN((1+L128)/(1+H128))</f>
        <v>0.0495026996295908</v>
      </c>
      <c r="Q128" s="489">
        <f>LN((1+M128)/(1+H128))</f>
        <v>-0.0237808068216323</v>
      </c>
      <c r="R128" s="489">
        <f>LN((1+N128)/(1+H128))</f>
        <v>0.0635835700423885</v>
      </c>
      <c r="S128" s="542">
        <f>LN((1+O128)/(1+H128))</f>
        <v>-0.0541504350719341</v>
      </c>
    </row>
    <row r="129">
      <c r="A129" s="320" t="n">
        <v>28</v>
      </c>
      <c r="B129" s="174" t="n">
        <v>46</v>
      </c>
      <c r="C129" s="174" t="n">
        <v>53</v>
      </c>
      <c r="D129" s="174" t="n">
        <v>23</v>
      </c>
      <c r="E129" s="174" t="n">
        <v>55</v>
      </c>
      <c r="F129" s="174" t="n">
        <v>50</v>
      </c>
      <c r="G129" s="68">
        <f>(1+INDEX($Z$21:$Z$97,B129))*(1+INDEX($Z$21:$Z$97,C129))*(1+INDEX($Z$21:$Z$97,D129))*(1+INDEX($Z$21:$Z$97,E129))*(1+INDEX($Z$21:$Z$97,F129))-1</f>
        <v>0.240007259557133</v>
      </c>
      <c r="H129" s="68">
        <f>(1+INDEX($AA$21:$AA$97,B129))*(1+INDEX($AA$21:$AA$97,C129))*(1+INDEX($AA$21:$AA$97,D129))*(1+INDEX($AA$21:$AA$97,E129))*(1+INDEX($AA$21:$AA$97,F129))-1</f>
        <v>0.257723265697975</v>
      </c>
      <c r="I129" s="68">
        <f>(1+INDEX($AB$21:$AB$97,B129))*(1+INDEX($AB$21:$AB$97,C129))*(1+INDEX($AB$21:$AB$97,D129))*(1+INDEX($AB$21:$AB$97,E129))*(1+INDEX($AB$21:$AB$97,F129))-1</f>
        <v>0.276575130491533</v>
      </c>
      <c r="J129" s="489">
        <f>LN((1+G129)/(1+H129))</f>
        <v>-0.0141859204254696</v>
      </c>
      <c r="K129" s="489">
        <f>LN((1+I129)/(1+H129))</f>
        <v>0.0148776580931959</v>
      </c>
      <c r="L129" s="489">
        <f>(1+INDEX($AC$21:$AC$97,B129))*(1+INDEX($AC$21:$AC$97,C129))*(1+INDEX($AC$21:$AC$97,D129))*(1+INDEX($AC$21:$AC$97,E129))*(1+INDEX($AC$21:$AC$97,F129))-1</f>
        <v>0.252274796336449</v>
      </c>
      <c r="M129" s="489">
        <f>(1+INDEX($AD$21:$AD$97,B129))*(1+INDEX($AD$21:$AD$97,C129))*(1+INDEX($AD$21:$AD$97,D129))*(1+INDEX($AD$21:$AD$97,E129))*(1+INDEX($AD$21:$AD$97,F129))-1</f>
        <v>0.290990610068016</v>
      </c>
      <c r="N129" s="489">
        <f>(1+INDEX($AE$21:$AE$97,B129))*(1+INDEX($AE$21:$AE$97,C129))*(1+INDEX($AE$21:$AE$97,D129))*(1+INDEX($AE$21:$AE$97,E129))*(1+INDEX($AE$21:$AE$97,F129))-1</f>
        <v>0.243824838595238</v>
      </c>
      <c r="O129" s="489">
        <f>(1+INDEX($AF$21:$AF$97,B129))*(1+INDEX($AF$21:$AF$97,C129))*(1+INDEX($AF$21:$AF$97,D129))*(1+INDEX($AF$21:$AF$97,E129))*(1+INDEX($AF$21:$AF$97,F129))-1</f>
        <v>0.305294337676154</v>
      </c>
      <c r="P129" s="489">
        <f>LN((1+L129)/(1+H129))</f>
        <v>-0.00434142002070197</v>
      </c>
      <c r="Q129" s="489">
        <f>LN((1+M129)/(1+H129))</f>
        <v>0.0261066839524539</v>
      </c>
      <c r="R129" s="489">
        <f>LN((1+N129)/(1+H129))</f>
        <v>-0.0111119750915526</v>
      </c>
      <c r="S129" s="542">
        <f>LN((1+O129)/(1+H129))</f>
        <v>0.0371254069481147</v>
      </c>
    </row>
    <row r="130">
      <c r="A130" s="320" t="n">
        <v>29</v>
      </c>
      <c r="B130" s="174" t="n">
        <v>60</v>
      </c>
      <c r="C130" s="174" t="n">
        <v>10</v>
      </c>
      <c r="D130" s="174" t="n">
        <v>47</v>
      </c>
      <c r="E130" s="174" t="n">
        <v>2</v>
      </c>
      <c r="F130" s="174" t="n">
        <v>76</v>
      </c>
      <c r="G130" s="68">
        <f>(1+INDEX($Z$21:$Z$97,B130))*(1+INDEX($Z$21:$Z$97,C130))*(1+INDEX($Z$21:$Z$97,D130))*(1+INDEX($Z$21:$Z$97,E130))*(1+INDEX($Z$21:$Z$97,F130))-1</f>
        <v>0.426068734563073</v>
      </c>
      <c r="H130" s="68">
        <f>(1+INDEX($AA$21:$AA$97,B130))*(1+INDEX($AA$21:$AA$97,C130))*(1+INDEX($AA$21:$AA$97,D130))*(1+INDEX($AA$21:$AA$97,E130))*(1+INDEX($AA$21:$AA$97,F130))-1</f>
        <v>0.424297831140347</v>
      </c>
      <c r="I130" s="68">
        <f>(1+INDEX($AB$21:$AB$97,B130))*(1+INDEX($AB$21:$AB$97,C130))*(1+INDEX($AB$21:$AB$97,D130))*(1+INDEX($AB$21:$AB$97,E130))*(1+INDEX($AB$21:$AB$97,F130))-1</f>
        <v>0.428350527672416</v>
      </c>
      <c r="J130" s="489">
        <f>LN((1+G130)/(1+H130))</f>
        <v>0.00124257958389681</v>
      </c>
      <c r="K130" s="489">
        <f>LN((1+I130)/(1+H130))</f>
        <v>0.00284135915042508</v>
      </c>
      <c r="L130" s="489">
        <f>(1+INDEX($AC$21:$AC$97,B130))*(1+INDEX($AC$21:$AC$97,C130))*(1+INDEX($AC$21:$AC$97,D130))*(1+INDEX($AC$21:$AC$97,E130))*(1+INDEX($AC$21:$AC$97,F130))-1</f>
        <v>0.440175788774877</v>
      </c>
      <c r="M130" s="489">
        <f>(1+INDEX($AD$21:$AD$97,B130))*(1+INDEX($AD$21:$AD$97,C130))*(1+INDEX($AD$21:$AD$97,D130))*(1+INDEX($AD$21:$AD$97,E130))*(1+INDEX($AD$21:$AD$97,F130))-1</f>
        <v>0.430127101166184</v>
      </c>
      <c r="N130" s="489">
        <f>(1+INDEX($AE$21:$AE$97,B130))*(1+INDEX($AE$21:$AE$97,C130))*(1+INDEX($AE$21:$AE$97,D130))*(1+INDEX($AE$21:$AE$97,E130))*(1+INDEX($AE$21:$AE$97,F130))-1</f>
        <v>0.438883619032395</v>
      </c>
      <c r="O130" s="489">
        <f>(1+INDEX($AF$21:$AF$97,B130))*(1+INDEX($AF$21:$AF$97,C130))*(1+INDEX($AF$21:$AF$97,D130))*(1+INDEX($AF$21:$AF$97,E130))*(1+INDEX($AF$21:$AF$97,F130))-1</f>
        <v>0.418055918212258</v>
      </c>
      <c r="P130" s="489">
        <f>LN((1+L130)/(1+H130))</f>
        <v>0.0110862394729561</v>
      </c>
      <c r="Q130" s="489">
        <f>LN((1+M130)/(1+H130))</f>
        <v>0.00408438005399523</v>
      </c>
      <c r="R130" s="489">
        <f>LN((1+N130)/(1+H130))</f>
        <v>0.0101886061516422</v>
      </c>
      <c r="S130" s="542">
        <f>LN((1+O130)/(1+H130))</f>
        <v>-0.00439208030567943</v>
      </c>
    </row>
    <row r="131">
      <c r="A131" s="320" t="n">
        <v>30</v>
      </c>
      <c r="B131" s="174" t="n">
        <v>30</v>
      </c>
      <c r="C131" s="174" t="n">
        <v>18</v>
      </c>
      <c r="D131" s="174" t="n">
        <v>15</v>
      </c>
      <c r="E131" s="174" t="n">
        <v>54</v>
      </c>
      <c r="F131" s="174" t="n">
        <v>4</v>
      </c>
      <c r="G131" s="68">
        <f>(1+INDEX($Z$21:$Z$97,B131))*(1+INDEX($Z$21:$Z$97,C131))*(1+INDEX($Z$21:$Z$97,D131))*(1+INDEX($Z$21:$Z$97,E131))*(1+INDEX($Z$21:$Z$97,F131))-1</f>
        <v>0.264631663670178</v>
      </c>
      <c r="H131" s="68">
        <f>(1+INDEX($AA$21:$AA$97,B131))*(1+INDEX($AA$21:$AA$97,C131))*(1+INDEX($AA$21:$AA$97,D131))*(1+INDEX($AA$21:$AA$97,E131))*(1+INDEX($AA$21:$AA$97,F131))-1</f>
        <v>0.236472413718363</v>
      </c>
      <c r="I131" s="68">
        <f>(1+INDEX($AB$21:$AB$97,B131))*(1+INDEX($AB$21:$AB$97,C131))*(1+INDEX($AB$21:$AB$97,D131))*(1+INDEX($AB$21:$AB$97,E131))*(1+INDEX($AB$21:$AB$97,F131))-1</f>
        <v>0.226547376332113</v>
      </c>
      <c r="J131" s="489">
        <f>LN((1+G131)/(1+H131))</f>
        <v>0.0225184070580922</v>
      </c>
      <c r="K131" s="489">
        <f>LN((1+I131)/(1+H131))</f>
        <v>-0.00805928652890738</v>
      </c>
      <c r="L131" s="489">
        <f>(1+INDEX($AC$21:$AC$97,B131))*(1+INDEX($AC$21:$AC$97,C131))*(1+INDEX($AC$21:$AC$97,D131))*(1+INDEX($AC$21:$AC$97,E131))*(1+INDEX($AC$21:$AC$97,F131))-1</f>
        <v>0.209528132796375</v>
      </c>
      <c r="M131" s="489">
        <f>(1+INDEX($AD$21:$AD$97,B131))*(1+INDEX($AD$21:$AD$97,C131))*(1+INDEX($AD$21:$AD$97,D131))*(1+INDEX($AD$21:$AD$97,E131))*(1+INDEX($AD$21:$AD$97,F131))-1</f>
        <v>0.239331157257857</v>
      </c>
      <c r="N131" s="489">
        <f>(1+INDEX($AE$21:$AE$97,B131))*(1+INDEX($AE$21:$AE$97,C131))*(1+INDEX($AE$21:$AE$97,D131))*(1+INDEX($AE$21:$AE$97,E131))*(1+INDEX($AE$21:$AE$97,F131))-1</f>
        <v>0.202230745461266</v>
      </c>
      <c r="O131" s="489">
        <f>(1+INDEX($AF$21:$AF$97,B131))*(1+INDEX($AF$21:$AF$97,C131))*(1+INDEX($AF$21:$AF$97,D131))*(1+INDEX($AF$21:$AF$97,E131))*(1+INDEX($AF$21:$AF$97,F131))-1</f>
        <v>0.286293179924422</v>
      </c>
      <c r="P131" s="489">
        <f>LN((1+L131)/(1+H131))</f>
        <v>-0.0220321871035569</v>
      </c>
      <c r="Q131" s="489">
        <f>LN((1+M131)/(1+H131))</f>
        <v>0.00230934702857721</v>
      </c>
      <c r="R131" s="489">
        <f>LN((1+N131)/(1+H131))</f>
        <v>-0.0280837121300907</v>
      </c>
      <c r="S131" s="542">
        <f>LN((1+O131)/(1+H131))</f>
        <v>0.0395020802432004</v>
      </c>
    </row>
    <row r="132">
      <c r="A132" s="320" t="n">
        <v>31</v>
      </c>
      <c r="B132" s="174" t="n">
        <v>11</v>
      </c>
      <c r="C132" s="174" t="n">
        <v>26</v>
      </c>
      <c r="D132" s="174" t="n">
        <v>13</v>
      </c>
      <c r="E132" s="174" t="n">
        <v>46</v>
      </c>
      <c r="F132" s="174" t="n">
        <v>1</v>
      </c>
      <c r="G132" s="68">
        <f>(1+INDEX($Z$21:$Z$97,B132))*(1+INDEX($Z$21:$Z$97,C132))*(1+INDEX($Z$21:$Z$97,D132))*(1+INDEX($Z$21:$Z$97,E132))*(1+INDEX($Z$21:$Z$97,F132))-1</f>
        <v>0.793497185681235</v>
      </c>
      <c r="H132" s="68">
        <f>(1+INDEX($AA$21:$AA$97,B132))*(1+INDEX($AA$21:$AA$97,C132))*(1+INDEX($AA$21:$AA$97,D132))*(1+INDEX($AA$21:$AA$97,E132))*(1+INDEX($AA$21:$AA$97,F132))-1</f>
        <v>0.629015773550481</v>
      </c>
      <c r="I132" s="68">
        <f>(1+INDEX($AB$21:$AB$97,B132))*(1+INDEX($AB$21:$AB$97,C132))*(1+INDEX($AB$21:$AB$97,D132))*(1+INDEX($AB$21:$AB$97,E132))*(1+INDEX($AB$21:$AB$97,F132))-1</f>
        <v>0.671273236723004</v>
      </c>
      <c r="J132" s="489">
        <f>LN((1+G132)/(1+H132))</f>
        <v>0.096191436273739</v>
      </c>
      <c r="K132" s="489">
        <f>LN((1+I132)/(1+H132))</f>
        <v>0.0256097405973833</v>
      </c>
      <c r="L132" s="489">
        <f>(1+INDEX($AC$21:$AC$97,B132))*(1+INDEX($AC$21:$AC$97,C132))*(1+INDEX($AC$21:$AC$97,D132))*(1+INDEX($AC$21:$AC$97,E132))*(1+INDEX($AC$21:$AC$97,F132))-1</f>
        <v>0.673308060987695</v>
      </c>
      <c r="M132" s="489">
        <f>(1+INDEX($AD$21:$AD$97,B132))*(1+INDEX($AD$21:$AD$97,C132))*(1+INDEX($AD$21:$AD$97,D132))*(1+INDEX($AD$21:$AD$97,E132))*(1+INDEX($AD$21:$AD$97,F132))-1</f>
        <v>0.689062177179321</v>
      </c>
      <c r="N132" s="489">
        <f>(1+INDEX($AE$21:$AE$97,B132))*(1+INDEX($AE$21:$AE$97,C132))*(1+INDEX($AE$21:$AE$97,D132))*(1+INDEX($AE$21:$AE$97,E132))*(1+INDEX($AE$21:$AE$97,F132))-1</f>
        <v>0.659981914516642</v>
      </c>
      <c r="O132" s="489">
        <f>(1+INDEX($AF$21:$AF$97,B132))*(1+INDEX($AF$21:$AF$97,C132))*(1+INDEX($AF$21:$AF$97,D132))*(1+INDEX($AF$21:$AF$97,E132))*(1+INDEX($AF$21:$AF$97,F132))-1</f>
        <v>0.680894775147957</v>
      </c>
      <c r="P132" s="489">
        <f>LN((1+L132)/(1+H132))</f>
        <v>0.0268265293877426</v>
      </c>
      <c r="Q132" s="489">
        <f>LN((1+M132)/(1+H132))</f>
        <v>0.0361974376229634</v>
      </c>
      <c r="R132" s="489">
        <f>LN((1+N132)/(1+H132))</f>
        <v>0.0188306949012766</v>
      </c>
      <c r="S132" s="542">
        <f>LN((1+O132)/(1+H132))</f>
        <v>0.0313502433482655</v>
      </c>
    </row>
    <row r="133">
      <c r="A133" s="320" t="n">
        <v>32</v>
      </c>
      <c r="B133" s="174" t="n">
        <v>35</v>
      </c>
      <c r="C133" s="174" t="n">
        <v>1</v>
      </c>
      <c r="D133" s="174" t="n">
        <v>29</v>
      </c>
      <c r="E133" s="174" t="n">
        <v>59</v>
      </c>
      <c r="F133" s="174" t="n">
        <v>26</v>
      </c>
      <c r="G133" s="68">
        <f>(1+INDEX($Z$21:$Z$97,B133))*(1+INDEX($Z$21:$Z$97,C133))*(1+INDEX($Z$21:$Z$97,D133))*(1+INDEX($Z$21:$Z$97,E133))*(1+INDEX($Z$21:$Z$97,F133))-1</f>
        <v>1.00295239249845</v>
      </c>
      <c r="H133" s="68">
        <f>(1+INDEX($AA$21:$AA$97,B133))*(1+INDEX($AA$21:$AA$97,C133))*(1+INDEX($AA$21:$AA$97,D133))*(1+INDEX($AA$21:$AA$97,E133))*(1+INDEX($AA$21:$AA$97,F133))-1</f>
        <v>0.948344123359249</v>
      </c>
      <c r="I133" s="68">
        <f>(1+INDEX($AB$21:$AB$97,B133))*(1+INDEX($AB$21:$AB$97,C133))*(1+INDEX($AB$21:$AB$97,D133))*(1+INDEX($AB$21:$AB$97,E133))*(1+INDEX($AB$21:$AB$97,F133))-1</f>
        <v>1.02507926553101</v>
      </c>
      <c r="J133" s="489">
        <f>LN((1+G133)/(1+H133))</f>
        <v>0.0276424439819783</v>
      </c>
      <c r="K133" s="489">
        <f>LN((1+I133)/(1+H133))</f>
        <v>0.0386289989439089</v>
      </c>
      <c r="L133" s="489">
        <f>(1+INDEX($AC$21:$AC$97,B133))*(1+INDEX($AC$21:$AC$97,C133))*(1+INDEX($AC$21:$AC$97,D133))*(1+INDEX($AC$21:$AC$97,E133))*(1+INDEX($AC$21:$AC$97,F133))-1</f>
        <v>1.06796173596913</v>
      </c>
      <c r="M133" s="489">
        <f>(1+INDEX($AD$21:$AD$97,B133))*(1+INDEX($AD$21:$AD$97,C133))*(1+INDEX($AD$21:$AD$97,D133))*(1+INDEX($AD$21:$AD$97,E133))*(1+INDEX($AD$21:$AD$97,F133))-1</f>
        <v>0.998876662772812</v>
      </c>
      <c r="N133" s="489">
        <f>(1+INDEX($AE$21:$AE$97,B133))*(1+INDEX($AE$21:$AE$97,C133))*(1+INDEX($AE$21:$AE$97,D133))*(1+INDEX($AE$21:$AE$97,E133))*(1+INDEX($AE$21:$AE$97,F133))-1</f>
        <v>1.08662286441944</v>
      </c>
      <c r="O133" s="489">
        <f>(1+INDEX($AF$21:$AF$97,B133))*(1+INDEX($AF$21:$AF$97,C133))*(1+INDEX($AF$21:$AF$97,D133))*(1+INDEX($AF$21:$AF$97,E133))*(1+INDEX($AF$21:$AF$97,F133))-1</f>
        <v>0.881797169162303</v>
      </c>
      <c r="P133" s="489">
        <f>LN((1+L133)/(1+H133))</f>
        <v>0.0595836092381058</v>
      </c>
      <c r="Q133" s="489">
        <f>LN((1+M133)/(1+H133))</f>
        <v>0.0256055098308349</v>
      </c>
      <c r="R133" s="489">
        <f>LN((1+N133)/(1+H133))</f>
        <v>0.0685670604106811</v>
      </c>
      <c r="S133" s="542">
        <f>LN((1+O133)/(1+H133))</f>
        <v>-0.0347525830556372</v>
      </c>
    </row>
    <row r="134">
      <c r="A134" s="320" t="n">
        <v>33</v>
      </c>
      <c r="B134" s="174" t="n">
        <v>76</v>
      </c>
      <c r="C134" s="174" t="n">
        <v>36</v>
      </c>
      <c r="D134" s="174" t="n">
        <v>55</v>
      </c>
      <c r="E134" s="174" t="n">
        <v>61</v>
      </c>
      <c r="F134" s="174" t="n">
        <v>17</v>
      </c>
      <c r="G134" s="68">
        <f>(1+INDEX($Z$21:$Z$97,B134))*(1+INDEX($Z$21:$Z$97,C134))*(1+INDEX($Z$21:$Z$97,D134))*(1+INDEX($Z$21:$Z$97,E134))*(1+INDEX($Z$21:$Z$97,F134))-1</f>
        <v>0.231418844984539</v>
      </c>
      <c r="H134" s="68">
        <f>(1+INDEX($AA$21:$AA$97,B134))*(1+INDEX($AA$21:$AA$97,C134))*(1+INDEX($AA$21:$AA$97,D134))*(1+INDEX($AA$21:$AA$97,E134))*(1+INDEX($AA$21:$AA$97,F134))-1</f>
        <v>0.240965267528992</v>
      </c>
      <c r="I134" s="68">
        <f>(1+INDEX($AB$21:$AB$97,B134))*(1+INDEX($AB$21:$AB$97,C134))*(1+INDEX($AB$21:$AB$97,D134))*(1+INDEX($AB$21:$AB$97,E134))*(1+INDEX($AB$21:$AB$97,F134))-1</f>
        <v>0.238031633889535</v>
      </c>
      <c r="J134" s="489">
        <f>LN((1+G134)/(1+H134))</f>
        <v>-0.00772248125944175</v>
      </c>
      <c r="K134" s="489">
        <f>LN((1+I134)/(1+H134))</f>
        <v>-0.00236679199334507</v>
      </c>
      <c r="L134" s="489">
        <f>(1+INDEX($AC$21:$AC$97,B134))*(1+INDEX($AC$21:$AC$97,C134))*(1+INDEX($AC$21:$AC$97,D134))*(1+INDEX($AC$21:$AC$97,E134))*(1+INDEX($AC$21:$AC$97,F134))-1</f>
        <v>0.241466511143762</v>
      </c>
      <c r="M134" s="489">
        <f>(1+INDEX($AD$21:$AD$97,B134))*(1+INDEX($AD$21:$AD$97,C134))*(1+INDEX($AD$21:$AD$97,D134))*(1+INDEX($AD$21:$AD$97,E134))*(1+INDEX($AD$21:$AD$97,F134))-1</f>
        <v>0.230697206463531</v>
      </c>
      <c r="N134" s="489">
        <f>(1+INDEX($AE$21:$AE$97,B134))*(1+INDEX($AE$21:$AE$97,C134))*(1+INDEX($AE$21:$AE$97,D134))*(1+INDEX($AE$21:$AE$97,E134))*(1+INDEX($AE$21:$AE$97,F134))-1</f>
        <v>0.247581142192085</v>
      </c>
      <c r="O134" s="489">
        <f>(1+INDEX($AF$21:$AF$97,B134))*(1+INDEX($AF$21:$AF$97,C134))*(1+INDEX($AF$21:$AF$97,D134))*(1+INDEX($AF$21:$AF$97,E134))*(1+INDEX($AF$21:$AF$97,F134))-1</f>
        <v>0.227490904173886</v>
      </c>
      <c r="P134" s="489">
        <f>LN((1+L134)/(1+H134))</f>
        <v>0.000403832746493508</v>
      </c>
      <c r="Q134" s="489">
        <f>LN((1+M134)/(1+H134))</f>
        <v>-0.00830867502658629</v>
      </c>
      <c r="R134" s="489">
        <f>LN((1+N134)/(1+H134))</f>
        <v>0.00531707202552572</v>
      </c>
      <c r="S134" s="542">
        <f>LN((1+O134)/(1+H134))</f>
        <v>-0.0109173477266587</v>
      </c>
    </row>
    <row r="135">
      <c r="A135" s="320" t="n">
        <v>34</v>
      </c>
      <c r="B135" s="174" t="n">
        <v>40</v>
      </c>
      <c r="C135" s="174" t="n">
        <v>35</v>
      </c>
      <c r="D135" s="174" t="n">
        <v>25</v>
      </c>
      <c r="E135" s="174" t="n">
        <v>61</v>
      </c>
      <c r="F135" s="174" t="n">
        <v>50</v>
      </c>
      <c r="G135" s="68">
        <f>(1+INDEX($Z$21:$Z$97,B135))*(1+INDEX($Z$21:$Z$97,C135))*(1+INDEX($Z$21:$Z$97,D135))*(1+INDEX($Z$21:$Z$97,E135))*(1+INDEX($Z$21:$Z$97,F135))-1</f>
        <v>0.633463541773914</v>
      </c>
      <c r="H135" s="68">
        <f>(1+INDEX($AA$21:$AA$97,B135))*(1+INDEX($AA$21:$AA$97,C135))*(1+INDEX($AA$21:$AA$97,D135))*(1+INDEX($AA$21:$AA$97,E135))*(1+INDEX($AA$21:$AA$97,F135))-1</f>
        <v>0.570299113650181</v>
      </c>
      <c r="I135" s="68">
        <f>(1+INDEX($AB$21:$AB$97,B135))*(1+INDEX($AB$21:$AB$97,C135))*(1+INDEX($AB$21:$AB$97,D135))*(1+INDEX($AB$21:$AB$97,E135))*(1+INDEX($AB$21:$AB$97,F135))-1</f>
        <v>0.624857682787279</v>
      </c>
      <c r="J135" s="489">
        <f>LN((1+G135)/(1+H135))</f>
        <v>0.0394365132620182</v>
      </c>
      <c r="K135" s="489">
        <f>LN((1+I135)/(1+H135))</f>
        <v>0.0341541126607085</v>
      </c>
      <c r="L135" s="489">
        <f>(1+INDEX($AC$21:$AC$97,B135))*(1+INDEX($AC$21:$AC$97,C135))*(1+INDEX($AC$21:$AC$97,D135))*(1+INDEX($AC$21:$AC$97,E135))*(1+INDEX($AC$21:$AC$97,F135))-1</f>
        <v>0.638805111130213</v>
      </c>
      <c r="M135" s="489">
        <f>(1+INDEX($AD$21:$AD$97,B135))*(1+INDEX($AD$21:$AD$97,C135))*(1+INDEX($AD$21:$AD$97,D135))*(1+INDEX($AD$21:$AD$97,E135))*(1+INDEX($AD$21:$AD$97,F135))-1</f>
        <v>0.602971008293117</v>
      </c>
      <c r="N135" s="489">
        <f>(1+INDEX($AE$21:$AE$97,B135))*(1+INDEX($AE$21:$AE$97,C135))*(1+INDEX($AE$21:$AE$97,D135))*(1+INDEX($AE$21:$AE$97,E135))*(1+INDEX($AE$21:$AE$97,F135))-1</f>
        <v>0.63802483152937</v>
      </c>
      <c r="O135" s="489">
        <f>(1+INDEX($AF$21:$AF$97,B135))*(1+INDEX($AF$21:$AF$97,C135))*(1+INDEX($AF$21:$AF$97,D135))*(1+INDEX($AF$21:$AF$97,E135))*(1+INDEX($AF$21:$AF$97,F135))-1</f>
        <v>0.538957634165203</v>
      </c>
      <c r="P135" s="489">
        <f>LN((1+L135)/(1+H135))</f>
        <v>0.0427012660481521</v>
      </c>
      <c r="Q135" s="489">
        <f>LN((1+M135)/(1+H135))</f>
        <v>0.0205926680956921</v>
      </c>
      <c r="R135" s="489">
        <f>LN((1+N135)/(1+H135))</f>
        <v>0.0422250255173683</v>
      </c>
      <c r="S135" s="542">
        <f>LN((1+O135)/(1+H135))</f>
        <v>-0.0201607931423702</v>
      </c>
    </row>
    <row r="136">
      <c r="A136" s="320" t="n">
        <v>35</v>
      </c>
      <c r="B136" s="174" t="n">
        <v>8</v>
      </c>
      <c r="C136" s="174" t="n">
        <v>74</v>
      </c>
      <c r="D136" s="174" t="n">
        <v>30</v>
      </c>
      <c r="E136" s="174" t="n">
        <v>62</v>
      </c>
      <c r="F136" s="174" t="n">
        <v>29</v>
      </c>
      <c r="G136" s="68">
        <f>(1+INDEX($Z$21:$Z$97,B136))*(1+INDEX($Z$21:$Z$97,C136))*(1+INDEX($Z$21:$Z$97,D136))*(1+INDEX($Z$21:$Z$97,E136))*(1+INDEX($Z$21:$Z$97,F136))-1</f>
        <v>0.0759108726303548</v>
      </c>
      <c r="H136" s="68">
        <f>(1+INDEX($AA$21:$AA$97,B136))*(1+INDEX($AA$21:$AA$97,C136))*(1+INDEX($AA$21:$AA$97,D136))*(1+INDEX($AA$21:$AA$97,E136))*(1+INDEX($AA$21:$AA$97,F136))-1</f>
        <v>0.12339804459021</v>
      </c>
      <c r="I136" s="68">
        <f>(1+INDEX($AB$21:$AB$97,B136))*(1+INDEX($AB$21:$AB$97,C136))*(1+INDEX($AB$21:$AB$97,D136))*(1+INDEX($AB$21:$AB$97,E136))*(1+INDEX($AB$21:$AB$97,F136))-1</f>
        <v>0.107781179650606</v>
      </c>
      <c r="J136" s="489">
        <f>LN((1+G136)/(1+H136))</f>
        <v>-0.0431904343162005</v>
      </c>
      <c r="K136" s="489">
        <f>LN((1+I136)/(1+H136))</f>
        <v>-0.0139989829660477</v>
      </c>
      <c r="L136" s="489">
        <f>(1+INDEX($AC$21:$AC$97,B136))*(1+INDEX($AC$21:$AC$97,C136))*(1+INDEX($AC$21:$AC$97,D136))*(1+INDEX($AC$21:$AC$97,E136))*(1+INDEX($AC$21:$AC$97,F136))-1</f>
        <v>0.104613316411777</v>
      </c>
      <c r="M136" s="489">
        <f>(1+INDEX($AD$21:$AD$97,B136))*(1+INDEX($AD$21:$AD$97,C136))*(1+INDEX($AD$21:$AD$97,D136))*(1+INDEX($AD$21:$AD$97,E136))*(1+INDEX($AD$21:$AD$97,F136))-1</f>
        <v>0.0942660984739436</v>
      </c>
      <c r="N136" s="489">
        <f>(1+INDEX($AE$21:$AE$97,B136))*(1+INDEX($AE$21:$AE$97,C136))*(1+INDEX($AE$21:$AE$97,D136))*(1+INDEX($AE$21:$AE$97,E136))*(1+INDEX($AE$21:$AE$97,F136))-1</f>
        <v>0.107072396514432</v>
      </c>
      <c r="O136" s="489">
        <f>(1+INDEX($AF$21:$AF$97,B136))*(1+INDEX($AF$21:$AF$97,C136))*(1+INDEX($AF$21:$AF$97,D136))*(1+INDEX($AF$21:$AF$97,E136))*(1+INDEX($AF$21:$AF$97,F136))-1</f>
        <v>0.121010730979725</v>
      </c>
      <c r="P136" s="489">
        <f>LN((1+L136)/(1+H136))</f>
        <v>-0.0168627266694826</v>
      </c>
      <c r="Q136" s="489">
        <f>LN((1+M136)/(1+H136))</f>
        <v>-0.026274151637133</v>
      </c>
      <c r="R136" s="489">
        <f>LN((1+N136)/(1+H136))</f>
        <v>-0.0146390100703194</v>
      </c>
      <c r="S136" s="542">
        <f>LN((1+O136)/(1+H136))</f>
        <v>-0.00212734376803786</v>
      </c>
    </row>
    <row r="137">
      <c r="A137" s="320" t="n">
        <v>36</v>
      </c>
      <c r="B137" s="174" t="n">
        <v>10</v>
      </c>
      <c r="C137" s="174" t="n">
        <v>56</v>
      </c>
      <c r="D137" s="174" t="n">
        <v>33</v>
      </c>
      <c r="E137" s="174" t="n">
        <v>7</v>
      </c>
      <c r="F137" s="174" t="n">
        <v>23</v>
      </c>
      <c r="G137" s="68">
        <f>(1+INDEX($Z$21:$Z$97,B137))*(1+INDEX($Z$21:$Z$97,C137))*(1+INDEX($Z$21:$Z$97,D137))*(1+INDEX($Z$21:$Z$97,E137))*(1+INDEX($Z$21:$Z$97,F137))-1</f>
        <v>0.055363033785405</v>
      </c>
      <c r="H137" s="68">
        <f>(1+INDEX($AA$21:$AA$97,B137))*(1+INDEX($AA$21:$AA$97,C137))*(1+INDEX($AA$21:$AA$97,D137))*(1+INDEX($AA$21:$AA$97,E137))*(1+INDEX($AA$21:$AA$97,F137))-1</f>
        <v>0.100643286244632</v>
      </c>
      <c r="I137" s="68">
        <f>(1+INDEX($AB$21:$AB$97,B137))*(1+INDEX($AB$21:$AB$97,C137))*(1+INDEX($AB$21:$AB$97,D137))*(1+INDEX($AB$21:$AB$97,E137))*(1+INDEX($AB$21:$AB$97,F137))-1</f>
        <v>0.085862776240174</v>
      </c>
      <c r="J137" s="489">
        <f>LN((1+G137)/(1+H137))</f>
        <v>-0.0420099989590965</v>
      </c>
      <c r="K137" s="489">
        <f>LN((1+I137)/(1+H137))</f>
        <v>-0.0135199580742898</v>
      </c>
      <c r="L137" s="489">
        <f>(1+INDEX($AC$21:$AC$97,B137))*(1+INDEX($AC$21:$AC$97,C137))*(1+INDEX($AC$21:$AC$97,D137))*(1+INDEX($AC$21:$AC$97,E137))*(1+INDEX($AC$21:$AC$97,F137))-1</f>
        <v>0.0590790924935762</v>
      </c>
      <c r="M137" s="489">
        <f>(1+INDEX($AD$21:$AD$97,B137))*(1+INDEX($AD$21:$AD$97,C137))*(1+INDEX($AD$21:$AD$97,D137))*(1+INDEX($AD$21:$AD$97,E137))*(1+INDEX($AD$21:$AD$97,F137))-1</f>
        <v>0.113494116080719</v>
      </c>
      <c r="N137" s="489">
        <f>(1+INDEX($AE$21:$AE$97,B137))*(1+INDEX($AE$21:$AE$97,C137))*(1+INDEX($AE$21:$AE$97,D137))*(1+INDEX($AE$21:$AE$97,E137))*(1+INDEX($AE$21:$AE$97,F137))-1</f>
        <v>0.0498333010002816</v>
      </c>
      <c r="O137" s="489">
        <f>(1+INDEX($AF$21:$AF$97,B137))*(1+INDEX($AF$21:$AF$97,C137))*(1+INDEX($AF$21:$AF$97,D137))*(1+INDEX($AF$21:$AF$97,E137))*(1+INDEX($AF$21:$AF$97,F137))-1</f>
        <v>0.132516144446519</v>
      </c>
      <c r="P137" s="489">
        <f>LN((1+L137)/(1+H137))</f>
        <v>-0.0384950647001685</v>
      </c>
      <c r="Q137" s="489">
        <f>LN((1+M137)/(1+H137))</f>
        <v>0.011608108985867</v>
      </c>
      <c r="R137" s="489">
        <f>LN((1+N137)/(1+H137))</f>
        <v>-0.0472634239355965</v>
      </c>
      <c r="S137" s="542">
        <f>LN((1+O137)/(1+H137))</f>
        <v>0.0285470193062954</v>
      </c>
    </row>
    <row r="138">
      <c r="A138" s="320" t="n">
        <v>37</v>
      </c>
      <c r="B138" s="174" t="n">
        <v>69</v>
      </c>
      <c r="C138" s="174" t="n">
        <v>76</v>
      </c>
      <c r="D138" s="174" t="n">
        <v>12</v>
      </c>
      <c r="E138" s="174" t="n">
        <v>41</v>
      </c>
      <c r="F138" s="174" t="n">
        <v>66</v>
      </c>
      <c r="G138" s="68">
        <f>(1+INDEX($Z$21:$Z$97,B138))*(1+INDEX($Z$21:$Z$97,C138))*(1+INDEX($Z$21:$Z$97,D138))*(1+INDEX($Z$21:$Z$97,E138))*(1+INDEX($Z$21:$Z$97,F138))-1</f>
        <v>0.744258002248522</v>
      </c>
      <c r="H138" s="68">
        <f>(1+INDEX($AA$21:$AA$97,B138))*(1+INDEX($AA$21:$AA$97,C138))*(1+INDEX($AA$21:$AA$97,D138))*(1+INDEX($AA$21:$AA$97,E138))*(1+INDEX($AA$21:$AA$97,F138))-1</f>
        <v>0.663273287073197</v>
      </c>
      <c r="I138" s="68">
        <f>(1+INDEX($AB$21:$AB$97,B138))*(1+INDEX($AB$21:$AB$97,C138))*(1+INDEX($AB$21:$AB$97,D138))*(1+INDEX($AB$21:$AB$97,E138))*(1+INDEX($AB$21:$AB$97,F138))-1</f>
        <v>0.710666344952418</v>
      </c>
      <c r="J138" s="489">
        <f>LN((1+G138)/(1+H138))</f>
        <v>0.0475417311265802</v>
      </c>
      <c r="K138" s="489">
        <f>LN((1+I138)/(1+H138))</f>
        <v>0.0280954495338894</v>
      </c>
      <c r="L138" s="489">
        <f>(1+INDEX($AC$21:$AC$97,B138))*(1+INDEX($AC$21:$AC$97,C138))*(1+INDEX($AC$21:$AC$97,D138))*(1+INDEX($AC$21:$AC$97,E138))*(1+INDEX($AC$21:$AC$97,F138))-1</f>
        <v>0.730935532947412</v>
      </c>
      <c r="M138" s="489">
        <f>(1+INDEX($AD$21:$AD$97,B138))*(1+INDEX($AD$21:$AD$97,C138))*(1+INDEX($AD$21:$AD$97,D138))*(1+INDEX($AD$21:$AD$97,E138))*(1+INDEX($AD$21:$AD$97,F138))-1</f>
        <v>0.707513918250721</v>
      </c>
      <c r="N138" s="489">
        <f>(1+INDEX($AE$21:$AE$97,B138))*(1+INDEX($AE$21:$AE$97,C138))*(1+INDEX($AE$21:$AE$97,D138))*(1+INDEX($AE$21:$AE$97,E138))*(1+INDEX($AE$21:$AE$97,F138))-1</f>
        <v>0.724630728828891</v>
      </c>
      <c r="O138" s="489">
        <f>(1+INDEX($AF$21:$AF$97,B138))*(1+INDEX($AF$21:$AF$97,C138))*(1+INDEX($AF$21:$AF$97,D138))*(1+INDEX($AF$21:$AF$97,E138))*(1+INDEX($AF$21:$AF$97,F138))-1</f>
        <v>0.708884213614403</v>
      </c>
      <c r="P138" s="489">
        <f>LN((1+L138)/(1+H138))</f>
        <v>0.0398745123481462</v>
      </c>
      <c r="Q138" s="489">
        <f>LN((1+M138)/(1+H138))</f>
        <v>0.0262509431868134</v>
      </c>
      <c r="R138" s="489">
        <f>LN((1+N138)/(1+H138))</f>
        <v>0.0362254368351919</v>
      </c>
      <c r="S138" s="542">
        <f>LN((1+O138)/(1+H138))</f>
        <v>0.0270531303934996</v>
      </c>
    </row>
    <row r="139">
      <c r="A139" s="320" t="n">
        <v>38</v>
      </c>
      <c r="B139" s="174" t="n">
        <v>49</v>
      </c>
      <c r="C139" s="174" t="n">
        <v>58</v>
      </c>
      <c r="D139" s="174" t="n">
        <v>38</v>
      </c>
      <c r="E139" s="174" t="n">
        <v>77</v>
      </c>
      <c r="F139" s="174" t="n">
        <v>32</v>
      </c>
      <c r="G139" s="68">
        <f>(1+INDEX($Z$21:$Z$97,B139))*(1+INDEX($Z$21:$Z$97,C139))*(1+INDEX($Z$21:$Z$97,D139))*(1+INDEX($Z$21:$Z$97,E139))*(1+INDEX($Z$21:$Z$97,F139))-1</f>
        <v>0.652643239661578</v>
      </c>
      <c r="H139" s="68">
        <f>(1+INDEX($AA$21:$AA$97,B139))*(1+INDEX($AA$21:$AA$97,C139))*(1+INDEX($AA$21:$AA$97,D139))*(1+INDEX($AA$21:$AA$97,E139))*(1+INDEX($AA$21:$AA$97,F139))-1</f>
        <v>0.58527640958438</v>
      </c>
      <c r="I139" s="68">
        <f>(1+INDEX($AB$21:$AB$97,B139))*(1+INDEX($AB$21:$AB$97,C139))*(1+INDEX($AB$21:$AB$97,D139))*(1+INDEX($AB$21:$AB$97,E139))*(1+INDEX($AB$21:$AB$97,F139))-1</f>
        <v>0.655184929142964</v>
      </c>
      <c r="J139" s="489">
        <f>LN((1+G139)/(1+H139))</f>
        <v>0.0416171865391632</v>
      </c>
      <c r="K139" s="489">
        <f>LN((1+I139)/(1+H139))</f>
        <v>0.0431539592201476</v>
      </c>
      <c r="L139" s="489">
        <f>(1+INDEX($AC$21:$AC$97,B139))*(1+INDEX($AC$21:$AC$97,C139))*(1+INDEX($AC$21:$AC$97,D139))*(1+INDEX($AC$21:$AC$97,E139))*(1+INDEX($AC$21:$AC$97,F139))-1</f>
        <v>0.653367752870106</v>
      </c>
      <c r="M139" s="489">
        <f>(1+INDEX($AD$21:$AD$97,B139))*(1+INDEX($AD$21:$AD$97,C139))*(1+INDEX($AD$21:$AD$97,D139))*(1+INDEX($AD$21:$AD$97,E139))*(1+INDEX($AD$21:$AD$97,F139))-1</f>
        <v>0.640369206850687</v>
      </c>
      <c r="N139" s="489">
        <f>(1+INDEX($AE$21:$AE$97,B139))*(1+INDEX($AE$21:$AE$97,C139))*(1+INDEX($AE$21:$AE$97,D139))*(1+INDEX($AE$21:$AE$97,E139))*(1+INDEX($AE$21:$AE$97,F139))-1</f>
        <v>0.644271486100908</v>
      </c>
      <c r="O139" s="489">
        <f>(1+INDEX($AF$21:$AF$97,B139))*(1+INDEX($AF$21:$AF$97,C139))*(1+INDEX($AF$21:$AF$97,D139))*(1+INDEX($AF$21:$AF$97,E139))*(1+INDEX($AF$21:$AF$97,F139))-1</f>
        <v>0.546764537461509</v>
      </c>
      <c r="P139" s="489">
        <f>LN((1+L139)/(1+H139))</f>
        <v>0.0420554870903493</v>
      </c>
      <c r="Q139" s="489">
        <f>LN((1+M139)/(1+H139))</f>
        <v>0.0341625595976011</v>
      </c>
      <c r="R139" s="489">
        <f>LN((1+N139)/(1+H139))</f>
        <v>0.0365386375013636</v>
      </c>
      <c r="S139" s="542">
        <f>LN((1+O139)/(1+H139))</f>
        <v>-0.0245934289306889</v>
      </c>
    </row>
    <row r="140">
      <c r="A140" s="320" t="n">
        <v>39</v>
      </c>
      <c r="B140" s="174" t="n">
        <v>49</v>
      </c>
      <c r="C140" s="174" t="n">
        <v>38</v>
      </c>
      <c r="D140" s="174" t="n">
        <v>1</v>
      </c>
      <c r="E140" s="174" t="n">
        <v>8</v>
      </c>
      <c r="F140" s="174" t="n">
        <v>65</v>
      </c>
      <c r="G140" s="68">
        <f>(1+INDEX($Z$21:$Z$97,B140))*(1+INDEX($Z$21:$Z$97,C140))*(1+INDEX($Z$21:$Z$97,D140))*(1+INDEX($Z$21:$Z$97,E140))*(1+INDEX($Z$21:$Z$97,F140))-1</f>
        <v>0.0288436570328132</v>
      </c>
      <c r="H140" s="68">
        <f>(1+INDEX($AA$21:$AA$97,B140))*(1+INDEX($AA$21:$AA$97,C140))*(1+INDEX($AA$21:$AA$97,D140))*(1+INDEX($AA$21:$AA$97,E140))*(1+INDEX($AA$21:$AA$97,F140))-1</f>
        <v>0.00336198385064201</v>
      </c>
      <c r="I140" s="68">
        <f>(1+INDEX($AB$21:$AB$97,B140))*(1+INDEX($AB$21:$AB$97,C140))*(1+INDEX($AB$21:$AB$97,D140))*(1+INDEX($AB$21:$AB$97,E140))*(1+INDEX($AB$21:$AB$97,F140))-1</f>
        <v>-0.0126723718553208</v>
      </c>
      <c r="J140" s="489">
        <f>LN((1+G140)/(1+H140))</f>
        <v>0.0250791634905158</v>
      </c>
      <c r="K140" s="489">
        <f>LN((1+I140)/(1+H140))</f>
        <v>-0.0161096962385285</v>
      </c>
      <c r="L140" s="489">
        <f>(1+INDEX($AC$21:$AC$97,B140))*(1+INDEX($AC$21:$AC$97,C140))*(1+INDEX($AC$21:$AC$97,D140))*(1+INDEX($AC$21:$AC$97,E140))*(1+INDEX($AC$21:$AC$97,F140))-1</f>
        <v>-0.0427691494164886</v>
      </c>
      <c r="M140" s="489">
        <f>(1+INDEX($AD$21:$AD$97,B140))*(1+INDEX($AD$21:$AD$97,C140))*(1+INDEX($AD$21:$AD$97,D140))*(1+INDEX($AD$21:$AD$97,E140))*(1+INDEX($AD$21:$AD$97,F140))-1</f>
        <v>0.00667248179046731</v>
      </c>
      <c r="N140" s="489">
        <f>(1+INDEX($AE$21:$AE$97,B140))*(1+INDEX($AE$21:$AE$97,C140))*(1+INDEX($AE$21:$AE$97,D140))*(1+INDEX($AE$21:$AE$97,E140))*(1+INDEX($AE$21:$AE$97,F140))-1</f>
        <v>-0.03073693653829</v>
      </c>
      <c r="O140" s="489">
        <f>(1+INDEX($AF$21:$AF$97,B140))*(1+INDEX($AF$21:$AF$97,C140))*(1+INDEX($AF$21:$AF$97,D140))*(1+INDEX($AF$21:$AF$97,E140))*(1+INDEX($AF$21:$AF$97,F140))-1</f>
        <v>0.0286532180321457</v>
      </c>
      <c r="P140" s="489">
        <f>LN((1+L140)/(1+H140))</f>
        <v>-0.0470670384563982</v>
      </c>
      <c r="Q140" s="489">
        <f>LN((1+M140)/(1+H140))</f>
        <v>0.00329397429718623</v>
      </c>
      <c r="R140" s="489">
        <f>LN((1+N140)/(1+H140))</f>
        <v>-0.0345755696324081</v>
      </c>
      <c r="S140" s="542">
        <f>LN((1+O140)/(1+H140))</f>
        <v>0.024894046318753</v>
      </c>
    </row>
    <row r="141">
      <c r="A141" s="320" t="n">
        <v>40</v>
      </c>
      <c r="B141" s="174" t="n">
        <v>60</v>
      </c>
      <c r="C141" s="174" t="n">
        <v>31</v>
      </c>
      <c r="D141" s="174" t="n">
        <v>51</v>
      </c>
      <c r="E141" s="174" t="n">
        <v>12</v>
      </c>
      <c r="F141" s="174" t="n">
        <v>1</v>
      </c>
      <c r="G141" s="68">
        <f>(1+INDEX($Z$21:$Z$97,B141))*(1+INDEX($Z$21:$Z$97,C141))*(1+INDEX($Z$21:$Z$97,D141))*(1+INDEX($Z$21:$Z$97,E141))*(1+INDEX($Z$21:$Z$97,F141))-1</f>
        <v>0.861308509281195</v>
      </c>
      <c r="H141" s="68">
        <f>(1+INDEX($AA$21:$AA$97,B141))*(1+INDEX($AA$21:$AA$97,C141))*(1+INDEX($AA$21:$AA$97,D141))*(1+INDEX($AA$21:$AA$97,E141))*(1+INDEX($AA$21:$AA$97,F141))-1</f>
        <v>0.747329454850636</v>
      </c>
      <c r="I141" s="68">
        <f>(1+INDEX($AB$21:$AB$97,B141))*(1+INDEX($AB$21:$AB$97,C141))*(1+INDEX($AB$21:$AB$97,D141))*(1+INDEX($AB$21:$AB$97,E141))*(1+INDEX($AB$21:$AB$97,F141))-1</f>
        <v>0.774982930090685</v>
      </c>
      <c r="J141" s="489">
        <f>LN((1+G141)/(1+H141))</f>
        <v>0.0631911434263194</v>
      </c>
      <c r="K141" s="489">
        <f>LN((1+I141)/(1+H141))</f>
        <v>0.0157022094583399</v>
      </c>
      <c r="L141" s="489">
        <f>(1+INDEX($AC$21:$AC$97,B141))*(1+INDEX($AC$21:$AC$97,C141))*(1+INDEX($AC$21:$AC$97,D141))*(1+INDEX($AC$21:$AC$97,E141))*(1+INDEX($AC$21:$AC$97,F141))-1</f>
        <v>0.805577239870755</v>
      </c>
      <c r="M141" s="489">
        <f>(1+INDEX($AD$21:$AD$97,B141))*(1+INDEX($AD$21:$AD$97,C141))*(1+INDEX($AD$21:$AD$97,D141))*(1+INDEX($AD$21:$AD$97,E141))*(1+INDEX($AD$21:$AD$97,F141))-1</f>
        <v>0.772238137774483</v>
      </c>
      <c r="N141" s="489">
        <f>(1+INDEX($AE$21:$AE$97,B141))*(1+INDEX($AE$21:$AE$97,C141))*(1+INDEX($AE$21:$AE$97,D141))*(1+INDEX($AE$21:$AE$97,E141))*(1+INDEX($AE$21:$AE$97,F141))-1</f>
        <v>0.817544475894221</v>
      </c>
      <c r="O141" s="489">
        <f>(1+INDEX($AF$21:$AF$97,B141))*(1+INDEX($AF$21:$AF$97,C141))*(1+INDEX($AF$21:$AF$97,D141))*(1+INDEX($AF$21:$AF$97,E141))*(1+INDEX($AF$21:$AF$97,F141))-1</f>
        <v>0.701626060768347</v>
      </c>
      <c r="P141" s="489">
        <f>LN((1+L141)/(1+H141))</f>
        <v>0.0327917445695038</v>
      </c>
      <c r="Q141" s="489">
        <f>LN((1+M141)/(1+H141))</f>
        <v>0.0141546358442348</v>
      </c>
      <c r="R141" s="489">
        <f>LN((1+N141)/(1+H141))</f>
        <v>0.0393978044720666</v>
      </c>
      <c r="S141" s="542">
        <f>LN((1+O141)/(1+H141))</f>
        <v>-0.0265042963366752</v>
      </c>
    </row>
    <row r="142">
      <c r="A142" s="320" t="n">
        <v>41</v>
      </c>
      <c r="B142" s="174" t="n">
        <v>44</v>
      </c>
      <c r="C142" s="174" t="n">
        <v>50</v>
      </c>
      <c r="D142" s="174" t="n">
        <v>43</v>
      </c>
      <c r="E142" s="174" t="n">
        <v>5</v>
      </c>
      <c r="F142" s="174" t="n">
        <v>38</v>
      </c>
      <c r="G142" s="68">
        <f>(1+INDEX($Z$21:$Z$97,B142))*(1+INDEX($Z$21:$Z$97,C142))*(1+INDEX($Z$21:$Z$97,D142))*(1+INDEX($Z$21:$Z$97,E142))*(1+INDEX($Z$21:$Z$97,F142))-1</f>
        <v>0.210167315956115</v>
      </c>
      <c r="H142" s="68">
        <f>(1+INDEX($AA$21:$AA$97,B142))*(1+INDEX($AA$21:$AA$97,C142))*(1+INDEX($AA$21:$AA$97,D142))*(1+INDEX($AA$21:$AA$97,E142))*(1+INDEX($AA$21:$AA$97,F142))-1</f>
        <v>0.197594880773775</v>
      </c>
      <c r="I142" s="68">
        <f>(1+INDEX($AB$21:$AB$97,B142))*(1+INDEX($AB$21:$AB$97,C142))*(1+INDEX($AB$21:$AB$97,D142))*(1+INDEX($AB$21:$AB$97,E142))*(1+INDEX($AB$21:$AB$97,F142))-1</f>
        <v>0.207100765762566</v>
      </c>
      <c r="J142" s="489">
        <f>LN((1+G142)/(1+H142))</f>
        <v>0.0104433481557094</v>
      </c>
      <c r="K142" s="489">
        <f>LN((1+I142)/(1+H142))</f>
        <v>0.00790614356363869</v>
      </c>
      <c r="L142" s="489">
        <f>(1+INDEX($AC$21:$AC$97,B142))*(1+INDEX($AC$21:$AC$97,C142))*(1+INDEX($AC$21:$AC$97,D142))*(1+INDEX($AC$21:$AC$97,E142))*(1+INDEX($AC$21:$AC$97,F142))-1</f>
        <v>0.187894649468875</v>
      </c>
      <c r="M142" s="489">
        <f>(1+INDEX($AD$21:$AD$97,B142))*(1+INDEX($AD$21:$AD$97,C142))*(1+INDEX($AD$21:$AD$97,D142))*(1+INDEX($AD$21:$AD$97,E142))*(1+INDEX($AD$21:$AD$97,F142))-1</f>
        <v>0.21388198969053</v>
      </c>
      <c r="N142" s="489">
        <f>(1+INDEX($AE$21:$AE$97,B142))*(1+INDEX($AE$21:$AE$97,C142))*(1+INDEX($AE$21:$AE$97,D142))*(1+INDEX($AE$21:$AE$97,E142))*(1+INDEX($AE$21:$AE$97,F142))-1</f>
        <v>0.172132394803037</v>
      </c>
      <c r="O142" s="489">
        <f>(1+INDEX($AF$21:$AF$97,B142))*(1+INDEX($AF$21:$AF$97,C142))*(1+INDEX($AF$21:$AF$97,D142))*(1+INDEX($AF$21:$AF$97,E142))*(1+INDEX($AF$21:$AF$97,F142))-1</f>
        <v>0.22418548824529</v>
      </c>
      <c r="P142" s="489">
        <f>LN((1+L142)/(1+H142))</f>
        <v>-0.00813274143315507</v>
      </c>
      <c r="Q142" s="489">
        <f>LN((1+M142)/(1+H142))</f>
        <v>0.0135082005359986</v>
      </c>
      <c r="R142" s="489">
        <f>LN((1+N142)/(1+H142))</f>
        <v>-0.0214906299193687</v>
      </c>
      <c r="S142" s="542">
        <f>LN((1+O142)/(1+H142))</f>
        <v>0.0219604357496131</v>
      </c>
    </row>
    <row r="143">
      <c r="A143" s="320" t="n">
        <v>42</v>
      </c>
      <c r="B143" s="174" t="n">
        <v>13</v>
      </c>
      <c r="C143" s="174" t="n">
        <v>58</v>
      </c>
      <c r="D143" s="174" t="n">
        <v>16</v>
      </c>
      <c r="E143" s="174" t="n">
        <v>69</v>
      </c>
      <c r="F143" s="174" t="n">
        <v>11</v>
      </c>
      <c r="G143" s="68">
        <f>(1+INDEX($Z$21:$Z$97,B143))*(1+INDEX($Z$21:$Z$97,C143))*(1+INDEX($Z$21:$Z$97,D143))*(1+INDEX($Z$21:$Z$97,E143))*(1+INDEX($Z$21:$Z$97,F143))-1</f>
        <v>0.715394344168423</v>
      </c>
      <c r="H143" s="68">
        <f>(1+INDEX($AA$21:$AA$97,B143))*(1+INDEX($AA$21:$AA$97,C143))*(1+INDEX($AA$21:$AA$97,D143))*(1+INDEX($AA$21:$AA$97,E143))*(1+INDEX($AA$21:$AA$97,F143))-1</f>
        <v>0.617652838638511</v>
      </c>
      <c r="I143" s="68">
        <f>(1+INDEX($AB$21:$AB$97,B143))*(1+INDEX($AB$21:$AB$97,C143))*(1+INDEX($AB$21:$AB$97,D143))*(1+INDEX($AB$21:$AB$97,E143))*(1+INDEX($AB$21:$AB$97,F143))-1</f>
        <v>0.625612325067831</v>
      </c>
      <c r="J143" s="489">
        <f>LN((1+G143)/(1+H143))</f>
        <v>0.0586667588903111</v>
      </c>
      <c r="K143" s="489">
        <f>LN((1+I143)/(1+H143))</f>
        <v>0.00490832664449476</v>
      </c>
      <c r="L143" s="489">
        <f>(1+INDEX($AC$21:$AC$97,B143))*(1+INDEX($AC$21:$AC$97,C143))*(1+INDEX($AC$21:$AC$97,D143))*(1+INDEX($AC$21:$AC$97,E143))*(1+INDEX($AC$21:$AC$97,F143))-1</f>
        <v>0.64987508589719</v>
      </c>
      <c r="M143" s="489">
        <f>(1+INDEX($AD$21:$AD$97,B143))*(1+INDEX($AD$21:$AD$97,C143))*(1+INDEX($AD$21:$AD$97,D143))*(1+INDEX($AD$21:$AD$97,E143))*(1+INDEX($AD$21:$AD$97,F143))-1</f>
        <v>0.633666602718861</v>
      </c>
      <c r="N143" s="489">
        <f>(1+INDEX($AE$21:$AE$97,B143))*(1+INDEX($AE$21:$AE$97,C143))*(1+INDEX($AE$21:$AE$97,D143))*(1+INDEX($AE$21:$AE$97,E143))*(1+INDEX($AE$21:$AE$97,F143))-1</f>
        <v>0.645327420036812</v>
      </c>
      <c r="O143" s="489">
        <f>(1+INDEX($AF$21:$AF$97,B143))*(1+INDEX($AF$21:$AF$97,C143))*(1+INDEX($AF$21:$AF$97,D143))*(1+INDEX($AF$21:$AF$97,E143))*(1+INDEX($AF$21:$AF$97,F143))-1</f>
        <v>0.628944889633183</v>
      </c>
      <c r="P143" s="489">
        <f>LN((1+L143)/(1+H143))</f>
        <v>0.019723345943367</v>
      </c>
      <c r="Q143" s="489">
        <f>LN((1+M143)/(1+H143))</f>
        <v>0.00985070452910997</v>
      </c>
      <c r="R143" s="489">
        <f>LN((1+N143)/(1+H143))</f>
        <v>0.0169631703611901</v>
      </c>
      <c r="S143" s="542">
        <f>LN((1+O143)/(1+H143))</f>
        <v>0.00695626466509147</v>
      </c>
    </row>
    <row r="144">
      <c r="A144" s="320" t="n">
        <v>43</v>
      </c>
      <c r="B144" s="174" t="n">
        <v>49</v>
      </c>
      <c r="C144" s="174" t="n">
        <v>10</v>
      </c>
      <c r="D144" s="174" t="n">
        <v>29</v>
      </c>
      <c r="E144" s="174" t="n">
        <v>40</v>
      </c>
      <c r="F144" s="174" t="n">
        <v>64</v>
      </c>
      <c r="G144" s="68">
        <f>(1+INDEX($Z$21:$Z$97,B144))*(1+INDEX($Z$21:$Z$97,C144))*(1+INDEX($Z$21:$Z$97,D144))*(1+INDEX($Z$21:$Z$97,E144))*(1+INDEX($Z$21:$Z$97,F144))-1</f>
        <v>0.128107548526832</v>
      </c>
      <c r="H144" s="68">
        <f>(1+INDEX($AA$21:$AA$97,B144))*(1+INDEX($AA$21:$AA$97,C144))*(1+INDEX($AA$21:$AA$97,D144))*(1+INDEX($AA$21:$AA$97,E144))*(1+INDEX($AA$21:$AA$97,F144))-1</f>
        <v>0.130926867359753</v>
      </c>
      <c r="I144" s="68">
        <f>(1+INDEX($AB$21:$AB$97,B144))*(1+INDEX($AB$21:$AB$97,C144))*(1+INDEX($AB$21:$AB$97,D144))*(1+INDEX($AB$21:$AB$97,E144))*(1+INDEX($AB$21:$AB$97,F144))-1</f>
        <v>0.142697569120909</v>
      </c>
      <c r="J144" s="489">
        <f>LN((1+G144)/(1+H144))</f>
        <v>-0.00249604014603844</v>
      </c>
      <c r="K144" s="489">
        <f>LN((1+I144)/(1+H144))</f>
        <v>0.0103542227409643</v>
      </c>
      <c r="L144" s="489">
        <f>(1+INDEX($AC$21:$AC$97,B144))*(1+INDEX($AC$21:$AC$97,C144))*(1+INDEX($AC$21:$AC$97,D144))*(1+INDEX($AC$21:$AC$97,E144))*(1+INDEX($AC$21:$AC$97,F144))-1</f>
        <v>0.135771920419258</v>
      </c>
      <c r="M144" s="489">
        <f>(1+INDEX($AD$21:$AD$97,B144))*(1+INDEX($AD$21:$AD$97,C144))*(1+INDEX($AD$21:$AD$97,D144))*(1+INDEX($AD$21:$AD$97,E144))*(1+INDEX($AD$21:$AD$97,F144))-1</f>
        <v>0.137456417703535</v>
      </c>
      <c r="N144" s="489">
        <f>(1+INDEX($AE$21:$AE$97,B144))*(1+INDEX($AE$21:$AE$97,C144))*(1+INDEX($AE$21:$AE$97,D144))*(1+INDEX($AE$21:$AE$97,E144))*(1+INDEX($AE$21:$AE$97,F144))-1</f>
        <v>0.124354169405854</v>
      </c>
      <c r="O144" s="489">
        <f>(1+INDEX($AF$21:$AF$97,B144))*(1+INDEX($AF$21:$AF$97,C144))*(1+INDEX($AF$21:$AF$97,D144))*(1+INDEX($AF$21:$AF$97,E144))*(1+INDEX($AF$21:$AF$97,F144))-1</f>
        <v>0.148934226738474</v>
      </c>
      <c r="P144" s="489">
        <f>LN((1+L144)/(1+H144))</f>
        <v>0.00427499274668958</v>
      </c>
      <c r="Q144" s="489">
        <f>LN((1+M144)/(1+H144))</f>
        <v>0.0057570238865876</v>
      </c>
      <c r="R144" s="489">
        <f>LN((1+N144)/(1+H144))</f>
        <v>-0.00582873394066582</v>
      </c>
      <c r="S144" s="542">
        <f>LN((1+O144)/(1+H144))</f>
        <v>0.0157972201947512</v>
      </c>
    </row>
    <row r="145">
      <c r="A145" s="320" t="n">
        <v>44</v>
      </c>
      <c r="B145" s="174" t="n">
        <v>39</v>
      </c>
      <c r="C145" s="174" t="n">
        <v>36</v>
      </c>
      <c r="D145" s="174" t="n">
        <v>4</v>
      </c>
      <c r="E145" s="174" t="n">
        <v>10</v>
      </c>
      <c r="F145" s="174" t="n">
        <v>8</v>
      </c>
      <c r="G145" s="68">
        <f>(1+INDEX($Z$21:$Z$97,B145))*(1+INDEX($Z$21:$Z$97,C145))*(1+INDEX($Z$21:$Z$97,D145))*(1+INDEX($Z$21:$Z$97,E145))*(1+INDEX($Z$21:$Z$97,F145))-1</f>
        <v>-0.146181683248743</v>
      </c>
      <c r="H145" s="68">
        <f>(1+INDEX($AA$21:$AA$97,B145))*(1+INDEX($AA$21:$AA$97,C145))*(1+INDEX($AA$21:$AA$97,D145))*(1+INDEX($AA$21:$AA$97,E145))*(1+INDEX($AA$21:$AA$97,F145))-1</f>
        <v>-0.112939093740753</v>
      </c>
      <c r="I145" s="68">
        <f>(1+INDEX($AB$21:$AB$97,B145))*(1+INDEX($AB$21:$AB$97,C145))*(1+INDEX($AB$21:$AB$97,D145))*(1+INDEX($AB$21:$AB$97,E145))*(1+INDEX($AB$21:$AB$97,F145))-1</f>
        <v>-0.164395465975977</v>
      </c>
      <c r="J145" s="489">
        <f>LN((1+G145)/(1+H145))</f>
        <v>-0.0381952181035621</v>
      </c>
      <c r="K145" s="489">
        <f>LN((1+I145)/(1+H145))</f>
        <v>-0.0597581896703543</v>
      </c>
      <c r="L145" s="489">
        <f>(1+INDEX($AC$21:$AC$97,B145))*(1+INDEX($AC$21:$AC$97,C145))*(1+INDEX($AC$21:$AC$97,D145))*(1+INDEX($AC$21:$AC$97,E145))*(1+INDEX($AC$21:$AC$97,F145))-1</f>
        <v>-0.181892784577122</v>
      </c>
      <c r="M145" s="489">
        <f>(1+INDEX($AD$21:$AD$97,B145))*(1+INDEX($AD$21:$AD$97,C145))*(1+INDEX($AD$21:$AD$97,D145))*(1+INDEX($AD$21:$AD$97,E145))*(1+INDEX($AD$21:$AD$97,F145))-1</f>
        <v>-0.131081816860025</v>
      </c>
      <c r="N145" s="489">
        <f>(1+INDEX($AE$21:$AE$97,B145))*(1+INDEX($AE$21:$AE$97,C145))*(1+INDEX($AE$21:$AE$97,D145))*(1+INDEX($AE$21:$AE$97,E145))*(1+INDEX($AE$21:$AE$97,F145))-1</f>
        <v>-0.184613589035878</v>
      </c>
      <c r="O145" s="489">
        <f>(1+INDEX($AF$21:$AF$97,B145))*(1+INDEX($AF$21:$AF$97,C145))*(1+INDEX($AF$21:$AF$97,D145))*(1+INDEX($AF$21:$AF$97,E145))*(1+INDEX($AF$21:$AF$97,F145))-1</f>
        <v>-0.0674098001405763</v>
      </c>
      <c r="P145" s="489">
        <f>LN((1+L145)/(1+H145))</f>
        <v>-0.0809202471950457</v>
      </c>
      <c r="Q145" s="489">
        <f>LN((1+M145)/(1+H145))</f>
        <v>-0.0206646751619243</v>
      </c>
      <c r="R145" s="489">
        <f>LN((1+N145)/(1+H145))</f>
        <v>-0.0842515206459549</v>
      </c>
      <c r="S145" s="542">
        <f>LN((1+O145)/(1+H145))</f>
        <v>0.0500522305038219</v>
      </c>
    </row>
    <row r="146">
      <c r="A146" s="320" t="n">
        <v>45</v>
      </c>
      <c r="B146" s="174" t="n">
        <v>62</v>
      </c>
      <c r="C146" s="174" t="n">
        <v>66</v>
      </c>
      <c r="D146" s="174" t="n">
        <v>7</v>
      </c>
      <c r="E146" s="174" t="n">
        <v>52</v>
      </c>
      <c r="F146" s="174" t="n">
        <v>22</v>
      </c>
      <c r="G146" s="68">
        <f>(1+INDEX($Z$21:$Z$97,B146))*(1+INDEX($Z$21:$Z$97,C146))*(1+INDEX($Z$21:$Z$97,D146))*(1+INDEX($Z$21:$Z$97,E146))*(1+INDEX($Z$21:$Z$97,F146))-1</f>
        <v>0.0910485944315767</v>
      </c>
      <c r="H146" s="68">
        <f>(1+INDEX($AA$21:$AA$97,B146))*(1+INDEX($AA$21:$AA$97,C146))*(1+INDEX($AA$21:$AA$97,D146))*(1+INDEX($AA$21:$AA$97,E146))*(1+INDEX($AA$21:$AA$97,F146))-1</f>
        <v>0.124138821043843</v>
      </c>
      <c r="I146" s="68">
        <f>(1+INDEX($AB$21:$AB$97,B146))*(1+INDEX($AB$21:$AB$97,C146))*(1+INDEX($AB$21:$AB$97,D146))*(1+INDEX($AB$21:$AB$97,E146))*(1+INDEX($AB$21:$AB$97,F146))-1</f>
        <v>0.120311992399603</v>
      </c>
      <c r="J146" s="489">
        <f>LN((1+G146)/(1+H146))</f>
        <v>-0.0298780030691414</v>
      </c>
      <c r="K146" s="489">
        <f>LN((1+I146)/(1+H146))</f>
        <v>-0.00341003895441287</v>
      </c>
      <c r="L146" s="489">
        <f>(1+INDEX($AC$21:$AC$97,B146))*(1+INDEX($AC$21:$AC$97,C146))*(1+INDEX($AC$21:$AC$97,D146))*(1+INDEX($AC$21:$AC$97,E146))*(1+INDEX($AC$21:$AC$97,F146))-1</f>
        <v>0.120713374301805</v>
      </c>
      <c r="M146" s="489">
        <f>(1+INDEX($AD$21:$AD$97,B146))*(1+INDEX($AD$21:$AD$97,C146))*(1+INDEX($AD$21:$AD$97,D146))*(1+INDEX($AD$21:$AD$97,E146))*(1+INDEX($AD$21:$AD$97,F146))-1</f>
        <v>0.0923300610585511</v>
      </c>
      <c r="N146" s="489">
        <f>(1+INDEX($AE$21:$AE$97,B146))*(1+INDEX($AE$21:$AE$97,C146))*(1+INDEX($AE$21:$AE$97,D146))*(1+INDEX($AE$21:$AE$97,E146))*(1+INDEX($AE$21:$AE$97,F146))-1</f>
        <v>0.116251067147635</v>
      </c>
      <c r="O146" s="489">
        <f>(1+INDEX($AF$21:$AF$97,B146))*(1+INDEX($AF$21:$AF$97,C146))*(1+INDEX($AF$21:$AF$97,D146))*(1+INDEX($AF$21:$AF$97,E146))*(1+INDEX($AF$21:$AF$97,F146))-1</f>
        <v>0.103843583470996</v>
      </c>
      <c r="P146" s="489">
        <f>LN((1+L146)/(1+H146))</f>
        <v>-0.00305182622513514</v>
      </c>
      <c r="Q146" s="489">
        <f>LN((1+M146)/(1+H146))</f>
        <v>-0.0287041647421098</v>
      </c>
      <c r="R146" s="489">
        <f>LN((1+N146)/(1+H146))</f>
        <v>-0.00704144089255886</v>
      </c>
      <c r="S146" s="542">
        <f>LN((1+O146)/(1+H146))</f>
        <v>-0.0182189939334713</v>
      </c>
    </row>
    <row r="147">
      <c r="A147" s="320" t="n">
        <v>46</v>
      </c>
      <c r="B147" s="174" t="n">
        <v>57</v>
      </c>
      <c r="C147" s="174" t="n">
        <v>56</v>
      </c>
      <c r="D147" s="174" t="n">
        <v>28</v>
      </c>
      <c r="E147" s="174" t="n">
        <v>37</v>
      </c>
      <c r="F147" s="174" t="n">
        <v>54</v>
      </c>
      <c r="G147" s="68">
        <f>(1+INDEX($Z$21:$Z$97,B147))*(1+INDEX($Z$21:$Z$97,C147))*(1+INDEX($Z$21:$Z$97,D147))*(1+INDEX($Z$21:$Z$97,E147))*(1+INDEX($Z$21:$Z$97,F147))-1</f>
        <v>0.390825699882816</v>
      </c>
      <c r="H147" s="68">
        <f>(1+INDEX($AA$21:$AA$97,B147))*(1+INDEX($AA$21:$AA$97,C147))*(1+INDEX($AA$21:$AA$97,D147))*(1+INDEX($AA$21:$AA$97,E147))*(1+INDEX($AA$21:$AA$97,F147))-1</f>
        <v>0.376543365310989</v>
      </c>
      <c r="I147" s="68">
        <f>(1+INDEX($AB$21:$AB$97,B147))*(1+INDEX($AB$21:$AB$97,C147))*(1+INDEX($AB$21:$AB$97,D147))*(1+INDEX($AB$21:$AB$97,E147))*(1+INDEX($AB$21:$AB$97,F147))-1</f>
        <v>0.397664244140777</v>
      </c>
      <c r="J147" s="489">
        <f>LN((1+G147)/(1+H147))</f>
        <v>0.0103220503258395</v>
      </c>
      <c r="K147" s="489">
        <f>LN((1+I147)/(1+H147))</f>
        <v>0.0152268971103727</v>
      </c>
      <c r="L147" s="489">
        <f>(1+INDEX($AC$21:$AC$97,B147))*(1+INDEX($AC$21:$AC$97,C147))*(1+INDEX($AC$21:$AC$97,D147))*(1+INDEX($AC$21:$AC$97,E147))*(1+INDEX($AC$21:$AC$97,F147))-1</f>
        <v>0.393390440372017</v>
      </c>
      <c r="M147" s="489">
        <f>(1+INDEX($AD$21:$AD$97,B147))*(1+INDEX($AD$21:$AD$97,C147))*(1+INDEX($AD$21:$AD$97,D147))*(1+INDEX($AD$21:$AD$97,E147))*(1+INDEX($AD$21:$AD$97,F147))-1</f>
        <v>0.418315277939895</v>
      </c>
      <c r="N147" s="489">
        <f>(1+INDEX($AE$21:$AE$97,B147))*(1+INDEX($AE$21:$AE$97,C147))*(1+INDEX($AE$21:$AE$97,D147))*(1+INDEX($AE$21:$AE$97,E147))*(1+INDEX($AE$21:$AE$97,F147))-1</f>
        <v>0.396085918986179</v>
      </c>
      <c r="O147" s="489">
        <f>(1+INDEX($AF$21:$AF$97,B147))*(1+INDEX($AF$21:$AF$97,C147))*(1+INDEX($AF$21:$AF$97,D147))*(1+INDEX($AF$21:$AF$97,E147))*(1+INDEX($AF$21:$AF$97,F147))-1</f>
        <v>0.447263770098765</v>
      </c>
      <c r="P147" s="489">
        <f>LN((1+L147)/(1+H147))</f>
        <v>0.0121643937973556</v>
      </c>
      <c r="Q147" s="489">
        <f>LN((1+M147)/(1+H147))</f>
        <v>0.0298941941248449</v>
      </c>
      <c r="R147" s="489">
        <f>LN((1+N147)/(1+H147))</f>
        <v>0.0140969998537424</v>
      </c>
      <c r="S147" s="542">
        <f>LN((1+O147)/(1+H147))</f>
        <v>0.0500991694523736</v>
      </c>
    </row>
    <row r="148">
      <c r="A148" s="320" t="n">
        <v>47</v>
      </c>
      <c r="B148" s="174" t="n">
        <v>62</v>
      </c>
      <c r="C148" s="174" t="n">
        <v>73</v>
      </c>
      <c r="D148" s="174" t="n">
        <v>11</v>
      </c>
      <c r="E148" s="174" t="n">
        <v>65</v>
      </c>
      <c r="F148" s="174" t="n">
        <v>40</v>
      </c>
      <c r="G148" s="68">
        <f>(1+INDEX($Z$21:$Z$97,B148))*(1+INDEX($Z$21:$Z$97,C148))*(1+INDEX($Z$21:$Z$97,D148))*(1+INDEX($Z$21:$Z$97,E148))*(1+INDEX($Z$21:$Z$97,F148))-1</f>
        <v>0.0519089406706157</v>
      </c>
      <c r="H148" s="68">
        <f>(1+INDEX($AA$21:$AA$97,B148))*(1+INDEX($AA$21:$AA$97,C148))*(1+INDEX($AA$21:$AA$97,D148))*(1+INDEX($AA$21:$AA$97,E148))*(1+INDEX($AA$21:$AA$97,F148))-1</f>
        <v>0.0552302363719661</v>
      </c>
      <c r="I148" s="68">
        <f>(1+INDEX($AB$21:$AB$97,B148))*(1+INDEX($AB$21:$AB$97,C148))*(1+INDEX($AB$21:$AB$97,D148))*(1+INDEX($AB$21:$AB$97,E148))*(1+INDEX($AB$21:$AB$97,F148))-1</f>
        <v>0.0558188419883561</v>
      </c>
      <c r="J148" s="489">
        <f>LN((1+G148)/(1+H148))</f>
        <v>-0.00315242437524881</v>
      </c>
      <c r="K148" s="489">
        <f>LN((1+I148)/(1+H148))</f>
        <v>0.00055764277361104</v>
      </c>
      <c r="L148" s="489">
        <f>(1+INDEX($AC$21:$AC$97,B148))*(1+INDEX($AC$21:$AC$97,C148))*(1+INDEX($AC$21:$AC$97,D148))*(1+INDEX($AC$21:$AC$97,E148))*(1+INDEX($AC$21:$AC$97,F148))-1</f>
        <v>0.0605590899659991</v>
      </c>
      <c r="M148" s="489">
        <f>(1+INDEX($AD$21:$AD$97,B148))*(1+INDEX($AD$21:$AD$97,C148))*(1+INDEX($AD$21:$AD$97,D148))*(1+INDEX($AD$21:$AD$97,E148))*(1+INDEX($AD$21:$AD$97,F148))-1</f>
        <v>0.044675967314582</v>
      </c>
      <c r="N148" s="489">
        <f>(1+INDEX($AE$21:$AE$97,B148))*(1+INDEX($AE$21:$AE$97,C148))*(1+INDEX($AE$21:$AE$97,D148))*(1+INDEX($AE$21:$AE$97,E148))*(1+INDEX($AE$21:$AE$97,F148))-1</f>
        <v>0.0440168469215454</v>
      </c>
      <c r="O148" s="489">
        <f>(1+INDEX($AF$21:$AF$97,B148))*(1+INDEX($AF$21:$AF$97,C148))*(1+INDEX($AF$21:$AF$97,D148))*(1+INDEX($AF$21:$AF$97,E148))*(1+INDEX($AF$21:$AF$97,F148))-1</f>
        <v>0.0517761927511065</v>
      </c>
      <c r="P148" s="489">
        <f>LN((1+L148)/(1+H148))</f>
        <v>0.00503723579227887</v>
      </c>
      <c r="Q148" s="489">
        <f>LN((1+M148)/(1+H148))</f>
        <v>-0.010052218438987</v>
      </c>
      <c r="R148" s="489">
        <f>LN((1+N148)/(1+H148))</f>
        <v>-0.0106833504182068</v>
      </c>
      <c r="S148" s="542">
        <f>LN((1+O148)/(1+H148))</f>
        <v>-0.00327862949746636</v>
      </c>
    </row>
    <row r="149">
      <c r="A149" s="320" t="n">
        <v>48</v>
      </c>
      <c r="B149" s="174" t="n">
        <v>75</v>
      </c>
      <c r="C149" s="174" t="n">
        <v>49</v>
      </c>
      <c r="D149" s="174" t="n">
        <v>49</v>
      </c>
      <c r="E149" s="174" t="n">
        <v>56</v>
      </c>
      <c r="F149" s="174" t="n">
        <v>63</v>
      </c>
      <c r="G149" s="68">
        <f>(1+INDEX($Z$21:$Z$97,B149))*(1+INDEX($Z$21:$Z$97,C149))*(1+INDEX($Z$21:$Z$97,D149))*(1+INDEX($Z$21:$Z$97,E149))*(1+INDEX($Z$21:$Z$97,F149))-1</f>
        <v>0.270884405838</v>
      </c>
      <c r="H149" s="68">
        <f>(1+INDEX($AA$21:$AA$97,B149))*(1+INDEX($AA$21:$AA$97,C149))*(1+INDEX($AA$21:$AA$97,D149))*(1+INDEX($AA$21:$AA$97,E149))*(1+INDEX($AA$21:$AA$97,F149))-1</f>
        <v>0.227707682472961</v>
      </c>
      <c r="I149" s="68">
        <f>(1+INDEX($AB$21:$AB$97,B149))*(1+INDEX($AB$21:$AB$97,C149))*(1+INDEX($AB$21:$AB$97,D149))*(1+INDEX($AB$21:$AB$97,E149))*(1+INDEX($AB$21:$AB$97,F149))-1</f>
        <v>0.290245424261837</v>
      </c>
      <c r="J149" s="489">
        <f>LN((1+G149)/(1+H149))</f>
        <v>0.0345642828590054</v>
      </c>
      <c r="K149" s="489">
        <f>LN((1+I149)/(1+H149))</f>
        <v>0.0496836938445652</v>
      </c>
      <c r="L149" s="489">
        <f>(1+INDEX($AC$21:$AC$97,B149))*(1+INDEX($AC$21:$AC$97,C149))*(1+INDEX($AC$21:$AC$97,D149))*(1+INDEX($AC$21:$AC$97,E149))*(1+INDEX($AC$21:$AC$97,F149))-1</f>
        <v>0.266654208522857</v>
      </c>
      <c r="M149" s="489">
        <f>(1+INDEX($AD$21:$AD$97,B149))*(1+INDEX($AD$21:$AD$97,C149))*(1+INDEX($AD$21:$AD$97,D149))*(1+INDEX($AD$21:$AD$97,E149))*(1+INDEX($AD$21:$AD$97,F149))-1</f>
        <v>0.270427472040991</v>
      </c>
      <c r="N149" s="489">
        <f>(1+INDEX($AE$21:$AE$97,B149))*(1+INDEX($AE$21:$AE$97,C149))*(1+INDEX($AE$21:$AE$97,D149))*(1+INDEX($AE$21:$AE$97,E149))*(1+INDEX($AE$21:$AE$97,F149))-1</f>
        <v>0.255299646781896</v>
      </c>
      <c r="O149" s="489">
        <f>(1+INDEX($AF$21:$AF$97,B149))*(1+INDEX($AF$21:$AF$97,C149))*(1+INDEX($AF$21:$AF$97,D149))*(1+INDEX($AF$21:$AF$97,E149))*(1+INDEX($AF$21:$AF$97,F149))-1</f>
        <v>0.247480256757375</v>
      </c>
      <c r="P149" s="489">
        <f>LN((1+L149)/(1+H149))</f>
        <v>0.0312301848398865</v>
      </c>
      <c r="Q149" s="489">
        <f>LN((1+M149)/(1+H149))</f>
        <v>0.0342046781950441</v>
      </c>
      <c r="R149" s="489">
        <f>LN((1+N149)/(1+H149))</f>
        <v>0.0222255486612753</v>
      </c>
      <c r="S149" s="542">
        <f>LN((1+O149)/(1+H149))</f>
        <v>0.0159769644724228</v>
      </c>
    </row>
    <row r="150">
      <c r="A150" s="320" t="n">
        <v>49</v>
      </c>
      <c r="B150" s="174" t="n">
        <v>45</v>
      </c>
      <c r="C150" s="174" t="n">
        <v>13</v>
      </c>
      <c r="D150" s="174" t="n">
        <v>44</v>
      </c>
      <c r="E150" s="174" t="n">
        <v>52</v>
      </c>
      <c r="F150" s="174" t="n">
        <v>25</v>
      </c>
      <c r="G150" s="68">
        <f>(1+INDEX($Z$21:$Z$97,B150))*(1+INDEX($Z$21:$Z$97,C150))*(1+INDEX($Z$21:$Z$97,D150))*(1+INDEX($Z$21:$Z$97,E150))*(1+INDEX($Z$21:$Z$97,F150))-1</f>
        <v>0.87468465188233</v>
      </c>
      <c r="H150" s="68">
        <f>(1+INDEX($AA$21:$AA$97,B150))*(1+INDEX($AA$21:$AA$97,C150))*(1+INDEX($AA$21:$AA$97,D150))*(1+INDEX($AA$21:$AA$97,E150))*(1+INDEX($AA$21:$AA$97,F150))-1</f>
        <v>0.734931445187031</v>
      </c>
      <c r="I150" s="68">
        <f>(1+INDEX($AB$21:$AB$97,B150))*(1+INDEX($AB$21:$AB$97,C150))*(1+INDEX($AB$21:$AB$97,D150))*(1+INDEX($AB$21:$AB$97,E150))*(1+INDEX($AB$21:$AB$97,F150))-1</f>
        <v>0.838938329833293</v>
      </c>
      <c r="J150" s="489">
        <f>LN((1+G150)/(1+H150))</f>
        <v>0.0774725598571545</v>
      </c>
      <c r="K150" s="489">
        <f>LN((1+I150)/(1+H150))</f>
        <v>0.058220510681932</v>
      </c>
      <c r="L150" s="489">
        <f>(1+INDEX($AC$21:$AC$97,B150))*(1+INDEX($AC$21:$AC$97,C150))*(1+INDEX($AC$21:$AC$97,D150))*(1+INDEX($AC$21:$AC$97,E150))*(1+INDEX($AC$21:$AC$97,F150))-1</f>
        <v>0.826859479740714</v>
      </c>
      <c r="M150" s="489">
        <f>(1+INDEX($AD$21:$AD$97,B150))*(1+INDEX($AD$21:$AD$97,C150))*(1+INDEX($AD$21:$AD$97,D150))*(1+INDEX($AD$21:$AD$97,E150))*(1+INDEX($AD$21:$AD$97,F150))-1</f>
        <v>0.83307261682676</v>
      </c>
      <c r="N150" s="489">
        <f>(1+INDEX($AE$21:$AE$97,B150))*(1+INDEX($AE$21:$AE$97,C150))*(1+INDEX($AE$21:$AE$97,D150))*(1+INDEX($AE$21:$AE$97,E150))*(1+INDEX($AE$21:$AE$97,F150))-1</f>
        <v>0.794718532313569</v>
      </c>
      <c r="O150" s="489">
        <f>(1+INDEX($AF$21:$AF$97,B150))*(1+INDEX($AF$21:$AF$97,C150))*(1+INDEX($AF$21:$AF$97,D150))*(1+INDEX($AF$21:$AF$97,E150))*(1+INDEX($AF$21:$AF$97,F150))-1</f>
        <v>0.779461884961945</v>
      </c>
      <c r="P150" s="489">
        <f>LN((1+L150)/(1+H150))</f>
        <v>0.0516304615662321</v>
      </c>
      <c r="Q150" s="489">
        <f>LN((1+M150)/(1+H150))</f>
        <v>0.0550256846964032</v>
      </c>
      <c r="R150" s="489">
        <f>LN((1+N150)/(1+H150))</f>
        <v>0.0338803033766015</v>
      </c>
      <c r="S150" s="542">
        <f>LN((1+O150)/(1+H150))</f>
        <v>0.0253431070217643</v>
      </c>
    </row>
    <row r="151">
      <c r="A151" s="320" t="n">
        <v>50</v>
      </c>
      <c r="B151" s="174" t="n">
        <v>28</v>
      </c>
      <c r="C151" s="174" t="n">
        <v>77</v>
      </c>
      <c r="D151" s="174" t="n">
        <v>52</v>
      </c>
      <c r="E151" s="174" t="n">
        <v>56</v>
      </c>
      <c r="F151" s="174" t="n">
        <v>37</v>
      </c>
      <c r="G151" s="68">
        <f>(1+INDEX($Z$21:$Z$97,B151))*(1+INDEX($Z$21:$Z$97,C151))*(1+INDEX($Z$21:$Z$97,D151))*(1+INDEX($Z$21:$Z$97,E151))*(1+INDEX($Z$21:$Z$97,F151))-1</f>
        <v>0.486031378160077</v>
      </c>
      <c r="H151" s="68">
        <f>(1+INDEX($AA$21:$AA$97,B151))*(1+INDEX($AA$21:$AA$97,C151))*(1+INDEX($AA$21:$AA$97,D151))*(1+INDEX($AA$21:$AA$97,E151))*(1+INDEX($AA$21:$AA$97,F151))-1</f>
        <v>0.472768404664024</v>
      </c>
      <c r="I151" s="68">
        <f>(1+INDEX($AB$21:$AB$97,B151))*(1+INDEX($AB$21:$AB$97,C151))*(1+INDEX($AB$21:$AB$97,D151))*(1+INDEX($AB$21:$AB$97,E151))*(1+INDEX($AB$21:$AB$97,F151))-1</f>
        <v>0.519331123172317</v>
      </c>
      <c r="J151" s="489">
        <f>LN((1+G151)/(1+H151))</f>
        <v>0.00896516378451242</v>
      </c>
      <c r="K151" s="489">
        <f>LN((1+I151)/(1+H151))</f>
        <v>0.0311262893201881</v>
      </c>
      <c r="L151" s="489">
        <f>(1+INDEX($AC$21:$AC$97,B151))*(1+INDEX($AC$21:$AC$97,C151))*(1+INDEX($AC$21:$AC$97,D151))*(1+INDEX($AC$21:$AC$97,E151))*(1+INDEX($AC$21:$AC$97,F151))-1</f>
        <v>0.517572933059449</v>
      </c>
      <c r="M151" s="489">
        <f>(1+INDEX($AD$21:$AD$97,B151))*(1+INDEX($AD$21:$AD$97,C151))*(1+INDEX($AD$21:$AD$97,D151))*(1+INDEX($AD$21:$AD$97,E151))*(1+INDEX($AD$21:$AD$97,F151))-1</f>
        <v>0.51959984226444</v>
      </c>
      <c r="N151" s="489">
        <f>(1+INDEX($AE$21:$AE$97,B151))*(1+INDEX($AE$21:$AE$97,C151))*(1+INDEX($AE$21:$AE$97,D151))*(1+INDEX($AE$21:$AE$97,E151))*(1+INDEX($AE$21:$AE$97,F151))-1</f>
        <v>0.503527213728</v>
      </c>
      <c r="O151" s="489">
        <f>(1+INDEX($AF$21:$AF$97,B151))*(1+INDEX($AF$21:$AF$97,C151))*(1+INDEX($AF$21:$AF$97,D151))*(1+INDEX($AF$21:$AF$97,E151))*(1+INDEX($AF$21:$AF$97,F151))-1</f>
        <v>0.518545303025827</v>
      </c>
      <c r="P151" s="489">
        <f>LN((1+L151)/(1+H151))</f>
        <v>0.0299684059779774</v>
      </c>
      <c r="Q151" s="489">
        <f>LN((1+M151)/(1+H151))</f>
        <v>0.0313031403878035</v>
      </c>
      <c r="R151" s="489">
        <f>LN((1+N151)/(1+H151))</f>
        <v>0.0206699253912385</v>
      </c>
      <c r="S151" s="542">
        <f>LN((1+O151)/(1+H151))</f>
        <v>0.0306089409795904</v>
      </c>
    </row>
    <row r="152">
      <c r="A152" s="320" t="n">
        <v>51</v>
      </c>
      <c r="B152" s="174" t="n">
        <v>7</v>
      </c>
      <c r="C152" s="174" t="n">
        <v>57</v>
      </c>
      <c r="D152" s="174" t="n">
        <v>48</v>
      </c>
      <c r="E152" s="174" t="n">
        <v>71</v>
      </c>
      <c r="F152" s="174" t="n">
        <v>4</v>
      </c>
      <c r="G152" s="68">
        <f>(1+INDEX($Z$21:$Z$97,B152))*(1+INDEX($Z$21:$Z$97,C152))*(1+INDEX($Z$21:$Z$97,D152))*(1+INDEX($Z$21:$Z$97,E152))*(1+INDEX($Z$21:$Z$97,F152))-1</f>
        <v>0.2947675206896</v>
      </c>
      <c r="H152" s="68">
        <f>(1+INDEX($AA$21:$AA$97,B152))*(1+INDEX($AA$21:$AA$97,C152))*(1+INDEX($AA$21:$AA$97,D152))*(1+INDEX($AA$21:$AA$97,E152))*(1+INDEX($AA$21:$AA$97,F152))-1</f>
        <v>0.272228049826522</v>
      </c>
      <c r="I152" s="68">
        <f>(1+INDEX($AB$21:$AB$97,B152))*(1+INDEX($AB$21:$AB$97,C152))*(1+INDEX($AB$21:$AB$97,D152))*(1+INDEX($AB$21:$AB$97,E152))*(1+INDEX($AB$21:$AB$97,F152))-1</f>
        <v>0.273847998888264</v>
      </c>
      <c r="J152" s="489">
        <f>LN((1+G152)/(1+H152))</f>
        <v>0.0175614250295134</v>
      </c>
      <c r="K152" s="489">
        <f>LN((1+I152)/(1+H152))</f>
        <v>0.00127250659394474</v>
      </c>
      <c r="L152" s="489">
        <f>(1+INDEX($AC$21:$AC$97,B152))*(1+INDEX($AC$21:$AC$97,C152))*(1+INDEX($AC$21:$AC$97,D152))*(1+INDEX($AC$21:$AC$97,E152))*(1+INDEX($AC$21:$AC$97,F152))-1</f>
        <v>0.262163677879421</v>
      </c>
      <c r="M152" s="489">
        <f>(1+INDEX($AD$21:$AD$97,B152))*(1+INDEX($AD$21:$AD$97,C152))*(1+INDEX($AD$21:$AD$97,D152))*(1+INDEX($AD$21:$AD$97,E152))*(1+INDEX($AD$21:$AD$97,F152))-1</f>
        <v>0.260403363635383</v>
      </c>
      <c r="N152" s="489">
        <f>(1+INDEX($AE$21:$AE$97,B152))*(1+INDEX($AE$21:$AE$97,C152))*(1+INDEX($AE$21:$AE$97,D152))*(1+INDEX($AE$21:$AE$97,E152))*(1+INDEX($AE$21:$AE$97,F152))-1</f>
        <v>0.255692765604028</v>
      </c>
      <c r="O152" s="489">
        <f>(1+INDEX($AF$21:$AF$97,B152))*(1+INDEX($AF$21:$AF$97,C152))*(1+INDEX($AF$21:$AF$97,D152))*(1+INDEX($AF$21:$AF$97,E152))*(1+INDEX($AF$21:$AF$97,F152))-1</f>
        <v>0.289025461032124</v>
      </c>
      <c r="P152" s="489">
        <f>LN((1+L152)/(1+H152))</f>
        <v>-0.00794228038382243</v>
      </c>
      <c r="Q152" s="489">
        <f>LN((1+M152)/(1+H152))</f>
        <v>-0.00933793370110081</v>
      </c>
      <c r="R152" s="489">
        <f>LN((1+N152)/(1+H152))</f>
        <v>-0.0130823085525189</v>
      </c>
      <c r="S152" s="542">
        <f>LN((1+O152)/(1+H152))</f>
        <v>0.0131167430050219</v>
      </c>
    </row>
    <row r="153">
      <c r="A153" s="320" t="n">
        <v>52</v>
      </c>
      <c r="B153" s="174" t="n">
        <v>16</v>
      </c>
      <c r="C153" s="174" t="n">
        <v>19</v>
      </c>
      <c r="D153" s="174" t="n">
        <v>25</v>
      </c>
      <c r="E153" s="174" t="n">
        <v>46</v>
      </c>
      <c r="F153" s="174" t="n">
        <v>37</v>
      </c>
      <c r="G153" s="68">
        <f>(1+INDEX($Z$21:$Z$97,B153))*(1+INDEX($Z$21:$Z$97,C153))*(1+INDEX($Z$21:$Z$97,D153))*(1+INDEX($Z$21:$Z$97,E153))*(1+INDEX($Z$21:$Z$97,F153))-1</f>
        <v>0.210032957172261</v>
      </c>
      <c r="H153" s="68">
        <f>(1+INDEX($AA$21:$AA$97,B153))*(1+INDEX($AA$21:$AA$97,C153))*(1+INDEX($AA$21:$AA$97,D153))*(1+INDEX($AA$21:$AA$97,E153))*(1+INDEX($AA$21:$AA$97,F153))-1</f>
        <v>0.171471936878448</v>
      </c>
      <c r="I153" s="68">
        <f>(1+INDEX($AB$21:$AB$97,B153))*(1+INDEX($AB$21:$AB$97,C153))*(1+INDEX($AB$21:$AB$97,D153))*(1+INDEX($AB$21:$AB$97,E153))*(1+INDEX($AB$21:$AB$97,F153))-1</f>
        <v>0.178229545662549</v>
      </c>
      <c r="J153" s="489">
        <f>LN((1+G153)/(1+H153))</f>
        <v>0.0323865727539896</v>
      </c>
      <c r="K153" s="489">
        <f>LN((1+I153)/(1+H153))</f>
        <v>0.00575190292490112</v>
      </c>
      <c r="L153" s="489">
        <f>(1+INDEX($AC$21:$AC$97,B153))*(1+INDEX($AC$21:$AC$97,C153))*(1+INDEX($AC$21:$AC$97,D153))*(1+INDEX($AC$21:$AC$97,E153))*(1+INDEX($AC$21:$AC$97,F153))-1</f>
        <v>0.154967951933058</v>
      </c>
      <c r="M153" s="489">
        <f>(1+INDEX($AD$21:$AD$97,B153))*(1+INDEX($AD$21:$AD$97,C153))*(1+INDEX($AD$21:$AD$97,D153))*(1+INDEX($AD$21:$AD$97,E153))*(1+INDEX($AD$21:$AD$97,F153))-1</f>
        <v>0.182019267103303</v>
      </c>
      <c r="N153" s="489">
        <f>(1+INDEX($AE$21:$AE$97,B153))*(1+INDEX($AE$21:$AE$97,C153))*(1+INDEX($AE$21:$AE$97,D153))*(1+INDEX($AE$21:$AE$97,E153))*(1+INDEX($AE$21:$AE$97,F153))-1</f>
        <v>0.154795341198451</v>
      </c>
      <c r="O153" s="489">
        <f>(1+INDEX($AF$21:$AF$97,B153))*(1+INDEX($AF$21:$AF$97,C153))*(1+INDEX($AF$21:$AF$97,D153))*(1+INDEX($AF$21:$AF$97,E153))*(1+INDEX($AF$21:$AF$97,F153))-1</f>
        <v>0.191572027560485</v>
      </c>
      <c r="P153" s="489">
        <f>LN((1+L153)/(1+H153))</f>
        <v>-0.0141884274714884</v>
      </c>
      <c r="Q153" s="489">
        <f>LN((1+M153)/(1+H153))</f>
        <v>0.00896319546068501</v>
      </c>
      <c r="R153" s="489">
        <f>LN((1+N153)/(1+H153))</f>
        <v>-0.0143378893106657</v>
      </c>
      <c r="S153" s="542">
        <f>LN((1+O153)/(1+H153))</f>
        <v>0.0170124430761915</v>
      </c>
    </row>
    <row r="154">
      <c r="A154" s="320" t="n">
        <v>53</v>
      </c>
      <c r="B154" s="174" t="n">
        <v>32</v>
      </c>
      <c r="C154" s="174" t="n">
        <v>4</v>
      </c>
      <c r="D154" s="174" t="n">
        <v>33</v>
      </c>
      <c r="E154" s="174" t="n">
        <v>37</v>
      </c>
      <c r="F154" s="174" t="n">
        <v>6</v>
      </c>
      <c r="G154" s="68">
        <f>(1+INDEX($Z$21:$Z$97,B154))*(1+INDEX($Z$21:$Z$97,C154))*(1+INDEX($Z$21:$Z$97,D154))*(1+INDEX($Z$21:$Z$97,E154))*(1+INDEX($Z$21:$Z$97,F154))-1</f>
        <v>0.210917367902615</v>
      </c>
      <c r="H154" s="68">
        <f>(1+INDEX($AA$21:$AA$97,B154))*(1+INDEX($AA$21:$AA$97,C154))*(1+INDEX($AA$21:$AA$97,D154))*(1+INDEX($AA$21:$AA$97,E154))*(1+INDEX($AA$21:$AA$97,F154))-1</f>
        <v>0.232207345508958</v>
      </c>
      <c r="I154" s="68">
        <f>(1+INDEX($AB$21:$AB$97,B154))*(1+INDEX($AB$21:$AB$97,C154))*(1+INDEX($AB$21:$AB$97,D154))*(1+INDEX($AB$21:$AB$97,E154))*(1+INDEX($AB$21:$AB$97,F154))-1</f>
        <v>0.223846532598653</v>
      </c>
      <c r="J154" s="489">
        <f>LN((1+G154)/(1+H154))</f>
        <v>-0.017428923231062</v>
      </c>
      <c r="K154" s="489">
        <f>LN((1+I154)/(1+H154))</f>
        <v>-0.00680835651126041</v>
      </c>
      <c r="L154" s="489">
        <f>(1+INDEX($AC$21:$AC$97,B154))*(1+INDEX($AC$21:$AC$97,C154))*(1+INDEX($AC$21:$AC$97,D154))*(1+INDEX($AC$21:$AC$97,E154))*(1+INDEX($AC$21:$AC$97,F154))-1</f>
        <v>0.211375638198861</v>
      </c>
      <c r="M154" s="489">
        <f>(1+INDEX($AD$21:$AD$97,B154))*(1+INDEX($AD$21:$AD$97,C154))*(1+INDEX($AD$21:$AD$97,D154))*(1+INDEX($AD$21:$AD$97,E154))*(1+INDEX($AD$21:$AD$97,F154))-1</f>
        <v>0.22909213567876</v>
      </c>
      <c r="N154" s="489">
        <f>(1+INDEX($AE$21:$AE$97,B154))*(1+INDEX($AE$21:$AE$97,C154))*(1+INDEX($AE$21:$AE$97,D154))*(1+INDEX($AE$21:$AE$97,E154))*(1+INDEX($AE$21:$AE$97,F154))-1</f>
        <v>0.197903291670997</v>
      </c>
      <c r="O154" s="489">
        <f>(1+INDEX($AF$21:$AF$97,B154))*(1+INDEX($AF$21:$AF$97,C154))*(1+INDEX($AF$21:$AF$97,D154))*(1+INDEX($AF$21:$AF$97,E154))*(1+INDEX($AF$21:$AF$97,F154))-1</f>
        <v>0.215120690536076</v>
      </c>
      <c r="P154" s="489">
        <f>LN((1+L154)/(1+H154))</f>
        <v>-0.017050545965753</v>
      </c>
      <c r="Q154" s="489">
        <f>LN((1+M154)/(1+H154))</f>
        <v>-0.00253135509714846</v>
      </c>
      <c r="R154" s="489">
        <f>LN((1+N154)/(1+H154))</f>
        <v>-0.0282343792572804</v>
      </c>
      <c r="S154" s="542">
        <f>LN((1+O154)/(1+H154))</f>
        <v>-0.0139637452427986</v>
      </c>
    </row>
    <row r="155">
      <c r="A155" s="320" t="n">
        <v>54</v>
      </c>
      <c r="B155" s="174" t="n">
        <v>44</v>
      </c>
      <c r="C155" s="174" t="n">
        <v>2</v>
      </c>
      <c r="D155" s="174" t="n">
        <v>61</v>
      </c>
      <c r="E155" s="174" t="n">
        <v>69</v>
      </c>
      <c r="F155" s="174" t="n">
        <v>68</v>
      </c>
      <c r="G155" s="68">
        <f>(1+INDEX($Z$21:$Z$97,B155))*(1+INDEX($Z$21:$Z$97,C155))*(1+INDEX($Z$21:$Z$97,D155))*(1+INDEX($Z$21:$Z$97,E155))*(1+INDEX($Z$21:$Z$97,F155))-1</f>
        <v>0.721590007910928</v>
      </c>
      <c r="H155" s="68">
        <f>(1+INDEX($AA$21:$AA$97,B155))*(1+INDEX($AA$21:$AA$97,C155))*(1+INDEX($AA$21:$AA$97,D155))*(1+INDEX($AA$21:$AA$97,E155))*(1+INDEX($AA$21:$AA$97,F155))-1</f>
        <v>0.673869071393052</v>
      </c>
      <c r="I155" s="68">
        <f>(1+INDEX($AB$21:$AB$97,B155))*(1+INDEX($AB$21:$AB$97,C155))*(1+INDEX($AB$21:$AB$97,D155))*(1+INDEX($AB$21:$AB$97,E155))*(1+INDEX($AB$21:$AB$97,F155))-1</f>
        <v>0.700556653495071</v>
      </c>
      <c r="J155" s="489">
        <f>LN((1+G155)/(1+H155))</f>
        <v>0.0281105310317664</v>
      </c>
      <c r="K155" s="489">
        <f>LN((1+I155)/(1+H155))</f>
        <v>0.0158178847150949</v>
      </c>
      <c r="L155" s="489">
        <f>(1+INDEX($AC$21:$AC$97,B155))*(1+INDEX($AC$21:$AC$97,C155))*(1+INDEX($AC$21:$AC$97,D155))*(1+INDEX($AC$21:$AC$97,E155))*(1+INDEX($AC$21:$AC$97,F155))-1</f>
        <v>0.727609590280404</v>
      </c>
      <c r="M155" s="489">
        <f>(1+INDEX($AD$21:$AD$97,B155))*(1+INDEX($AD$21:$AD$97,C155))*(1+INDEX($AD$21:$AD$97,D155))*(1+INDEX($AD$21:$AD$97,E155))*(1+INDEX($AD$21:$AD$97,F155))-1</f>
        <v>0.673881726564108</v>
      </c>
      <c r="N155" s="489">
        <f>(1+INDEX($AE$21:$AE$97,B155))*(1+INDEX($AE$21:$AE$97,C155))*(1+INDEX($AE$21:$AE$97,D155))*(1+INDEX($AE$21:$AE$97,E155))*(1+INDEX($AE$21:$AE$97,F155))-1</f>
        <v>0.751015486083175</v>
      </c>
      <c r="O155" s="489">
        <f>(1+INDEX($AF$21:$AF$97,B155))*(1+INDEX($AF$21:$AF$97,C155))*(1+INDEX($AF$21:$AF$97,D155))*(1+INDEX($AF$21:$AF$97,E155))*(1+INDEX($AF$21:$AF$97,F155))-1</f>
        <v>0.65548085713842</v>
      </c>
      <c r="P155" s="489">
        <f>LN((1+L155)/(1+H155))</f>
        <v>0.031600957323159</v>
      </c>
      <c r="Q155" s="489">
        <f>LN((1+M155)/(1+H155))</f>
        <v>7.56040208449872e-06</v>
      </c>
      <c r="R155" s="489">
        <f>LN((1+N155)/(1+H155))</f>
        <v>0.045058141419564</v>
      </c>
      <c r="S155" s="542">
        <f>LN((1+O155)/(1+H155))</f>
        <v>-0.0110462412336485</v>
      </c>
    </row>
    <row r="156">
      <c r="A156" s="320" t="n">
        <v>55</v>
      </c>
      <c r="B156" s="174" t="n">
        <v>36</v>
      </c>
      <c r="C156" s="174" t="n">
        <v>32</v>
      </c>
      <c r="D156" s="174" t="n">
        <v>14</v>
      </c>
      <c r="E156" s="174" t="n">
        <v>1</v>
      </c>
      <c r="F156" s="174" t="n">
        <v>3</v>
      </c>
      <c r="G156" s="68">
        <f>(1+INDEX($Z$21:$Z$97,B156))*(1+INDEX($Z$21:$Z$97,C156))*(1+INDEX($Z$21:$Z$97,D156))*(1+INDEX($Z$21:$Z$97,E156))*(1+INDEX($Z$21:$Z$97,F156))-1</f>
        <v>0.682988891935726</v>
      </c>
      <c r="H156" s="68">
        <f>(1+INDEX($AA$21:$AA$97,B156))*(1+INDEX($AA$21:$AA$97,C156))*(1+INDEX($AA$21:$AA$97,D156))*(1+INDEX($AA$21:$AA$97,E156))*(1+INDEX($AA$21:$AA$97,F156))-1</f>
        <v>0.554261960442833</v>
      </c>
      <c r="I156" s="68">
        <f>(1+INDEX($AB$21:$AB$97,B156))*(1+INDEX($AB$21:$AB$97,C156))*(1+INDEX($AB$21:$AB$97,D156))*(1+INDEX($AB$21:$AB$97,E156))*(1+INDEX($AB$21:$AB$97,F156))-1</f>
        <v>0.583710047044846</v>
      </c>
      <c r="J156" s="489">
        <f>LN((1+G156)/(1+H156))</f>
        <v>0.0795705055774866</v>
      </c>
      <c r="K156" s="489">
        <f>LN((1+I156)/(1+H156))</f>
        <v>0.0187694160759076</v>
      </c>
      <c r="L156" s="489">
        <f>(1+INDEX($AC$21:$AC$97,B156))*(1+INDEX($AC$21:$AC$97,C156))*(1+INDEX($AC$21:$AC$97,D156))*(1+INDEX($AC$21:$AC$97,E156))*(1+INDEX($AC$21:$AC$97,F156))-1</f>
        <v>0.576701906095628</v>
      </c>
      <c r="M156" s="489">
        <f>(1+INDEX($AD$21:$AD$97,B156))*(1+INDEX($AD$21:$AD$97,C156))*(1+INDEX($AD$21:$AD$97,D156))*(1+INDEX($AD$21:$AD$97,E156))*(1+INDEX($AD$21:$AD$97,F156))-1</f>
        <v>0.616172355994635</v>
      </c>
      <c r="N156" s="489">
        <f>(1+INDEX($AE$21:$AE$97,B156))*(1+INDEX($AE$21:$AE$97,C156))*(1+INDEX($AE$21:$AE$97,D156))*(1+INDEX($AE$21:$AE$97,E156))*(1+INDEX($AE$21:$AE$97,F156))-1</f>
        <v>0.583844155364621</v>
      </c>
      <c r="O156" s="489">
        <f>(1+INDEX($AF$21:$AF$97,B156))*(1+INDEX($AF$21:$AF$97,C156))*(1+INDEX($AF$21:$AF$97,D156))*(1+INDEX($AF$21:$AF$97,E156))*(1+INDEX($AF$21:$AF$97,F156))-1</f>
        <v>0.54345352951721</v>
      </c>
      <c r="P156" s="489">
        <f>LN((1+L156)/(1+H156))</f>
        <v>0.0143344547227785</v>
      </c>
      <c r="Q156" s="489">
        <f>LN((1+M156)/(1+H156))</f>
        <v>0.0390598008964617</v>
      </c>
      <c r="R156" s="489">
        <f>LN((1+N156)/(1+H156))</f>
        <v>0.0188540923348033</v>
      </c>
      <c r="S156" s="542">
        <f>LN((1+O156)/(1+H156))</f>
        <v>-0.00697835215822223</v>
      </c>
    </row>
    <row r="157">
      <c r="A157" s="320" t="n">
        <v>56</v>
      </c>
      <c r="B157" s="174" t="n">
        <v>29</v>
      </c>
      <c r="C157" s="174" t="n">
        <v>6</v>
      </c>
      <c r="D157" s="174" t="n">
        <v>56</v>
      </c>
      <c r="E157" s="174" t="n">
        <v>3</v>
      </c>
      <c r="F157" s="174" t="n">
        <v>21</v>
      </c>
      <c r="G157" s="68">
        <f>(1+INDEX($Z$21:$Z$97,B157))*(1+INDEX($Z$21:$Z$97,C157))*(1+INDEX($Z$21:$Z$97,D157))*(1+INDEX($Z$21:$Z$97,E157))*(1+INDEX($Z$21:$Z$97,F157))-1</f>
        <v>0.168615018681072</v>
      </c>
      <c r="H157" s="68">
        <f>(1+INDEX($AA$21:$AA$97,B157))*(1+INDEX($AA$21:$AA$97,C157))*(1+INDEX($AA$21:$AA$97,D157))*(1+INDEX($AA$21:$AA$97,E157))*(1+INDEX($AA$21:$AA$97,F157))-1</f>
        <v>0.18031532269674</v>
      </c>
      <c r="I157" s="68">
        <f>(1+INDEX($AB$21:$AB$97,B157))*(1+INDEX($AB$21:$AB$97,C157))*(1+INDEX($AB$21:$AB$97,D157))*(1+INDEX($AB$21:$AB$97,E157))*(1+INDEX($AB$21:$AB$97,F157))-1</f>
        <v>0.160632237223022</v>
      </c>
      <c r="J157" s="489">
        <f>LN((1+G157)/(1+H157))</f>
        <v>-0.00996232249086785</v>
      </c>
      <c r="K157" s="489">
        <f>LN((1+I157)/(1+H157))</f>
        <v>-0.0168167366732792</v>
      </c>
      <c r="L157" s="489">
        <f>(1+INDEX($AC$21:$AC$97,B157))*(1+INDEX($AC$21:$AC$97,C157))*(1+INDEX($AC$21:$AC$97,D157))*(1+INDEX($AC$21:$AC$97,E157))*(1+INDEX($AC$21:$AC$97,F157))-1</f>
        <v>0.149698198967048</v>
      </c>
      <c r="M157" s="489">
        <f>(1+INDEX($AD$21:$AD$97,B157))*(1+INDEX($AD$21:$AD$97,C157))*(1+INDEX($AD$21:$AD$97,D157))*(1+INDEX($AD$21:$AD$97,E157))*(1+INDEX($AD$21:$AD$97,F157))-1</f>
        <v>0.158999595663474</v>
      </c>
      <c r="N157" s="489">
        <f>(1+INDEX($AE$21:$AE$97,B157))*(1+INDEX($AE$21:$AE$97,C157))*(1+INDEX($AE$21:$AE$97,D157))*(1+INDEX($AE$21:$AE$97,E157))*(1+INDEX($AE$21:$AE$97,F157))-1</f>
        <v>0.135089451832221</v>
      </c>
      <c r="O157" s="489">
        <f>(1+INDEX($AF$21:$AF$97,B157))*(1+INDEX($AF$21:$AF$97,C157))*(1+INDEX($AF$21:$AF$97,D157))*(1+INDEX($AF$21:$AF$97,E157))*(1+INDEX($AF$21:$AF$97,F157))-1</f>
        <v>0.216397572770689</v>
      </c>
      <c r="P157" s="489">
        <f>LN((1+L157)/(1+H157))</f>
        <v>-0.0262821531522612</v>
      </c>
      <c r="Q157" s="489">
        <f>LN((1+M157)/(1+H157))</f>
        <v>-0.0182244099134865</v>
      </c>
      <c r="R157" s="489">
        <f>LN((1+N157)/(1+H157))</f>
        <v>-0.0390701653894956</v>
      </c>
      <c r="S157" s="542">
        <f>LN((1+O157)/(1+H157))</f>
        <v>0.0301120559944112</v>
      </c>
    </row>
    <row r="158">
      <c r="A158" s="320" t="n">
        <v>57</v>
      </c>
      <c r="B158" s="174" t="n">
        <v>52</v>
      </c>
      <c r="C158" s="174" t="n">
        <v>77</v>
      </c>
      <c r="D158" s="174" t="n">
        <v>16</v>
      </c>
      <c r="E158" s="174" t="n">
        <v>1</v>
      </c>
      <c r="F158" s="174" t="n">
        <v>69</v>
      </c>
      <c r="G158" s="68">
        <f>(1+INDEX($Z$21:$Z$97,B158))*(1+INDEX($Z$21:$Z$97,C158))*(1+INDEX($Z$21:$Z$97,D158))*(1+INDEX($Z$21:$Z$97,E158))*(1+INDEX($Z$21:$Z$97,F158))-1</f>
        <v>0.636733607345366</v>
      </c>
      <c r="H158" s="68">
        <f>(1+INDEX($AA$21:$AA$97,B158))*(1+INDEX($AA$21:$AA$97,C158))*(1+INDEX($AA$21:$AA$97,D158))*(1+INDEX($AA$21:$AA$97,E158))*(1+INDEX($AA$21:$AA$97,F158))-1</f>
        <v>0.558089030524057</v>
      </c>
      <c r="I158" s="68">
        <f>(1+INDEX($AB$21:$AB$97,B158))*(1+INDEX($AB$21:$AB$97,C158))*(1+INDEX($AB$21:$AB$97,D158))*(1+INDEX($AB$21:$AB$97,E158))*(1+INDEX($AB$21:$AB$97,F158))-1</f>
        <v>0.604529641895154</v>
      </c>
      <c r="J158" s="489">
        <f>LN((1+G158)/(1+H158))</f>
        <v>0.0492424629939336</v>
      </c>
      <c r="K158" s="489">
        <f>LN((1+I158)/(1+H158))</f>
        <v>0.0293705656965113</v>
      </c>
      <c r="L158" s="489">
        <f>(1+INDEX($AC$21:$AC$97,B158))*(1+INDEX($AC$21:$AC$97,C158))*(1+INDEX($AC$21:$AC$97,D158))*(1+INDEX($AC$21:$AC$97,E158))*(1+INDEX($AC$21:$AC$97,F158))-1</f>
        <v>0.60221972246164</v>
      </c>
      <c r="M158" s="489">
        <f>(1+INDEX($AD$21:$AD$97,B158))*(1+INDEX($AD$21:$AD$97,C158))*(1+INDEX($AD$21:$AD$97,D158))*(1+INDEX($AD$21:$AD$97,E158))*(1+INDEX($AD$21:$AD$97,F158))-1</f>
        <v>0.591438462009354</v>
      </c>
      <c r="N158" s="489">
        <f>(1+INDEX($AE$21:$AE$97,B158))*(1+INDEX($AE$21:$AE$97,C158))*(1+INDEX($AE$21:$AE$97,D158))*(1+INDEX($AE$21:$AE$97,E158))*(1+INDEX($AE$21:$AE$97,F158))-1</f>
        <v>0.594388609667058</v>
      </c>
      <c r="O158" s="489">
        <f>(1+INDEX($AF$21:$AF$97,B158))*(1+INDEX($AF$21:$AF$97,C158))*(1+INDEX($AF$21:$AF$97,D158))*(1+INDEX($AF$21:$AF$97,E158))*(1+INDEX($AF$21:$AF$97,F158))-1</f>
        <v>0.570538511462946</v>
      </c>
      <c r="P158" s="489">
        <f>LN((1+L158)/(1+H158))</f>
        <v>0.027929904409596</v>
      </c>
      <c r="Q158" s="489">
        <f>LN((1+M158)/(1+H158))</f>
        <v>0.0211782104053182</v>
      </c>
      <c r="R158" s="489">
        <f>LN((1+N158)/(1+H158))</f>
        <v>0.023030256002646</v>
      </c>
      <c r="S158" s="542">
        <f>LN((1+O158)/(1+H158))</f>
        <v>0.00795847155432958</v>
      </c>
    </row>
    <row r="159">
      <c r="A159" s="320" t="n">
        <v>58</v>
      </c>
      <c r="B159" s="174" t="n">
        <v>28</v>
      </c>
      <c r="C159" s="174" t="n">
        <v>24</v>
      </c>
      <c r="D159" s="174" t="n">
        <v>15</v>
      </c>
      <c r="E159" s="174" t="n">
        <v>16</v>
      </c>
      <c r="F159" s="174" t="n">
        <v>58</v>
      </c>
      <c r="G159" s="68">
        <f>(1+INDEX($Z$21:$Z$97,B159))*(1+INDEX($Z$21:$Z$97,C159))*(1+INDEX($Z$21:$Z$97,D159))*(1+INDEX($Z$21:$Z$97,E159))*(1+INDEX($Z$21:$Z$97,F159))-1</f>
        <v>0.738653224374151</v>
      </c>
      <c r="H159" s="68">
        <f>(1+INDEX($AA$21:$AA$97,B159))*(1+INDEX($AA$21:$AA$97,C159))*(1+INDEX($AA$21:$AA$97,D159))*(1+INDEX($AA$21:$AA$97,E159))*(1+INDEX($AA$21:$AA$97,F159))-1</f>
        <v>0.684130635820987</v>
      </c>
      <c r="I159" s="68">
        <f>(1+INDEX($AB$21:$AB$97,B159))*(1+INDEX($AB$21:$AB$97,C159))*(1+INDEX($AB$21:$AB$97,D159))*(1+INDEX($AB$21:$AB$97,E159))*(1+INDEX($AB$21:$AB$97,F159))-1</f>
        <v>0.748354276196859</v>
      </c>
      <c r="J159" s="489">
        <f>LN((1+G159)/(1+H159))</f>
        <v>0.0318613170195341</v>
      </c>
      <c r="K159" s="489">
        <f>LN((1+I159)/(1+H159))</f>
        <v>0.0374254443404112</v>
      </c>
      <c r="L159" s="489">
        <f>(1+INDEX($AC$21:$AC$97,B159))*(1+INDEX($AC$21:$AC$97,C159))*(1+INDEX($AC$21:$AC$97,D159))*(1+INDEX($AC$21:$AC$97,E159))*(1+INDEX($AC$21:$AC$97,F159))-1</f>
        <v>0.753669972870931</v>
      </c>
      <c r="M159" s="489">
        <f>(1+INDEX($AD$21:$AD$97,B159))*(1+INDEX($AD$21:$AD$97,C159))*(1+INDEX($AD$21:$AD$97,D159))*(1+INDEX($AD$21:$AD$97,E159))*(1+INDEX($AD$21:$AD$97,F159))-1</f>
        <v>0.731387482082831</v>
      </c>
      <c r="N159" s="489">
        <f>(1+INDEX($AE$21:$AE$97,B159))*(1+INDEX($AE$21:$AE$97,C159))*(1+INDEX($AE$21:$AE$97,D159))*(1+INDEX($AE$21:$AE$97,E159))*(1+INDEX($AE$21:$AE$97,F159))-1</f>
        <v>0.738507571845254</v>
      </c>
      <c r="O159" s="489">
        <f>(1+INDEX($AF$21:$AF$97,B159))*(1+INDEX($AF$21:$AF$97,C159))*(1+INDEX($AF$21:$AF$97,D159))*(1+INDEX($AF$21:$AF$97,E159))*(1+INDEX($AF$21:$AF$97,F159))-1</f>
        <v>0.677814685763878</v>
      </c>
      <c r="P159" s="489">
        <f>LN((1+L159)/(1+H159))</f>
        <v>0.040461231861268</v>
      </c>
      <c r="Q159" s="489">
        <f>LN((1+M159)/(1+H159))</f>
        <v>0.0276736123070244</v>
      </c>
      <c r="R159" s="489">
        <f>LN((1+N159)/(1+H159))</f>
        <v>0.0317775403192214</v>
      </c>
      <c r="S159" s="542">
        <f>LN((1+O159)/(1+H159))</f>
        <v>-0.00375732314680817</v>
      </c>
    </row>
    <row r="160">
      <c r="A160" s="320" t="n">
        <v>59</v>
      </c>
      <c r="B160" s="174" t="n">
        <v>76</v>
      </c>
      <c r="C160" s="174" t="n">
        <v>74</v>
      </c>
      <c r="D160" s="174" t="n">
        <v>22</v>
      </c>
      <c r="E160" s="174" t="n">
        <v>76</v>
      </c>
      <c r="F160" s="174" t="n">
        <v>14</v>
      </c>
      <c r="G160" s="68">
        <f>(1+INDEX($Z$21:$Z$97,B160))*(1+INDEX($Z$21:$Z$97,C160))*(1+INDEX($Z$21:$Z$97,D160))*(1+INDEX($Z$21:$Z$97,E160))*(1+INDEX($Z$21:$Z$97,F160))-1</f>
        <v>0.444543613094754</v>
      </c>
      <c r="H160" s="68">
        <f>(1+INDEX($AA$21:$AA$97,B160))*(1+INDEX($AA$21:$AA$97,C160))*(1+INDEX($AA$21:$AA$97,D160))*(1+INDEX($AA$21:$AA$97,E160))*(1+INDEX($AA$21:$AA$97,F160))-1</f>
        <v>0.412231315679674</v>
      </c>
      <c r="I160" s="68">
        <f>(1+INDEX($AB$21:$AB$97,B160))*(1+INDEX($AB$21:$AB$97,C160))*(1+INDEX($AB$21:$AB$97,D160))*(1+INDEX($AB$21:$AB$97,E160))*(1+INDEX($AB$21:$AB$97,F160))-1</f>
        <v>0.455477688022708</v>
      </c>
      <c r="J160" s="489">
        <f>LN((1+G160)/(1+H160))</f>
        <v>0.0226224860314092</v>
      </c>
      <c r="K160" s="489">
        <f>LN((1+I160)/(1+H160))</f>
        <v>0.0301632077048991</v>
      </c>
      <c r="L160" s="489">
        <f>(1+INDEX($AC$21:$AC$97,B160))*(1+INDEX($AC$21:$AC$97,C160))*(1+INDEX($AC$21:$AC$97,D160))*(1+INDEX($AC$21:$AC$97,E160))*(1+INDEX($AC$21:$AC$97,F160))-1</f>
        <v>0.44145298013219</v>
      </c>
      <c r="M160" s="489">
        <f>(1+INDEX($AD$21:$AD$97,B160))*(1+INDEX($AD$21:$AD$97,C160))*(1+INDEX($AD$21:$AD$97,D160))*(1+INDEX($AD$21:$AD$97,E160))*(1+INDEX($AD$21:$AD$97,F160))-1</f>
        <v>0.463062995649946</v>
      </c>
      <c r="N160" s="489">
        <f>(1+INDEX($AE$21:$AE$97,B160))*(1+INDEX($AE$21:$AE$97,C160))*(1+INDEX($AE$21:$AE$97,D160))*(1+INDEX($AE$21:$AE$97,E160))*(1+INDEX($AE$21:$AE$97,F160))-1</f>
        <v>0.416296327380426</v>
      </c>
      <c r="O160" s="489">
        <f>(1+INDEX($AF$21:$AF$97,B160))*(1+INDEX($AF$21:$AF$97,C160))*(1+INDEX($AF$21:$AF$97,D160))*(1+INDEX($AF$21:$AF$97,E160))*(1+INDEX($AF$21:$AF$97,F160))-1</f>
        <v>0.413193611790502</v>
      </c>
      <c r="P160" s="489">
        <f>LN((1+L160)/(1+H160))</f>
        <v>0.0204806718994685</v>
      </c>
      <c r="Q160" s="489">
        <f>LN((1+M160)/(1+H160))</f>
        <v>0.0353612333818516</v>
      </c>
      <c r="R160" s="489">
        <f>LN((1+N160)/(1+H160))</f>
        <v>0.00287429716965675</v>
      </c>
      <c r="S160" s="542">
        <f>LN((1+O160)/(1+H160))</f>
        <v>0.000681169149942659</v>
      </c>
    </row>
    <row r="161">
      <c r="A161" s="320" t="n">
        <v>60</v>
      </c>
      <c r="B161" s="174" t="n">
        <v>7</v>
      </c>
      <c r="C161" s="174" t="n">
        <v>57</v>
      </c>
      <c r="D161" s="174" t="n">
        <v>8</v>
      </c>
      <c r="E161" s="174" t="n">
        <v>68</v>
      </c>
      <c r="F161" s="174" t="n">
        <v>45</v>
      </c>
      <c r="G161" s="68">
        <f>(1+INDEX($Z$21:$Z$97,B161))*(1+INDEX($Z$21:$Z$97,C161))*(1+INDEX($Z$21:$Z$97,D161))*(1+INDEX($Z$21:$Z$97,E161))*(1+INDEX($Z$21:$Z$97,F161))-1</f>
        <v>-0.0283374661203564</v>
      </c>
      <c r="H161" s="68">
        <f>(1+INDEX($AA$21:$AA$97,B161))*(1+INDEX($AA$21:$AA$97,C161))*(1+INDEX($AA$21:$AA$97,D161))*(1+INDEX($AA$21:$AA$97,E161))*(1+INDEX($AA$21:$AA$97,F161))-1</f>
        <v>0.0210365623424926</v>
      </c>
      <c r="I161" s="68">
        <f>(1+INDEX($AB$21:$AB$97,B161))*(1+INDEX($AB$21:$AB$97,C161))*(1+INDEX($AB$21:$AB$97,D161))*(1+INDEX($AB$21:$AB$97,E161))*(1+INDEX($AB$21:$AB$97,F161))-1</f>
        <v>-0.0090091632333319</v>
      </c>
      <c r="J161" s="489">
        <f>LN((1+G161)/(1+H161))</f>
        <v>-0.049565071038815</v>
      </c>
      <c r="K161" s="489">
        <f>LN((1+I161)/(1+H161))</f>
        <v>-0.0298683400133002</v>
      </c>
      <c r="L161" s="489">
        <f>(1+INDEX($AC$21:$AC$97,B161))*(1+INDEX($AC$21:$AC$97,C161))*(1+INDEX($AC$21:$AC$97,D161))*(1+INDEX($AC$21:$AC$97,E161))*(1+INDEX($AC$21:$AC$97,F161))-1</f>
        <v>-0.0251397042547938</v>
      </c>
      <c r="M161" s="489">
        <f>(1+INDEX($AD$21:$AD$97,B161))*(1+INDEX($AD$21:$AD$97,C161))*(1+INDEX($AD$21:$AD$97,D161))*(1+INDEX($AD$21:$AD$97,E161))*(1+INDEX($AD$21:$AD$97,F161))-1</f>
        <v>-0.00959205345110115</v>
      </c>
      <c r="N161" s="489">
        <f>(1+INDEX($AE$21:$AE$97,B161))*(1+INDEX($AE$21:$AE$97,C161))*(1+INDEX($AE$21:$AE$97,D161))*(1+INDEX($AE$21:$AE$97,E161))*(1+INDEX($AE$21:$AE$97,F161))-1</f>
        <v>-0.0277091248593532</v>
      </c>
      <c r="O161" s="489">
        <f>(1+INDEX($AF$21:$AF$97,B161))*(1+INDEX($AF$21:$AF$97,C161))*(1+INDEX($AF$21:$AF$97,D161))*(1+INDEX($AF$21:$AF$97,E161))*(1+INDEX($AF$21:$AF$97,F161))-1</f>
        <v>0.0419398542344223</v>
      </c>
      <c r="P161" s="489">
        <f>LN((1+L161)/(1+H161))</f>
        <v>-0.0462794535329501</v>
      </c>
      <c r="Q161" s="489">
        <f>LN((1+M161)/(1+H161))</f>
        <v>-0.0304567023757812</v>
      </c>
      <c r="R161" s="489">
        <f>LN((1+N161)/(1+H161))</f>
        <v>-0.0489186138964063</v>
      </c>
      <c r="S161" s="542">
        <f>LN((1+O161)/(1+H161))</f>
        <v>0.0202658713341333</v>
      </c>
    </row>
    <row r="162">
      <c r="A162" s="320" t="n">
        <v>61</v>
      </c>
      <c r="B162" s="174" t="n">
        <v>4</v>
      </c>
      <c r="C162" s="174" t="n">
        <v>46</v>
      </c>
      <c r="D162" s="174" t="n">
        <v>23</v>
      </c>
      <c r="E162" s="174" t="n">
        <v>67</v>
      </c>
      <c r="F162" s="174" t="n">
        <v>47</v>
      </c>
      <c r="G162" s="68">
        <f>(1+INDEX($Z$21:$Z$97,B162))*(1+INDEX($Z$21:$Z$97,C162))*(1+INDEX($Z$21:$Z$97,D162))*(1+INDEX($Z$21:$Z$97,E162))*(1+INDEX($Z$21:$Z$97,F162))-1</f>
        <v>0.591163074703993</v>
      </c>
      <c r="H162" s="68">
        <f>(1+INDEX($AA$21:$AA$97,B162))*(1+INDEX($AA$21:$AA$97,C162))*(1+INDEX($AA$21:$AA$97,D162))*(1+INDEX($AA$21:$AA$97,E162))*(1+INDEX($AA$21:$AA$97,F162))-1</f>
        <v>0.559836300290808</v>
      </c>
      <c r="I162" s="68">
        <f>(1+INDEX($AB$21:$AB$97,B162))*(1+INDEX($AB$21:$AB$97,C162))*(1+INDEX($AB$21:$AB$97,D162))*(1+INDEX($AB$21:$AB$97,E162))*(1+INDEX($AB$21:$AB$97,F162))-1</f>
        <v>0.605013019486967</v>
      </c>
      <c r="J162" s="489">
        <f>LN((1+G162)/(1+H162))</f>
        <v>0.0198843623013856</v>
      </c>
      <c r="K162" s="489">
        <f>LN((1+I162)/(1+H162))</f>
        <v>0.0285509883346764</v>
      </c>
      <c r="L162" s="489">
        <f>(1+INDEX($AC$21:$AC$97,B162))*(1+INDEX($AC$21:$AC$97,C162))*(1+INDEX($AC$21:$AC$97,D162))*(1+INDEX($AC$21:$AC$97,E162))*(1+INDEX($AC$21:$AC$97,F162))-1</f>
        <v>0.607892073735305</v>
      </c>
      <c r="M162" s="489">
        <f>(1+INDEX($AD$21:$AD$97,B162))*(1+INDEX($AD$21:$AD$97,C162))*(1+INDEX($AD$21:$AD$97,D162))*(1+INDEX($AD$21:$AD$97,E162))*(1+INDEX($AD$21:$AD$97,F162))-1</f>
        <v>0.567471680935918</v>
      </c>
      <c r="N162" s="489">
        <f>(1+INDEX($AE$21:$AE$97,B162))*(1+INDEX($AE$21:$AE$97,C162))*(1+INDEX($AE$21:$AE$97,D162))*(1+INDEX($AE$21:$AE$97,E162))*(1+INDEX($AE$21:$AE$97,F162))-1</f>
        <v>0.593351280737508</v>
      </c>
      <c r="O162" s="489">
        <f>(1+INDEX($AF$21:$AF$97,B162))*(1+INDEX($AF$21:$AF$97,C162))*(1+INDEX($AF$21:$AF$97,D162))*(1+INDEX($AF$21:$AF$97,E162))*(1+INDEX($AF$21:$AF$97,F162))-1</f>
        <v>0.57093224863372</v>
      </c>
      <c r="P162" s="489">
        <f>LN((1+L162)/(1+H162))</f>
        <v>0.0303431701361354</v>
      </c>
      <c r="Q162" s="489">
        <f>LN((1+M162)/(1+H162))</f>
        <v>0.0048830469288824</v>
      </c>
      <c r="R162" s="489">
        <f>LN((1+N162)/(1+H162))</f>
        <v>0.0212586417887249</v>
      </c>
      <c r="S162" s="542">
        <f>LN((1+O162)/(1+H162))</f>
        <v>0.00708835203170758</v>
      </c>
    </row>
    <row r="163">
      <c r="A163" s="320" t="n">
        <v>62</v>
      </c>
      <c r="B163" s="174" t="n">
        <v>49</v>
      </c>
      <c r="C163" s="174" t="n">
        <v>1</v>
      </c>
      <c r="D163" s="174" t="n">
        <v>67</v>
      </c>
      <c r="E163" s="174" t="n">
        <v>45</v>
      </c>
      <c r="F163" s="174" t="n">
        <v>75</v>
      </c>
      <c r="G163" s="68">
        <f>(1+INDEX($Z$21:$Z$97,B163))*(1+INDEX($Z$21:$Z$97,C163))*(1+INDEX($Z$21:$Z$97,D163))*(1+INDEX($Z$21:$Z$97,E163))*(1+INDEX($Z$21:$Z$97,F163))-1</f>
        <v>0.544922916652882</v>
      </c>
      <c r="H163" s="68">
        <f>(1+INDEX($AA$21:$AA$97,B163))*(1+INDEX($AA$21:$AA$97,C163))*(1+INDEX($AA$21:$AA$97,D163))*(1+INDEX($AA$21:$AA$97,E163))*(1+INDEX($AA$21:$AA$97,F163))-1</f>
        <v>0.501426206096604</v>
      </c>
      <c r="I163" s="68">
        <f>(1+INDEX($AB$21:$AB$97,B163))*(1+INDEX($AB$21:$AB$97,C163))*(1+INDEX($AB$21:$AB$97,D163))*(1+INDEX($AB$21:$AB$97,E163))*(1+INDEX($AB$21:$AB$97,F163))-1</f>
        <v>0.552240237835997</v>
      </c>
      <c r="J163" s="489">
        <f>LN((1+G163)/(1+H163))</f>
        <v>0.0285585565263014</v>
      </c>
      <c r="K163" s="489">
        <f>LN((1+I163)/(1+H163))</f>
        <v>0.0332837417573209</v>
      </c>
      <c r="L163" s="489">
        <f>(1+INDEX($AC$21:$AC$97,B163))*(1+INDEX($AC$21:$AC$97,C163))*(1+INDEX($AC$21:$AC$97,D163))*(1+INDEX($AC$21:$AC$97,E163))*(1+INDEX($AC$21:$AC$97,F163))-1</f>
        <v>0.54352669807588</v>
      </c>
      <c r="M163" s="489">
        <f>(1+INDEX($AD$21:$AD$97,B163))*(1+INDEX($AD$21:$AD$97,C163))*(1+INDEX($AD$21:$AD$97,D163))*(1+INDEX($AD$21:$AD$97,E163))*(1+INDEX($AD$21:$AD$97,F163))-1</f>
        <v>0.539504123378109</v>
      </c>
      <c r="N163" s="489">
        <f>(1+INDEX($AE$21:$AE$97,B163))*(1+INDEX($AE$21:$AE$97,C163))*(1+INDEX($AE$21:$AE$97,D163))*(1+INDEX($AE$21:$AE$97,E163))*(1+INDEX($AE$21:$AE$97,F163))-1</f>
        <v>0.542181665067751</v>
      </c>
      <c r="O163" s="489">
        <f>(1+INDEX($AF$21:$AF$97,B163))*(1+INDEX($AF$21:$AF$97,C163))*(1+INDEX($AF$21:$AF$97,D163))*(1+INDEX($AF$21:$AF$97,E163))*(1+INDEX($AF$21:$AF$97,F163))-1</f>
        <v>0.503452313544999</v>
      </c>
      <c r="P163" s="489">
        <f>LN((1+L163)/(1+H163))</f>
        <v>0.0276544014671023</v>
      </c>
      <c r="Q163" s="489">
        <f>LN((1+M163)/(1+H163))</f>
        <v>0.0250449063219936</v>
      </c>
      <c r="R163" s="489">
        <f>LN((1+N163)/(1+H163))</f>
        <v>0.0267826190852154</v>
      </c>
      <c r="S163" s="542">
        <f>LN((1+O163)/(1+H163))</f>
        <v>0.0013485455350049</v>
      </c>
    </row>
    <row r="164">
      <c r="A164" s="320" t="n">
        <v>63</v>
      </c>
      <c r="B164" s="174" t="n">
        <v>20</v>
      </c>
      <c r="C164" s="174" t="n">
        <v>52</v>
      </c>
      <c r="D164" s="174" t="n">
        <v>1</v>
      </c>
      <c r="E164" s="174" t="n">
        <v>74</v>
      </c>
      <c r="F164" s="174" t="n">
        <v>63</v>
      </c>
      <c r="G164" s="68">
        <f>(1+INDEX($Z$21:$Z$97,B164))*(1+INDEX($Z$21:$Z$97,C164))*(1+INDEX($Z$21:$Z$97,D164))*(1+INDEX($Z$21:$Z$97,E164))*(1+INDEX($Z$21:$Z$97,F164))-1</f>
        <v>0.30864671987616</v>
      </c>
      <c r="H164" s="68">
        <f>(1+INDEX($AA$21:$AA$97,B164))*(1+INDEX($AA$21:$AA$97,C164))*(1+INDEX($AA$21:$AA$97,D164))*(1+INDEX($AA$21:$AA$97,E164))*(1+INDEX($AA$21:$AA$97,F164))-1</f>
        <v>0.263004358531095</v>
      </c>
      <c r="I164" s="68">
        <f>(1+INDEX($AB$21:$AB$97,B164))*(1+INDEX($AB$21:$AB$97,C164))*(1+INDEX($AB$21:$AB$97,D164))*(1+INDEX($AB$21:$AB$97,E164))*(1+INDEX($AB$21:$AB$97,F164))-1</f>
        <v>0.277804130287537</v>
      </c>
      <c r="J164" s="489">
        <f>LN((1+G164)/(1+H164))</f>
        <v>0.0355002707012507</v>
      </c>
      <c r="K164" s="489">
        <f>LN((1+I164)/(1+H164))</f>
        <v>0.0116497872260592</v>
      </c>
      <c r="L164" s="489">
        <f>(1+INDEX($AC$21:$AC$97,B164))*(1+INDEX($AC$21:$AC$97,C164))*(1+INDEX($AC$21:$AC$97,D164))*(1+INDEX($AC$21:$AC$97,E164))*(1+INDEX($AC$21:$AC$97,F164))-1</f>
        <v>0.272971164722224</v>
      </c>
      <c r="M164" s="489">
        <f>(1+INDEX($AD$21:$AD$97,B164))*(1+INDEX($AD$21:$AD$97,C164))*(1+INDEX($AD$21:$AD$97,D164))*(1+INDEX($AD$21:$AD$97,E164))*(1+INDEX($AD$21:$AD$97,F164))-1</f>
        <v>0.260963416708515</v>
      </c>
      <c r="N164" s="489">
        <f>(1+INDEX($AE$21:$AE$97,B164))*(1+INDEX($AE$21:$AE$97,C164))*(1+INDEX($AE$21:$AE$97,D164))*(1+INDEX($AE$21:$AE$97,E164))*(1+INDEX($AE$21:$AE$97,F164))-1</f>
        <v>0.275610027106453</v>
      </c>
      <c r="O164" s="489">
        <f>(1+INDEX($AF$21:$AF$97,B164))*(1+INDEX($AF$21:$AF$97,C164))*(1+INDEX($AF$21:$AF$97,D164))*(1+INDEX($AF$21:$AF$97,E164))*(1+INDEX($AF$21:$AF$97,F164))-1</f>
        <v>0.254077321426669</v>
      </c>
      <c r="P164" s="489">
        <f>LN((1+L164)/(1+H164))</f>
        <v>0.00786037358536959</v>
      </c>
      <c r="Q164" s="489">
        <f>LN((1+M164)/(1+H164))</f>
        <v>-0.00161724906905768</v>
      </c>
      <c r="R164" s="489">
        <f>LN((1+N164)/(1+H164))</f>
        <v>0.00993122252338638</v>
      </c>
      <c r="S164" s="542">
        <f>LN((1+O164)/(1+H164))</f>
        <v>-0.00709319415783077</v>
      </c>
    </row>
    <row r="165">
      <c r="A165" s="320" t="n">
        <v>64</v>
      </c>
      <c r="B165" s="174" t="n">
        <v>67</v>
      </c>
      <c r="C165" s="174" t="n">
        <v>37</v>
      </c>
      <c r="D165" s="174" t="n">
        <v>62</v>
      </c>
      <c r="E165" s="174" t="n">
        <v>38</v>
      </c>
      <c r="F165" s="174" t="n">
        <v>73</v>
      </c>
      <c r="G165" s="68">
        <f>(1+INDEX($Z$21:$Z$97,B165))*(1+INDEX($Z$21:$Z$97,C165))*(1+INDEX($Z$21:$Z$97,D165))*(1+INDEX($Z$21:$Z$97,E165))*(1+INDEX($Z$21:$Z$97,F165))-1</f>
        <v>0.0934224886439028</v>
      </c>
      <c r="H165" s="68">
        <f>(1+INDEX($AA$21:$AA$97,B165))*(1+INDEX($AA$21:$AA$97,C165))*(1+INDEX($AA$21:$AA$97,D165))*(1+INDEX($AA$21:$AA$97,E165))*(1+INDEX($AA$21:$AA$97,F165))-1</f>
        <v>0.10422310685847</v>
      </c>
      <c r="I165" s="68">
        <f>(1+INDEX($AB$21:$AB$97,B165))*(1+INDEX($AB$21:$AB$97,C165))*(1+INDEX($AB$21:$AB$97,D165))*(1+INDEX($AB$21:$AB$97,E165))*(1+INDEX($AB$21:$AB$97,F165))-1</f>
        <v>0.100067787589434</v>
      </c>
      <c r="J165" s="489">
        <f>LN((1+G165)/(1+H165))</f>
        <v>-0.00982934208853181</v>
      </c>
      <c r="K165" s="489">
        <f>LN((1+I165)/(1+H165))</f>
        <v>-0.00377021399639649</v>
      </c>
      <c r="L165" s="489">
        <f>(1+INDEX($AC$21:$AC$97,B165))*(1+INDEX($AC$21:$AC$97,C165))*(1+INDEX($AC$21:$AC$97,D165))*(1+INDEX($AC$21:$AC$97,E165))*(1+INDEX($AC$21:$AC$97,F165))-1</f>
        <v>0.109170022561824</v>
      </c>
      <c r="M165" s="489">
        <f>(1+INDEX($AD$21:$AD$97,B165))*(1+INDEX($AD$21:$AD$97,C165))*(1+INDEX($AD$21:$AD$97,D165))*(1+INDEX($AD$21:$AD$97,E165))*(1+INDEX($AD$21:$AD$97,F165))-1</f>
        <v>0.086160480832731</v>
      </c>
      <c r="N165" s="489">
        <f>(1+INDEX($AE$21:$AE$97,B165))*(1+INDEX($AE$21:$AE$97,C165))*(1+INDEX($AE$21:$AE$97,D165))*(1+INDEX($AE$21:$AE$97,E165))*(1+INDEX($AE$21:$AE$97,F165))-1</f>
        <v>0.112104016646455</v>
      </c>
      <c r="O165" s="489">
        <f>(1+INDEX($AF$21:$AF$97,B165))*(1+INDEX($AF$21:$AF$97,C165))*(1+INDEX($AF$21:$AF$97,D165))*(1+INDEX($AF$21:$AF$97,E165))*(1+INDEX($AF$21:$AF$97,F165))-1</f>
        <v>0.0633214382717837</v>
      </c>
      <c r="P165" s="489">
        <f>LN((1+L165)/(1+H165))</f>
        <v>0.00446999123160702</v>
      </c>
      <c r="Q165" s="489">
        <f>LN((1+M165)/(1+H165))</f>
        <v>-0.0164930339829708</v>
      </c>
      <c r="R165" s="489">
        <f>LN((1+N165)/(1+H165))</f>
        <v>0.00711171462019552</v>
      </c>
      <c r="S165" s="542">
        <f>LN((1+O165)/(1+H165))</f>
        <v>-0.0377445754954642</v>
      </c>
    </row>
    <row r="166">
      <c r="A166" s="320" t="n">
        <v>65</v>
      </c>
      <c r="B166" s="174" t="n">
        <v>43</v>
      </c>
      <c r="C166" s="174" t="n">
        <v>51</v>
      </c>
      <c r="D166" s="174" t="n">
        <v>1</v>
      </c>
      <c r="E166" s="174" t="n">
        <v>75</v>
      </c>
      <c r="F166" s="174" t="n">
        <v>46</v>
      </c>
      <c r="G166" s="68">
        <f>(1+INDEX($Z$21:$Z$97,B166))*(1+INDEX($Z$21:$Z$97,C166))*(1+INDEX($Z$21:$Z$97,D166))*(1+INDEX($Z$21:$Z$97,E166))*(1+INDEX($Z$21:$Z$97,F166))-1</f>
        <v>0.586589971397694</v>
      </c>
      <c r="H166" s="68">
        <f>(1+INDEX($AA$21:$AA$97,B166))*(1+INDEX($AA$21:$AA$97,C166))*(1+INDEX($AA$21:$AA$97,D166))*(1+INDEX($AA$21:$AA$97,E166))*(1+INDEX($AA$21:$AA$97,F166))-1</f>
        <v>0.520017866751552</v>
      </c>
      <c r="I166" s="68">
        <f>(1+INDEX($AB$21:$AB$97,B166))*(1+INDEX($AB$21:$AB$97,C166))*(1+INDEX($AB$21:$AB$97,D166))*(1+INDEX($AB$21:$AB$97,E166))*(1+INDEX($AB$21:$AB$97,F166))-1</f>
        <v>0.582160911586137</v>
      </c>
      <c r="J166" s="489">
        <f>LN((1+G166)/(1+H166))</f>
        <v>0.0428649518216238</v>
      </c>
      <c r="K166" s="489">
        <f>LN((1+I166)/(1+H166))</f>
        <v>0.0400694889661355</v>
      </c>
      <c r="L166" s="489">
        <f>(1+INDEX($AC$21:$AC$97,B166))*(1+INDEX($AC$21:$AC$97,C166))*(1+INDEX($AC$21:$AC$97,D166))*(1+INDEX($AC$21:$AC$97,E166))*(1+INDEX($AC$21:$AC$97,F166))-1</f>
        <v>0.568120808787518</v>
      </c>
      <c r="M166" s="489">
        <f>(1+INDEX($AD$21:$AD$97,B166))*(1+INDEX($AD$21:$AD$97,C166))*(1+INDEX($AD$21:$AD$97,D166))*(1+INDEX($AD$21:$AD$97,E166))*(1+INDEX($AD$21:$AD$97,F166))-1</f>
        <v>0.573077914783194</v>
      </c>
      <c r="N166" s="489">
        <f>(1+INDEX($AE$21:$AE$97,B166))*(1+INDEX($AE$21:$AE$97,C166))*(1+INDEX($AE$21:$AE$97,D166))*(1+INDEX($AE$21:$AE$97,E166))*(1+INDEX($AE$21:$AE$97,F166))-1</f>
        <v>0.558900005467165</v>
      </c>
      <c r="O166" s="489">
        <f>(1+INDEX($AF$21:$AF$97,B166))*(1+INDEX($AF$21:$AF$97,C166))*(1+INDEX($AF$21:$AF$97,D166))*(1+INDEX($AF$21:$AF$97,E166))*(1+INDEX($AF$21:$AF$97,F166))-1</f>
        <v>0.533750365633486</v>
      </c>
      <c r="P166" s="489">
        <f>LN((1+L166)/(1+H166))</f>
        <v>0.031155876149991</v>
      </c>
      <c r="Q166" s="489">
        <f>LN((1+M166)/(1+H166))</f>
        <v>0.0343120662206866</v>
      </c>
      <c r="R166" s="489">
        <f>LN((1+N166)/(1+H166))</f>
        <v>0.0252583586126514</v>
      </c>
      <c r="S166" s="542">
        <f>LN((1+O166)/(1+H166))</f>
        <v>0.00899386620388379</v>
      </c>
    </row>
    <row r="167">
      <c r="A167" s="320" t="n">
        <v>66</v>
      </c>
      <c r="B167" s="174" t="n">
        <v>7</v>
      </c>
      <c r="C167" s="174" t="n">
        <v>42</v>
      </c>
      <c r="D167" s="174" t="n">
        <v>66</v>
      </c>
      <c r="E167" s="174" t="n">
        <v>68</v>
      </c>
      <c r="F167" s="174" t="n">
        <v>57</v>
      </c>
      <c r="G167" s="68">
        <f>(1+INDEX($Z$21:$Z$97,B167))*(1+INDEX($Z$21:$Z$97,C167))*(1+INDEX($Z$21:$Z$97,D167))*(1+INDEX($Z$21:$Z$97,E167))*(1+INDEX($Z$21:$Z$97,F167))-1</f>
        <v>0.399609593404213</v>
      </c>
      <c r="H167" s="68">
        <f>(1+INDEX($AA$21:$AA$97,B167))*(1+INDEX($AA$21:$AA$97,C167))*(1+INDEX($AA$21:$AA$97,D167))*(1+INDEX($AA$21:$AA$97,E167))*(1+INDEX($AA$21:$AA$97,F167))-1</f>
        <v>0.38490665625216</v>
      </c>
      <c r="I167" s="68">
        <f>(1+INDEX($AB$21:$AB$97,B167))*(1+INDEX($AB$21:$AB$97,C167))*(1+INDEX($AB$21:$AB$97,D167))*(1+INDEX($AB$21:$AB$97,E167))*(1+INDEX($AB$21:$AB$97,F167))-1</f>
        <v>0.398999455871511</v>
      </c>
      <c r="J167" s="489">
        <f>LN((1+G167)/(1+H167))</f>
        <v>0.0105605947176338</v>
      </c>
      <c r="K167" s="489">
        <f>LN((1+I167)/(1+H167))</f>
        <v>0.0101245655819979</v>
      </c>
      <c r="L167" s="489">
        <f>(1+INDEX($AC$21:$AC$97,B167))*(1+INDEX($AC$21:$AC$97,C167))*(1+INDEX($AC$21:$AC$97,D167))*(1+INDEX($AC$21:$AC$97,E167))*(1+INDEX($AC$21:$AC$97,F167))-1</f>
        <v>0.40208303030367</v>
      </c>
      <c r="M167" s="489">
        <f>(1+INDEX($AD$21:$AD$97,B167))*(1+INDEX($AD$21:$AD$97,C167))*(1+INDEX($AD$21:$AD$97,D167))*(1+INDEX($AD$21:$AD$97,E167))*(1+INDEX($AD$21:$AD$97,F167))-1</f>
        <v>0.387578266205458</v>
      </c>
      <c r="N167" s="489">
        <f>(1+INDEX($AE$21:$AE$97,B167))*(1+INDEX($AE$21:$AE$97,C167))*(1+INDEX($AE$21:$AE$97,D167))*(1+INDEX($AE$21:$AE$97,E167))*(1+INDEX($AE$21:$AE$97,F167))-1</f>
        <v>0.406127031426763</v>
      </c>
      <c r="O167" s="489">
        <f>(1+INDEX($AF$21:$AF$97,B167))*(1+INDEX($AF$21:$AF$97,C167))*(1+INDEX($AF$21:$AF$97,D167))*(1+INDEX($AF$21:$AF$97,E167))*(1+INDEX($AF$21:$AF$97,F167))-1</f>
        <v>0.422621689685733</v>
      </c>
      <c r="P167" s="489">
        <f>LN((1+L167)/(1+H167))</f>
        <v>0.0123262684543786</v>
      </c>
      <c r="Q167" s="489">
        <f>LN((1+M167)/(1+H167))</f>
        <v>0.00192723196333349</v>
      </c>
      <c r="R167" s="489">
        <f>LN((1+N167)/(1+H167))</f>
        <v>0.0152063976681208</v>
      </c>
      <c r="S167" s="542">
        <f>LN((1+O167)/(1+H167))</f>
        <v>0.0268686885512287</v>
      </c>
    </row>
    <row r="168">
      <c r="A168" s="320" t="n">
        <v>67</v>
      </c>
      <c r="B168" s="174" t="n">
        <v>50</v>
      </c>
      <c r="C168" s="174" t="n">
        <v>67</v>
      </c>
      <c r="D168" s="174" t="n">
        <v>11</v>
      </c>
      <c r="E168" s="174" t="n">
        <v>1</v>
      </c>
      <c r="F168" s="174" t="n">
        <v>75</v>
      </c>
      <c r="G168" s="68">
        <f>(1+INDEX($Z$21:$Z$97,B168))*(1+INDEX($Z$21:$Z$97,C168))*(1+INDEX($Z$21:$Z$97,D168))*(1+INDEX($Z$21:$Z$97,E168))*(1+INDEX($Z$21:$Z$97,F168))-1</f>
        <v>0.462919474369709</v>
      </c>
      <c r="H168" s="68">
        <f>(1+INDEX($AA$21:$AA$97,B168))*(1+INDEX($AA$21:$AA$97,C168))*(1+INDEX($AA$21:$AA$97,D168))*(1+INDEX($AA$21:$AA$97,E168))*(1+INDEX($AA$21:$AA$97,F168))-1</f>
        <v>0.400145232785417</v>
      </c>
      <c r="I168" s="68">
        <f>(1+INDEX($AB$21:$AB$97,B168))*(1+INDEX($AB$21:$AB$97,C168))*(1+INDEX($AB$21:$AB$97,D168))*(1+INDEX($AB$21:$AB$97,E168))*(1+INDEX($AB$21:$AB$97,F168))-1</f>
        <v>0.404370233244162</v>
      </c>
      <c r="J168" s="489">
        <f>LN((1+G168)/(1+H168))</f>
        <v>0.0438581101360114</v>
      </c>
      <c r="K168" s="489">
        <f>LN((1+I168)/(1+H168))</f>
        <v>0.00301300078833212</v>
      </c>
      <c r="L168" s="489">
        <f>(1+INDEX($AC$21:$AC$97,B168))*(1+INDEX($AC$21:$AC$97,C168))*(1+INDEX($AC$21:$AC$97,D168))*(1+INDEX($AC$21:$AC$97,E168))*(1+INDEX($AC$21:$AC$97,F168))-1</f>
        <v>0.40002932684732</v>
      </c>
      <c r="M168" s="489">
        <f>(1+INDEX($AD$21:$AD$97,B168))*(1+INDEX($AD$21:$AD$97,C168))*(1+INDEX($AD$21:$AD$97,D168))*(1+INDEX($AD$21:$AD$97,E168))*(1+INDEX($AD$21:$AD$97,F168))-1</f>
        <v>0.426337048564386</v>
      </c>
      <c r="N168" s="489">
        <f>(1+INDEX($AE$21:$AE$97,B168))*(1+INDEX($AE$21:$AE$97,C168))*(1+INDEX($AE$21:$AE$97,D168))*(1+INDEX($AE$21:$AE$97,E168))*(1+INDEX($AE$21:$AE$97,F168))-1</f>
        <v>0.399372474844893</v>
      </c>
      <c r="O168" s="489">
        <f>(1+INDEX($AF$21:$AF$97,B168))*(1+INDEX($AF$21:$AF$97,C168))*(1+INDEX($AF$21:$AF$97,D168))*(1+INDEX($AF$21:$AF$97,E168))*(1+INDEX($AF$21:$AF$97,F168))-1</f>
        <v>0.450624559671105</v>
      </c>
      <c r="P168" s="489">
        <f>LN((1+L168)/(1+H168))</f>
        <v>-8.27847948014874e-05</v>
      </c>
      <c r="Q168" s="489">
        <f>LN((1+M168)/(1+H168))</f>
        <v>0.0185336845609792</v>
      </c>
      <c r="R168" s="489">
        <f>LN((1+N168)/(1+H168))</f>
        <v>-0.000552065063239181</v>
      </c>
      <c r="S168" s="542">
        <f>LN((1+O168)/(1+H168))</f>
        <v>0.0354182255575576</v>
      </c>
    </row>
    <row r="169">
      <c r="A169" s="320" t="n">
        <v>68</v>
      </c>
      <c r="B169" s="174" t="n">
        <v>61</v>
      </c>
      <c r="C169" s="174" t="n">
        <v>50</v>
      </c>
      <c r="D169" s="174" t="n">
        <v>13</v>
      </c>
      <c r="E169" s="174" t="n">
        <v>5</v>
      </c>
      <c r="F169" s="174" t="n">
        <v>17</v>
      </c>
      <c r="G169" s="68">
        <f>(1+INDEX($Z$21:$Z$97,B169))*(1+INDEX($Z$21:$Z$97,C169))*(1+INDEX($Z$21:$Z$97,D169))*(1+INDEX($Z$21:$Z$97,E169))*(1+INDEX($Z$21:$Z$97,F169))-1</f>
        <v>0.43265586988175</v>
      </c>
      <c r="H169" s="68">
        <f>(1+INDEX($AA$21:$AA$97,B169))*(1+INDEX($AA$21:$AA$97,C169))*(1+INDEX($AA$21:$AA$97,D169))*(1+INDEX($AA$21:$AA$97,E169))*(1+INDEX($AA$21:$AA$97,F169))-1</f>
        <v>0.365878624808002</v>
      </c>
      <c r="I169" s="68">
        <f>(1+INDEX($AB$21:$AB$97,B169))*(1+INDEX($AB$21:$AB$97,C169))*(1+INDEX($AB$21:$AB$97,D169))*(1+INDEX($AB$21:$AB$97,E169))*(1+INDEX($AB$21:$AB$97,F169))-1</f>
        <v>0.365426878641149</v>
      </c>
      <c r="J169" s="489">
        <f>LN((1+G169)/(1+H169))</f>
        <v>0.047732070636917</v>
      </c>
      <c r="K169" s="489">
        <f>LN((1+I169)/(1+H169))</f>
        <v>-0.00033079138924708</v>
      </c>
      <c r="L169" s="489">
        <f>(1+INDEX($AC$21:$AC$97,B169))*(1+INDEX($AC$21:$AC$97,C169))*(1+INDEX($AC$21:$AC$97,D169))*(1+INDEX($AC$21:$AC$97,E169))*(1+INDEX($AC$21:$AC$97,F169))-1</f>
        <v>0.376807401918931</v>
      </c>
      <c r="M169" s="489">
        <f>(1+INDEX($AD$21:$AD$97,B169))*(1+INDEX($AD$21:$AD$97,C169))*(1+INDEX($AD$21:$AD$97,D169))*(1+INDEX($AD$21:$AD$97,E169))*(1+INDEX($AD$21:$AD$97,F169))-1</f>
        <v>0.339286785372747</v>
      </c>
      <c r="N169" s="489">
        <f>(1+INDEX($AE$21:$AE$97,B169))*(1+INDEX($AE$21:$AE$97,C169))*(1+INDEX($AE$21:$AE$97,D169))*(1+INDEX($AE$21:$AE$97,E169))*(1+INDEX($AE$21:$AE$97,F169))-1</f>
        <v>0.366673364559811</v>
      </c>
      <c r="O169" s="489">
        <f>(1+INDEX($AF$21:$AF$97,B169))*(1+INDEX($AF$21:$AF$97,C169))*(1+INDEX($AF$21:$AF$97,D169))*(1+INDEX($AF$21:$AF$97,E169))*(1+INDEX($AF$21:$AF$97,F169))-1</f>
        <v>0.34176394463817</v>
      </c>
      <c r="P169" s="489">
        <f>LN((1+L169)/(1+H169))</f>
        <v>0.00796943933553422</v>
      </c>
      <c r="Q169" s="489">
        <f>LN((1+M169)/(1+H169))</f>
        <v>-0.019660680195246</v>
      </c>
      <c r="R169" s="489">
        <f>LN((1+N169)/(1+H169))</f>
        <v>0.000581683186493968</v>
      </c>
      <c r="S169" s="542">
        <f>LN((1+O169)/(1+H169))</f>
        <v>-0.017812777846663</v>
      </c>
    </row>
    <row r="170">
      <c r="A170" s="320" t="n">
        <v>69</v>
      </c>
      <c r="B170" s="174" t="n">
        <v>38</v>
      </c>
      <c r="C170" s="174" t="n">
        <v>29</v>
      </c>
      <c r="D170" s="174" t="n">
        <v>10</v>
      </c>
      <c r="E170" s="174" t="n">
        <v>51</v>
      </c>
      <c r="F170" s="174" t="n">
        <v>22</v>
      </c>
      <c r="G170" s="68">
        <f>(1+INDEX($Z$21:$Z$97,B170))*(1+INDEX($Z$21:$Z$97,C170))*(1+INDEX($Z$21:$Z$97,D170))*(1+INDEX($Z$21:$Z$97,E170))*(1+INDEX($Z$21:$Z$97,F170))-1</f>
        <v>0.206676925737086</v>
      </c>
      <c r="H170" s="68">
        <f>(1+INDEX($AA$21:$AA$97,B170))*(1+INDEX($AA$21:$AA$97,C170))*(1+INDEX($AA$21:$AA$97,D170))*(1+INDEX($AA$21:$AA$97,E170))*(1+INDEX($AA$21:$AA$97,F170))-1</f>
        <v>0.212981386454165</v>
      </c>
      <c r="I170" s="68">
        <f>(1+INDEX($AB$21:$AB$97,B170))*(1+INDEX($AB$21:$AB$97,C170))*(1+INDEX($AB$21:$AB$97,D170))*(1+INDEX($AB$21:$AB$97,E170))*(1+INDEX($AB$21:$AB$97,F170))-1</f>
        <v>0.209116296869841</v>
      </c>
      <c r="J170" s="489">
        <f>LN((1+G170)/(1+H170))</f>
        <v>-0.00521104566853509</v>
      </c>
      <c r="K170" s="489">
        <f>LN((1+I170)/(1+H170))</f>
        <v>-0.0031915251739824</v>
      </c>
      <c r="L170" s="489">
        <f>(1+INDEX($AC$21:$AC$97,B170))*(1+INDEX($AC$21:$AC$97,C170))*(1+INDEX($AC$21:$AC$97,D170))*(1+INDEX($AC$21:$AC$97,E170))*(1+INDEX($AC$21:$AC$97,F170))-1</f>
        <v>0.187697337422294</v>
      </c>
      <c r="M170" s="489">
        <f>(1+INDEX($AD$21:$AD$97,B170))*(1+INDEX($AD$21:$AD$97,C170))*(1+INDEX($AD$21:$AD$97,D170))*(1+INDEX($AD$21:$AD$97,E170))*(1+INDEX($AD$21:$AD$97,F170))-1</f>
        <v>0.240682414218061</v>
      </c>
      <c r="N170" s="489">
        <f>(1+INDEX($AE$21:$AE$97,B170))*(1+INDEX($AE$21:$AE$97,C170))*(1+INDEX($AE$21:$AE$97,D170))*(1+INDEX($AE$21:$AE$97,E170))*(1+INDEX($AE$21:$AE$97,F170))-1</f>
        <v>0.183427855733752</v>
      </c>
      <c r="O170" s="489">
        <f>(1+INDEX($AF$21:$AF$97,B170))*(1+INDEX($AF$21:$AF$97,C170))*(1+INDEX($AF$21:$AF$97,D170))*(1+INDEX($AF$21:$AF$97,E170))*(1+INDEX($AF$21:$AF$97,F170))-1</f>
        <v>0.242393455551065</v>
      </c>
      <c r="P170" s="489">
        <f>LN((1+L170)/(1+H170))</f>
        <v>-0.0210648627916141</v>
      </c>
      <c r="Q170" s="489">
        <f>LN((1+M170)/(1+H170))</f>
        <v>0.0225802774914999</v>
      </c>
      <c r="R170" s="489">
        <f>LN((1+N170)/(1+H170))</f>
        <v>-0.0246660950800328</v>
      </c>
      <c r="S170" s="542">
        <f>LN((1+O170)/(1+H170))</f>
        <v>0.0239584404583711</v>
      </c>
    </row>
    <row r="171">
      <c r="A171" s="320" t="n">
        <v>70</v>
      </c>
      <c r="B171" s="174" t="n">
        <v>21</v>
      </c>
      <c r="C171" s="174" t="n">
        <v>53</v>
      </c>
      <c r="D171" s="174" t="n">
        <v>41</v>
      </c>
      <c r="E171" s="174" t="n">
        <v>28</v>
      </c>
      <c r="F171" s="174" t="n">
        <v>70</v>
      </c>
      <c r="G171" s="68">
        <f>(1+INDEX($Z$21:$Z$97,B171))*(1+INDEX($Z$21:$Z$97,C171))*(1+INDEX($Z$21:$Z$97,D171))*(1+INDEX($Z$21:$Z$97,E171))*(1+INDEX($Z$21:$Z$97,F171))-1</f>
        <v>0.442994102184596</v>
      </c>
      <c r="H171" s="68">
        <f>(1+INDEX($AA$21:$AA$97,B171))*(1+INDEX($AA$21:$AA$97,C171))*(1+INDEX($AA$21:$AA$97,D171))*(1+INDEX($AA$21:$AA$97,E171))*(1+INDEX($AA$21:$AA$97,F171))-1</f>
        <v>0.498512261425362</v>
      </c>
      <c r="I171" s="68">
        <f>(1+INDEX($AB$21:$AB$97,B171))*(1+INDEX($AB$21:$AB$97,C171))*(1+INDEX($AB$21:$AB$97,D171))*(1+INDEX($AB$21:$AB$97,E171))*(1+INDEX($AB$21:$AB$97,F171))-1</f>
        <v>0.516051376925629</v>
      </c>
      <c r="J171" s="489">
        <f>LN((1+G171)/(1+H171))</f>
        <v>-0.0377525976139265</v>
      </c>
      <c r="K171" s="489">
        <f>LN((1+I171)/(1+H171))</f>
        <v>0.0116363862314195</v>
      </c>
      <c r="L171" s="489">
        <f>(1+INDEX($AC$21:$AC$97,B171))*(1+INDEX($AC$21:$AC$97,C171))*(1+INDEX($AC$21:$AC$97,D171))*(1+INDEX($AC$21:$AC$97,E171))*(1+INDEX($AC$21:$AC$97,F171))-1</f>
        <v>0.518396014682691</v>
      </c>
      <c r="M171" s="489">
        <f>(1+INDEX($AD$21:$AD$97,B171))*(1+INDEX($AD$21:$AD$97,C171))*(1+INDEX($AD$21:$AD$97,D171))*(1+INDEX($AD$21:$AD$97,E171))*(1+INDEX($AD$21:$AD$97,F171))-1</f>
        <v>0.517728639406166</v>
      </c>
      <c r="N171" s="489">
        <f>(1+INDEX($AE$21:$AE$97,B171))*(1+INDEX($AE$21:$AE$97,C171))*(1+INDEX($AE$21:$AE$97,D171))*(1+INDEX($AE$21:$AE$97,E171))*(1+INDEX($AE$21:$AE$97,F171))-1</f>
        <v>0.523985068194581</v>
      </c>
      <c r="O171" s="489">
        <f>(1+INDEX($AF$21:$AF$97,B171))*(1+INDEX($AF$21:$AF$97,C171))*(1+INDEX($AF$21:$AF$97,D171))*(1+INDEX($AF$21:$AF$97,E171))*(1+INDEX($AF$21:$AF$97,F171))-1</f>
        <v>0.523655221074734</v>
      </c>
      <c r="P171" s="489">
        <f>LN((1+L171)/(1+H171))</f>
        <v>0.0131817339808309</v>
      </c>
      <c r="Q171" s="489">
        <f>LN((1+M171)/(1+H171))</f>
        <v>0.0127421108669551</v>
      </c>
      <c r="R171" s="489">
        <f>LN((1+N171)/(1+H171))</f>
        <v>0.0168558692367262</v>
      </c>
      <c r="S171" s="542">
        <f>LN((1+O171)/(1+H171))</f>
        <v>0.0166394085721938</v>
      </c>
    </row>
    <row r="172">
      <c r="A172" s="320" t="n">
        <v>71</v>
      </c>
      <c r="B172" s="174" t="n">
        <v>10</v>
      </c>
      <c r="C172" s="174" t="n">
        <v>73</v>
      </c>
      <c r="D172" s="174" t="n">
        <v>31</v>
      </c>
      <c r="E172" s="174" t="n">
        <v>56</v>
      </c>
      <c r="F172" s="174" t="n">
        <v>19</v>
      </c>
      <c r="G172" s="68">
        <f>(1+INDEX($Z$21:$Z$97,B172))*(1+INDEX($Z$21:$Z$97,C172))*(1+INDEX($Z$21:$Z$97,D172))*(1+INDEX($Z$21:$Z$97,E172))*(1+INDEX($Z$21:$Z$97,F172))-1</f>
        <v>0.0158877059261118</v>
      </c>
      <c r="H172" s="68">
        <f>(1+INDEX($AA$21:$AA$97,B172))*(1+INDEX($AA$21:$AA$97,C172))*(1+INDEX($AA$21:$AA$97,D172))*(1+INDEX($AA$21:$AA$97,E172))*(1+INDEX($AA$21:$AA$97,F172))-1</f>
        <v>0.0588900637463621</v>
      </c>
      <c r="I172" s="68">
        <f>(1+INDEX($AB$21:$AB$97,B172))*(1+INDEX($AB$21:$AB$97,C172))*(1+INDEX($AB$21:$AB$97,D172))*(1+INDEX($AB$21:$AB$97,E172))*(1+INDEX($AB$21:$AB$97,F172))-1</f>
        <v>0.0428820575007731</v>
      </c>
      <c r="J172" s="489">
        <f>LN((1+G172)/(1+H172))</f>
        <v>-0.0414584324637975</v>
      </c>
      <c r="K172" s="489">
        <f>LN((1+I172)/(1+H172))</f>
        <v>-0.0152331602805819</v>
      </c>
      <c r="L172" s="489">
        <f>(1+INDEX($AC$21:$AC$97,B172))*(1+INDEX($AC$21:$AC$97,C172))*(1+INDEX($AC$21:$AC$97,D172))*(1+INDEX($AC$21:$AC$97,E172))*(1+INDEX($AC$21:$AC$97,F172))-1</f>
        <v>0.022031327292201</v>
      </c>
      <c r="M172" s="489">
        <f>(1+INDEX($AD$21:$AD$97,B172))*(1+INDEX($AD$21:$AD$97,C172))*(1+INDEX($AD$21:$AD$97,D172))*(1+INDEX($AD$21:$AD$97,E172))*(1+INDEX($AD$21:$AD$97,F172))-1</f>
        <v>0.0686740247312594</v>
      </c>
      <c r="N172" s="489">
        <f>(1+INDEX($AE$21:$AE$97,B172))*(1+INDEX($AE$21:$AE$97,C172))*(1+INDEX($AE$21:$AE$97,D172))*(1+INDEX($AE$21:$AE$97,E172))*(1+INDEX($AE$21:$AE$97,F172))-1</f>
        <v>0.0142633321453725</v>
      </c>
      <c r="O172" s="489">
        <f>(1+INDEX($AF$21:$AF$97,B172))*(1+INDEX($AF$21:$AF$97,C172))*(1+INDEX($AF$21:$AF$97,D172))*(1+INDEX($AF$21:$AF$97,E172))*(1+INDEX($AF$21:$AF$97,F172))-1</f>
        <v>0.0950465805762861</v>
      </c>
      <c r="P172" s="489">
        <f>LN((1+L172)/(1+H172))</f>
        <v>-0.0354291056088897</v>
      </c>
      <c r="Q172" s="489">
        <f>LN((1+M172)/(1+H172))</f>
        <v>0.00919740092281144</v>
      </c>
      <c r="R172" s="489">
        <f>LN((1+N172)/(1+H172))</f>
        <v>-0.0430586819988504</v>
      </c>
      <c r="S172" s="542">
        <f>LN((1+O172)/(1+H172))</f>
        <v>0.0335756518543656</v>
      </c>
    </row>
    <row r="173">
      <c r="A173" s="320" t="n">
        <v>72</v>
      </c>
      <c r="B173" s="174" t="n">
        <v>8</v>
      </c>
      <c r="C173" s="174" t="n">
        <v>28</v>
      </c>
      <c r="D173" s="174" t="n">
        <v>8</v>
      </c>
      <c r="E173" s="174" t="n">
        <v>56</v>
      </c>
      <c r="F173" s="174" t="n">
        <v>9</v>
      </c>
      <c r="G173" s="68">
        <f>(1+INDEX($Z$21:$Z$97,B173))*(1+INDEX($Z$21:$Z$97,C173))*(1+INDEX($Z$21:$Z$97,D173))*(1+INDEX($Z$21:$Z$97,E173))*(1+INDEX($Z$21:$Z$97,F173))-1</f>
        <v>-0.358130291742526</v>
      </c>
      <c r="H173" s="68">
        <f>(1+INDEX($AA$21:$AA$97,B173))*(1+INDEX($AA$21:$AA$97,C173))*(1+INDEX($AA$21:$AA$97,D173))*(1+INDEX($AA$21:$AA$97,E173))*(1+INDEX($AA$21:$AA$97,F173))-1</f>
        <v>-0.281210075807545</v>
      </c>
      <c r="I173" s="68">
        <f>(1+INDEX($AB$21:$AB$97,B173))*(1+INDEX($AB$21:$AB$97,C173))*(1+INDEX($AB$21:$AB$97,D173))*(1+INDEX($AB$21:$AB$97,E173))*(1+INDEX($AB$21:$AB$97,F173))-1</f>
        <v>-0.340125651430204</v>
      </c>
      <c r="J173" s="489">
        <f>LN((1+G173)/(1+H173))</f>
        <v>-0.113183800817389</v>
      </c>
      <c r="K173" s="489">
        <f>LN((1+I173)/(1+H173))</f>
        <v>-0.0855197013305833</v>
      </c>
      <c r="L173" s="489">
        <f>(1+INDEX($AC$21:$AC$97,B173))*(1+INDEX($AC$21:$AC$97,C173))*(1+INDEX($AC$21:$AC$97,D173))*(1+INDEX($AC$21:$AC$97,E173))*(1+INDEX($AC$21:$AC$97,F173))-1</f>
        <v>-0.366970384328468</v>
      </c>
      <c r="M173" s="489">
        <f>(1+INDEX($AD$21:$AD$97,B173))*(1+INDEX($AD$21:$AD$97,C173))*(1+INDEX($AD$21:$AD$97,D173))*(1+INDEX($AD$21:$AD$97,E173))*(1+INDEX($AD$21:$AD$97,F173))-1</f>
        <v>-0.30893323206943</v>
      </c>
      <c r="N173" s="489">
        <f>(1+INDEX($AE$21:$AE$97,B173))*(1+INDEX($AE$21:$AE$97,C173))*(1+INDEX($AE$21:$AE$97,D173))*(1+INDEX($AE$21:$AE$97,E173))*(1+INDEX($AE$21:$AE$97,F173))-1</f>
        <v>-0.361902228646109</v>
      </c>
      <c r="O173" s="489">
        <f>(1+INDEX($AF$21:$AF$97,B173))*(1+INDEX($AF$21:$AF$97,C173))*(1+INDEX($AF$21:$AF$97,D173))*(1+INDEX($AF$21:$AF$97,E173))*(1+INDEX($AF$21:$AF$97,F173))-1</f>
        <v>-0.217045649441955</v>
      </c>
      <c r="P173" s="489">
        <f>LN((1+L173)/(1+H173))</f>
        <v>-0.127051930010759</v>
      </c>
      <c r="Q173" s="489">
        <f>LN((1+M173)/(1+H173))</f>
        <v>-0.0393326930912574</v>
      </c>
      <c r="R173" s="489">
        <f>LN((1+N173)/(1+H173))</f>
        <v>-0.119077619031529</v>
      </c>
      <c r="S173" s="542">
        <f>LN((1+O173)/(1+H173))</f>
        <v>0.0855052563276544</v>
      </c>
    </row>
    <row r="174">
      <c r="A174" s="320" t="n">
        <v>73</v>
      </c>
      <c r="B174" s="174" t="n">
        <v>14</v>
      </c>
      <c r="C174" s="174" t="n">
        <v>75</v>
      </c>
      <c r="D174" s="174" t="n">
        <v>38</v>
      </c>
      <c r="E174" s="174" t="n">
        <v>15</v>
      </c>
      <c r="F174" s="174" t="n">
        <v>62</v>
      </c>
      <c r="G174" s="68">
        <f>(1+INDEX($Z$21:$Z$97,B174))*(1+INDEX($Z$21:$Z$97,C174))*(1+INDEX($Z$21:$Z$97,D174))*(1+INDEX($Z$21:$Z$97,E174))*(1+INDEX($Z$21:$Z$97,F174))-1</f>
        <v>0.244100549852582</v>
      </c>
      <c r="H174" s="68">
        <f>(1+INDEX($AA$21:$AA$97,B174))*(1+INDEX($AA$21:$AA$97,C174))*(1+INDEX($AA$21:$AA$97,D174))*(1+INDEX($AA$21:$AA$97,E174))*(1+INDEX($AA$21:$AA$97,F174))-1</f>
        <v>0.21911150057599</v>
      </c>
      <c r="I174" s="68">
        <f>(1+INDEX($AB$21:$AB$97,B174))*(1+INDEX($AB$21:$AB$97,C174))*(1+INDEX($AB$21:$AB$97,D174))*(1+INDEX($AB$21:$AB$97,E174))*(1+INDEX($AB$21:$AB$97,F174))-1</f>
        <v>0.246507060105468</v>
      </c>
      <c r="J174" s="489">
        <f>LN((1+G174)/(1+H174))</f>
        <v>0.0202905037010102</v>
      </c>
      <c r="K174" s="489">
        <f>LN((1+I174)/(1+H174))</f>
        <v>0.0222229727034961</v>
      </c>
      <c r="L174" s="489">
        <f>(1+INDEX($AC$21:$AC$97,B174))*(1+INDEX($AC$21:$AC$97,C174))*(1+INDEX($AC$21:$AC$97,D174))*(1+INDEX($AC$21:$AC$97,E174))*(1+INDEX($AC$21:$AC$97,F174))-1</f>
        <v>0.243448309427917</v>
      </c>
      <c r="M174" s="489">
        <f>(1+INDEX($AD$21:$AD$97,B174))*(1+INDEX($AD$21:$AD$97,C174))*(1+INDEX($AD$21:$AD$97,D174))*(1+INDEX($AD$21:$AD$97,E174))*(1+INDEX($AD$21:$AD$97,F174))-1</f>
        <v>0.231713878814975</v>
      </c>
      <c r="N174" s="489">
        <f>(1+INDEX($AE$21:$AE$97,B174))*(1+INDEX($AE$21:$AE$97,C174))*(1+INDEX($AE$21:$AE$97,D174))*(1+INDEX($AE$21:$AE$97,E174))*(1+INDEX($AE$21:$AE$97,F174))-1</f>
        <v>0.225649420395283</v>
      </c>
      <c r="O174" s="489">
        <f>(1+INDEX($AF$21:$AF$97,B174))*(1+INDEX($AF$21:$AF$97,C174))*(1+INDEX($AF$21:$AF$97,D174))*(1+INDEX($AF$21:$AF$97,E174))*(1+INDEX($AF$21:$AF$97,F174))-1</f>
        <v>0.181943330164647</v>
      </c>
      <c r="P174" s="489">
        <f>LN((1+L174)/(1+H174))</f>
        <v>0.0197660995775063</v>
      </c>
      <c r="Q174" s="489">
        <f>LN((1+M174)/(1+H174))</f>
        <v>0.0102842817121928</v>
      </c>
      <c r="R174" s="489">
        <f>LN((1+N174)/(1+H174))</f>
        <v>0.0053485274154384</v>
      </c>
      <c r="S174" s="542">
        <f>LN((1+O174)/(1+H174))</f>
        <v>-0.0309623413939418</v>
      </c>
    </row>
    <row r="175">
      <c r="A175" s="320" t="n">
        <v>74</v>
      </c>
      <c r="B175" s="174" t="n">
        <v>12</v>
      </c>
      <c r="C175" s="174" t="n">
        <v>28</v>
      </c>
      <c r="D175" s="174" t="n">
        <v>17</v>
      </c>
      <c r="E175" s="174" t="n">
        <v>39</v>
      </c>
      <c r="F175" s="174" t="n">
        <v>17</v>
      </c>
      <c r="G175" s="68">
        <f>(1+INDEX($Z$21:$Z$97,B175))*(1+INDEX($Z$21:$Z$97,C175))*(1+INDEX($Z$21:$Z$97,D175))*(1+INDEX($Z$21:$Z$97,E175))*(1+INDEX($Z$21:$Z$97,F175))-1</f>
        <v>0.618149942092733</v>
      </c>
      <c r="H175" s="68">
        <f>(1+INDEX($AA$21:$AA$97,B175))*(1+INDEX($AA$21:$AA$97,C175))*(1+INDEX($AA$21:$AA$97,D175))*(1+INDEX($AA$21:$AA$97,E175))*(1+INDEX($AA$21:$AA$97,F175))-1</f>
        <v>0.511738788922562</v>
      </c>
      <c r="I175" s="68">
        <f>(1+INDEX($AB$21:$AB$97,B175))*(1+INDEX($AB$21:$AB$97,C175))*(1+INDEX($AB$21:$AB$97,D175))*(1+INDEX($AB$21:$AB$97,E175))*(1+INDEX($AB$21:$AB$97,F175))-1</f>
        <v>0.541697017479434</v>
      </c>
      <c r="J175" s="489">
        <f>LN((1+G175)/(1+H175))</f>
        <v>0.0680229814151608</v>
      </c>
      <c r="K175" s="489">
        <f>LN((1+I175)/(1+H175))</f>
        <v>0.0196232649324314</v>
      </c>
      <c r="L175" s="489">
        <f>(1+INDEX($AC$21:$AC$97,B175))*(1+INDEX($AC$21:$AC$97,C175))*(1+INDEX($AC$21:$AC$97,D175))*(1+INDEX($AC$21:$AC$97,E175))*(1+INDEX($AC$21:$AC$97,F175))-1</f>
        <v>0.528547616128791</v>
      </c>
      <c r="M175" s="489">
        <f>(1+INDEX($AD$21:$AD$97,B175))*(1+INDEX($AD$21:$AD$97,C175))*(1+INDEX($AD$21:$AD$97,D175))*(1+INDEX($AD$21:$AD$97,E175))*(1+INDEX($AD$21:$AD$97,F175))-1</f>
        <v>0.545950207961913</v>
      </c>
      <c r="N175" s="489">
        <f>(1+INDEX($AE$21:$AE$97,B175))*(1+INDEX($AE$21:$AE$97,C175))*(1+INDEX($AE$21:$AE$97,D175))*(1+INDEX($AE$21:$AE$97,E175))*(1+INDEX($AE$21:$AE$97,F175))-1</f>
        <v>0.52686533119812</v>
      </c>
      <c r="O175" s="489">
        <f>(1+INDEX($AF$21:$AF$97,B175))*(1+INDEX($AF$21:$AF$97,C175))*(1+INDEX($AF$21:$AF$97,D175))*(1+INDEX($AF$21:$AF$97,E175))*(1+INDEX($AF$21:$AF$97,F175))-1</f>
        <v>0.550182781095461</v>
      </c>
      <c r="P175" s="489">
        <f>LN((1+L175)/(1+H175))</f>
        <v>0.0110575098739566</v>
      </c>
      <c r="Q175" s="489">
        <f>LN((1+M175)/(1+H175))</f>
        <v>0.0223782384524203</v>
      </c>
      <c r="R175" s="489">
        <f>LN((1+N175)/(1+H175))</f>
        <v>0.0099563264138687</v>
      </c>
      <c r="S175" s="542">
        <f>LN((1+O175)/(1+H175))</f>
        <v>0.0251123430823973</v>
      </c>
    </row>
    <row r="176">
      <c r="A176" s="320" t="n">
        <v>75</v>
      </c>
      <c r="B176" s="174" t="n">
        <v>61</v>
      </c>
      <c r="C176" s="174" t="n">
        <v>57</v>
      </c>
      <c r="D176" s="174" t="n">
        <v>58</v>
      </c>
      <c r="E176" s="174" t="n">
        <v>53</v>
      </c>
      <c r="F176" s="174" t="n">
        <v>54</v>
      </c>
      <c r="G176" s="68">
        <f>(1+INDEX($Z$21:$Z$97,B176))*(1+INDEX($Z$21:$Z$97,C176))*(1+INDEX($Z$21:$Z$97,D176))*(1+INDEX($Z$21:$Z$97,E176))*(1+INDEX($Z$21:$Z$97,F176))-1</f>
        <v>0.47173757332501</v>
      </c>
      <c r="H176" s="68">
        <f>(1+INDEX($AA$21:$AA$97,B176))*(1+INDEX($AA$21:$AA$97,C176))*(1+INDEX($AA$21:$AA$97,D176))*(1+INDEX($AA$21:$AA$97,E176))*(1+INDEX($AA$21:$AA$97,F176))-1</f>
        <v>0.495417808880612</v>
      </c>
      <c r="I176" s="68">
        <f>(1+INDEX($AB$21:$AB$97,B176))*(1+INDEX($AB$21:$AB$97,C176))*(1+INDEX($AB$21:$AB$97,D176))*(1+INDEX($AB$21:$AB$97,E176))*(1+INDEX($AB$21:$AB$97,F176))-1</f>
        <v>0.488474704725444</v>
      </c>
      <c r="J176" s="489">
        <f>LN((1+G176)/(1+H176))</f>
        <v>-0.0159619131991709</v>
      </c>
      <c r="K176" s="489">
        <f>LN((1+I176)/(1+H176))</f>
        <v>-0.00465373109399502</v>
      </c>
      <c r="L176" s="489">
        <f>(1+INDEX($AC$21:$AC$97,B176))*(1+INDEX($AC$21:$AC$97,C176))*(1+INDEX($AC$21:$AC$97,D176))*(1+INDEX($AC$21:$AC$97,E176))*(1+INDEX($AC$21:$AC$97,F176))-1</f>
        <v>0.538822499946969</v>
      </c>
      <c r="M176" s="489">
        <f>(1+INDEX($AD$21:$AD$97,B176))*(1+INDEX($AD$21:$AD$97,C176))*(1+INDEX($AD$21:$AD$97,D176))*(1+INDEX($AD$21:$AD$97,E176))*(1+INDEX($AD$21:$AD$97,F176))-1</f>
        <v>0.462672322858218</v>
      </c>
      <c r="N176" s="489">
        <f>(1+INDEX($AE$21:$AE$97,B176))*(1+INDEX($AE$21:$AE$97,C176))*(1+INDEX($AE$21:$AE$97,D176))*(1+INDEX($AE$21:$AE$97,E176))*(1+INDEX($AE$21:$AE$97,F176))-1</f>
        <v>0.544992902523041</v>
      </c>
      <c r="O176" s="489">
        <f>(1+INDEX($AF$21:$AF$97,B176))*(1+INDEX($AF$21:$AF$97,C176))*(1+INDEX($AF$21:$AF$97,D176))*(1+INDEX($AF$21:$AF$97,E176))*(1+INDEX($AF$21:$AF$97,F176))-1</f>
        <v>0.458842843180141</v>
      </c>
      <c r="P176" s="489">
        <f>LN((1+L176)/(1+H176))</f>
        <v>0.0286118749167465</v>
      </c>
      <c r="Q176" s="489">
        <f>LN((1+M176)/(1+H176))</f>
        <v>-0.0221405178429941</v>
      </c>
      <c r="R176" s="489">
        <f>LN((1+N176)/(1+H176))</f>
        <v>0.0326136778818323</v>
      </c>
      <c r="S176" s="542">
        <f>LN((1+O176)/(1+H176))</f>
        <v>-0.0247620903173134</v>
      </c>
    </row>
    <row r="177">
      <c r="A177" s="320" t="n">
        <v>76</v>
      </c>
      <c r="B177" s="174" t="n">
        <v>60</v>
      </c>
      <c r="C177" s="174" t="n">
        <v>64</v>
      </c>
      <c r="D177" s="174" t="n">
        <v>62</v>
      </c>
      <c r="E177" s="174" t="n">
        <v>34</v>
      </c>
      <c r="F177" s="174" t="n">
        <v>37</v>
      </c>
      <c r="G177" s="68">
        <f>(1+INDEX($Z$21:$Z$97,B177))*(1+INDEX($Z$21:$Z$97,C177))*(1+INDEX($Z$21:$Z$97,D177))*(1+INDEX($Z$21:$Z$97,E177))*(1+INDEX($Z$21:$Z$97,F177))-1</f>
        <v>0.107547901985304</v>
      </c>
      <c r="H177" s="68">
        <f>(1+INDEX($AA$21:$AA$97,B177))*(1+INDEX($AA$21:$AA$97,C177))*(1+INDEX($AA$21:$AA$97,D177))*(1+INDEX($AA$21:$AA$97,E177))*(1+INDEX($AA$21:$AA$97,F177))-1</f>
        <v>0.141290438928239</v>
      </c>
      <c r="I177" s="68">
        <f>(1+INDEX($AB$21:$AB$97,B177))*(1+INDEX($AB$21:$AB$97,C177))*(1+INDEX($AB$21:$AB$97,D177))*(1+INDEX($AB$21:$AB$97,E177))*(1+INDEX($AB$21:$AB$97,F177))-1</f>
        <v>0.141744681860556</v>
      </c>
      <c r="J177" s="489">
        <f>LN((1+G177)/(1+H177))</f>
        <v>-0.0300111118316629</v>
      </c>
      <c r="K177" s="489">
        <f>LN((1+I177)/(1+H177))</f>
        <v>0.000397928997390008</v>
      </c>
      <c r="L177" s="489">
        <f>(1+INDEX($AC$21:$AC$97,B177))*(1+INDEX($AC$21:$AC$97,C177))*(1+INDEX($AC$21:$AC$97,D177))*(1+INDEX($AC$21:$AC$97,E177))*(1+INDEX($AC$21:$AC$97,F177))-1</f>
        <v>0.172833647411053</v>
      </c>
      <c r="M177" s="489">
        <f>(1+INDEX($AD$21:$AD$97,B177))*(1+INDEX($AD$21:$AD$97,C177))*(1+INDEX($AD$21:$AD$97,D177))*(1+INDEX($AD$21:$AD$97,E177))*(1+INDEX($AD$21:$AD$97,F177))-1</f>
        <v>0.101325850568645</v>
      </c>
      <c r="N177" s="489">
        <f>(1+INDEX($AE$21:$AE$97,B177))*(1+INDEX($AE$21:$AE$97,C177))*(1+INDEX($AE$21:$AE$97,D177))*(1+INDEX($AE$21:$AE$97,E177))*(1+INDEX($AE$21:$AE$97,F177))-1</f>
        <v>0.180999259506235</v>
      </c>
      <c r="O177" s="489">
        <f>(1+INDEX($AF$21:$AF$97,B177))*(1+INDEX($AF$21:$AF$97,C177))*(1+INDEX($AF$21:$AF$97,D177))*(1+INDEX($AF$21:$AF$97,E177))*(1+INDEX($AF$21:$AF$97,F177))-1</f>
        <v>0.0526722957218331</v>
      </c>
      <c r="P177" s="489">
        <f>LN((1+L177)/(1+H177))</f>
        <v>0.0272631553599185</v>
      </c>
      <c r="Q177" s="489">
        <f>LN((1+M177)/(1+H177))</f>
        <v>-0.0356448135007176</v>
      </c>
      <c r="R177" s="489">
        <f>LN((1+N177)/(1+H177))</f>
        <v>0.0342013240189067</v>
      </c>
      <c r="S177" s="542">
        <f>LN((1+O177)/(1+H177))</f>
        <v>-0.0808276116151901</v>
      </c>
    </row>
    <row r="178">
      <c r="A178" s="320" t="n">
        <v>77</v>
      </c>
      <c r="B178" s="174" t="n">
        <v>47</v>
      </c>
      <c r="C178" s="174" t="n">
        <v>69</v>
      </c>
      <c r="D178" s="174" t="n">
        <v>47</v>
      </c>
      <c r="E178" s="174" t="n">
        <v>75</v>
      </c>
      <c r="F178" s="174" t="n">
        <v>38</v>
      </c>
      <c r="G178" s="68">
        <f>(1+INDEX($Z$21:$Z$97,B178))*(1+INDEX($Z$21:$Z$97,C178))*(1+INDEX($Z$21:$Z$97,D178))*(1+INDEX($Z$21:$Z$97,E178))*(1+INDEX($Z$21:$Z$97,F178))-1</f>
        <v>0.641867285926849</v>
      </c>
      <c r="H178" s="68">
        <f>(1+INDEX($AA$21:$AA$97,B178))*(1+INDEX($AA$21:$AA$97,C178))*(1+INDEX($AA$21:$AA$97,D178))*(1+INDEX($AA$21:$AA$97,E178))*(1+INDEX($AA$21:$AA$97,F178))-1</f>
        <v>0.612841511458155</v>
      </c>
      <c r="I178" s="68">
        <f>(1+INDEX($AB$21:$AB$97,B178))*(1+INDEX($AB$21:$AB$97,C178))*(1+INDEX($AB$21:$AB$97,D178))*(1+INDEX($AB$21:$AB$97,E178))*(1+INDEX($AB$21:$AB$97,F178))-1</f>
        <v>0.69383087926854</v>
      </c>
      <c r="J178" s="489">
        <f>LN((1+G178)/(1+H178))</f>
        <v>0.0178366458000448</v>
      </c>
      <c r="K178" s="489">
        <f>LN((1+I178)/(1+H178))</f>
        <v>0.048995218788452</v>
      </c>
      <c r="L178" s="489">
        <f>(1+INDEX($AC$21:$AC$97,B178))*(1+INDEX($AC$21:$AC$97,C178))*(1+INDEX($AC$21:$AC$97,D178))*(1+INDEX($AC$21:$AC$97,E178))*(1+INDEX($AC$21:$AC$97,F178))-1</f>
        <v>0.682917772392053</v>
      </c>
      <c r="M178" s="489">
        <f>(1+INDEX($AD$21:$AD$97,B178))*(1+INDEX($AD$21:$AD$97,C178))*(1+INDEX($AD$21:$AD$97,D178))*(1+INDEX($AD$21:$AD$97,E178))*(1+INDEX($AD$21:$AD$97,F178))-1</f>
        <v>0.659956167194806</v>
      </c>
      <c r="N178" s="489">
        <f>(1+INDEX($AE$21:$AE$97,B178))*(1+INDEX($AE$21:$AE$97,C178))*(1+INDEX($AE$21:$AE$97,D178))*(1+INDEX($AE$21:$AE$97,E178))*(1+INDEX($AE$21:$AE$97,F178))-1</f>
        <v>0.684734798082543</v>
      </c>
      <c r="O178" s="489">
        <f>(1+INDEX($AF$21:$AF$97,B178))*(1+INDEX($AF$21:$AF$97,C178))*(1+INDEX($AF$21:$AF$97,D178))*(1+INDEX($AF$21:$AF$97,E178))*(1+INDEX($AF$21:$AF$97,F178))-1</f>
        <v>0.616345667654808</v>
      </c>
      <c r="P178" s="489">
        <f>LN((1+L178)/(1+H178))</f>
        <v>0.0425315189413449</v>
      </c>
      <c r="Q178" s="489">
        <f>LN((1+M178)/(1+H178))</f>
        <v>0.0287936594004794</v>
      </c>
      <c r="R178" s="489">
        <f>LN((1+N178)/(1+H178))</f>
        <v>0.0436106242402363</v>
      </c>
      <c r="S178" s="542">
        <f>LN((1+O178)/(1+H178))</f>
        <v>0.00217030316158989</v>
      </c>
    </row>
    <row r="179">
      <c r="A179" s="320" t="n">
        <v>78</v>
      </c>
      <c r="B179" s="174" t="n">
        <v>63</v>
      </c>
      <c r="C179" s="174" t="n">
        <v>75</v>
      </c>
      <c r="D179" s="174" t="n">
        <v>31</v>
      </c>
      <c r="E179" s="174" t="n">
        <v>31</v>
      </c>
      <c r="F179" s="174" t="n">
        <v>51</v>
      </c>
      <c r="G179" s="68">
        <f>(1+INDEX($Z$21:$Z$97,B179))*(1+INDEX($Z$21:$Z$97,C179))*(1+INDEX($Z$21:$Z$97,D179))*(1+INDEX($Z$21:$Z$97,E179))*(1+INDEX($Z$21:$Z$97,F179))-1</f>
        <v>0.378963216700599</v>
      </c>
      <c r="H179" s="68">
        <f>(1+INDEX($AA$21:$AA$97,B179))*(1+INDEX($AA$21:$AA$97,C179))*(1+INDEX($AA$21:$AA$97,D179))*(1+INDEX($AA$21:$AA$97,E179))*(1+INDEX($AA$21:$AA$97,F179))-1</f>
        <v>0.386250074784287</v>
      </c>
      <c r="I179" s="68">
        <f>(1+INDEX($AB$21:$AB$97,B179))*(1+INDEX($AB$21:$AB$97,C179))*(1+INDEX($AB$21:$AB$97,D179))*(1+INDEX($AB$21:$AB$97,E179))*(1+INDEX($AB$21:$AB$97,F179))-1</f>
        <v>0.444674265154036</v>
      </c>
      <c r="J179" s="489">
        <f>LN((1+G179)/(1+H179))</f>
        <v>-0.00527038906790626</v>
      </c>
      <c r="K179" s="489">
        <f>LN((1+I179)/(1+H179))</f>
        <v>0.041281560484675</v>
      </c>
      <c r="L179" s="489">
        <f>(1+INDEX($AC$21:$AC$97,B179))*(1+INDEX($AC$21:$AC$97,C179))*(1+INDEX($AC$21:$AC$97,D179))*(1+INDEX($AC$21:$AC$97,E179))*(1+INDEX($AC$21:$AC$97,F179))-1</f>
        <v>0.437784153307219</v>
      </c>
      <c r="M179" s="489">
        <f>(1+INDEX($AD$21:$AD$97,B179))*(1+INDEX($AD$21:$AD$97,C179))*(1+INDEX($AD$21:$AD$97,D179))*(1+INDEX($AD$21:$AD$97,E179))*(1+INDEX($AD$21:$AD$97,F179))-1</f>
        <v>0.421377964633108</v>
      </c>
      <c r="N179" s="489">
        <f>(1+INDEX($AE$21:$AE$97,B179))*(1+INDEX($AE$21:$AE$97,C179))*(1+INDEX($AE$21:$AE$97,D179))*(1+INDEX($AE$21:$AE$97,E179))*(1+INDEX($AE$21:$AE$97,F179))-1</f>
        <v>0.427311465753947</v>
      </c>
      <c r="O179" s="489">
        <f>(1+INDEX($AF$21:$AF$97,B179))*(1+INDEX($AF$21:$AF$97,C179))*(1+INDEX($AF$21:$AF$97,D179))*(1+INDEX($AF$21:$AF$97,E179))*(1+INDEX($AF$21:$AF$97,F179))-1</f>
        <v>0.362803039456613</v>
      </c>
      <c r="P179" s="489">
        <f>LN((1+L179)/(1+H179))</f>
        <v>0.0365008323911264</v>
      </c>
      <c r="Q179" s="489">
        <f>LN((1+M179)/(1+H179))</f>
        <v>0.0250244850810927</v>
      </c>
      <c r="R179" s="489">
        <f>LN((1+N179)/(1+H179))</f>
        <v>0.0291902671689866</v>
      </c>
      <c r="S179" s="542">
        <f>LN((1+O179)/(1+H179))</f>
        <v>-0.0170586765246687</v>
      </c>
    </row>
    <row r="180">
      <c r="A180" s="320" t="n">
        <v>79</v>
      </c>
      <c r="B180" s="174" t="n">
        <v>30</v>
      </c>
      <c r="C180" s="174" t="n">
        <v>74</v>
      </c>
      <c r="D180" s="174" t="n">
        <v>10</v>
      </c>
      <c r="E180" s="174" t="n">
        <v>7</v>
      </c>
      <c r="F180" s="174" t="n">
        <v>16</v>
      </c>
      <c r="G180" s="68">
        <f>(1+INDEX($Z$21:$Z$97,B180))*(1+INDEX($Z$21:$Z$97,C180))*(1+INDEX($Z$21:$Z$97,D180))*(1+INDEX($Z$21:$Z$97,E180))*(1+INDEX($Z$21:$Z$97,F180))-1</f>
        <v>-0.00523142787033004</v>
      </c>
      <c r="H180" s="68">
        <f>(1+INDEX($AA$21:$AA$97,B180))*(1+INDEX($AA$21:$AA$97,C180))*(1+INDEX($AA$21:$AA$97,D180))*(1+INDEX($AA$21:$AA$97,E180))*(1+INDEX($AA$21:$AA$97,F180))-1</f>
        <v>0.0284443520985769</v>
      </c>
      <c r="I180" s="68">
        <f>(1+INDEX($AB$21:$AB$97,B180))*(1+INDEX($AB$21:$AB$97,C180))*(1+INDEX($AB$21:$AB$97,D180))*(1+INDEX($AB$21:$AB$97,E180))*(1+INDEX($AB$21:$AB$97,F180))-1</f>
        <v>0.00045436632582585</v>
      </c>
      <c r="J180" s="489">
        <f>LN((1+G180)/(1+H180))</f>
        <v>-0.0332924824647995</v>
      </c>
      <c r="K180" s="489">
        <f>LN((1+I180)/(1+H180))</f>
        <v>-0.0275930596306581</v>
      </c>
      <c r="L180" s="489">
        <f>(1+INDEX($AC$21:$AC$97,B180))*(1+INDEX($AC$21:$AC$97,C180))*(1+INDEX($AC$21:$AC$97,D180))*(1+INDEX($AC$21:$AC$97,E180))*(1+INDEX($AC$21:$AC$97,F180))-1</f>
        <v>-0.0202369614636644</v>
      </c>
      <c r="M180" s="489">
        <f>(1+INDEX($AD$21:$AD$97,B180))*(1+INDEX($AD$21:$AD$97,C180))*(1+INDEX($AD$21:$AD$97,D180))*(1+INDEX($AD$21:$AD$97,E180))*(1+INDEX($AD$21:$AD$97,F180))-1</f>
        <v>0.0131833330792961</v>
      </c>
      <c r="N180" s="489">
        <f>(1+INDEX($AE$21:$AE$97,B180))*(1+INDEX($AE$21:$AE$97,C180))*(1+INDEX($AE$21:$AE$97,D180))*(1+INDEX($AE$21:$AE$97,E180))*(1+INDEX($AE$21:$AE$97,F180))-1</f>
        <v>-0.0269596870060607</v>
      </c>
      <c r="O180" s="489">
        <f>(1+INDEX($AF$21:$AF$97,B180))*(1+INDEX($AF$21:$AF$97,C180))*(1+INDEX($AF$21:$AF$97,D180))*(1+INDEX($AF$21:$AF$97,E180))*(1+INDEX($AF$21:$AF$97,F180))-1</f>
        <v>0.0548022949751654</v>
      </c>
      <c r="P180" s="489">
        <f>LN((1+L180)/(1+H180))</f>
        <v>-0.0484918567304912</v>
      </c>
      <c r="Q180" s="489">
        <f>LN((1+M180)/(1+H180))</f>
        <v>-0.014950133536839</v>
      </c>
      <c r="R180" s="489">
        <f>LN((1+N180)/(1+H180))</f>
        <v>-0.0553770887693137</v>
      </c>
      <c r="S180" s="542">
        <f>LN((1+O180)/(1+H180))</f>
        <v>0.0253060284756393</v>
      </c>
    </row>
    <row r="181">
      <c r="A181" s="320" t="n">
        <v>80</v>
      </c>
      <c r="B181" s="174" t="n">
        <v>31</v>
      </c>
      <c r="C181" s="174" t="n">
        <v>64</v>
      </c>
      <c r="D181" s="174" t="n">
        <v>72</v>
      </c>
      <c r="E181" s="174" t="n">
        <v>50</v>
      </c>
      <c r="F181" s="174" t="n">
        <v>18</v>
      </c>
      <c r="G181" s="68">
        <f>(1+INDEX($Z$21:$Z$97,B181))*(1+INDEX($Z$21:$Z$97,C181))*(1+INDEX($Z$21:$Z$97,D181))*(1+INDEX($Z$21:$Z$97,E181))*(1+INDEX($Z$21:$Z$97,F181))-1</f>
        <v>0.353137019510797</v>
      </c>
      <c r="H181" s="68">
        <f>(1+INDEX($AA$21:$AA$97,B181))*(1+INDEX($AA$21:$AA$97,C181))*(1+INDEX($AA$21:$AA$97,D181))*(1+INDEX($AA$21:$AA$97,E181))*(1+INDEX($AA$21:$AA$97,F181))-1</f>
        <v>0.31584296089621</v>
      </c>
      <c r="I181" s="68">
        <f>(1+INDEX($AB$21:$AB$97,B181))*(1+INDEX($AB$21:$AB$97,C181))*(1+INDEX($AB$21:$AB$97,D181))*(1+INDEX($AB$21:$AB$97,E181))*(1+INDEX($AB$21:$AB$97,F181))-1</f>
        <v>0.359685320211044</v>
      </c>
      <c r="J181" s="489">
        <f>LN((1+G181)/(1+H181))</f>
        <v>0.0279481197919284</v>
      </c>
      <c r="K181" s="489">
        <f>LN((1+I181)/(1+H181))</f>
        <v>0.0327757956205283</v>
      </c>
      <c r="L181" s="489">
        <f>(1+INDEX($AC$21:$AC$97,B181))*(1+INDEX($AC$21:$AC$97,C181))*(1+INDEX($AC$21:$AC$97,D181))*(1+INDEX($AC$21:$AC$97,E181))*(1+INDEX($AC$21:$AC$97,F181))-1</f>
        <v>0.337182573251685</v>
      </c>
      <c r="M181" s="489">
        <f>(1+INDEX($AD$21:$AD$97,B181))*(1+INDEX($AD$21:$AD$97,C181))*(1+INDEX($AD$21:$AD$97,D181))*(1+INDEX($AD$21:$AD$97,E181))*(1+INDEX($AD$21:$AD$97,F181))-1</f>
        <v>0.337501619007194</v>
      </c>
      <c r="N181" s="489">
        <f>(1+INDEX($AE$21:$AE$97,B181))*(1+INDEX($AE$21:$AE$97,C181))*(1+INDEX($AE$21:$AE$97,D181))*(1+INDEX($AE$21:$AE$97,E181))*(1+INDEX($AE$21:$AE$97,F181))-1</f>
        <v>0.343139100587651</v>
      </c>
      <c r="O181" s="489">
        <f>(1+INDEX($AF$21:$AF$97,B181))*(1+INDEX($AF$21:$AF$97,C181))*(1+INDEX($AF$21:$AF$97,D181))*(1+INDEX($AF$21:$AF$97,E181))*(1+INDEX($AF$21:$AF$97,F181))-1</f>
        <v>0.326606805356108</v>
      </c>
      <c r="P181" s="489">
        <f>LN((1+L181)/(1+H181))</f>
        <v>0.0160873480545458</v>
      </c>
      <c r="Q181" s="489">
        <f>LN((1+M181)/(1+H181))</f>
        <v>0.0163259151032804</v>
      </c>
      <c r="R181" s="489">
        <f>LN((1+N181)/(1+H181))</f>
        <v>0.0205319915463791</v>
      </c>
      <c r="S181" s="542">
        <f>LN((1+O181)/(1+H181))</f>
        <v>0.00814691286267379</v>
      </c>
    </row>
    <row r="182">
      <c r="A182" s="320" t="n">
        <v>81</v>
      </c>
      <c r="B182" s="174" t="n">
        <v>43</v>
      </c>
      <c r="C182" s="174" t="n">
        <v>34</v>
      </c>
      <c r="D182" s="174" t="n">
        <v>54</v>
      </c>
      <c r="E182" s="174" t="n">
        <v>61</v>
      </c>
      <c r="F182" s="174" t="n">
        <v>48</v>
      </c>
      <c r="G182" s="68">
        <f>(1+INDEX($Z$21:$Z$97,B182))*(1+INDEX($Z$21:$Z$97,C182))*(1+INDEX($Z$21:$Z$97,D182))*(1+INDEX($Z$21:$Z$97,E182))*(1+INDEX($Z$21:$Z$97,F182))-1</f>
        <v>0.295068668320999</v>
      </c>
      <c r="H182" s="68">
        <f>(1+INDEX($AA$21:$AA$97,B182))*(1+INDEX($AA$21:$AA$97,C182))*(1+INDEX($AA$21:$AA$97,D182))*(1+INDEX($AA$21:$AA$97,E182))*(1+INDEX($AA$21:$AA$97,F182))-1</f>
        <v>0.325115973030706</v>
      </c>
      <c r="I182" s="68">
        <f>(1+INDEX($AB$21:$AB$97,B182))*(1+INDEX($AB$21:$AB$97,C182))*(1+INDEX($AB$21:$AB$97,D182))*(1+INDEX($AB$21:$AB$97,E182))*(1+INDEX($AB$21:$AB$97,F182))-1</f>
        <v>0.351620477608502</v>
      </c>
      <c r="J182" s="489">
        <f>LN((1+G182)/(1+H182))</f>
        <v>-0.0229362629473766</v>
      </c>
      <c r="K182" s="489">
        <f>LN((1+I182)/(1+H182))</f>
        <v>0.0198042439622367</v>
      </c>
      <c r="L182" s="489">
        <f>(1+INDEX($AC$21:$AC$97,B182))*(1+INDEX($AC$21:$AC$97,C182))*(1+INDEX($AC$21:$AC$97,D182))*(1+INDEX($AC$21:$AC$97,E182))*(1+INDEX($AC$21:$AC$97,F182))-1</f>
        <v>0.35718300923408</v>
      </c>
      <c r="M182" s="489">
        <f>(1+INDEX($AD$21:$AD$97,B182))*(1+INDEX($AD$21:$AD$97,C182))*(1+INDEX($AD$21:$AD$97,D182))*(1+INDEX($AD$21:$AD$97,E182))*(1+INDEX($AD$21:$AD$97,F182))-1</f>
        <v>0.343152518225474</v>
      </c>
      <c r="N182" s="489">
        <f>(1+INDEX($AE$21:$AE$97,B182))*(1+INDEX($AE$21:$AE$97,C182))*(1+INDEX($AE$21:$AE$97,D182))*(1+INDEX($AE$21:$AE$97,E182))*(1+INDEX($AE$21:$AE$97,F182))-1</f>
        <v>0.357002003231389</v>
      </c>
      <c r="O182" s="489">
        <f>(1+INDEX($AF$21:$AF$97,B182))*(1+INDEX($AF$21:$AF$97,C182))*(1+INDEX($AF$21:$AF$97,D182))*(1+INDEX($AF$21:$AF$97,E182))*(1+INDEX($AF$21:$AF$97,F182))-1</f>
        <v>0.304917312221408</v>
      </c>
      <c r="P182" s="489">
        <f>LN((1+L182)/(1+H182))</f>
        <v>0.023911252441395</v>
      </c>
      <c r="Q182" s="489">
        <f>LN((1+M182)/(1+H182))</f>
        <v>0.0135194939900144</v>
      </c>
      <c r="R182" s="489">
        <f>LN((1+N182)/(1+H182))</f>
        <v>0.0237778746487038</v>
      </c>
      <c r="S182" s="542">
        <f>LN((1+O182)/(1+H182))</f>
        <v>-0.015360305938828</v>
      </c>
    </row>
    <row r="183">
      <c r="A183" s="320" t="n">
        <v>82</v>
      </c>
      <c r="B183" s="174" t="n">
        <v>14</v>
      </c>
      <c r="C183" s="174" t="n">
        <v>13</v>
      </c>
      <c r="D183" s="174" t="n">
        <v>17</v>
      </c>
      <c r="E183" s="174" t="n">
        <v>3</v>
      </c>
      <c r="F183" s="174" t="n">
        <v>38</v>
      </c>
      <c r="G183" s="68">
        <f>(1+INDEX($Z$21:$Z$97,B183))*(1+INDEX($Z$21:$Z$97,C183))*(1+INDEX($Z$21:$Z$97,D183))*(1+INDEX($Z$21:$Z$97,E183))*(1+INDEX($Z$21:$Z$97,F183))-1</f>
        <v>0.709298201688029</v>
      </c>
      <c r="H183" s="68">
        <f>(1+INDEX($AA$21:$AA$97,B183))*(1+INDEX($AA$21:$AA$97,C183))*(1+INDEX($AA$21:$AA$97,D183))*(1+INDEX($AA$21:$AA$97,E183))*(1+INDEX($AA$21:$AA$97,F183))-1</f>
        <v>0.525357200256791</v>
      </c>
      <c r="I183" s="68">
        <f>(1+INDEX($AB$21:$AB$97,B183))*(1+INDEX($AB$21:$AB$97,C183))*(1+INDEX($AB$21:$AB$97,D183))*(1+INDEX($AB$21:$AB$97,E183))*(1+INDEX($AB$21:$AB$97,F183))-1</f>
        <v>0.561261493321419</v>
      </c>
      <c r="J183" s="489">
        <f>LN((1+G183)/(1+H183))</f>
        <v>0.113854265595959</v>
      </c>
      <c r="K183" s="489">
        <f>LN((1+I183)/(1+H183))</f>
        <v>0.0232655317370824</v>
      </c>
      <c r="L183" s="489">
        <f>(1+INDEX($AC$21:$AC$97,B183))*(1+INDEX($AC$21:$AC$97,C183))*(1+INDEX($AC$21:$AC$97,D183))*(1+INDEX($AC$21:$AC$97,E183))*(1+INDEX($AC$21:$AC$97,F183))-1</f>
        <v>0.551273020235709</v>
      </c>
      <c r="M183" s="489">
        <f>(1+INDEX($AD$21:$AD$97,B183))*(1+INDEX($AD$21:$AD$97,C183))*(1+INDEX($AD$21:$AD$97,D183))*(1+INDEX($AD$21:$AD$97,E183))*(1+INDEX($AD$21:$AD$97,F183))-1</f>
        <v>0.579038648471592</v>
      </c>
      <c r="N183" s="489">
        <f>(1+INDEX($AE$21:$AE$97,B183))*(1+INDEX($AE$21:$AE$97,C183))*(1+INDEX($AE$21:$AE$97,D183))*(1+INDEX($AE$21:$AE$97,E183))*(1+INDEX($AE$21:$AE$97,F183))-1</f>
        <v>0.538590431467602</v>
      </c>
      <c r="O183" s="489">
        <f>(1+INDEX($AF$21:$AF$97,B183))*(1+INDEX($AF$21:$AF$97,C183))*(1+INDEX($AF$21:$AF$97,D183))*(1+INDEX($AF$21:$AF$97,E183))*(1+INDEX($AF$21:$AF$97,F183))-1</f>
        <v>0.531743182105309</v>
      </c>
      <c r="P183" s="489">
        <f>LN((1+L183)/(1+H183))</f>
        <v>0.0168472849154946</v>
      </c>
      <c r="Q183" s="489">
        <f>LN((1+M183)/(1+H183))</f>
        <v>0.0345875992149445</v>
      </c>
      <c r="R183" s="489">
        <f>LN((1+N183)/(1+H183))</f>
        <v>0.00863808072853811</v>
      </c>
      <c r="S183" s="542">
        <f>LN((1+O183)/(1+H183))</f>
        <v>0.00417780925599837</v>
      </c>
    </row>
    <row r="184">
      <c r="A184" s="320" t="n">
        <v>83</v>
      </c>
      <c r="B184" s="174" t="n">
        <v>3</v>
      </c>
      <c r="C184" s="174" t="n">
        <v>53</v>
      </c>
      <c r="D184" s="174" t="n">
        <v>40</v>
      </c>
      <c r="E184" s="174" t="n">
        <v>45</v>
      </c>
      <c r="F184" s="174" t="n">
        <v>20</v>
      </c>
      <c r="G184" s="68">
        <f>(1+INDEX($Z$21:$Z$97,B184))*(1+INDEX($Z$21:$Z$97,C184))*(1+INDEX($Z$21:$Z$97,D184))*(1+INDEX($Z$21:$Z$97,E184))*(1+INDEX($Z$21:$Z$97,F184))-1</f>
        <v>0.177159751315646</v>
      </c>
      <c r="H184" s="68">
        <f>(1+INDEX($AA$21:$AA$97,B184))*(1+INDEX($AA$21:$AA$97,C184))*(1+INDEX($AA$21:$AA$97,D184))*(1+INDEX($AA$21:$AA$97,E184))*(1+INDEX($AA$21:$AA$97,F184))-1</f>
        <v>0.199165281970997</v>
      </c>
      <c r="I184" s="68">
        <f>(1+INDEX($AB$21:$AB$97,B184))*(1+INDEX($AB$21:$AB$97,C184))*(1+INDEX($AB$21:$AB$97,D184))*(1+INDEX($AB$21:$AB$97,E184))*(1+INDEX($AB$21:$AB$97,F184))-1</f>
        <v>0.1843917441598</v>
      </c>
      <c r="J184" s="489">
        <f>LN((1+G184)/(1+H184))</f>
        <v>-0.01852116978677</v>
      </c>
      <c r="K184" s="489">
        <f>LN((1+I184)/(1+H184))</f>
        <v>-0.0123963696577753</v>
      </c>
      <c r="L184" s="489">
        <f>(1+INDEX($AC$21:$AC$97,B184))*(1+INDEX($AC$21:$AC$97,C184))*(1+INDEX($AC$21:$AC$97,D184))*(1+INDEX($AC$21:$AC$97,E184))*(1+INDEX($AC$21:$AC$97,F184))-1</f>
        <v>0.178400497027334</v>
      </c>
      <c r="M184" s="489">
        <f>(1+INDEX($AD$21:$AD$97,B184))*(1+INDEX($AD$21:$AD$97,C184))*(1+INDEX($AD$21:$AD$97,D184))*(1+INDEX($AD$21:$AD$97,E184))*(1+INDEX($AD$21:$AD$97,F184))-1</f>
        <v>0.194190330744074</v>
      </c>
      <c r="N184" s="489">
        <f>(1+INDEX($AE$21:$AE$97,B184))*(1+INDEX($AE$21:$AE$97,C184))*(1+INDEX($AE$21:$AE$97,D184))*(1+INDEX($AE$21:$AE$97,E184))*(1+INDEX($AE$21:$AE$97,F184))-1</f>
        <v>0.166373427861819</v>
      </c>
      <c r="O184" s="489">
        <f>(1+INDEX($AF$21:$AF$97,B184))*(1+INDEX($AF$21:$AF$97,C184))*(1+INDEX($AF$21:$AF$97,D184))*(1+INDEX($AF$21:$AF$97,E184))*(1+INDEX($AF$21:$AF$97,F184))-1</f>
        <v>0.21320846786067</v>
      </c>
      <c r="P184" s="489">
        <f>LN((1+L184)/(1+H184))</f>
        <v>-0.0174677084479597</v>
      </c>
      <c r="Q184" s="489">
        <f>LN((1+M184)/(1+H184))</f>
        <v>-0.0041573081457285</v>
      </c>
      <c r="R184" s="489">
        <f>LN((1+N184)/(1+H184))</f>
        <v>-0.0277264157085088</v>
      </c>
      <c r="S184" s="542">
        <f>LN((1+O184)/(1+H184))</f>
        <v>0.0116427601853191</v>
      </c>
    </row>
    <row r="185">
      <c r="A185" s="320" t="n">
        <v>84</v>
      </c>
      <c r="B185" s="174" t="n">
        <v>76</v>
      </c>
      <c r="C185" s="174" t="n">
        <v>72</v>
      </c>
      <c r="D185" s="174" t="n">
        <v>3</v>
      </c>
      <c r="E185" s="174" t="n">
        <v>55</v>
      </c>
      <c r="F185" s="174" t="n">
        <v>25</v>
      </c>
      <c r="G185" s="68">
        <f>(1+INDEX($Z$21:$Z$97,B185))*(1+INDEX($Z$21:$Z$97,C185))*(1+INDEX($Z$21:$Z$97,D185))*(1+INDEX($Z$21:$Z$97,E185))*(1+INDEX($Z$21:$Z$97,F185))-1</f>
        <v>0.483629066459621</v>
      </c>
      <c r="H185" s="68">
        <f>(1+INDEX($AA$21:$AA$97,B185))*(1+INDEX($AA$21:$AA$97,C185))*(1+INDEX($AA$21:$AA$97,D185))*(1+INDEX($AA$21:$AA$97,E185))*(1+INDEX($AA$21:$AA$97,F185))-1</f>
        <v>0.443911057815402</v>
      </c>
      <c r="I185" s="68">
        <f>(1+INDEX($AB$21:$AB$97,B185))*(1+INDEX($AB$21:$AB$97,C185))*(1+INDEX($AB$21:$AB$97,D185))*(1+INDEX($AB$21:$AB$97,E185))*(1+INDEX($AB$21:$AB$97,F185))-1</f>
        <v>0.484581097188115</v>
      </c>
      <c r="J185" s="489">
        <f>LN((1+G185)/(1+H185))</f>
        <v>0.0271357140223247</v>
      </c>
      <c r="K185" s="489">
        <f>LN((1+I185)/(1+H185))</f>
        <v>0.0277771987613777</v>
      </c>
      <c r="L185" s="489">
        <f>(1+INDEX($AC$21:$AC$97,B185))*(1+INDEX($AC$21:$AC$97,C185))*(1+INDEX($AC$21:$AC$97,D185))*(1+INDEX($AC$21:$AC$97,E185))*(1+INDEX($AC$21:$AC$97,F185))-1</f>
        <v>0.470385916848686</v>
      </c>
      <c r="M185" s="489">
        <f>(1+INDEX($AD$21:$AD$97,B185))*(1+INDEX($AD$21:$AD$97,C185))*(1+INDEX($AD$21:$AD$97,D185))*(1+INDEX($AD$21:$AD$97,E185))*(1+INDEX($AD$21:$AD$97,F185))-1</f>
        <v>0.495526526827109</v>
      </c>
      <c r="N185" s="489">
        <f>(1+INDEX($AE$21:$AE$97,B185))*(1+INDEX($AE$21:$AE$97,C185))*(1+INDEX($AE$21:$AE$97,D185))*(1+INDEX($AE$21:$AE$97,E185))*(1+INDEX($AE$21:$AE$97,F185))-1</f>
        <v>0.454963604511189</v>
      </c>
      <c r="O185" s="489">
        <f>(1+INDEX($AF$21:$AF$97,B185))*(1+INDEX($AF$21:$AF$97,C185))*(1+INDEX($AF$21:$AF$97,D185))*(1+INDEX($AF$21:$AF$97,E185))*(1+INDEX($AF$21:$AF$97,F185))-1</f>
        <v>0.497086310949572</v>
      </c>
      <c r="P185" s="489">
        <f>LN((1+L185)/(1+H185))</f>
        <v>0.0181694505416066</v>
      </c>
      <c r="Q185" s="489">
        <f>LN((1+M185)/(1+H185))</f>
        <v>0.0351228924322897</v>
      </c>
      <c r="R185" s="489">
        <f>LN((1+N185)/(1+H185))</f>
        <v>0.00762544196597781</v>
      </c>
      <c r="S185" s="542">
        <f>LN((1+O185)/(1+H185))</f>
        <v>0.0361653154574253</v>
      </c>
    </row>
    <row r="186">
      <c r="A186" s="320" t="n">
        <v>85</v>
      </c>
      <c r="B186" s="174" t="n">
        <v>60</v>
      </c>
      <c r="C186" s="174" t="n">
        <v>54</v>
      </c>
      <c r="D186" s="174" t="n">
        <v>40</v>
      </c>
      <c r="E186" s="174" t="n">
        <v>41</v>
      </c>
      <c r="F186" s="174" t="n">
        <v>45</v>
      </c>
      <c r="G186" s="68">
        <f>(1+INDEX($Z$21:$Z$97,B186))*(1+INDEX($Z$21:$Z$97,C186))*(1+INDEX($Z$21:$Z$97,D186))*(1+INDEX($Z$21:$Z$97,E186))*(1+INDEX($Z$21:$Z$97,F186))-1</f>
        <v>0.437077822288472</v>
      </c>
      <c r="H186" s="68">
        <f>(1+INDEX($AA$21:$AA$97,B186))*(1+INDEX($AA$21:$AA$97,C186))*(1+INDEX($AA$21:$AA$97,D186))*(1+INDEX($AA$21:$AA$97,E186))*(1+INDEX($AA$21:$AA$97,F186))-1</f>
        <v>0.462073772378552</v>
      </c>
      <c r="I186" s="68">
        <f>(1+INDEX($AB$21:$AB$97,B186))*(1+INDEX($AB$21:$AB$97,C186))*(1+INDEX($AB$21:$AB$97,D186))*(1+INDEX($AB$21:$AB$97,E186))*(1+INDEX($AB$21:$AB$97,F186))-1</f>
        <v>0.491245641339116</v>
      </c>
      <c r="J186" s="489">
        <f>LN((1+G186)/(1+H186))</f>
        <v>-0.0172440582462265</v>
      </c>
      <c r="K186" s="489">
        <f>LN((1+I186)/(1+H186))</f>
        <v>0.0197559516442107</v>
      </c>
      <c r="L186" s="489">
        <f>(1+INDEX($AC$21:$AC$97,B186))*(1+INDEX($AC$21:$AC$97,C186))*(1+INDEX($AC$21:$AC$97,D186))*(1+INDEX($AC$21:$AC$97,E186))*(1+INDEX($AC$21:$AC$97,F186))-1</f>
        <v>0.513286993417363</v>
      </c>
      <c r="M186" s="489">
        <f>(1+INDEX($AD$21:$AD$97,B186))*(1+INDEX($AD$21:$AD$97,C186))*(1+INDEX($AD$21:$AD$97,D186))*(1+INDEX($AD$21:$AD$97,E186))*(1+INDEX($AD$21:$AD$97,F186))-1</f>
        <v>0.472037007586546</v>
      </c>
      <c r="N186" s="489">
        <f>(1+INDEX($AE$21:$AE$97,B186))*(1+INDEX($AE$21:$AE$97,C186))*(1+INDEX($AE$21:$AE$97,D186))*(1+INDEX($AE$21:$AE$97,E186))*(1+INDEX($AE$21:$AE$97,F186))-1</f>
        <v>0.500153029499737</v>
      </c>
      <c r="O186" s="489">
        <f>(1+INDEX($AF$21:$AF$97,B186))*(1+INDEX($AF$21:$AF$97,C186))*(1+INDEX($AF$21:$AF$97,D186))*(1+INDEX($AF$21:$AF$97,E186))*(1+INDEX($AF$21:$AF$97,F186))-1</f>
        <v>0.445506612674291</v>
      </c>
      <c r="P186" s="489">
        <f>LN((1+L186)/(1+H186))</f>
        <v>0.0344282818686846</v>
      </c>
      <c r="Q186" s="489">
        <f>LN((1+M186)/(1+H186))</f>
        <v>0.00679134105634371</v>
      </c>
      <c r="R186" s="489">
        <f>LN((1+N186)/(1+H186))</f>
        <v>0.0257113026132245</v>
      </c>
      <c r="S186" s="542">
        <f>LN((1+O186)/(1+H186))</f>
        <v>-0.0113959628317234</v>
      </c>
    </row>
    <row r="187">
      <c r="A187" s="320" t="n">
        <v>86</v>
      </c>
      <c r="B187" s="174" t="n">
        <v>68</v>
      </c>
      <c r="C187" s="174" t="n">
        <v>66</v>
      </c>
      <c r="D187" s="174" t="n">
        <v>28</v>
      </c>
      <c r="E187" s="174" t="n">
        <v>5</v>
      </c>
      <c r="F187" s="174" t="n">
        <v>7</v>
      </c>
      <c r="G187" s="68">
        <f>(1+INDEX($Z$21:$Z$97,B187))*(1+INDEX($Z$21:$Z$97,C187))*(1+INDEX($Z$21:$Z$97,D187))*(1+INDEX($Z$21:$Z$97,E187))*(1+INDEX($Z$21:$Z$97,F187))-1</f>
        <v>0.190685570111722</v>
      </c>
      <c r="H187" s="68">
        <f>(1+INDEX($AA$21:$AA$97,B187))*(1+INDEX($AA$21:$AA$97,C187))*(1+INDEX($AA$21:$AA$97,D187))*(1+INDEX($AA$21:$AA$97,E187))*(1+INDEX($AA$21:$AA$97,F187))-1</f>
        <v>0.251628546640361</v>
      </c>
      <c r="I187" s="68">
        <f>(1+INDEX($AB$21:$AB$97,B187))*(1+INDEX($AB$21:$AB$97,C187))*(1+INDEX($AB$21:$AB$97,D187))*(1+INDEX($AB$21:$AB$97,E187))*(1+INDEX($AB$21:$AB$97,F187))-1</f>
        <v>0.230828288969576</v>
      </c>
      <c r="J187" s="489">
        <f>LN((1+G187)/(1+H187))</f>
        <v>-0.049916290096642</v>
      </c>
      <c r="K187" s="489">
        <f>LN((1+I187)/(1+H187))</f>
        <v>-0.0167581922555951</v>
      </c>
      <c r="L187" s="489">
        <f>(1+INDEX($AC$21:$AC$97,B187))*(1+INDEX($AC$21:$AC$97,C187))*(1+INDEX($AC$21:$AC$97,D187))*(1+INDEX($AC$21:$AC$97,E187))*(1+INDEX($AC$21:$AC$97,F187))-1</f>
        <v>0.233235061375362</v>
      </c>
      <c r="M187" s="489">
        <f>(1+INDEX($AD$21:$AD$97,B187))*(1+INDEX($AD$21:$AD$97,C187))*(1+INDEX($AD$21:$AD$97,D187))*(1+INDEX($AD$21:$AD$97,E187))*(1+INDEX($AD$21:$AD$97,F187))-1</f>
        <v>0.216675427108678</v>
      </c>
      <c r="N187" s="489">
        <f>(1+INDEX($AE$21:$AE$97,B187))*(1+INDEX($AE$21:$AE$97,C187))*(1+INDEX($AE$21:$AE$97,D187))*(1+INDEX($AE$21:$AE$97,E187))*(1+INDEX($AE$21:$AE$97,F187))-1</f>
        <v>0.233919861573261</v>
      </c>
      <c r="O187" s="489">
        <f>(1+INDEX($AF$21:$AF$97,B187))*(1+INDEX($AF$21:$AF$97,C187))*(1+INDEX($AF$21:$AF$97,D187))*(1+INDEX($AF$21:$AF$97,E187))*(1+INDEX($AF$21:$AF$97,F187))-1</f>
        <v>0.266647855824757</v>
      </c>
      <c r="P187" s="489">
        <f>LN((1+L187)/(1+H187))</f>
        <v>-0.0148046928288575</v>
      </c>
      <c r="Q187" s="489">
        <f>LN((1+M187)/(1+H187))</f>
        <v>-0.028323461406722</v>
      </c>
      <c r="R187" s="489">
        <f>LN((1+N187)/(1+H187))</f>
        <v>-0.0142495592949921</v>
      </c>
      <c r="S187" s="542">
        <f>LN((1+O187)/(1+H187))</f>
        <v>0.0119283866189059</v>
      </c>
    </row>
    <row r="188">
      <c r="A188" s="320" t="n">
        <v>87</v>
      </c>
      <c r="B188" s="174" t="n">
        <v>54</v>
      </c>
      <c r="C188" s="174" t="n">
        <v>11</v>
      </c>
      <c r="D188" s="174" t="n">
        <v>33</v>
      </c>
      <c r="E188" s="174" t="n">
        <v>43</v>
      </c>
      <c r="F188" s="174" t="n">
        <v>3</v>
      </c>
      <c r="G188" s="68">
        <f>(1+INDEX($Z$21:$Z$97,B188))*(1+INDEX($Z$21:$Z$97,C188))*(1+INDEX($Z$21:$Z$97,D188))*(1+INDEX($Z$21:$Z$97,E188))*(1+INDEX($Z$21:$Z$97,F188))-1</f>
        <v>0.404463967503356</v>
      </c>
      <c r="H188" s="68">
        <f>(1+INDEX($AA$21:$AA$97,B188))*(1+INDEX($AA$21:$AA$97,C188))*(1+INDEX($AA$21:$AA$97,D188))*(1+INDEX($AA$21:$AA$97,E188))*(1+INDEX($AA$21:$AA$97,F188))-1</f>
        <v>0.369102228175737</v>
      </c>
      <c r="I188" s="68">
        <f>(1+INDEX($AB$21:$AB$97,B188))*(1+INDEX($AB$21:$AB$97,C188))*(1+INDEX($AB$21:$AB$97,D188))*(1+INDEX($AB$21:$AB$97,E188))*(1+INDEX($AB$21:$AB$97,F188))-1</f>
        <v>0.382499657738211</v>
      </c>
      <c r="J188" s="489">
        <f>LN((1+G188)/(1+H188))</f>
        <v>0.0255004950670346</v>
      </c>
      <c r="K188" s="489">
        <f>LN((1+I188)/(1+H188))</f>
        <v>0.00973798971598442</v>
      </c>
      <c r="L188" s="489">
        <f>(1+INDEX($AC$21:$AC$97,B188))*(1+INDEX($AC$21:$AC$97,C188))*(1+INDEX($AC$21:$AC$97,D188))*(1+INDEX($AC$21:$AC$97,E188))*(1+INDEX($AC$21:$AC$97,F188))-1</f>
        <v>0.367844481101648</v>
      </c>
      <c r="M188" s="489">
        <f>(1+INDEX($AD$21:$AD$97,B188))*(1+INDEX($AD$21:$AD$97,C188))*(1+INDEX($AD$21:$AD$97,D188))*(1+INDEX($AD$21:$AD$97,E188))*(1+INDEX($AD$21:$AD$97,F188))-1</f>
        <v>0.428757519391047</v>
      </c>
      <c r="N188" s="489">
        <f>(1+INDEX($AE$21:$AE$97,B188))*(1+INDEX($AE$21:$AE$97,C188))*(1+INDEX($AE$21:$AE$97,D188))*(1+INDEX($AE$21:$AE$97,E188))*(1+INDEX($AE$21:$AE$97,F188))-1</f>
        <v>0.352041762551911</v>
      </c>
      <c r="O188" s="489">
        <f>(1+INDEX($AF$21:$AF$97,B188))*(1+INDEX($AF$21:$AF$97,C188))*(1+INDEX($AF$21:$AF$97,D188))*(1+INDEX($AF$21:$AF$97,E188))*(1+INDEX($AF$21:$AF$97,F188))-1</f>
        <v>0.436480112901265</v>
      </c>
      <c r="P188" s="489">
        <f>LN((1+L188)/(1+H188))</f>
        <v>-0.000919087798357793</v>
      </c>
      <c r="Q188" s="489">
        <f>LN((1+M188)/(1+H188))</f>
        <v>0.0426499818978623</v>
      </c>
      <c r="R188" s="489">
        <f>LN((1+N188)/(1+H188))</f>
        <v>-0.012539350525865</v>
      </c>
      <c r="S188" s="542">
        <f>LN((1+O188)/(1+H188))</f>
        <v>0.0480405380761661</v>
      </c>
    </row>
    <row r="189">
      <c r="A189" s="320" t="n">
        <v>88</v>
      </c>
      <c r="B189" s="174" t="n">
        <v>35</v>
      </c>
      <c r="C189" s="174" t="n">
        <v>62</v>
      </c>
      <c r="D189" s="174" t="n">
        <v>6</v>
      </c>
      <c r="E189" s="174" t="n">
        <v>24</v>
      </c>
      <c r="F189" s="174" t="n">
        <v>16</v>
      </c>
      <c r="G189" s="68">
        <f>(1+INDEX($Z$21:$Z$97,B189))*(1+INDEX($Z$21:$Z$97,C189))*(1+INDEX($Z$21:$Z$97,D189))*(1+INDEX($Z$21:$Z$97,E189))*(1+INDEX($Z$21:$Z$97,F189))-1</f>
        <v>0.0732944953372918</v>
      </c>
      <c r="H189" s="68">
        <f>(1+INDEX($AA$21:$AA$97,B189))*(1+INDEX($AA$21:$AA$97,C189))*(1+INDEX($AA$21:$AA$97,D189))*(1+INDEX($AA$21:$AA$97,E189))*(1+INDEX($AA$21:$AA$97,F189))-1</f>
        <v>0.0882599656012411</v>
      </c>
      <c r="I189" s="68">
        <f>(1+INDEX($AB$21:$AB$97,B189))*(1+INDEX($AB$21:$AB$97,C189))*(1+INDEX($AB$21:$AB$97,D189))*(1+INDEX($AB$21:$AB$97,E189))*(1+INDEX($AB$21:$AB$97,F189))-1</f>
        <v>0.0871944702101062</v>
      </c>
      <c r="J189" s="489">
        <f>LN((1+G189)/(1+H189))</f>
        <v>-0.0138471730989381</v>
      </c>
      <c r="K189" s="489">
        <f>LN((1+I189)/(1+H189))</f>
        <v>-0.000979561289626624</v>
      </c>
      <c r="L189" s="489">
        <f>(1+INDEX($AC$21:$AC$97,B189))*(1+INDEX($AC$21:$AC$97,C189))*(1+INDEX($AC$21:$AC$97,D189))*(1+INDEX($AC$21:$AC$97,E189))*(1+INDEX($AC$21:$AC$97,F189))-1</f>
        <v>0.0856283838658523</v>
      </c>
      <c r="M189" s="489">
        <f>(1+INDEX($AD$21:$AD$97,B189))*(1+INDEX($AD$21:$AD$97,C189))*(1+INDEX($AD$21:$AD$97,D189))*(1+INDEX($AD$21:$AD$97,E189))*(1+INDEX($AD$21:$AD$97,F189))-1</f>
        <v>0.0621753686098798</v>
      </c>
      <c r="N189" s="489">
        <f>(1+INDEX($AE$21:$AE$97,B189))*(1+INDEX($AE$21:$AE$97,C189))*(1+INDEX($AE$21:$AE$97,D189))*(1+INDEX($AE$21:$AE$97,E189))*(1+INDEX($AE$21:$AE$97,F189))-1</f>
        <v>0.0669898734931731</v>
      </c>
      <c r="O189" s="489">
        <f>(1+INDEX($AF$21:$AF$97,B189))*(1+INDEX($AF$21:$AF$97,C189))*(1+INDEX($AF$21:$AF$97,D189))*(1+INDEX($AF$21:$AF$97,E189))*(1+INDEX($AF$21:$AF$97,F189))-1</f>
        <v>0.0530322279393902</v>
      </c>
      <c r="P189" s="489">
        <f>LN((1+L189)/(1+H189))</f>
        <v>-0.00242108388085711</v>
      </c>
      <c r="Q189" s="489">
        <f>LN((1+M189)/(1+H189))</f>
        <v>-0.0242610191591286</v>
      </c>
      <c r="R189" s="489">
        <f>LN((1+N189)/(1+H189))</f>
        <v>-0.0197385772238571</v>
      </c>
      <c r="S189" s="542">
        <f>LN((1+O189)/(1+H189))</f>
        <v>-0.0329062203502404</v>
      </c>
    </row>
    <row r="190">
      <c r="A190" s="320" t="n">
        <v>89</v>
      </c>
      <c r="B190" s="174" t="n">
        <v>34</v>
      </c>
      <c r="C190" s="174" t="n">
        <v>66</v>
      </c>
      <c r="D190" s="174" t="n">
        <v>1</v>
      </c>
      <c r="E190" s="174" t="n">
        <v>14</v>
      </c>
      <c r="F190" s="174" t="n">
        <v>58</v>
      </c>
      <c r="G190" s="68">
        <f>(1+INDEX($Z$21:$Z$97,B190))*(1+INDEX($Z$21:$Z$97,C190))*(1+INDEX($Z$21:$Z$97,D190))*(1+INDEX($Z$21:$Z$97,E190))*(1+INDEX($Z$21:$Z$97,F190))-1</f>
        <v>0.851262163996145</v>
      </c>
      <c r="H190" s="68">
        <f>(1+INDEX($AA$21:$AA$97,B190))*(1+INDEX($AA$21:$AA$97,C190))*(1+INDEX($AA$21:$AA$97,D190))*(1+INDEX($AA$21:$AA$97,E190))*(1+INDEX($AA$21:$AA$97,F190))-1</f>
        <v>0.772659979076069</v>
      </c>
      <c r="I190" s="68">
        <f>(1+INDEX($AB$21:$AB$97,B190))*(1+INDEX($AB$21:$AB$97,C190))*(1+INDEX($AB$21:$AB$97,D190))*(1+INDEX($AB$21:$AB$97,E190))*(1+INDEX($AB$21:$AB$97,F190))-1</f>
        <v>0.8221859585648</v>
      </c>
      <c r="J190" s="489">
        <f>LN((1+G190)/(1+H190))</f>
        <v>0.0433864257420583</v>
      </c>
      <c r="K190" s="489">
        <f>LN((1+I190)/(1+H190))</f>
        <v>0.0275556249786805</v>
      </c>
      <c r="L190" s="489">
        <f>(1+INDEX($AC$21:$AC$97,B190))*(1+INDEX($AC$21:$AC$97,C190))*(1+INDEX($AC$21:$AC$97,D190))*(1+INDEX($AC$21:$AC$97,E190))*(1+INDEX($AC$21:$AC$97,F190))-1</f>
        <v>0.851041828351116</v>
      </c>
      <c r="M190" s="489">
        <f>(1+INDEX($AD$21:$AD$97,B190))*(1+INDEX($AD$21:$AD$97,C190))*(1+INDEX($AD$21:$AD$97,D190))*(1+INDEX($AD$21:$AD$97,E190))*(1+INDEX($AD$21:$AD$97,F190))-1</f>
        <v>0.82339638140107</v>
      </c>
      <c r="N190" s="489">
        <f>(1+INDEX($AE$21:$AE$97,B190))*(1+INDEX($AE$21:$AE$97,C190))*(1+INDEX($AE$21:$AE$97,D190))*(1+INDEX($AE$21:$AE$97,E190))*(1+INDEX($AE$21:$AE$97,F190))-1</f>
        <v>0.863204168549991</v>
      </c>
      <c r="O190" s="489">
        <f>(1+INDEX($AF$21:$AF$97,B190))*(1+INDEX($AF$21:$AF$97,C190))*(1+INDEX($AF$21:$AF$97,D190))*(1+INDEX($AF$21:$AF$97,E190))*(1+INDEX($AF$21:$AF$97,F190))-1</f>
        <v>0.725208987493389</v>
      </c>
      <c r="P190" s="489">
        <f>LN((1+L190)/(1+H190))</f>
        <v>0.0432673995109633</v>
      </c>
      <c r="Q190" s="489">
        <f>LN((1+M190)/(1+H190))</f>
        <v>0.0282196741032769</v>
      </c>
      <c r="R190" s="489">
        <f>LN((1+N190)/(1+H190))</f>
        <v>0.0498164453626509</v>
      </c>
      <c r="S190" s="542">
        <f>LN((1+O190)/(1+H190))</f>
        <v>-0.0271330362145478</v>
      </c>
    </row>
    <row r="191">
      <c r="A191" s="320" t="n">
        <v>90</v>
      </c>
      <c r="B191" s="174" t="n">
        <v>9</v>
      </c>
      <c r="C191" s="174" t="n">
        <v>17</v>
      </c>
      <c r="D191" s="174" t="n">
        <v>29</v>
      </c>
      <c r="E191" s="174" t="n">
        <v>58</v>
      </c>
      <c r="F191" s="174" t="n">
        <v>45</v>
      </c>
      <c r="G191" s="68">
        <f>(1+INDEX($Z$21:$Z$97,B191))*(1+INDEX($Z$21:$Z$97,C191))*(1+INDEX($Z$21:$Z$97,D191))*(1+INDEX($Z$21:$Z$97,E191))*(1+INDEX($Z$21:$Z$97,F191))-1</f>
        <v>0.206030010556661</v>
      </c>
      <c r="H191" s="68">
        <f>(1+INDEX($AA$21:$AA$97,B191))*(1+INDEX($AA$21:$AA$97,C191))*(1+INDEX($AA$21:$AA$97,D191))*(1+INDEX($AA$21:$AA$97,E191))*(1+INDEX($AA$21:$AA$97,F191))-1</f>
        <v>0.259215601820357</v>
      </c>
      <c r="I191" s="68">
        <f>(1+INDEX($AB$21:$AB$97,B191))*(1+INDEX($AB$21:$AB$97,C191))*(1+INDEX($AB$21:$AB$97,D191))*(1+INDEX($AB$21:$AB$97,E191))*(1+INDEX($AB$21:$AB$97,F191))-1</f>
        <v>0.247044755710599</v>
      </c>
      <c r="J191" s="489">
        <f>LN((1+G191)/(1+H191))</f>
        <v>-0.0431550064974619</v>
      </c>
      <c r="K191" s="489">
        <f>LN((1+I191)/(1+H191))</f>
        <v>-0.0097124321081683</v>
      </c>
      <c r="L191" s="489">
        <f>(1+INDEX($AC$21:$AC$97,B191))*(1+INDEX($AC$21:$AC$97,C191))*(1+INDEX($AC$21:$AC$97,D191))*(1+INDEX($AC$21:$AC$97,E191))*(1+INDEX($AC$21:$AC$97,F191))-1</f>
        <v>0.241981102578197</v>
      </c>
      <c r="M191" s="489">
        <f>(1+INDEX($AD$21:$AD$97,B191))*(1+INDEX($AD$21:$AD$97,C191))*(1+INDEX($AD$21:$AD$97,D191))*(1+INDEX($AD$21:$AD$97,E191))*(1+INDEX($AD$21:$AD$97,F191))-1</f>
        <v>0.242554064022015</v>
      </c>
      <c r="N191" s="489">
        <f>(1+INDEX($AE$21:$AE$97,B191))*(1+INDEX($AE$21:$AE$97,C191))*(1+INDEX($AE$21:$AE$97,D191))*(1+INDEX($AE$21:$AE$97,E191))*(1+INDEX($AE$21:$AE$97,F191))-1</f>
        <v>0.239512121577652</v>
      </c>
      <c r="O191" s="489">
        <f>(1+INDEX($AF$21:$AF$97,B191))*(1+INDEX($AF$21:$AF$97,C191))*(1+INDEX($AF$21:$AF$97,D191))*(1+INDEX($AF$21:$AF$97,E191))*(1+INDEX($AF$21:$AF$97,F191))-1</f>
        <v>0.262103129560518</v>
      </c>
      <c r="P191" s="489">
        <f>LN((1+L191)/(1+H191))</f>
        <v>-0.0137812207881144</v>
      </c>
      <c r="Q191" s="489">
        <f>LN((1+M191)/(1+H191))</f>
        <v>-0.0133199985348113</v>
      </c>
      <c r="R191" s="489">
        <f>LN((1+N191)/(1+H191))</f>
        <v>-0.0157711370137373</v>
      </c>
      <c r="S191" s="542">
        <f>LN((1+O191)/(1+H191))</f>
        <v>0.00229049105663392</v>
      </c>
    </row>
    <row r="192">
      <c r="A192" s="320" t="n">
        <v>91</v>
      </c>
      <c r="B192" s="174" t="n">
        <v>11</v>
      </c>
      <c r="C192" s="174" t="n">
        <v>76</v>
      </c>
      <c r="D192" s="174" t="n">
        <v>46</v>
      </c>
      <c r="E192" s="174" t="n">
        <v>27</v>
      </c>
      <c r="F192" s="174" t="n">
        <v>69</v>
      </c>
      <c r="G192" s="68">
        <f>(1+INDEX($Z$21:$Z$97,B192))*(1+INDEX($Z$21:$Z$97,C192))*(1+INDEX($Z$21:$Z$97,D192))*(1+INDEX($Z$21:$Z$97,E192))*(1+INDEX($Z$21:$Z$97,F192))-1</f>
        <v>0.580682374371658</v>
      </c>
      <c r="H192" s="68">
        <f>(1+INDEX($AA$21:$AA$97,B192))*(1+INDEX($AA$21:$AA$97,C192))*(1+INDEX($AA$21:$AA$97,D192))*(1+INDEX($AA$21:$AA$97,E192))*(1+INDEX($AA$21:$AA$97,F192))-1</f>
        <v>0.548152505844844</v>
      </c>
      <c r="I192" s="68">
        <f>(1+INDEX($AB$21:$AB$97,B192))*(1+INDEX($AB$21:$AB$97,C192))*(1+INDEX($AB$21:$AB$97,D192))*(1+INDEX($AB$21:$AB$97,E192))*(1+INDEX($AB$21:$AB$97,F192))-1</f>
        <v>0.587501953332569</v>
      </c>
      <c r="J192" s="489">
        <f>LN((1+G192)/(1+H192))</f>
        <v>0.0207943480155906</v>
      </c>
      <c r="K192" s="489">
        <f>LN((1+I192)/(1+H192))</f>
        <v>0.0250993939270825</v>
      </c>
      <c r="L192" s="489">
        <f>(1+INDEX($AC$21:$AC$97,B192))*(1+INDEX($AC$21:$AC$97,C192))*(1+INDEX($AC$21:$AC$97,D192))*(1+INDEX($AC$21:$AC$97,E192))*(1+INDEX($AC$21:$AC$97,F192))-1</f>
        <v>0.58827544629575</v>
      </c>
      <c r="M192" s="489">
        <f>(1+INDEX($AD$21:$AD$97,B192))*(1+INDEX($AD$21:$AD$97,C192))*(1+INDEX($AD$21:$AD$97,D192))*(1+INDEX($AD$21:$AD$97,E192))*(1+INDEX($AD$21:$AD$97,F192))-1</f>
        <v>0.589491441378573</v>
      </c>
      <c r="N192" s="489">
        <f>(1+INDEX($AE$21:$AE$97,B192))*(1+INDEX($AE$21:$AE$97,C192))*(1+INDEX($AE$21:$AE$97,D192))*(1+INDEX($AE$21:$AE$97,E192))*(1+INDEX($AE$21:$AE$97,F192))-1</f>
        <v>0.577150718754167</v>
      </c>
      <c r="O192" s="489">
        <f>(1+INDEX($AF$21:$AF$97,B192))*(1+INDEX($AF$21:$AF$97,C192))*(1+INDEX($AF$21:$AF$97,D192))*(1+INDEX($AF$21:$AF$97,E192))*(1+INDEX($AF$21:$AF$97,F192))-1</f>
        <v>0.597487093527067</v>
      </c>
      <c r="P192" s="489">
        <f>LN((1+L192)/(1+H192))</f>
        <v>0.0255865143269988</v>
      </c>
      <c r="Q192" s="489">
        <f>LN((1+M192)/(1+H192))</f>
        <v>0.0263518285776387</v>
      </c>
      <c r="R192" s="489">
        <f>LN((1+N192)/(1+H192))</f>
        <v>0.0185575881959453</v>
      </c>
      <c r="S192" s="542">
        <f>LN((1+O192)/(1+H192))</f>
        <v>0.0313695397650481</v>
      </c>
    </row>
    <row r="193">
      <c r="A193" s="320" t="n">
        <v>92</v>
      </c>
      <c r="B193" s="174" t="n">
        <v>35</v>
      </c>
      <c r="C193" s="174" t="n">
        <v>59</v>
      </c>
      <c r="D193" s="174" t="n">
        <v>35</v>
      </c>
      <c r="E193" s="174" t="n">
        <v>5</v>
      </c>
      <c r="F193" s="174" t="n">
        <v>24</v>
      </c>
      <c r="G193" s="68">
        <f>(1+INDEX($Z$21:$Z$97,B193))*(1+INDEX($Z$21:$Z$97,C193))*(1+INDEX($Z$21:$Z$97,D193))*(1+INDEX($Z$21:$Z$97,E193))*(1+INDEX($Z$21:$Z$97,F193))-1</f>
        <v>0.532790551271617</v>
      </c>
      <c r="H193" s="68">
        <f>(1+INDEX($AA$21:$AA$97,B193))*(1+INDEX($AA$21:$AA$97,C193))*(1+INDEX($AA$21:$AA$97,D193))*(1+INDEX($AA$21:$AA$97,E193))*(1+INDEX($AA$21:$AA$97,F193))-1</f>
        <v>0.554850106750405</v>
      </c>
      <c r="I193" s="68">
        <f>(1+INDEX($AB$21:$AB$97,B193))*(1+INDEX($AB$21:$AB$97,C193))*(1+INDEX($AB$21:$AB$97,D193))*(1+INDEX($AB$21:$AB$97,E193))*(1+INDEX($AB$21:$AB$97,F193))-1</f>
        <v>0.570397071477397</v>
      </c>
      <c r="J193" s="489">
        <f>LN((1+G193)/(1+H193))</f>
        <v>-0.0142891827550598</v>
      </c>
      <c r="K193" s="489">
        <f>LN((1+I193)/(1+H193))</f>
        <v>0.00994935254023781</v>
      </c>
      <c r="L193" s="489">
        <f>(1+INDEX($AC$21:$AC$97,B193))*(1+INDEX($AC$21:$AC$97,C193))*(1+INDEX($AC$21:$AC$97,D193))*(1+INDEX($AC$21:$AC$97,E193))*(1+INDEX($AC$21:$AC$97,F193))-1</f>
        <v>0.598572495684845</v>
      </c>
      <c r="M193" s="489">
        <f>(1+INDEX($AD$21:$AD$97,B193))*(1+INDEX($AD$21:$AD$97,C193))*(1+INDEX($AD$21:$AD$97,D193))*(1+INDEX($AD$21:$AD$97,E193))*(1+INDEX($AD$21:$AD$97,F193))-1</f>
        <v>0.559959100048062</v>
      </c>
      <c r="N193" s="489">
        <f>(1+INDEX($AE$21:$AE$97,B193))*(1+INDEX($AE$21:$AE$97,C193))*(1+INDEX($AE$21:$AE$97,D193))*(1+INDEX($AE$21:$AE$97,E193))*(1+INDEX($AE$21:$AE$97,F193))-1</f>
        <v>0.589512707331209</v>
      </c>
      <c r="O193" s="489">
        <f>(1+INDEX($AF$21:$AF$97,B193))*(1+INDEX($AF$21:$AF$97,C193))*(1+INDEX($AF$21:$AF$97,D193))*(1+INDEX($AF$21:$AF$97,E193))*(1+INDEX($AF$21:$AF$97,F193))-1</f>
        <v>0.477320949697005</v>
      </c>
      <c r="P193" s="489">
        <f>LN((1+L193)/(1+H193))</f>
        <v>0.0277318941979713</v>
      </c>
      <c r="Q193" s="489">
        <f>LN((1+M193)/(1+H193))</f>
        <v>0.00328045638760967</v>
      </c>
      <c r="R193" s="489">
        <f>LN((1+N193)/(1+H193))</f>
        <v>0.0220483492707481</v>
      </c>
      <c r="S193" s="542">
        <f>LN((1+O193)/(1+H193))</f>
        <v>-0.0511488682958034</v>
      </c>
    </row>
    <row r="194">
      <c r="A194" s="320" t="n">
        <v>93</v>
      </c>
      <c r="B194" s="174" t="n">
        <v>54</v>
      </c>
      <c r="C194" s="174" t="n">
        <v>9</v>
      </c>
      <c r="D194" s="174" t="n">
        <v>2</v>
      </c>
      <c r="E194" s="174" t="n">
        <v>49</v>
      </c>
      <c r="F194" s="174" t="n">
        <v>50</v>
      </c>
      <c r="G194" s="68">
        <f>(1+INDEX($Z$21:$Z$97,B194))*(1+INDEX($Z$21:$Z$97,C194))*(1+INDEX($Z$21:$Z$97,D194))*(1+INDEX($Z$21:$Z$97,E194))*(1+INDEX($Z$21:$Z$97,F194))-1</f>
        <v>0.145636543531028</v>
      </c>
      <c r="H194" s="68">
        <f>(1+INDEX($AA$21:$AA$97,B194))*(1+INDEX($AA$21:$AA$97,C194))*(1+INDEX($AA$21:$AA$97,D194))*(1+INDEX($AA$21:$AA$97,E194))*(1+INDEX($AA$21:$AA$97,F194))-1</f>
        <v>0.123553019770009</v>
      </c>
      <c r="I194" s="68">
        <f>(1+INDEX($AB$21:$AB$97,B194))*(1+INDEX($AB$21:$AB$97,C194))*(1+INDEX($AB$21:$AB$97,D194))*(1+INDEX($AB$21:$AB$97,E194))*(1+INDEX($AB$21:$AB$97,F194))-1</f>
        <v>0.124093830239337</v>
      </c>
      <c r="J194" s="489">
        <f>LN((1+G194)/(1+H194))</f>
        <v>0.0194644126111012</v>
      </c>
      <c r="K194" s="489">
        <f>LN((1+I194)/(1+H194))</f>
        <v>0.000481223711600887</v>
      </c>
      <c r="L194" s="489">
        <f>(1+INDEX($AC$21:$AC$97,B194))*(1+INDEX($AC$21:$AC$97,C194))*(1+INDEX($AC$21:$AC$97,D194))*(1+INDEX($AC$21:$AC$97,E194))*(1+INDEX($AC$21:$AC$97,F194))-1</f>
        <v>0.0877060437744919</v>
      </c>
      <c r="M194" s="489">
        <f>(1+INDEX($AD$21:$AD$97,B194))*(1+INDEX($AD$21:$AD$97,C194))*(1+INDEX($AD$21:$AD$97,D194))*(1+INDEX($AD$21:$AD$97,E194))*(1+INDEX($AD$21:$AD$97,F194))-1</f>
        <v>0.15908678595191</v>
      </c>
      <c r="N194" s="489">
        <f>(1+INDEX($AE$21:$AE$97,B194))*(1+INDEX($AE$21:$AE$97,C194))*(1+INDEX($AE$21:$AE$97,D194))*(1+INDEX($AE$21:$AE$97,E194))*(1+INDEX($AE$21:$AE$97,F194))-1</f>
        <v>0.0861742889182302</v>
      </c>
      <c r="O194" s="489">
        <f>(1+INDEX($AF$21:$AF$97,B194))*(1+INDEX($AF$21:$AF$97,C194))*(1+INDEX($AF$21:$AF$97,D194))*(1+INDEX($AF$21:$AF$97,E194))*(1+INDEX($AF$21:$AF$97,F194))-1</f>
        <v>0.202719102634737</v>
      </c>
      <c r="P194" s="489">
        <f>LN((1+L194)/(1+H194))</f>
        <v>-0.0324250715622161</v>
      </c>
      <c r="Q194" s="489">
        <f>LN((1+M194)/(1+H194))</f>
        <v>0.0311364384454256</v>
      </c>
      <c r="R194" s="489">
        <f>LN((1+N194)/(1+H194))</f>
        <v>-0.0338343074679136</v>
      </c>
      <c r="S194" s="542">
        <f>LN((1+O194)/(1+H194))</f>
        <v>0.0680889091971951</v>
      </c>
    </row>
    <row r="195">
      <c r="A195" s="320" t="n">
        <v>94</v>
      </c>
      <c r="B195" s="174" t="n">
        <v>31</v>
      </c>
      <c r="C195" s="174" t="n">
        <v>56</v>
      </c>
      <c r="D195" s="174" t="n">
        <v>27</v>
      </c>
      <c r="E195" s="174" t="n">
        <v>37</v>
      </c>
      <c r="F195" s="174" t="n">
        <v>28</v>
      </c>
      <c r="G195" s="68">
        <f>(1+INDEX($Z$21:$Z$97,B195))*(1+INDEX($Z$21:$Z$97,C195))*(1+INDEX($Z$21:$Z$97,D195))*(1+INDEX($Z$21:$Z$97,E195))*(1+INDEX($Z$21:$Z$97,F195))-1</f>
        <v>0.555561657467846</v>
      </c>
      <c r="H195" s="68">
        <f>(1+INDEX($AA$21:$AA$97,B195))*(1+INDEX($AA$21:$AA$97,C195))*(1+INDEX($AA$21:$AA$97,D195))*(1+INDEX($AA$21:$AA$97,E195))*(1+INDEX($AA$21:$AA$97,F195))-1</f>
        <v>0.56160225391237</v>
      </c>
      <c r="I195" s="68">
        <f>(1+INDEX($AB$21:$AB$97,B195))*(1+INDEX($AB$21:$AB$97,C195))*(1+INDEX($AB$21:$AB$97,D195))*(1+INDEX($AB$21:$AB$97,E195))*(1+INDEX($AB$21:$AB$97,F195))-1</f>
        <v>0.607094618644244</v>
      </c>
      <c r="J195" s="489">
        <f>LN((1+G195)/(1+H195))</f>
        <v>-0.0038757050816806</v>
      </c>
      <c r="K195" s="489">
        <f>LN((1+I195)/(1+H195))</f>
        <v>0.0287155840679238</v>
      </c>
      <c r="L195" s="489">
        <f>(1+INDEX($AC$21:$AC$97,B195))*(1+INDEX($AC$21:$AC$97,C195))*(1+INDEX($AC$21:$AC$97,D195))*(1+INDEX($AC$21:$AC$97,E195))*(1+INDEX($AC$21:$AC$97,F195))-1</f>
        <v>0.603017704538822</v>
      </c>
      <c r="M195" s="489">
        <f>(1+INDEX($AD$21:$AD$97,B195))*(1+INDEX($AD$21:$AD$97,C195))*(1+INDEX($AD$21:$AD$97,D195))*(1+INDEX($AD$21:$AD$97,E195))*(1+INDEX($AD$21:$AD$97,F195))-1</f>
        <v>0.621439605540281</v>
      </c>
      <c r="N195" s="489">
        <f>(1+INDEX($AE$21:$AE$97,B195))*(1+INDEX($AE$21:$AE$97,C195))*(1+INDEX($AE$21:$AE$97,D195))*(1+INDEX($AE$21:$AE$97,E195))*(1+INDEX($AE$21:$AE$97,F195))-1</f>
        <v>0.61258203313889</v>
      </c>
      <c r="O195" s="489">
        <f>(1+INDEX($AF$21:$AF$97,B195))*(1+INDEX($AF$21:$AF$97,C195))*(1+INDEX($AF$21:$AF$97,D195))*(1+INDEX($AF$21:$AF$97,E195))*(1+INDEX($AF$21:$AF$97,F195))-1</f>
        <v>0.606333341839929</v>
      </c>
      <c r="P195" s="489">
        <f>LN((1+L195)/(1+H195))</f>
        <v>0.0261755381835832</v>
      </c>
      <c r="Q195" s="489">
        <f>LN((1+M195)/(1+H195))</f>
        <v>0.0376020200170439</v>
      </c>
      <c r="R195" s="489">
        <f>LN((1+N195)/(1+H195))</f>
        <v>0.0321242616472903</v>
      </c>
      <c r="S195" s="542">
        <f>LN((1+O195)/(1+H195))</f>
        <v>0.0282417742748191</v>
      </c>
    </row>
    <row r="196">
      <c r="A196" s="320" t="n">
        <v>95</v>
      </c>
      <c r="B196" s="174" t="n">
        <v>43</v>
      </c>
      <c r="C196" s="174" t="n">
        <v>75</v>
      </c>
      <c r="D196" s="174" t="n">
        <v>63</v>
      </c>
      <c r="E196" s="174" t="n">
        <v>55</v>
      </c>
      <c r="F196" s="174" t="n">
        <v>33</v>
      </c>
      <c r="G196" s="68">
        <f>(1+INDEX($Z$21:$Z$97,B196))*(1+INDEX($Z$21:$Z$97,C196))*(1+INDEX($Z$21:$Z$97,D196))*(1+INDEX($Z$21:$Z$97,E196))*(1+INDEX($Z$21:$Z$97,F196))-1</f>
        <v>0.227365410487363</v>
      </c>
      <c r="H196" s="68">
        <f>(1+INDEX($AA$21:$AA$97,B196))*(1+INDEX($AA$21:$AA$97,C196))*(1+INDEX($AA$21:$AA$97,D196))*(1+INDEX($AA$21:$AA$97,E196))*(1+INDEX($AA$21:$AA$97,F196))-1</f>
        <v>0.25751332975764</v>
      </c>
      <c r="I196" s="68">
        <f>(1+INDEX($AB$21:$AB$97,B196))*(1+INDEX($AB$21:$AB$97,C196))*(1+INDEX($AB$21:$AB$97,D196))*(1+INDEX($AB$21:$AB$97,E196))*(1+INDEX($AB$21:$AB$97,F196))-1</f>
        <v>0.307961368175213</v>
      </c>
      <c r="J196" s="489">
        <f>LN((1+G196)/(1+H196))</f>
        <v>-0.0242662936895407</v>
      </c>
      <c r="K196" s="489">
        <f>LN((1+I196)/(1+H196))</f>
        <v>0.0393334944241405</v>
      </c>
      <c r="L196" s="489">
        <f>(1+INDEX($AC$21:$AC$97,B196))*(1+INDEX($AC$21:$AC$97,C196))*(1+INDEX($AC$21:$AC$97,D196))*(1+INDEX($AC$21:$AC$97,E196))*(1+INDEX($AC$21:$AC$97,F196))-1</f>
        <v>0.296724006187156</v>
      </c>
      <c r="M196" s="489">
        <f>(1+INDEX($AD$21:$AD$97,B196))*(1+INDEX($AD$21:$AD$97,C196))*(1+INDEX($AD$21:$AD$97,D196))*(1+INDEX($AD$21:$AD$97,E196))*(1+INDEX($AD$21:$AD$97,F196))-1</f>
        <v>0.300162905842424</v>
      </c>
      <c r="N196" s="489">
        <f>(1+INDEX($AE$21:$AE$97,B196))*(1+INDEX($AE$21:$AE$97,C196))*(1+INDEX($AE$21:$AE$97,D196))*(1+INDEX($AE$21:$AE$97,E196))*(1+INDEX($AE$21:$AE$97,F196))-1</f>
        <v>0.281640688902582</v>
      </c>
      <c r="O196" s="489">
        <f>(1+INDEX($AF$21:$AF$97,B196))*(1+INDEX($AF$21:$AF$97,C196))*(1+INDEX($AF$21:$AF$97,D196))*(1+INDEX($AF$21:$AF$97,E196))*(1+INDEX($AF$21:$AF$97,F196))-1</f>
        <v>0.259422982097219</v>
      </c>
      <c r="P196" s="489">
        <f>LN((1+L196)/(1+H196))</f>
        <v>0.0307048655539691</v>
      </c>
      <c r="Q196" s="489">
        <f>LN((1+M196)/(1+H196))</f>
        <v>0.0333533456625969</v>
      </c>
      <c r="R196" s="489">
        <f>LN((1+N196)/(1+H196))</f>
        <v>0.0190048222070192</v>
      </c>
      <c r="S196" s="542">
        <f>LN((1+O196)/(1+H196))</f>
        <v>0.00151744221498205</v>
      </c>
    </row>
    <row r="197">
      <c r="A197" s="320" t="n">
        <v>96</v>
      </c>
      <c r="B197" s="174" t="n">
        <v>48</v>
      </c>
      <c r="C197" s="174" t="n">
        <v>25</v>
      </c>
      <c r="D197" s="174" t="n">
        <v>10</v>
      </c>
      <c r="E197" s="174" t="n">
        <v>5</v>
      </c>
      <c r="F197" s="174" t="n">
        <v>30</v>
      </c>
      <c r="G197" s="68">
        <f>(1+INDEX($Z$21:$Z$97,B197))*(1+INDEX($Z$21:$Z$97,C197))*(1+INDEX($Z$21:$Z$97,D197))*(1+INDEX($Z$21:$Z$97,E197))*(1+INDEX($Z$21:$Z$97,F197))-1</f>
        <v>0.0536959708539324</v>
      </c>
      <c r="H197" s="68">
        <f>(1+INDEX($AA$21:$AA$97,B197))*(1+INDEX($AA$21:$AA$97,C197))*(1+INDEX($AA$21:$AA$97,D197))*(1+INDEX($AA$21:$AA$97,E197))*(1+INDEX($AA$21:$AA$97,F197))-1</f>
        <v>0.0711363760002708</v>
      </c>
      <c r="I197" s="68">
        <f>(1+INDEX($AB$21:$AB$97,B197))*(1+INDEX($AB$21:$AB$97,C197))*(1+INDEX($AB$21:$AB$97,D197))*(1+INDEX($AB$21:$AB$97,E197))*(1+INDEX($AB$21:$AB$97,F197))-1</f>
        <v>0.0444961432623816</v>
      </c>
      <c r="J197" s="489">
        <f>LN((1+G197)/(1+H197))</f>
        <v>-0.0164161627517384</v>
      </c>
      <c r="K197" s="489">
        <f>LN((1+I197)/(1+H197))</f>
        <v>-0.025185508977225</v>
      </c>
      <c r="L197" s="489">
        <f>(1+INDEX($AC$21:$AC$97,B197))*(1+INDEX($AC$21:$AC$97,C197))*(1+INDEX($AC$21:$AC$97,D197))*(1+INDEX($AC$21:$AC$97,E197))*(1+INDEX($AC$21:$AC$97,F197))-1</f>
        <v>0.0312274305977289</v>
      </c>
      <c r="M197" s="489">
        <f>(1+INDEX($AD$21:$AD$97,B197))*(1+INDEX($AD$21:$AD$97,C197))*(1+INDEX($AD$21:$AD$97,D197))*(1+INDEX($AD$21:$AD$97,E197))*(1+INDEX($AD$21:$AD$97,F197))-1</f>
        <v>0.0610898960689941</v>
      </c>
      <c r="N197" s="489">
        <f>(1+INDEX($AE$21:$AE$97,B197))*(1+INDEX($AE$21:$AE$97,C197))*(1+INDEX($AE$21:$AE$97,D197))*(1+INDEX($AE$21:$AE$97,E197))*(1+INDEX($AE$21:$AE$97,F197))-1</f>
        <v>0.0199241266561585</v>
      </c>
      <c r="O197" s="489">
        <f>(1+INDEX($AF$21:$AF$97,B197))*(1+INDEX($AF$21:$AF$97,C197))*(1+INDEX($AF$21:$AF$97,D197))*(1+INDEX($AF$21:$AF$97,E197))*(1+INDEX($AF$21:$AF$97,F197))-1</f>
        <v>0.105585330851825</v>
      </c>
      <c r="P197" s="489">
        <f>LN((1+L197)/(1+H197))</f>
        <v>-0.0379703456139001</v>
      </c>
      <c r="Q197" s="489">
        <f>LN((1+M197)/(1+H197))</f>
        <v>-0.00942353483702953</v>
      </c>
      <c r="R197" s="489">
        <f>LN((1+N197)/(1+H197))</f>
        <v>-0.0489918796619587</v>
      </c>
      <c r="S197" s="542">
        <f>LN((1+O197)/(1+H197))</f>
        <v>0.0316547873402238</v>
      </c>
    </row>
    <row r="198">
      <c r="A198" s="320" t="n">
        <v>97</v>
      </c>
      <c r="B198" s="174" t="n">
        <v>8</v>
      </c>
      <c r="C198" s="174" t="n">
        <v>57</v>
      </c>
      <c r="D198" s="174" t="n">
        <v>19</v>
      </c>
      <c r="E198" s="174" t="n">
        <v>23</v>
      </c>
      <c r="F198" s="174" t="n">
        <v>2</v>
      </c>
      <c r="G198" s="68">
        <f>(1+INDEX($Z$21:$Z$97,B198))*(1+INDEX($Z$21:$Z$97,C198))*(1+INDEX($Z$21:$Z$97,D198))*(1+INDEX($Z$21:$Z$97,E198))*(1+INDEX($Z$21:$Z$97,F198))-1</f>
        <v>0.21355399433418</v>
      </c>
      <c r="H198" s="68">
        <f>(1+INDEX($AA$21:$AA$97,B198))*(1+INDEX($AA$21:$AA$97,C198))*(1+INDEX($AA$21:$AA$97,D198))*(1+INDEX($AA$21:$AA$97,E198))*(1+INDEX($AA$21:$AA$97,F198))-1</f>
        <v>0.181268050092703</v>
      </c>
      <c r="I198" s="68">
        <f>(1+INDEX($AB$21:$AB$97,B198))*(1+INDEX($AB$21:$AB$97,C198))*(1+INDEX($AB$21:$AB$97,D198))*(1+INDEX($AB$21:$AB$97,E198))*(1+INDEX($AB$21:$AB$97,F198))-1</f>
        <v>0.160381642118836</v>
      </c>
      <c r="J198" s="489">
        <f>LN((1+G198)/(1+H198))</f>
        <v>0.0269647596967927</v>
      </c>
      <c r="K198" s="489">
        <f>LN((1+I198)/(1+H198))</f>
        <v>-0.0178395273752061</v>
      </c>
      <c r="L198" s="489">
        <f>(1+INDEX($AC$21:$AC$97,B198))*(1+INDEX($AC$21:$AC$97,C198))*(1+INDEX($AC$21:$AC$97,D198))*(1+INDEX($AC$21:$AC$97,E198))*(1+INDEX($AC$21:$AC$97,F198))-1</f>
        <v>0.139837773330136</v>
      </c>
      <c r="M198" s="489">
        <f>(1+INDEX($AD$21:$AD$97,B198))*(1+INDEX($AD$21:$AD$97,C198))*(1+INDEX($AD$21:$AD$97,D198))*(1+INDEX($AD$21:$AD$97,E198))*(1+INDEX($AD$21:$AD$97,F198))-1</f>
        <v>0.176206233619093</v>
      </c>
      <c r="N198" s="489">
        <f>(1+INDEX($AE$21:$AE$97,B198))*(1+INDEX($AE$21:$AE$97,C198))*(1+INDEX($AE$21:$AE$97,D198))*(1+INDEX($AE$21:$AE$97,E198))*(1+INDEX($AE$21:$AE$97,F198))-1</f>
        <v>0.143167435669395</v>
      </c>
      <c r="O198" s="489">
        <f>(1+INDEX($AF$21:$AF$97,B198))*(1+INDEX($AF$21:$AF$97,C198))*(1+INDEX($AF$21:$AF$97,D198))*(1+INDEX($AF$21:$AF$97,E198))*(1+INDEX($AF$21:$AF$97,F198))-1</f>
        <v>0.229935554959908</v>
      </c>
      <c r="P198" s="489">
        <f>LN((1+L198)/(1+H198))</f>
        <v>-0.0357025320269849</v>
      </c>
      <c r="Q198" s="489">
        <f>LN((1+M198)/(1+H198))</f>
        <v>-0.00429427738597217</v>
      </c>
      <c r="R198" s="489">
        <f>LN((1+N198)/(1+H198))</f>
        <v>-0.0327856182267269</v>
      </c>
      <c r="S198" s="542">
        <f>LN((1+O198)/(1+H198))</f>
        <v>0.0403732934593281</v>
      </c>
    </row>
    <row r="199">
      <c r="A199" s="320" t="n">
        <v>98</v>
      </c>
      <c r="B199" s="174" t="n">
        <v>1</v>
      </c>
      <c r="C199" s="174" t="n">
        <v>72</v>
      </c>
      <c r="D199" s="174" t="n">
        <v>41</v>
      </c>
      <c r="E199" s="174" t="n">
        <v>22</v>
      </c>
      <c r="F199" s="174" t="n">
        <v>68</v>
      </c>
      <c r="G199" s="68">
        <f>(1+INDEX($Z$21:$Z$97,B199))*(1+INDEX($Z$21:$Z$97,C199))*(1+INDEX($Z$21:$Z$97,D199))*(1+INDEX($Z$21:$Z$97,E199))*(1+INDEX($Z$21:$Z$97,F199))-1</f>
        <v>0.608456706202947</v>
      </c>
      <c r="H199" s="68">
        <f>(1+INDEX($AA$21:$AA$97,B199))*(1+INDEX($AA$21:$AA$97,C199))*(1+INDEX($AA$21:$AA$97,D199))*(1+INDEX($AA$21:$AA$97,E199))*(1+INDEX($AA$21:$AA$97,F199))-1</f>
        <v>0.571459379392923</v>
      </c>
      <c r="I199" s="68">
        <f>(1+INDEX($AB$21:$AB$97,B199))*(1+INDEX($AB$21:$AB$97,C199))*(1+INDEX($AB$21:$AB$97,D199))*(1+INDEX($AB$21:$AB$97,E199))*(1+INDEX($AB$21:$AB$97,F199))-1</f>
        <v>0.604235074851778</v>
      </c>
      <c r="J199" s="489">
        <f>LN((1+G199)/(1+H199))</f>
        <v>0.0232704230817541</v>
      </c>
      <c r="K199" s="489">
        <f>LN((1+I199)/(1+H199))</f>
        <v>0.0206423254809025</v>
      </c>
      <c r="L199" s="489">
        <f>(1+INDEX($AC$21:$AC$97,B199))*(1+INDEX($AC$21:$AC$97,C199))*(1+INDEX($AC$21:$AC$97,D199))*(1+INDEX($AC$21:$AC$97,E199))*(1+INDEX($AC$21:$AC$97,F199))-1</f>
        <v>0.603046242768038</v>
      </c>
      <c r="M199" s="489">
        <f>(1+INDEX($AD$21:$AD$97,B199))*(1+INDEX($AD$21:$AD$97,C199))*(1+INDEX($AD$21:$AD$97,D199))*(1+INDEX($AD$21:$AD$97,E199))*(1+INDEX($AD$21:$AD$97,F199))-1</f>
        <v>0.604400093824289</v>
      </c>
      <c r="N199" s="489">
        <f>(1+INDEX($AE$21:$AE$97,B199))*(1+INDEX($AE$21:$AE$97,C199))*(1+INDEX($AE$21:$AE$97,D199))*(1+INDEX($AE$21:$AE$97,E199))*(1+INDEX($AE$21:$AE$97,F199))-1</f>
        <v>0.61060013988156</v>
      </c>
      <c r="O199" s="489">
        <f>(1+INDEX($AF$21:$AF$97,B199))*(1+INDEX($AF$21:$AF$97,C199))*(1+INDEX($AF$21:$AF$97,D199))*(1+INDEX($AF$21:$AF$97,E199))*(1+INDEX($AF$21:$AF$97,F199))-1</f>
        <v>0.582995169575612</v>
      </c>
      <c r="P199" s="489">
        <f>LN((1+L199)/(1+H199))</f>
        <v>0.019900992232924</v>
      </c>
      <c r="Q199" s="489">
        <f>LN((1+M199)/(1+H199))</f>
        <v>0.020745184774017</v>
      </c>
      <c r="R199" s="489">
        <f>LN((1+N199)/(1+H199))</f>
        <v>0.0246021386107893</v>
      </c>
      <c r="S199" s="542">
        <f>LN((1+O199)/(1+H199))</f>
        <v>0.00731400083835742</v>
      </c>
    </row>
    <row r="200">
      <c r="A200" s="320" t="n">
        <v>99</v>
      </c>
      <c r="B200" s="174" t="n">
        <v>18</v>
      </c>
      <c r="C200" s="174" t="n">
        <v>37</v>
      </c>
      <c r="D200" s="174" t="n">
        <v>32</v>
      </c>
      <c r="E200" s="174" t="n">
        <v>67</v>
      </c>
      <c r="F200" s="174" t="n">
        <v>9</v>
      </c>
      <c r="G200" s="68">
        <f>(1+INDEX($Z$21:$Z$97,B200))*(1+INDEX($Z$21:$Z$97,C200))*(1+INDEX($Z$21:$Z$97,D200))*(1+INDEX($Z$21:$Z$97,E200))*(1+INDEX($Z$21:$Z$97,F200))-1</f>
        <v>0.0373445956327276</v>
      </c>
      <c r="H200" s="68">
        <f>(1+INDEX($AA$21:$AA$97,B200))*(1+INDEX($AA$21:$AA$97,C200))*(1+INDEX($AA$21:$AA$97,D200))*(1+INDEX($AA$21:$AA$97,E200))*(1+INDEX($AA$21:$AA$97,F200))-1</f>
        <v>0.0566183257783366</v>
      </c>
      <c r="I200" s="68">
        <f>(1+INDEX($AB$21:$AB$97,B200))*(1+INDEX($AB$21:$AB$97,C200))*(1+INDEX($AB$21:$AB$97,D200))*(1+INDEX($AB$21:$AB$97,E200))*(1+INDEX($AB$21:$AB$97,F200))-1</f>
        <v>0.0181351818283355</v>
      </c>
      <c r="J200" s="489">
        <f>LN((1+G200)/(1+H200))</f>
        <v>-0.0184093751383031</v>
      </c>
      <c r="K200" s="489">
        <f>LN((1+I200)/(1+H200))</f>
        <v>-0.0371008488076189</v>
      </c>
      <c r="L200" s="489">
        <f>(1+INDEX($AC$21:$AC$97,B200))*(1+INDEX($AC$21:$AC$97,C200))*(1+INDEX($AC$21:$AC$97,D200))*(1+INDEX($AC$21:$AC$97,E200))*(1+INDEX($AC$21:$AC$97,F200))-1</f>
        <v>0.000679187207189624</v>
      </c>
      <c r="M200" s="489">
        <f>(1+INDEX($AD$21:$AD$97,B200))*(1+INDEX($AD$21:$AD$97,C200))*(1+INDEX($AD$21:$AD$97,D200))*(1+INDEX($AD$21:$AD$97,E200))*(1+INDEX($AD$21:$AD$97,F200))-1</f>
        <v>0.0453940402948758</v>
      </c>
      <c r="N200" s="489">
        <f>(1+INDEX($AE$21:$AE$97,B200))*(1+INDEX($AE$21:$AE$97,C200))*(1+INDEX($AE$21:$AE$97,D200))*(1+INDEX($AE$21:$AE$97,E200))*(1+INDEX($AE$21:$AE$97,F200))-1</f>
        <v>0.0179737941290172</v>
      </c>
      <c r="O200" s="489">
        <f>(1+INDEX($AF$21:$AF$97,B200))*(1+INDEX($AF$21:$AF$97,C200))*(1+INDEX($AF$21:$AF$97,D200))*(1+INDEX($AF$21:$AF$97,E200))*(1+INDEX($AF$21:$AF$97,F200))-1</f>
        <v>0.0817555998735575</v>
      </c>
      <c r="P200" s="489">
        <f>LN((1+L200)/(1+H200))</f>
        <v>-0.0543945930358853</v>
      </c>
      <c r="Q200" s="489">
        <f>LN((1+M200)/(1+H200))</f>
        <v>-0.0106796633043391</v>
      </c>
      <c r="R200" s="489">
        <f>LN((1+N200)/(1+H200))</f>
        <v>-0.0372593744087158</v>
      </c>
      <c r="S200" s="542">
        <f>LN((1+O200)/(1+H200))</f>
        <v>0.0235117270896022</v>
      </c>
    </row>
    <row r="201">
      <c r="A201" s="320" t="n">
        <v>100</v>
      </c>
      <c r="B201" s="174" t="n">
        <v>8</v>
      </c>
      <c r="C201" s="174" t="n">
        <v>3</v>
      </c>
      <c r="D201" s="174" t="n">
        <v>53</v>
      </c>
      <c r="E201" s="174" t="n">
        <v>77</v>
      </c>
      <c r="F201" s="174" t="n">
        <v>62</v>
      </c>
      <c r="G201" s="68">
        <f>(1+INDEX($Z$21:$Z$97,B201))*(1+INDEX($Z$21:$Z$97,C201))*(1+INDEX($Z$21:$Z$97,D201))*(1+INDEX($Z$21:$Z$97,E201))*(1+INDEX($Z$21:$Z$97,F201))-1</f>
        <v>-0.141892594156308</v>
      </c>
      <c r="H201" s="68">
        <f>(1+INDEX($AA$21:$AA$97,B201))*(1+INDEX($AA$21:$AA$97,C201))*(1+INDEX($AA$21:$AA$97,D201))*(1+INDEX($AA$21:$AA$97,E201))*(1+INDEX($AA$21:$AA$97,F201))-1</f>
        <v>-0.0964586312868212</v>
      </c>
      <c r="I201" s="68">
        <f>(1+INDEX($AB$21:$AB$97,B201))*(1+INDEX($AB$21:$AB$97,C201))*(1+INDEX($AB$21:$AB$97,D201))*(1+INDEX($AB$21:$AB$97,E201))*(1+INDEX($AB$21:$AB$97,F201))-1</f>
        <v>-0.133459024802064</v>
      </c>
      <c r="J201" s="489">
        <f>LN((1+G201)/(1+H201))</f>
        <v>-0.051592622870309</v>
      </c>
      <c r="K201" s="489">
        <f>LN((1+I201)/(1+H201))</f>
        <v>-0.0418124999536783</v>
      </c>
      <c r="L201" s="489">
        <f>(1+INDEX($AC$21:$AC$97,B201))*(1+INDEX($AC$21:$AC$97,C201))*(1+INDEX($AC$21:$AC$97,D201))*(1+INDEX($AC$21:$AC$97,E201))*(1+INDEX($AC$21:$AC$97,F201))-1</f>
        <v>-0.133651228103612</v>
      </c>
      <c r="M201" s="489">
        <f>(1+INDEX($AD$21:$AD$97,B201))*(1+INDEX($AD$21:$AD$97,C201))*(1+INDEX($AD$21:$AD$97,D201))*(1+INDEX($AD$21:$AD$97,E201))*(1+INDEX($AD$21:$AD$97,F201))-1</f>
        <v>-0.135040894616564</v>
      </c>
      <c r="N201" s="489">
        <f>(1+INDEX($AE$21:$AE$97,B201))*(1+INDEX($AE$21:$AE$97,C201))*(1+INDEX($AE$21:$AE$97,D201))*(1+INDEX($AE$21:$AE$97,E201))*(1+INDEX($AE$21:$AE$97,F201))-1</f>
        <v>-0.144079658917066</v>
      </c>
      <c r="O201" s="489">
        <f>(1+INDEX($AF$21:$AF$97,B201))*(1+INDEX($AF$21:$AF$97,C201))*(1+INDEX($AF$21:$AF$97,D201))*(1+INDEX($AF$21:$AF$97,E201))*(1+INDEX($AF$21:$AF$97,F201))-1</f>
        <v>-0.0966147591011511</v>
      </c>
      <c r="P201" s="489">
        <f>LN((1+L201)/(1+H201))</f>
        <v>-0.0420343297644426</v>
      </c>
      <c r="Q201" s="489">
        <f>LN((1+M201)/(1+H201))</f>
        <v>-0.0436396673587922</v>
      </c>
      <c r="R201" s="489">
        <f>LN((1+N201)/(1+H201))</f>
        <v>-0.0541445838308233</v>
      </c>
      <c r="S201" s="542">
        <f>LN((1+O201)/(1+H201))</f>
        <v>-0.000172810355315948</v>
      </c>
    </row>
    <row r="202">
      <c r="A202" s="320" t="n">
        <v>101</v>
      </c>
      <c r="B202" s="174" t="n">
        <v>23</v>
      </c>
      <c r="C202" s="174" t="n">
        <v>40</v>
      </c>
      <c r="D202" s="174" t="n">
        <v>41</v>
      </c>
      <c r="E202" s="174" t="n">
        <v>66</v>
      </c>
      <c r="F202" s="174" t="n">
        <v>6</v>
      </c>
      <c r="G202" s="68">
        <f>(1+INDEX($Z$21:$Z$97,B202))*(1+INDEX($Z$21:$Z$97,C202))*(1+INDEX($Z$21:$Z$97,D202))*(1+INDEX($Z$21:$Z$97,E202))*(1+INDEX($Z$21:$Z$97,F202))-1</f>
        <v>0.329405028821555</v>
      </c>
      <c r="H202" s="68">
        <f>(1+INDEX($AA$21:$AA$97,B202))*(1+INDEX($AA$21:$AA$97,C202))*(1+INDEX($AA$21:$AA$97,D202))*(1+INDEX($AA$21:$AA$97,E202))*(1+INDEX($AA$21:$AA$97,F202))-1</f>
        <v>0.31497890136717</v>
      </c>
      <c r="I202" s="68">
        <f>(1+INDEX($AB$21:$AB$97,B202))*(1+INDEX($AB$21:$AB$97,C202))*(1+INDEX($AB$21:$AB$97,D202))*(1+INDEX($AB$21:$AB$97,E202))*(1+INDEX($AB$21:$AB$97,F202))-1</f>
        <v>0.327027826369897</v>
      </c>
      <c r="J202" s="489">
        <f>LN((1+G202)/(1+H202))</f>
        <v>0.0109108744802351</v>
      </c>
      <c r="K202" s="489">
        <f>LN((1+I202)/(1+H202))</f>
        <v>0.00912110359889471</v>
      </c>
      <c r="L202" s="489">
        <f>(1+INDEX($AC$21:$AC$97,B202))*(1+INDEX($AC$21:$AC$97,C202))*(1+INDEX($AC$21:$AC$97,D202))*(1+INDEX($AC$21:$AC$97,E202))*(1+INDEX($AC$21:$AC$97,F202))-1</f>
        <v>0.327199368964851</v>
      </c>
      <c r="M202" s="489">
        <f>(1+INDEX($AD$21:$AD$97,B202))*(1+INDEX($AD$21:$AD$97,C202))*(1+INDEX($AD$21:$AD$97,D202))*(1+INDEX($AD$21:$AD$97,E202))*(1+INDEX($AD$21:$AD$97,F202))-1</f>
        <v>0.304936175252539</v>
      </c>
      <c r="N202" s="489">
        <f>(1+INDEX($AE$21:$AE$97,B202))*(1+INDEX($AE$21:$AE$97,C202))*(1+INDEX($AE$21:$AE$97,D202))*(1+INDEX($AE$21:$AE$97,E202))*(1+INDEX($AE$21:$AE$97,F202))-1</f>
        <v>0.306386958589784</v>
      </c>
      <c r="O202" s="489">
        <f>(1+INDEX($AF$21:$AF$97,B202))*(1+INDEX($AF$21:$AF$97,C202))*(1+INDEX($AF$21:$AF$97,D202))*(1+INDEX($AF$21:$AF$97,E202))*(1+INDEX($AF$21:$AF$97,F202))-1</f>
        <v>0.343969429519657</v>
      </c>
      <c r="P202" s="489">
        <f>LN((1+L202)/(1+H202))</f>
        <v>0.00925036351718257</v>
      </c>
      <c r="Q202" s="489">
        <f>LN((1+M202)/(1+H202))</f>
        <v>-0.00766648918714066</v>
      </c>
      <c r="R202" s="489">
        <f>LN((1+N202)/(1+H202))</f>
        <v>-0.00655534099738871</v>
      </c>
      <c r="S202" s="542">
        <f>LN((1+O202)/(1+H202))</f>
        <v>0.0218068750358447</v>
      </c>
    </row>
    <row r="203">
      <c r="A203" s="320" t="n">
        <v>102</v>
      </c>
      <c r="B203" s="174" t="n">
        <v>77</v>
      </c>
      <c r="C203" s="174" t="n">
        <v>42</v>
      </c>
      <c r="D203" s="174" t="n">
        <v>57</v>
      </c>
      <c r="E203" s="174" t="n">
        <v>5</v>
      </c>
      <c r="F203" s="174" t="n">
        <v>56</v>
      </c>
      <c r="G203" s="68">
        <f>(1+INDEX($Z$21:$Z$97,B203))*(1+INDEX($Z$21:$Z$97,C203))*(1+INDEX($Z$21:$Z$97,D203))*(1+INDEX($Z$21:$Z$97,E203))*(1+INDEX($Z$21:$Z$97,F203))-1</f>
        <v>0.284746987139269</v>
      </c>
      <c r="H203" s="68">
        <f>(1+INDEX($AA$21:$AA$97,B203))*(1+INDEX($AA$21:$AA$97,C203))*(1+INDEX($AA$21:$AA$97,D203))*(1+INDEX($AA$21:$AA$97,E203))*(1+INDEX($AA$21:$AA$97,F203))-1</f>
        <v>0.27000211744097</v>
      </c>
      <c r="I203" s="68">
        <f>(1+INDEX($AB$21:$AB$97,B203))*(1+INDEX($AB$21:$AB$97,C203))*(1+INDEX($AB$21:$AB$97,D203))*(1+INDEX($AB$21:$AB$97,E203))*(1+INDEX($AB$21:$AB$97,F203))-1</f>
        <v>0.278168461315776</v>
      </c>
      <c r="J203" s="489">
        <f>LN((1+G203)/(1+H203))</f>
        <v>0.0115432340470425</v>
      </c>
      <c r="K203" s="489">
        <f>LN((1+I203)/(1+H203))</f>
        <v>0.00640959588888686</v>
      </c>
      <c r="L203" s="489">
        <f>(1+INDEX($AC$21:$AC$97,B203))*(1+INDEX($AC$21:$AC$97,C203))*(1+INDEX($AC$21:$AC$97,D203))*(1+INDEX($AC$21:$AC$97,E203))*(1+INDEX($AC$21:$AC$97,F203))-1</f>
        <v>0.283552441410399</v>
      </c>
      <c r="M203" s="489">
        <f>(1+INDEX($AD$21:$AD$97,B203))*(1+INDEX($AD$21:$AD$97,C203))*(1+INDEX($AD$21:$AD$97,D203))*(1+INDEX($AD$21:$AD$97,E203))*(1+INDEX($AD$21:$AD$97,F203))-1</f>
        <v>0.272038712967753</v>
      </c>
      <c r="N203" s="489">
        <f>(1+INDEX($AE$21:$AE$97,B203))*(1+INDEX($AE$21:$AE$97,C203))*(1+INDEX($AE$21:$AE$97,D203))*(1+INDEX($AE$21:$AE$97,E203))*(1+INDEX($AE$21:$AE$97,F203))-1</f>
        <v>0.253991850972025</v>
      </c>
      <c r="O203" s="489">
        <f>(1+INDEX($AF$21:$AF$97,B203))*(1+INDEX($AF$21:$AF$97,C203))*(1+INDEX($AF$21:$AF$97,D203))*(1+INDEX($AF$21:$AF$97,E203))*(1+INDEX($AF$21:$AF$97,F203))-1</f>
        <v>0.31570691542583</v>
      </c>
      <c r="P203" s="489">
        <f>LN((1+L203)/(1+H203))</f>
        <v>0.0106130108793467</v>
      </c>
      <c r="Q203" s="489">
        <f>LN((1+M203)/(1+H203))</f>
        <v>0.00160233143241517</v>
      </c>
      <c r="R203" s="489">
        <f>LN((1+N203)/(1+H203))</f>
        <v>-0.0126866239832632</v>
      </c>
      <c r="S203" s="542">
        <f>LN((1+O203)/(1+H203))</f>
        <v>0.0353555317114222</v>
      </c>
    </row>
    <row r="204">
      <c r="A204" s="320" t="n">
        <v>103</v>
      </c>
      <c r="B204" s="174" t="n">
        <v>1</v>
      </c>
      <c r="C204" s="174" t="n">
        <v>61</v>
      </c>
      <c r="D204" s="174" t="n">
        <v>1</v>
      </c>
      <c r="E204" s="174" t="n">
        <v>67</v>
      </c>
      <c r="F204" s="174" t="n">
        <v>61</v>
      </c>
      <c r="G204" s="68">
        <f>(1+INDEX($Z$21:$Z$97,B204))*(1+INDEX($Z$21:$Z$97,C204))*(1+INDEX($Z$21:$Z$97,D204))*(1+INDEX($Z$21:$Z$97,E204))*(1+INDEX($Z$21:$Z$97,F204))-1</f>
        <v>0.621985825111194</v>
      </c>
      <c r="H204" s="68">
        <f>(1+INDEX($AA$21:$AA$97,B204))*(1+INDEX($AA$21:$AA$97,C204))*(1+INDEX($AA$21:$AA$97,D204))*(1+INDEX($AA$21:$AA$97,E204))*(1+INDEX($AA$21:$AA$97,F204))-1</f>
        <v>0.544458824444816</v>
      </c>
      <c r="I204" s="68">
        <f>(1+INDEX($AB$21:$AB$97,B204))*(1+INDEX($AB$21:$AB$97,C204))*(1+INDEX($AB$21:$AB$97,D204))*(1+INDEX($AB$21:$AB$97,E204))*(1+INDEX($AB$21:$AB$97,F204))-1</f>
        <v>0.51737916684959</v>
      </c>
      <c r="J204" s="489">
        <f>LN((1+G204)/(1+H204))</f>
        <v>0.0489776429640486</v>
      </c>
      <c r="K204" s="489">
        <f>LN((1+I204)/(1+H204))</f>
        <v>-0.017688959225788</v>
      </c>
      <c r="L204" s="489">
        <f>(1+INDEX($AC$21:$AC$97,B204))*(1+INDEX($AC$21:$AC$97,C204))*(1+INDEX($AC$21:$AC$97,D204))*(1+INDEX($AC$21:$AC$97,E204))*(1+INDEX($AC$21:$AC$97,F204))-1</f>
        <v>0.579178480784797</v>
      </c>
      <c r="M204" s="489">
        <f>(1+INDEX($AD$21:$AD$97,B204))*(1+INDEX($AD$21:$AD$97,C204))*(1+INDEX($AD$21:$AD$97,D204))*(1+INDEX($AD$21:$AD$97,E204))*(1+INDEX($AD$21:$AD$97,F204))-1</f>
        <v>0.47041264717218</v>
      </c>
      <c r="N204" s="489">
        <f>(1+INDEX($AE$21:$AE$97,B204))*(1+INDEX($AE$21:$AE$97,C204))*(1+INDEX($AE$21:$AE$97,D204))*(1+INDEX($AE$21:$AE$97,E204))*(1+INDEX($AE$21:$AE$97,F204))-1</f>
        <v>0.620804006513086</v>
      </c>
      <c r="O204" s="489">
        <f>(1+INDEX($AF$21:$AF$97,B204))*(1+INDEX($AF$21:$AF$97,C204))*(1+INDEX($AF$21:$AF$97,D204))*(1+INDEX($AF$21:$AF$97,E204))*(1+INDEX($AF$21:$AF$97,F204))-1</f>
        <v>0.451658303894371</v>
      </c>
      <c r="P204" s="489">
        <f>LN((1+L204)/(1+H204))</f>
        <v>0.0222311893995174</v>
      </c>
      <c r="Q204" s="489">
        <f>LN((1+M204)/(1+H204))</f>
        <v>-0.0491304997883602</v>
      </c>
      <c r="R204" s="489">
        <f>LN((1+N204)/(1+H204))</f>
        <v>0.0482487528960544</v>
      </c>
      <c r="S204" s="542">
        <f>LN((1+O204)/(1+H204))</f>
        <v>-0.0619670127364775</v>
      </c>
    </row>
    <row r="205">
      <c r="A205" s="320" t="n">
        <v>104</v>
      </c>
      <c r="B205" s="174" t="n">
        <v>52</v>
      </c>
      <c r="C205" s="174" t="n">
        <v>30</v>
      </c>
      <c r="D205" s="174" t="n">
        <v>61</v>
      </c>
      <c r="E205" s="174" t="n">
        <v>56</v>
      </c>
      <c r="F205" s="174" t="n">
        <v>71</v>
      </c>
      <c r="G205" s="68">
        <f>(1+INDEX($Z$21:$Z$97,B205))*(1+INDEX($Z$21:$Z$97,C205))*(1+INDEX($Z$21:$Z$97,D205))*(1+INDEX($Z$21:$Z$97,E205))*(1+INDEX($Z$21:$Z$97,F205))-1</f>
        <v>0.749337150106582</v>
      </c>
      <c r="H205" s="68">
        <f>(1+INDEX($AA$21:$AA$97,B205))*(1+INDEX($AA$21:$AA$97,C205))*(1+INDEX($AA$21:$AA$97,D205))*(1+INDEX($AA$21:$AA$97,E205))*(1+INDEX($AA$21:$AA$97,F205))-1</f>
        <v>0.686310820911516</v>
      </c>
      <c r="I205" s="68">
        <f>(1+INDEX($AB$21:$AB$97,B205))*(1+INDEX($AB$21:$AB$97,C205))*(1+INDEX($AB$21:$AB$97,D205))*(1+INDEX($AB$21:$AB$97,E205))*(1+INDEX($AB$21:$AB$97,F205))-1</f>
        <v>0.730734873325053</v>
      </c>
      <c r="J205" s="489">
        <f>LN((1+G205)/(1+H205))</f>
        <v>0.0366937481871709</v>
      </c>
      <c r="K205" s="489">
        <f>LN((1+I205)/(1+H205))</f>
        <v>0.0260029039554666</v>
      </c>
      <c r="L205" s="489">
        <f>(1+INDEX($AC$21:$AC$97,B205))*(1+INDEX($AC$21:$AC$97,C205))*(1+INDEX($AC$21:$AC$97,D205))*(1+INDEX($AC$21:$AC$97,E205))*(1+INDEX($AC$21:$AC$97,F205))-1</f>
        <v>0.741589570598702</v>
      </c>
      <c r="M205" s="489">
        <f>(1+INDEX($AD$21:$AD$97,B205))*(1+INDEX($AD$21:$AD$97,C205))*(1+INDEX($AD$21:$AD$97,D205))*(1+INDEX($AD$21:$AD$97,E205))*(1+INDEX($AD$21:$AD$97,F205))-1</f>
        <v>0.709358891962322</v>
      </c>
      <c r="N205" s="489">
        <f>(1+INDEX($AE$21:$AE$97,B205))*(1+INDEX($AE$21:$AE$97,C205))*(1+INDEX($AE$21:$AE$97,D205))*(1+INDEX($AE$21:$AE$97,E205))*(1+INDEX($AE$21:$AE$97,F205))-1</f>
        <v>0.754242602977569</v>
      </c>
      <c r="O205" s="489">
        <f>(1+INDEX($AF$21:$AF$97,B205))*(1+INDEX($AF$21:$AF$97,C205))*(1+INDEX($AF$21:$AF$97,D205))*(1+INDEX($AF$21:$AF$97,E205))*(1+INDEX($AF$21:$AF$97,F205))-1</f>
        <v>0.704722771008396</v>
      </c>
      <c r="P205" s="489">
        <f>LN((1+L205)/(1+H205))</f>
        <v>0.0322550458894636</v>
      </c>
      <c r="Q205" s="489">
        <f>LN((1+M205)/(1+H205))</f>
        <v>0.0135751866059365</v>
      </c>
      <c r="R205" s="489">
        <f>LN((1+N205)/(1+H205))</f>
        <v>0.0394940018832056</v>
      </c>
      <c r="S205" s="542">
        <f>LN((1+O205)/(1+H205))</f>
        <v>0.0108593032374236</v>
      </c>
    </row>
    <row r="206">
      <c r="A206" s="320" t="n">
        <v>105</v>
      </c>
      <c r="B206" s="174" t="n">
        <v>8</v>
      </c>
      <c r="C206" s="174" t="n">
        <v>76</v>
      </c>
      <c r="D206" s="174" t="n">
        <v>36</v>
      </c>
      <c r="E206" s="174" t="n">
        <v>47</v>
      </c>
      <c r="F206" s="174" t="n">
        <v>12</v>
      </c>
      <c r="G206" s="68">
        <f>(1+INDEX($Z$21:$Z$97,B206))*(1+INDEX($Z$21:$Z$97,C206))*(1+INDEX($Z$21:$Z$97,D206))*(1+INDEX($Z$21:$Z$97,E206))*(1+INDEX($Z$21:$Z$97,F206))-1</f>
        <v>0.183931739436628</v>
      </c>
      <c r="H206" s="68">
        <f>(1+INDEX($AA$21:$AA$97,B206))*(1+INDEX($AA$21:$AA$97,C206))*(1+INDEX($AA$21:$AA$97,D206))*(1+INDEX($AA$21:$AA$97,E206))*(1+INDEX($AA$21:$AA$97,F206))-1</f>
        <v>0.176675620509829</v>
      </c>
      <c r="I206" s="68">
        <f>(1+INDEX($AB$21:$AB$97,B206))*(1+INDEX($AB$21:$AB$97,C206))*(1+INDEX($AB$21:$AB$97,D206))*(1+INDEX($AB$21:$AB$97,E206))*(1+INDEX($AB$21:$AB$97,F206))-1</f>
        <v>0.165653140709426</v>
      </c>
      <c r="J206" s="489">
        <f>LN((1+G206)/(1+H206))</f>
        <v>0.00614769055041544</v>
      </c>
      <c r="K206" s="489">
        <f>LN((1+I206)/(1+H206))</f>
        <v>-0.00941162602437315</v>
      </c>
      <c r="L206" s="489">
        <f>(1+INDEX($AC$21:$AC$97,B206))*(1+INDEX($AC$21:$AC$97,C206))*(1+INDEX($AC$21:$AC$97,D206))*(1+INDEX($AC$21:$AC$97,E206))*(1+INDEX($AC$21:$AC$97,F206))-1</f>
        <v>0.153118781570574</v>
      </c>
      <c r="M206" s="489">
        <f>(1+INDEX($AD$21:$AD$97,B206))*(1+INDEX($AD$21:$AD$97,C206))*(1+INDEX($AD$21:$AD$97,D206))*(1+INDEX($AD$21:$AD$97,E206))*(1+INDEX($AD$21:$AD$97,F206))-1</f>
        <v>0.181586673590482</v>
      </c>
      <c r="N206" s="489">
        <f>(1+INDEX($AE$21:$AE$97,B206))*(1+INDEX($AE$21:$AE$97,C206))*(1+INDEX($AE$21:$AE$97,D206))*(1+INDEX($AE$21:$AE$97,E206))*(1+INDEX($AE$21:$AE$97,F206))-1</f>
        <v>0.147312430991631</v>
      </c>
      <c r="O206" s="489">
        <f>(1+INDEX($AF$21:$AF$97,B206))*(1+INDEX($AF$21:$AF$97,C206))*(1+INDEX($AF$21:$AF$97,D206))*(1+INDEX($AF$21:$AF$97,E206))*(1+INDEX($AF$21:$AF$97,F206))-1</f>
        <v>0.208402418381953</v>
      </c>
      <c r="P206" s="489">
        <f>LN((1+L206)/(1+H206))</f>
        <v>-0.0202229361902917</v>
      </c>
      <c r="Q206" s="489">
        <f>LN((1+M206)/(1+H206))</f>
        <v>0.0041649821500391</v>
      </c>
      <c r="R206" s="489">
        <f>LN((1+N206)/(1+H206))</f>
        <v>-0.0252710009856913</v>
      </c>
      <c r="S206" s="542">
        <f>LN((1+O206)/(1+H206))</f>
        <v>0.0266059800909258</v>
      </c>
    </row>
    <row r="207">
      <c r="A207" s="320" t="n">
        <v>106</v>
      </c>
      <c r="B207" s="174" t="n">
        <v>62</v>
      </c>
      <c r="C207" s="174" t="n">
        <v>26</v>
      </c>
      <c r="D207" s="174" t="n">
        <v>74</v>
      </c>
      <c r="E207" s="174" t="n">
        <v>9</v>
      </c>
      <c r="F207" s="174" t="n">
        <v>11</v>
      </c>
      <c r="G207" s="68">
        <f>(1+INDEX($Z$21:$Z$97,B207))*(1+INDEX($Z$21:$Z$97,C207))*(1+INDEX($Z$21:$Z$97,D207))*(1+INDEX($Z$21:$Z$97,E207))*(1+INDEX($Z$21:$Z$97,F207))-1</f>
        <v>0.0173853146322442</v>
      </c>
      <c r="H207" s="68">
        <f>(1+INDEX($AA$21:$AA$97,B207))*(1+INDEX($AA$21:$AA$97,C207))*(1+INDEX($AA$21:$AA$97,D207))*(1+INDEX($AA$21:$AA$97,E207))*(1+INDEX($AA$21:$AA$97,F207))-1</f>
        <v>0.0410151449727947</v>
      </c>
      <c r="I207" s="68">
        <f>(1+INDEX($AB$21:$AB$97,B207))*(1+INDEX($AB$21:$AB$97,C207))*(1+INDEX($AB$21:$AB$97,D207))*(1+INDEX($AB$21:$AB$97,E207))*(1+INDEX($AB$21:$AB$97,F207))-1</f>
        <v>0.0177529782955439</v>
      </c>
      <c r="J207" s="489">
        <f>LN((1+G207)/(1+H207))</f>
        <v>-0.0229604189220226</v>
      </c>
      <c r="K207" s="489">
        <f>LN((1+I207)/(1+H207))</f>
        <v>-0.0225991032624654</v>
      </c>
      <c r="L207" s="489">
        <f>(1+INDEX($AC$21:$AC$97,B207))*(1+INDEX($AC$21:$AC$97,C207))*(1+INDEX($AC$21:$AC$97,D207))*(1+INDEX($AC$21:$AC$97,E207))*(1+INDEX($AC$21:$AC$97,F207))-1</f>
        <v>0.0128133611676693</v>
      </c>
      <c r="M207" s="489">
        <f>(1+INDEX($AD$21:$AD$97,B207))*(1+INDEX($AD$21:$AD$97,C207))*(1+INDEX($AD$21:$AD$97,D207))*(1+INDEX($AD$21:$AD$97,E207))*(1+INDEX($AD$21:$AD$97,F207))-1</f>
        <v>0.0262657030120836</v>
      </c>
      <c r="N207" s="489">
        <f>(1+INDEX($AE$21:$AE$97,B207))*(1+INDEX($AE$21:$AE$97,C207))*(1+INDEX($AE$21:$AE$97,D207))*(1+INDEX($AE$21:$AE$97,E207))*(1+INDEX($AE$21:$AE$97,F207))-1</f>
        <v>0.00465439561221004</v>
      </c>
      <c r="O207" s="489">
        <f>(1+INDEX($AF$21:$AF$97,B207))*(1+INDEX($AF$21:$AF$97,C207))*(1+INDEX($AF$21:$AF$97,D207))*(1+INDEX($AF$21:$AF$97,E207))*(1+INDEX($AF$21:$AF$97,F207))-1</f>
        <v>0.0726106126791988</v>
      </c>
      <c r="P207" s="489">
        <f>LN((1+L207)/(1+H207))</f>
        <v>-0.0274643733850094</v>
      </c>
      <c r="Q207" s="489">
        <f>LN((1+M207)/(1+H207))</f>
        <v>-0.0142696549928764</v>
      </c>
      <c r="R207" s="489">
        <f>LN((1+N207)/(1+H207))</f>
        <v>-0.0355527406058458</v>
      </c>
      <c r="S207" s="542">
        <f>LN((1+O207)/(1+H207))</f>
        <v>0.0298991638552522</v>
      </c>
    </row>
    <row r="208">
      <c r="A208" s="320" t="n">
        <v>107</v>
      </c>
      <c r="B208" s="174" t="n">
        <v>59</v>
      </c>
      <c r="C208" s="174" t="n">
        <v>77</v>
      </c>
      <c r="D208" s="174" t="n">
        <v>55</v>
      </c>
      <c r="E208" s="174" t="n">
        <v>32</v>
      </c>
      <c r="F208" s="174" t="n">
        <v>53</v>
      </c>
      <c r="G208" s="68">
        <f>(1+INDEX($Z$21:$Z$97,B208))*(1+INDEX($Z$21:$Z$97,C208))*(1+INDEX($Z$21:$Z$97,D208))*(1+INDEX($Z$21:$Z$97,E208))*(1+INDEX($Z$21:$Z$97,F208))-1</f>
        <v>0.304940559502352</v>
      </c>
      <c r="H208" s="68">
        <f>(1+INDEX($AA$21:$AA$97,B208))*(1+INDEX($AA$21:$AA$97,C208))*(1+INDEX($AA$21:$AA$97,D208))*(1+INDEX($AA$21:$AA$97,E208))*(1+INDEX($AA$21:$AA$97,F208))-1</f>
        <v>0.357609268606485</v>
      </c>
      <c r="I208" s="68">
        <f>(1+INDEX($AB$21:$AB$97,B208))*(1+INDEX($AB$21:$AB$97,C208))*(1+INDEX($AB$21:$AB$97,D208))*(1+INDEX($AB$21:$AB$97,E208))*(1+INDEX($AB$21:$AB$97,F208))-1</f>
        <v>0.362744475373406</v>
      </c>
      <c r="J208" s="489">
        <f>LN((1+G208)/(1+H208))</f>
        <v>-0.0395677706511583</v>
      </c>
      <c r="K208" s="489">
        <f>LN((1+I208)/(1+H208))</f>
        <v>0.00377540081168056</v>
      </c>
      <c r="L208" s="489">
        <f>(1+INDEX($AC$21:$AC$97,B208))*(1+INDEX($AC$21:$AC$97,C208))*(1+INDEX($AC$21:$AC$97,D208))*(1+INDEX($AC$21:$AC$97,E208))*(1+INDEX($AC$21:$AC$97,F208))-1</f>
        <v>0.37343303472616</v>
      </c>
      <c r="M208" s="489">
        <f>(1+INDEX($AD$21:$AD$97,B208))*(1+INDEX($AD$21:$AD$97,C208))*(1+INDEX($AD$21:$AD$97,D208))*(1+INDEX($AD$21:$AD$97,E208))*(1+INDEX($AD$21:$AD$97,F208))-1</f>
        <v>0.366397714590748</v>
      </c>
      <c r="N208" s="489">
        <f>(1+INDEX($AE$21:$AE$97,B208))*(1+INDEX($AE$21:$AE$97,C208))*(1+INDEX($AE$21:$AE$97,D208))*(1+INDEX($AE$21:$AE$97,E208))*(1+INDEX($AE$21:$AE$97,F208))-1</f>
        <v>0.365771306939943</v>
      </c>
      <c r="O208" s="489">
        <f>(1+INDEX($AF$21:$AF$97,B208))*(1+INDEX($AF$21:$AF$97,C208))*(1+INDEX($AF$21:$AF$97,D208))*(1+INDEX($AF$21:$AF$97,E208))*(1+INDEX($AF$21:$AF$97,F208))-1</f>
        <v>0.342875408472319</v>
      </c>
      <c r="P208" s="489">
        <f>LN((1+L208)/(1+H208))</f>
        <v>0.0115882080453822</v>
      </c>
      <c r="Q208" s="489">
        <f>LN((1+M208)/(1+H208))</f>
        <v>0.00645260935933974</v>
      </c>
      <c r="R208" s="489">
        <f>LN((1+N208)/(1+H208))</f>
        <v>0.00599406696547986</v>
      </c>
      <c r="S208" s="542">
        <f>LN((1+O208)/(1+H208))</f>
        <v>-0.0109121199324088</v>
      </c>
    </row>
    <row r="209">
      <c r="A209" s="320" t="n">
        <v>108</v>
      </c>
      <c r="B209" s="174" t="n">
        <v>40</v>
      </c>
      <c r="C209" s="174" t="n">
        <v>65</v>
      </c>
      <c r="D209" s="174" t="n">
        <v>48</v>
      </c>
      <c r="E209" s="174" t="n">
        <v>20</v>
      </c>
      <c r="F209" s="174" t="n">
        <v>10</v>
      </c>
      <c r="G209" s="68">
        <f>(1+INDEX($Z$21:$Z$97,B209))*(1+INDEX($Z$21:$Z$97,C209))*(1+INDEX($Z$21:$Z$97,D209))*(1+INDEX($Z$21:$Z$97,E209))*(1+INDEX($Z$21:$Z$97,F209))-1</f>
        <v>-0.0707048937498294</v>
      </c>
      <c r="H209" s="68">
        <f>(1+INDEX($AA$21:$AA$97,B209))*(1+INDEX($AA$21:$AA$97,C209))*(1+INDEX($AA$21:$AA$97,D209))*(1+INDEX($AA$21:$AA$97,E209))*(1+INDEX($AA$21:$AA$97,F209))-1</f>
        <v>-0.0441057279920855</v>
      </c>
      <c r="I209" s="68">
        <f>(1+INDEX($AB$21:$AB$97,B209))*(1+INDEX($AB$21:$AB$97,C209))*(1+INDEX($AB$21:$AB$97,D209))*(1+INDEX($AB$21:$AB$97,E209))*(1+INDEX($AB$21:$AB$97,F209))-1</f>
        <v>-0.0624116326148154</v>
      </c>
      <c r="J209" s="489">
        <f>LN((1+G209)/(1+H209))</f>
        <v>-0.0282209643123027</v>
      </c>
      <c r="K209" s="489">
        <f>LN((1+I209)/(1+H209))</f>
        <v>-0.0193363008547332</v>
      </c>
      <c r="L209" s="489">
        <f>(1+INDEX($AC$21:$AC$97,B209))*(1+INDEX($AC$21:$AC$97,C209))*(1+INDEX($AC$21:$AC$97,D209))*(1+INDEX($AC$21:$AC$97,E209))*(1+INDEX($AC$21:$AC$97,F209))-1</f>
        <v>-0.0812036865535859</v>
      </c>
      <c r="M209" s="489">
        <f>(1+INDEX($AD$21:$AD$97,B209))*(1+INDEX($AD$21:$AD$97,C209))*(1+INDEX($AD$21:$AD$97,D209))*(1+INDEX($AD$21:$AD$97,E209))*(1+INDEX($AD$21:$AD$97,F209))-1</f>
        <v>-0.0485558454853006</v>
      </c>
      <c r="N209" s="489">
        <f>(1+INDEX($AE$21:$AE$97,B209))*(1+INDEX($AE$21:$AE$97,C209))*(1+INDEX($AE$21:$AE$97,D209))*(1+INDEX($AE$21:$AE$97,E209))*(1+INDEX($AE$21:$AE$97,F209))-1</f>
        <v>-0.0855975940431673</v>
      </c>
      <c r="O209" s="489">
        <f>(1+INDEX($AF$21:$AF$97,B209))*(1+INDEX($AF$21:$AF$97,C209))*(1+INDEX($AF$21:$AF$97,D209))*(1+INDEX($AF$21:$AF$97,E209))*(1+INDEX($AF$21:$AF$97,F209))-1</f>
        <v>-0.0202510880002055</v>
      </c>
      <c r="P209" s="489">
        <f>LN((1+L209)/(1+H209))</f>
        <v>-0.0395828543515169</v>
      </c>
      <c r="Q209" s="489">
        <f>LN((1+M209)/(1+H209))</f>
        <v>-0.00466631983739171</v>
      </c>
      <c r="R209" s="489">
        <f>LN((1+N209)/(1+H209))</f>
        <v>-0.0443765691379117</v>
      </c>
      <c r="S209" s="542">
        <f>LN((1+O209)/(1+H209))</f>
        <v>0.0246490137901067</v>
      </c>
    </row>
    <row r="210">
      <c r="A210" s="320" t="n">
        <v>109</v>
      </c>
      <c r="B210" s="174" t="n">
        <v>40</v>
      </c>
      <c r="C210" s="174" t="n">
        <v>11</v>
      </c>
      <c r="D210" s="174" t="n">
        <v>15</v>
      </c>
      <c r="E210" s="174" t="n">
        <v>37</v>
      </c>
      <c r="F210" s="174" t="n">
        <v>73</v>
      </c>
      <c r="G210" s="68">
        <f>(1+INDEX($Z$21:$Z$97,B210))*(1+INDEX($Z$21:$Z$97,C210))*(1+INDEX($Z$21:$Z$97,D210))*(1+INDEX($Z$21:$Z$97,E210))*(1+INDEX($Z$21:$Z$97,F210))-1</f>
        <v>0.121051980167319</v>
      </c>
      <c r="H210" s="68">
        <f>(1+INDEX($AA$21:$AA$97,B210))*(1+INDEX($AA$21:$AA$97,C210))*(1+INDEX($AA$21:$AA$97,D210))*(1+INDEX($AA$21:$AA$97,E210))*(1+INDEX($AA$21:$AA$97,F210))-1</f>
        <v>0.104513612752524</v>
      </c>
      <c r="I210" s="68">
        <f>(1+INDEX($AB$21:$AB$97,B210))*(1+INDEX($AB$21:$AB$97,C210))*(1+INDEX($AB$21:$AB$97,D210))*(1+INDEX($AB$21:$AB$97,E210))*(1+INDEX($AB$21:$AB$97,F210))-1</f>
        <v>0.0942624905085912</v>
      </c>
      <c r="J210" s="489">
        <f>LN((1+G210)/(1+H210))</f>
        <v>0.0148624438653888</v>
      </c>
      <c r="K210" s="489">
        <f>LN((1+I210)/(1+H210))</f>
        <v>-0.00932445691282311</v>
      </c>
      <c r="L210" s="489">
        <f>(1+INDEX($AC$21:$AC$97,B210))*(1+INDEX($AC$21:$AC$97,C210))*(1+INDEX($AC$21:$AC$97,D210))*(1+INDEX($AC$21:$AC$97,E210))*(1+INDEX($AC$21:$AC$97,F210))-1</f>
        <v>0.0850314376429795</v>
      </c>
      <c r="M210" s="489">
        <f>(1+INDEX($AD$21:$AD$97,B210))*(1+INDEX($AD$21:$AD$97,C210))*(1+INDEX($AD$21:$AD$97,D210))*(1+INDEX($AD$21:$AD$97,E210))*(1+INDEX($AD$21:$AD$97,F210))-1</f>
        <v>0.118739273993106</v>
      </c>
      <c r="N210" s="489">
        <f>(1+INDEX($AE$21:$AE$97,B210))*(1+INDEX($AE$21:$AE$97,C210))*(1+INDEX($AE$21:$AE$97,D210))*(1+INDEX($AE$21:$AE$97,E210))*(1+INDEX($AE$21:$AE$97,F210))-1</f>
        <v>0.0674510096599359</v>
      </c>
      <c r="O210" s="489">
        <f>(1+INDEX($AF$21:$AF$97,B210))*(1+INDEX($AF$21:$AF$97,C210))*(1+INDEX($AF$21:$AF$97,D210))*(1+INDEX($AF$21:$AF$97,E210))*(1+INDEX($AF$21:$AF$97,F210))-1</f>
        <v>0.128145155402168</v>
      </c>
      <c r="P210" s="489">
        <f>LN((1+L210)/(1+H210))</f>
        <v>-0.0177961072531574</v>
      </c>
      <c r="Q210" s="489">
        <f>LN((1+M210)/(1+H210))</f>
        <v>0.0127973344567964</v>
      </c>
      <c r="R210" s="489">
        <f>LN((1+N210)/(1+H210))</f>
        <v>-0.0341314961346541</v>
      </c>
      <c r="S210" s="542">
        <f>LN((1+O210)/(1+H210))</f>
        <v>0.0211697600520029</v>
      </c>
    </row>
    <row r="211">
      <c r="A211" s="320" t="n">
        <v>110</v>
      </c>
      <c r="B211" s="174" t="n">
        <v>62</v>
      </c>
      <c r="C211" s="174" t="n">
        <v>1</v>
      </c>
      <c r="D211" s="174" t="n">
        <v>51</v>
      </c>
      <c r="E211" s="174" t="n">
        <v>4</v>
      </c>
      <c r="F211" s="174" t="n">
        <v>57</v>
      </c>
      <c r="G211" s="68">
        <f>(1+INDEX($Z$21:$Z$97,B211))*(1+INDEX($Z$21:$Z$97,C211))*(1+INDEX($Z$21:$Z$97,D211))*(1+INDEX($Z$21:$Z$97,E211))*(1+INDEX($Z$21:$Z$97,F211))-1</f>
        <v>0.474521775275101</v>
      </c>
      <c r="H211" s="68">
        <f>(1+INDEX($AA$21:$AA$97,B211))*(1+INDEX($AA$21:$AA$97,C211))*(1+INDEX($AA$21:$AA$97,D211))*(1+INDEX($AA$21:$AA$97,E211))*(1+INDEX($AA$21:$AA$97,F211))-1</f>
        <v>0.38788418037477</v>
      </c>
      <c r="I211" s="68">
        <f>(1+INDEX($AB$21:$AB$97,B211))*(1+INDEX($AB$21:$AB$97,C211))*(1+INDEX($AB$21:$AB$97,D211))*(1+INDEX($AB$21:$AB$97,E211))*(1+INDEX($AB$21:$AB$97,F211))-1</f>
        <v>0.397684491130293</v>
      </c>
      <c r="J211" s="489">
        <f>LN((1+G211)/(1+H211))</f>
        <v>0.0605533019996124</v>
      </c>
      <c r="K211" s="489">
        <f>LN((1+I211)/(1+H211))</f>
        <v>0.00703651738497441</v>
      </c>
      <c r="L211" s="489">
        <f>(1+INDEX($AC$21:$AC$97,B211))*(1+INDEX($AC$21:$AC$97,C211))*(1+INDEX($AC$21:$AC$97,D211))*(1+INDEX($AC$21:$AC$97,E211))*(1+INDEX($AC$21:$AC$97,F211))-1</f>
        <v>0.41928985738341</v>
      </c>
      <c r="M211" s="489">
        <f>(1+INDEX($AD$21:$AD$97,B211))*(1+INDEX($AD$21:$AD$97,C211))*(1+INDEX($AD$21:$AD$97,D211))*(1+INDEX($AD$21:$AD$97,E211))*(1+INDEX($AD$21:$AD$97,F211))-1</f>
        <v>0.370454840862024</v>
      </c>
      <c r="N211" s="489">
        <f>(1+INDEX($AE$21:$AE$97,B211))*(1+INDEX($AE$21:$AE$97,C211))*(1+INDEX($AE$21:$AE$97,D211))*(1+INDEX($AE$21:$AE$97,E211))*(1+INDEX($AE$21:$AE$97,F211))-1</f>
        <v>0.411824888550611</v>
      </c>
      <c r="O211" s="489">
        <f>(1+INDEX($AF$21:$AF$97,B211))*(1+INDEX($AF$21:$AF$97,C211))*(1+INDEX($AF$21:$AF$97,D211))*(1+INDEX($AF$21:$AF$97,E211))*(1+INDEX($AF$21:$AF$97,F211))-1</f>
        <v>0.369174327899833</v>
      </c>
      <c r="P211" s="489">
        <f>LN((1+L211)/(1+H211))</f>
        <v>0.0223762310180415</v>
      </c>
      <c r="Q211" s="489">
        <f>LN((1+M211)/(1+H211))</f>
        <v>-0.0126377296997458</v>
      </c>
      <c r="R211" s="489">
        <f>LN((1+N211)/(1+H211))</f>
        <v>0.017102699704159</v>
      </c>
      <c r="S211" s="542">
        <f>LN((1+O211)/(1+H211))</f>
        <v>-0.0135725372788452</v>
      </c>
    </row>
    <row r="212">
      <c r="A212" s="320" t="n">
        <v>111</v>
      </c>
      <c r="B212" s="174" t="n">
        <v>66</v>
      </c>
      <c r="C212" s="174" t="n">
        <v>64</v>
      </c>
      <c r="D212" s="174" t="n">
        <v>53</v>
      </c>
      <c r="E212" s="174" t="n">
        <v>12</v>
      </c>
      <c r="F212" s="174" t="n">
        <v>58</v>
      </c>
      <c r="G212" s="68">
        <f>(1+INDEX($Z$21:$Z$97,B212))*(1+INDEX($Z$21:$Z$97,C212))*(1+INDEX($Z$21:$Z$97,D212))*(1+INDEX($Z$21:$Z$97,E212))*(1+INDEX($Z$21:$Z$97,F212))-1</f>
        <v>0.345518147409704</v>
      </c>
      <c r="H212" s="68">
        <f>(1+INDEX($AA$21:$AA$97,B212))*(1+INDEX($AA$21:$AA$97,C212))*(1+INDEX($AA$21:$AA$97,D212))*(1+INDEX($AA$21:$AA$97,E212))*(1+INDEX($AA$21:$AA$97,F212))-1</f>
        <v>0.32393583656873</v>
      </c>
      <c r="I212" s="68">
        <f>(1+INDEX($AB$21:$AB$97,B212))*(1+INDEX($AB$21:$AB$97,C212))*(1+INDEX($AB$21:$AB$97,D212))*(1+INDEX($AB$21:$AB$97,E212))*(1+INDEX($AB$21:$AB$97,F212))-1</f>
        <v>0.317768440103712</v>
      </c>
      <c r="J212" s="489">
        <f>LN((1+G212)/(1+H212))</f>
        <v>0.0161701840434441</v>
      </c>
      <c r="K212" s="489">
        <f>LN((1+I212)/(1+H212))</f>
        <v>-0.00466926425082597</v>
      </c>
      <c r="L212" s="489">
        <f>(1+INDEX($AC$21:$AC$97,B212))*(1+INDEX($AC$21:$AC$97,C212))*(1+INDEX($AC$21:$AC$97,D212))*(1+INDEX($AC$21:$AC$97,E212))*(1+INDEX($AC$21:$AC$97,F212))-1</f>
        <v>0.348400827353485</v>
      </c>
      <c r="M212" s="489">
        <f>(1+INDEX($AD$21:$AD$97,B212))*(1+INDEX($AD$21:$AD$97,C212))*(1+INDEX($AD$21:$AD$97,D212))*(1+INDEX($AD$21:$AD$97,E212))*(1+INDEX($AD$21:$AD$97,F212))-1</f>
        <v>0.303753711616019</v>
      </c>
      <c r="N212" s="489">
        <f>(1+INDEX($AE$21:$AE$97,B212))*(1+INDEX($AE$21:$AE$97,C212))*(1+INDEX($AE$21:$AE$97,D212))*(1+INDEX($AE$21:$AE$97,E212))*(1+INDEX($AE$21:$AE$97,F212))-1</f>
        <v>0.349257006944075</v>
      </c>
      <c r="O212" s="489">
        <f>(1+INDEX($AF$21:$AF$97,B212))*(1+INDEX($AF$21:$AF$97,C212))*(1+INDEX($AF$21:$AF$97,D212))*(1+INDEX($AF$21:$AF$97,E212))*(1+INDEX($AF$21:$AF$97,F212))-1</f>
        <v>0.314579682049607</v>
      </c>
      <c r="P212" s="489">
        <f>LN((1+L212)/(1+H212))</f>
        <v>0.0183103234248115</v>
      </c>
      <c r="Q212" s="489">
        <f>LN((1+M212)/(1+H212))</f>
        <v>-0.0153614203285177</v>
      </c>
      <c r="R212" s="489">
        <f>LN((1+N212)/(1+H212))</f>
        <v>0.0189450811827837</v>
      </c>
      <c r="S212" s="542">
        <f>LN((1+O212)/(1+H212))</f>
        <v>-0.0070920134206845</v>
      </c>
    </row>
    <row r="213">
      <c r="A213" s="320" t="n">
        <v>112</v>
      </c>
      <c r="B213" s="174" t="n">
        <v>66</v>
      </c>
      <c r="C213" s="174" t="n">
        <v>15</v>
      </c>
      <c r="D213" s="174" t="n">
        <v>50</v>
      </c>
      <c r="E213" s="174" t="n">
        <v>63</v>
      </c>
      <c r="F213" s="174" t="n">
        <v>21</v>
      </c>
      <c r="G213" s="68">
        <f>(1+INDEX($Z$21:$Z$97,B213))*(1+INDEX($Z$21:$Z$97,C213))*(1+INDEX($Z$21:$Z$97,D213))*(1+INDEX($Z$21:$Z$97,E213))*(1+INDEX($Z$21:$Z$97,F213))-1</f>
        <v>0.164596102520579</v>
      </c>
      <c r="H213" s="68">
        <f>(1+INDEX($AA$21:$AA$97,B213))*(1+INDEX($AA$21:$AA$97,C213))*(1+INDEX($AA$21:$AA$97,D213))*(1+INDEX($AA$21:$AA$97,E213))*(1+INDEX($AA$21:$AA$97,F213))-1</f>
        <v>0.135373806867481</v>
      </c>
      <c r="I213" s="68">
        <f>(1+INDEX($AB$21:$AB$97,B213))*(1+INDEX($AB$21:$AB$97,C213))*(1+INDEX($AB$21:$AB$97,D213))*(1+INDEX($AB$21:$AB$97,E213))*(1+INDEX($AB$21:$AB$97,F213))-1</f>
        <v>0.159489767164214</v>
      </c>
      <c r="J213" s="489">
        <f>LN((1+G213)/(1+H213))</f>
        <v>0.0254123918215149</v>
      </c>
      <c r="K213" s="489">
        <f>LN((1+I213)/(1+H213))</f>
        <v>0.0210181104915607</v>
      </c>
      <c r="L213" s="489">
        <f>(1+INDEX($AC$21:$AC$97,B213))*(1+INDEX($AC$21:$AC$97,C213))*(1+INDEX($AC$21:$AC$97,D213))*(1+INDEX($AC$21:$AC$97,E213))*(1+INDEX($AC$21:$AC$97,F213))-1</f>
        <v>0.139935254657</v>
      </c>
      <c r="M213" s="489">
        <f>(1+INDEX($AD$21:$AD$97,B213))*(1+INDEX($AD$21:$AD$97,C213))*(1+INDEX($AD$21:$AD$97,D213))*(1+INDEX($AD$21:$AD$97,E213))*(1+INDEX($AD$21:$AD$97,F213))-1</f>
        <v>0.151845060343953</v>
      </c>
      <c r="N213" s="489">
        <f>(1+INDEX($AE$21:$AE$97,B213))*(1+INDEX($AE$21:$AE$97,C213))*(1+INDEX($AE$21:$AE$97,D213))*(1+INDEX($AE$21:$AE$97,E213))*(1+INDEX($AE$21:$AE$97,F213))-1</f>
        <v>0.135262040287522</v>
      </c>
      <c r="O213" s="489">
        <f>(1+INDEX($AF$21:$AF$97,B213))*(1+INDEX($AF$21:$AF$97,C213))*(1+INDEX($AF$21:$AF$97,D213))*(1+INDEX($AF$21:$AF$97,E213))*(1+INDEX($AF$21:$AF$97,F213))-1</f>
        <v>0.152892208041731</v>
      </c>
      <c r="P213" s="489">
        <f>LN((1+L213)/(1+H213))</f>
        <v>0.00400952466421427</v>
      </c>
      <c r="Q213" s="489">
        <f>LN((1+M213)/(1+H213))</f>
        <v>0.0144031150302493</v>
      </c>
      <c r="R213" s="489">
        <f>LN((1+N213)/(1+H213))</f>
        <v>-9.84451823827895e-05</v>
      </c>
      <c r="S213" s="542">
        <f>LN((1+O213)/(1+H213))</f>
        <v>0.0153118066925883</v>
      </c>
    </row>
    <row r="214">
      <c r="A214" s="320" t="n">
        <v>113</v>
      </c>
      <c r="B214" s="174" t="n">
        <v>11</v>
      </c>
      <c r="C214" s="174" t="n">
        <v>1</v>
      </c>
      <c r="D214" s="174" t="n">
        <v>33</v>
      </c>
      <c r="E214" s="174" t="n">
        <v>10</v>
      </c>
      <c r="F214" s="174" t="n">
        <v>53</v>
      </c>
      <c r="G214" s="68">
        <f>(1+INDEX($Z$21:$Z$97,B214))*(1+INDEX($Z$21:$Z$97,C214))*(1+INDEX($Z$21:$Z$97,D214))*(1+INDEX($Z$21:$Z$97,E214))*(1+INDEX($Z$21:$Z$97,F214))-1</f>
        <v>0.12514134014033</v>
      </c>
      <c r="H214" s="68">
        <f>(1+INDEX($AA$21:$AA$97,B214))*(1+INDEX($AA$21:$AA$97,C214))*(1+INDEX($AA$21:$AA$97,D214))*(1+INDEX($AA$21:$AA$97,E214))*(1+INDEX($AA$21:$AA$97,F214))-1</f>
        <v>0.14601958666204</v>
      </c>
      <c r="I214" s="68">
        <f>(1+INDEX($AB$21:$AB$97,B214))*(1+INDEX($AB$21:$AB$97,C214))*(1+INDEX($AB$21:$AB$97,D214))*(1+INDEX($AB$21:$AB$97,E214))*(1+INDEX($AB$21:$AB$97,F214))-1</f>
        <v>0.102664757879383</v>
      </c>
      <c r="J214" s="489">
        <f>LN((1+G214)/(1+H214))</f>
        <v>-0.0183860460294498</v>
      </c>
      <c r="K214" s="489">
        <f>LN((1+I214)/(1+H214))</f>
        <v>-0.0385649520474356</v>
      </c>
      <c r="L214" s="489">
        <f>(1+INDEX($AC$21:$AC$97,B214))*(1+INDEX($AC$21:$AC$97,C214))*(1+INDEX($AC$21:$AC$97,D214))*(1+INDEX($AC$21:$AC$97,E214))*(1+INDEX($AC$21:$AC$97,F214))-1</f>
        <v>0.0918344083175127</v>
      </c>
      <c r="M214" s="489">
        <f>(1+INDEX($AD$21:$AD$97,B214))*(1+INDEX($AD$21:$AD$97,C214))*(1+INDEX($AD$21:$AD$97,D214))*(1+INDEX($AD$21:$AD$97,E214))*(1+INDEX($AD$21:$AD$97,F214))-1</f>
        <v>0.163804667278557</v>
      </c>
      <c r="N214" s="489">
        <f>(1+INDEX($AE$21:$AE$97,B214))*(1+INDEX($AE$21:$AE$97,C214))*(1+INDEX($AE$21:$AE$97,D214))*(1+INDEX($AE$21:$AE$97,E214))*(1+INDEX($AE$21:$AE$97,F214))-1</f>
        <v>0.0912171577260597</v>
      </c>
      <c r="O214" s="489">
        <f>(1+INDEX($AF$21:$AF$97,B214))*(1+INDEX($AF$21:$AF$97,C214))*(1+INDEX($AF$21:$AF$97,D214))*(1+INDEX($AF$21:$AF$97,E214))*(1+INDEX($AF$21:$AF$97,F214))-1</f>
        <v>0.189449786643099</v>
      </c>
      <c r="P214" s="489">
        <f>LN((1+L214)/(1+H214))</f>
        <v>-0.0484354843854096</v>
      </c>
      <c r="Q214" s="489">
        <f>LN((1+M214)/(1+H214))</f>
        <v>0.015399814136316</v>
      </c>
      <c r="R214" s="489">
        <f>LN((1+N214)/(1+H214))</f>
        <v>-0.0490009777686196</v>
      </c>
      <c r="S214" s="542">
        <f>LN((1+O214)/(1+H214))</f>
        <v>0.0371961265600791</v>
      </c>
    </row>
    <row r="215">
      <c r="A215" s="320" t="n">
        <v>114</v>
      </c>
      <c r="B215" s="174" t="n">
        <v>60</v>
      </c>
      <c r="C215" s="174" t="n">
        <v>73</v>
      </c>
      <c r="D215" s="174" t="n">
        <v>37</v>
      </c>
      <c r="E215" s="174" t="n">
        <v>9</v>
      </c>
      <c r="F215" s="174" t="n">
        <v>33</v>
      </c>
      <c r="G215" s="68">
        <f>(1+INDEX($Z$21:$Z$97,B215))*(1+INDEX($Z$21:$Z$97,C215))*(1+INDEX($Z$21:$Z$97,D215))*(1+INDEX($Z$21:$Z$97,E215))*(1+INDEX($Z$21:$Z$97,F215))-1</f>
        <v>0.183027516776082</v>
      </c>
      <c r="H215" s="68">
        <f>(1+INDEX($AA$21:$AA$97,B215))*(1+INDEX($AA$21:$AA$97,C215))*(1+INDEX($AA$21:$AA$97,D215))*(1+INDEX($AA$21:$AA$97,E215))*(1+INDEX($AA$21:$AA$97,F215))-1</f>
        <v>0.233337853347512</v>
      </c>
      <c r="I215" s="68">
        <f>(1+INDEX($AB$21:$AB$97,B215))*(1+INDEX($AB$21:$AB$97,C215))*(1+INDEX($AB$21:$AB$97,D215))*(1+INDEX($AB$21:$AB$97,E215))*(1+INDEX($AB$21:$AB$97,F215))-1</f>
        <v>0.227899697819689</v>
      </c>
      <c r="J215" s="489">
        <f>LN((1+G215)/(1+H215))</f>
        <v>-0.0416473509602278</v>
      </c>
      <c r="K215" s="489">
        <f>LN((1+I215)/(1+H215))</f>
        <v>-0.00441904876262704</v>
      </c>
      <c r="L215" s="489">
        <f>(1+INDEX($AC$21:$AC$97,B215))*(1+INDEX($AC$21:$AC$97,C215))*(1+INDEX($AC$21:$AC$97,D215))*(1+INDEX($AC$21:$AC$97,E215))*(1+INDEX($AC$21:$AC$97,F215))-1</f>
        <v>0.222375593032225</v>
      </c>
      <c r="M215" s="489">
        <f>(1+INDEX($AD$21:$AD$97,B215))*(1+INDEX($AD$21:$AD$97,C215))*(1+INDEX($AD$21:$AD$97,D215))*(1+INDEX($AD$21:$AD$97,E215))*(1+INDEX($AD$21:$AD$97,F215))-1</f>
        <v>0.241976248049352</v>
      </c>
      <c r="N215" s="489">
        <f>(1+INDEX($AE$21:$AE$97,B215))*(1+INDEX($AE$21:$AE$97,C215))*(1+INDEX($AE$21:$AE$97,D215))*(1+INDEX($AE$21:$AE$97,E215))*(1+INDEX($AE$21:$AE$97,F215))-1</f>
        <v>0.227819875670727</v>
      </c>
      <c r="O215" s="489">
        <f>(1+INDEX($AF$21:$AF$97,B215))*(1+INDEX($AF$21:$AF$97,C215))*(1+INDEX($AF$21:$AF$97,D215))*(1+INDEX($AF$21:$AF$97,E215))*(1+INDEX($AF$21:$AF$97,F215))-1</f>
        <v>0.207938203886276</v>
      </c>
      <c r="P215" s="489">
        <f>LN((1+L215)/(1+H215))</f>
        <v>-0.00892802305398905</v>
      </c>
      <c r="Q215" s="489">
        <f>LN((1+M215)/(1+H215))</f>
        <v>0.00697966352288458</v>
      </c>
      <c r="R215" s="489">
        <f>LN((1+N215)/(1+H215))</f>
        <v>-0.00448405793537738</v>
      </c>
      <c r="S215" s="542">
        <f>LN((1+O215)/(1+H215))</f>
        <v>-0.0208092533708714</v>
      </c>
    </row>
    <row r="216">
      <c r="A216" s="320" t="n">
        <v>115</v>
      </c>
      <c r="B216" s="174" t="n">
        <v>27</v>
      </c>
      <c r="C216" s="174" t="n">
        <v>32</v>
      </c>
      <c r="D216" s="174" t="n">
        <v>59</v>
      </c>
      <c r="E216" s="174" t="n">
        <v>18</v>
      </c>
      <c r="F216" s="174" t="n">
        <v>35</v>
      </c>
      <c r="G216" s="68">
        <f>(1+INDEX($Z$21:$Z$97,B216))*(1+INDEX($Z$21:$Z$97,C216))*(1+INDEX($Z$21:$Z$97,D216))*(1+INDEX($Z$21:$Z$97,E216))*(1+INDEX($Z$21:$Z$97,F216))-1</f>
        <v>0.87812291210341</v>
      </c>
      <c r="H216" s="68">
        <f>(1+INDEX($AA$21:$AA$97,B216))*(1+INDEX($AA$21:$AA$97,C216))*(1+INDEX($AA$21:$AA$97,D216))*(1+INDEX($AA$21:$AA$97,E216))*(1+INDEX($AA$21:$AA$97,F216))-1</f>
        <v>0.81811178723569</v>
      </c>
      <c r="I216" s="68">
        <f>(1+INDEX($AB$21:$AB$97,B216))*(1+INDEX($AB$21:$AB$97,C216))*(1+INDEX($AB$21:$AB$97,D216))*(1+INDEX($AB$21:$AB$97,E216))*(1+INDEX($AB$21:$AB$97,F216))-1</f>
        <v>0.882547027455162</v>
      </c>
      <c r="J216" s="489">
        <f>LN((1+G216)/(1+H216))</f>
        <v>0.0324743440553388</v>
      </c>
      <c r="K216" s="489">
        <f>LN((1+I216)/(1+H216))</f>
        <v>0.0348271787703153</v>
      </c>
      <c r="L216" s="489">
        <f>(1+INDEX($AC$21:$AC$97,B216))*(1+INDEX($AC$21:$AC$97,C216))*(1+INDEX($AC$21:$AC$97,D216))*(1+INDEX($AC$21:$AC$97,E216))*(1+INDEX($AC$21:$AC$97,F216))-1</f>
        <v>0.897083659577134</v>
      </c>
      <c r="M216" s="489">
        <f>(1+INDEX($AD$21:$AD$97,B216))*(1+INDEX($AD$21:$AD$97,C216))*(1+INDEX($AD$21:$AD$97,D216))*(1+INDEX($AD$21:$AD$97,E216))*(1+INDEX($AD$21:$AD$97,F216))-1</f>
        <v>0.87177520197785</v>
      </c>
      <c r="N216" s="489">
        <f>(1+INDEX($AE$21:$AE$97,B216))*(1+INDEX($AE$21:$AE$97,C216))*(1+INDEX($AE$21:$AE$97,D216))*(1+INDEX($AE$21:$AE$97,E216))*(1+INDEX($AE$21:$AE$97,F216))-1</f>
        <v>0.92424622421815</v>
      </c>
      <c r="O216" s="489">
        <f>(1+INDEX($AF$21:$AF$97,B216))*(1+INDEX($AF$21:$AF$97,C216))*(1+INDEX($AF$21:$AF$97,D216))*(1+INDEX($AF$21:$AF$97,E216))*(1+INDEX($AF$21:$AF$97,F216))-1</f>
        <v>0.764212287361845</v>
      </c>
      <c r="P216" s="489">
        <f>LN((1+L216)/(1+H216))</f>
        <v>0.042519307976534</v>
      </c>
      <c r="Q216" s="489">
        <f>LN((1+M216)/(1+H216))</f>
        <v>0.0290888034376974</v>
      </c>
      <c r="R216" s="489">
        <f>LN((1+N216)/(1+H216))</f>
        <v>0.0567358362272997</v>
      </c>
      <c r="S216" s="542">
        <f>LN((1+O216)/(1+H216))</f>
        <v>-0.0300941883402106</v>
      </c>
    </row>
    <row r="217">
      <c r="A217" s="320" t="n">
        <v>116</v>
      </c>
      <c r="B217" s="174" t="n">
        <v>48</v>
      </c>
      <c r="C217" s="174" t="n">
        <v>7</v>
      </c>
      <c r="D217" s="174" t="n">
        <v>50</v>
      </c>
      <c r="E217" s="174" t="n">
        <v>77</v>
      </c>
      <c r="F217" s="174" t="n">
        <v>43</v>
      </c>
      <c r="G217" s="68">
        <f>(1+INDEX($Z$21:$Z$97,B217))*(1+INDEX($Z$21:$Z$97,C217))*(1+INDEX($Z$21:$Z$97,D217))*(1+INDEX($Z$21:$Z$97,E217))*(1+INDEX($Z$21:$Z$97,F217))-1</f>
        <v>0.0833591593666145</v>
      </c>
      <c r="H217" s="68">
        <f>(1+INDEX($AA$21:$AA$97,B217))*(1+INDEX($AA$21:$AA$97,C217))*(1+INDEX($AA$21:$AA$97,D217))*(1+INDEX($AA$21:$AA$97,E217))*(1+INDEX($AA$21:$AA$97,F217))-1</f>
        <v>0.0957613190696489</v>
      </c>
      <c r="I217" s="68">
        <f>(1+INDEX($AB$21:$AB$97,B217))*(1+INDEX($AB$21:$AB$97,C217))*(1+INDEX($AB$21:$AB$97,D217))*(1+INDEX($AB$21:$AB$97,E217))*(1+INDEX($AB$21:$AB$97,F217))-1</f>
        <v>0.115353238501572</v>
      </c>
      <c r="J217" s="489">
        <f>LN((1+G217)/(1+H217))</f>
        <v>-0.0113828434332917</v>
      </c>
      <c r="K217" s="489">
        <f>LN((1+I217)/(1+H217))</f>
        <v>0.0177217703327073</v>
      </c>
      <c r="L217" s="489">
        <f>(1+INDEX($AC$21:$AC$97,B217))*(1+INDEX($AC$21:$AC$97,C217))*(1+INDEX($AC$21:$AC$97,D217))*(1+INDEX($AC$21:$AC$97,E217))*(1+INDEX($AC$21:$AC$97,F217))-1</f>
        <v>0.0931569485100303</v>
      </c>
      <c r="M217" s="489">
        <f>(1+INDEX($AD$21:$AD$97,B217))*(1+INDEX($AD$21:$AD$97,C217))*(1+INDEX($AD$21:$AD$97,D217))*(1+INDEX($AD$21:$AD$97,E217))*(1+INDEX($AD$21:$AD$97,F217))-1</f>
        <v>0.102429242996301</v>
      </c>
      <c r="N217" s="489">
        <f>(1+INDEX($AE$21:$AE$97,B217))*(1+INDEX($AE$21:$AE$97,C217))*(1+INDEX($AE$21:$AE$97,D217))*(1+INDEX($AE$21:$AE$97,E217))*(1+INDEX($AE$21:$AE$97,F217))-1</f>
        <v>0.07376089838197</v>
      </c>
      <c r="O217" s="489">
        <f>(1+INDEX($AF$21:$AF$97,B217))*(1+INDEX($AF$21:$AF$97,C217))*(1+INDEX($AF$21:$AF$97,D217))*(1+INDEX($AF$21:$AF$97,E217))*(1+INDEX($AF$21:$AF$97,F217))-1</f>
        <v>0.108373947347577</v>
      </c>
      <c r="P217" s="489">
        <f>LN((1+L217)/(1+H217))</f>
        <v>-0.00237959710705117</v>
      </c>
      <c r="Q217" s="489">
        <f>LN((1+M217)/(1+H217))</f>
        <v>0.00606675735315152</v>
      </c>
      <c r="R217" s="489">
        <f>LN((1+N217)/(1+H217))</f>
        <v>-0.0202820461413219</v>
      </c>
      <c r="S217" s="542">
        <f>LN((1+O217)/(1+H217))</f>
        <v>0.0114446387536919</v>
      </c>
    </row>
    <row r="218">
      <c r="A218" s="320" t="n">
        <v>117</v>
      </c>
      <c r="B218" s="174" t="n">
        <v>11</v>
      </c>
      <c r="C218" s="174" t="n">
        <v>4</v>
      </c>
      <c r="D218" s="174" t="n">
        <v>53</v>
      </c>
      <c r="E218" s="174" t="n">
        <v>64</v>
      </c>
      <c r="F218" s="174" t="n">
        <v>65</v>
      </c>
      <c r="G218" s="68">
        <f>(1+INDEX($Z$21:$Z$97,B218))*(1+INDEX($Z$21:$Z$97,C218))*(1+INDEX($Z$21:$Z$97,D218))*(1+INDEX($Z$21:$Z$97,E218))*(1+INDEX($Z$21:$Z$97,F218))-1</f>
        <v>-0.0872996658526567</v>
      </c>
      <c r="H218" s="68">
        <f>(1+INDEX($AA$21:$AA$97,B218))*(1+INDEX($AA$21:$AA$97,C218))*(1+INDEX($AA$21:$AA$97,D218))*(1+INDEX($AA$21:$AA$97,E218))*(1+INDEX($AA$21:$AA$97,F218))-1</f>
        <v>-0.0713729259142858</v>
      </c>
      <c r="I218" s="68">
        <f>(1+INDEX($AB$21:$AB$97,B218))*(1+INDEX($AB$21:$AB$97,C218))*(1+INDEX($AB$21:$AB$97,D218))*(1+INDEX($AB$21:$AB$97,E218))*(1+INDEX($AB$21:$AB$97,F218))-1</f>
        <v>-0.103914287183329</v>
      </c>
      <c r="J218" s="489">
        <f>LN((1+G218)/(1+H218))</f>
        <v>-0.0172996253399983</v>
      </c>
      <c r="K218" s="489">
        <f>LN((1+I218)/(1+H218))</f>
        <v>-0.0356711609459915</v>
      </c>
      <c r="L218" s="489">
        <f>(1+INDEX($AC$21:$AC$97,B218))*(1+INDEX($AC$21:$AC$97,C218))*(1+INDEX($AC$21:$AC$97,D218))*(1+INDEX($AC$21:$AC$97,E218))*(1+INDEX($AC$21:$AC$97,F218))-1</f>
        <v>-0.104988713185187</v>
      </c>
      <c r="M218" s="489">
        <f>(1+INDEX($AD$21:$AD$97,B218))*(1+INDEX($AD$21:$AD$97,C218))*(1+INDEX($AD$21:$AD$97,D218))*(1+INDEX($AD$21:$AD$97,E218))*(1+INDEX($AD$21:$AD$97,F218))-1</f>
        <v>-0.0966902705834152</v>
      </c>
      <c r="N218" s="489">
        <f>(1+INDEX($AE$21:$AE$97,B218))*(1+INDEX($AE$21:$AE$97,C218))*(1+INDEX($AE$21:$AE$97,D218))*(1+INDEX($AE$21:$AE$97,E218))*(1+INDEX($AE$21:$AE$97,F218))-1</f>
        <v>-0.113424524271509</v>
      </c>
      <c r="O218" s="489">
        <f>(1+INDEX($AF$21:$AF$97,B218))*(1+INDEX($AF$21:$AF$97,C218))*(1+INDEX($AF$21:$AF$97,D218))*(1+INDEX($AF$21:$AF$97,E218))*(1+INDEX($AF$21:$AF$97,F218))-1</f>
        <v>-0.0431102229681006</v>
      </c>
      <c r="P218" s="489">
        <f>LN((1+L218)/(1+H218))</f>
        <v>-0.0368709018097795</v>
      </c>
      <c r="Q218" s="489">
        <f>LN((1+M218)/(1+H218))</f>
        <v>-0.0276417359042801</v>
      </c>
      <c r="R218" s="489">
        <f>LN((1+N218)/(1+H218))</f>
        <v>-0.0463409700756158</v>
      </c>
      <c r="S218" s="542">
        <f>LN((1+O218)/(1+H218))</f>
        <v>0.0299809783330993</v>
      </c>
    </row>
    <row r="219">
      <c r="A219" s="320" t="n">
        <v>118</v>
      </c>
      <c r="B219" s="174" t="n">
        <v>50</v>
      </c>
      <c r="C219" s="174" t="n">
        <v>50</v>
      </c>
      <c r="D219" s="174" t="n">
        <v>32</v>
      </c>
      <c r="E219" s="174" t="n">
        <v>18</v>
      </c>
      <c r="F219" s="174" t="n">
        <v>49</v>
      </c>
      <c r="G219" s="68">
        <f>(1+INDEX($Z$21:$Z$97,B219))*(1+INDEX($Z$21:$Z$97,C219))*(1+INDEX($Z$21:$Z$97,D219))*(1+INDEX($Z$21:$Z$97,E219))*(1+INDEX($Z$21:$Z$97,F219))-1</f>
        <v>0.613854238408432</v>
      </c>
      <c r="H219" s="68">
        <f>(1+INDEX($AA$21:$AA$97,B219))*(1+INDEX($AA$21:$AA$97,C219))*(1+INDEX($AA$21:$AA$97,D219))*(1+INDEX($AA$21:$AA$97,E219))*(1+INDEX($AA$21:$AA$97,F219))-1</f>
        <v>0.487867483841035</v>
      </c>
      <c r="I219" s="68">
        <f>(1+INDEX($AB$21:$AB$97,B219))*(1+INDEX($AB$21:$AB$97,C219))*(1+INDEX($AB$21:$AB$97,D219))*(1+INDEX($AB$21:$AB$97,E219))*(1+INDEX($AB$21:$AB$97,F219))-1</f>
        <v>0.565643484910172</v>
      </c>
      <c r="J219" s="489">
        <f>LN((1+G219)/(1+H219))</f>
        <v>0.0812813791073632</v>
      </c>
      <c r="K219" s="489">
        <f>LN((1+I219)/(1+H219))</f>
        <v>0.0509530360637602</v>
      </c>
      <c r="L219" s="489">
        <f>(1+INDEX($AC$21:$AC$97,B219))*(1+INDEX($AC$21:$AC$97,C219))*(1+INDEX($AC$21:$AC$97,D219))*(1+INDEX($AC$21:$AC$97,E219))*(1+INDEX($AC$21:$AC$97,F219))-1</f>
        <v>0.511347426678236</v>
      </c>
      <c r="M219" s="489">
        <f>(1+INDEX($AD$21:$AD$97,B219))*(1+INDEX($AD$21:$AD$97,C219))*(1+INDEX($AD$21:$AD$97,D219))*(1+INDEX($AD$21:$AD$97,E219))*(1+INDEX($AD$21:$AD$97,F219))-1</f>
        <v>0.578221706561272</v>
      </c>
      <c r="N219" s="489">
        <f>(1+INDEX($AE$21:$AE$97,B219))*(1+INDEX($AE$21:$AE$97,C219))*(1+INDEX($AE$21:$AE$97,D219))*(1+INDEX($AE$21:$AE$97,E219))*(1+INDEX($AE$21:$AE$97,F219))-1</f>
        <v>0.519464457177332</v>
      </c>
      <c r="O219" s="489">
        <f>(1+INDEX($AF$21:$AF$97,B219))*(1+INDEX($AF$21:$AF$97,C219))*(1+INDEX($AF$21:$AF$97,D219))*(1+INDEX($AF$21:$AF$97,E219))*(1+INDEX($AF$21:$AF$97,F219))-1</f>
        <v>0.535529910221089</v>
      </c>
      <c r="P219" s="489">
        <f>LN((1+L219)/(1+H219))</f>
        <v>0.0156577125939689</v>
      </c>
      <c r="Q219" s="489">
        <f>LN((1+M219)/(1+H219))</f>
        <v>0.0589548351225585</v>
      </c>
      <c r="R219" s="489">
        <f>LN((1+N219)/(1+H219))</f>
        <v>0.0210140660840319</v>
      </c>
      <c r="S219" s="542">
        <f>LN((1+O219)/(1+H219))</f>
        <v>0.0315316639633933</v>
      </c>
    </row>
    <row r="220">
      <c r="A220" s="320" t="n">
        <v>119</v>
      </c>
      <c r="B220" s="174" t="n">
        <v>73</v>
      </c>
      <c r="C220" s="174" t="n">
        <v>54</v>
      </c>
      <c r="D220" s="174" t="n">
        <v>70</v>
      </c>
      <c r="E220" s="174" t="n">
        <v>23</v>
      </c>
      <c r="F220" s="174" t="n">
        <v>7</v>
      </c>
      <c r="G220" s="68">
        <f>(1+INDEX($Z$21:$Z$97,B220))*(1+INDEX($Z$21:$Z$97,C220))*(1+INDEX($Z$21:$Z$97,D220))*(1+INDEX($Z$21:$Z$97,E220))*(1+INDEX($Z$21:$Z$97,F220))-1</f>
        <v>0.109767963336893</v>
      </c>
      <c r="H220" s="68">
        <f>(1+INDEX($AA$21:$AA$97,B220))*(1+INDEX($AA$21:$AA$97,C220))*(1+INDEX($AA$21:$AA$97,D220))*(1+INDEX($AA$21:$AA$97,E220))*(1+INDEX($AA$21:$AA$97,F220))-1</f>
        <v>0.148115160416468</v>
      </c>
      <c r="I220" s="68">
        <f>(1+INDEX($AB$21:$AB$97,B220))*(1+INDEX($AB$21:$AB$97,C220))*(1+INDEX($AB$21:$AB$97,D220))*(1+INDEX($AB$21:$AB$97,E220))*(1+INDEX($AB$21:$AB$97,F220))-1</f>
        <v>0.155982981932295</v>
      </c>
      <c r="J220" s="489">
        <f>LN((1+G220)/(1+H220))</f>
        <v>-0.033970655384819</v>
      </c>
      <c r="K220" s="489">
        <f>LN((1+I220)/(1+H220))</f>
        <v>0.00682944181207384</v>
      </c>
      <c r="L220" s="489">
        <f>(1+INDEX($AC$21:$AC$97,B220))*(1+INDEX($AC$21:$AC$97,C220))*(1+INDEX($AC$21:$AC$97,D220))*(1+INDEX($AC$21:$AC$97,E220))*(1+INDEX($AC$21:$AC$97,F220))-1</f>
        <v>0.134278471558327</v>
      </c>
      <c r="M220" s="489">
        <f>(1+INDEX($AD$21:$AD$97,B220))*(1+INDEX($AD$21:$AD$97,C220))*(1+INDEX($AD$21:$AD$97,D220))*(1+INDEX($AD$21:$AD$97,E220))*(1+INDEX($AD$21:$AD$97,F220))-1</f>
        <v>0.151317864215767</v>
      </c>
      <c r="N220" s="489">
        <f>(1+INDEX($AE$21:$AE$97,B220))*(1+INDEX($AE$21:$AE$97,C220))*(1+INDEX($AE$21:$AE$97,D220))*(1+INDEX($AE$21:$AE$97,E220))*(1+INDEX($AE$21:$AE$97,F220))-1</f>
        <v>0.123057208389517</v>
      </c>
      <c r="O220" s="489">
        <f>(1+INDEX($AF$21:$AF$97,B220))*(1+INDEX($AF$21:$AF$97,C220))*(1+INDEX($AF$21:$AF$97,D220))*(1+INDEX($AF$21:$AF$97,E220))*(1+INDEX($AF$21:$AF$97,F220))-1</f>
        <v>0.161035017288136</v>
      </c>
      <c r="P220" s="489">
        <f>LN((1+L220)/(1+H220))</f>
        <v>-0.0121248659105832</v>
      </c>
      <c r="Q220" s="489">
        <f>LN((1+M220)/(1+H220))</f>
        <v>0.00278564831941495</v>
      </c>
      <c r="R220" s="489">
        <f>LN((1+N220)/(1+H220))</f>
        <v>-0.022066989892934</v>
      </c>
      <c r="S220" s="542">
        <f>LN((1+O220)/(1+H220))</f>
        <v>0.011190256759241</v>
      </c>
    </row>
    <row r="221">
      <c r="A221" s="320" t="n">
        <v>120</v>
      </c>
      <c r="B221" s="174" t="n">
        <v>4</v>
      </c>
      <c r="C221" s="174" t="n">
        <v>14</v>
      </c>
      <c r="D221" s="174" t="n">
        <v>21</v>
      </c>
      <c r="E221" s="174" t="n">
        <v>45</v>
      </c>
      <c r="F221" s="174" t="n">
        <v>58</v>
      </c>
      <c r="G221" s="68">
        <f>(1+INDEX($Z$21:$Z$97,B221))*(1+INDEX($Z$21:$Z$97,C221))*(1+INDEX($Z$21:$Z$97,D221))*(1+INDEX($Z$21:$Z$97,E221))*(1+INDEX($Z$21:$Z$97,F221))-1</f>
        <v>0.463826252392237</v>
      </c>
      <c r="H221" s="68">
        <f>(1+INDEX($AA$21:$AA$97,B221))*(1+INDEX($AA$21:$AA$97,C221))*(1+INDEX($AA$21:$AA$97,D221))*(1+INDEX($AA$21:$AA$97,E221))*(1+INDEX($AA$21:$AA$97,F221))-1</f>
        <v>0.461913702710211</v>
      </c>
      <c r="I221" s="68">
        <f>(1+INDEX($AB$21:$AB$97,B221))*(1+INDEX($AB$21:$AB$97,C221))*(1+INDEX($AB$21:$AB$97,D221))*(1+INDEX($AB$21:$AB$97,E221))*(1+INDEX($AB$21:$AB$97,F221))-1</f>
        <v>0.472592448555309</v>
      </c>
      <c r="J221" s="489">
        <f>LN((1+G221)/(1+H221))</f>
        <v>0.001307395724705</v>
      </c>
      <c r="K221" s="489">
        <f>LN((1+I221)/(1+H221))</f>
        <v>0.00727808526056896</v>
      </c>
      <c r="L221" s="489">
        <f>(1+INDEX($AC$21:$AC$97,B221))*(1+INDEX($AC$21:$AC$97,C221))*(1+INDEX($AC$21:$AC$97,D221))*(1+INDEX($AC$21:$AC$97,E221))*(1+INDEX($AC$21:$AC$97,F221))-1</f>
        <v>0.485188524045817</v>
      </c>
      <c r="M221" s="489">
        <f>(1+INDEX($AD$21:$AD$97,B221))*(1+INDEX($AD$21:$AD$97,C221))*(1+INDEX($AD$21:$AD$97,D221))*(1+INDEX($AD$21:$AD$97,E221))*(1+INDEX($AD$21:$AD$97,F221))-1</f>
        <v>0.457641071461115</v>
      </c>
      <c r="N221" s="489">
        <f>(1+INDEX($AE$21:$AE$97,B221))*(1+INDEX($AE$21:$AE$97,C221))*(1+INDEX($AE$21:$AE$97,D221))*(1+INDEX($AE$21:$AE$97,E221))*(1+INDEX($AE$21:$AE$97,F221))-1</f>
        <v>0.462560739978679</v>
      </c>
      <c r="O221" s="489">
        <f>(1+INDEX($AF$21:$AF$97,B221))*(1+INDEX($AF$21:$AF$97,C221))*(1+INDEX($AF$21:$AF$97,D221))*(1+INDEX($AF$21:$AF$97,E221))*(1+INDEX($AF$21:$AF$97,F221))-1</f>
        <v>0.427355927713064</v>
      </c>
      <c r="P221" s="489">
        <f>LN((1+L221)/(1+H221))</f>
        <v>0.0157953837048853</v>
      </c>
      <c r="Q221" s="489">
        <f>LN((1+M221)/(1+H221))</f>
        <v>-0.00292690812799466</v>
      </c>
      <c r="R221" s="489">
        <f>LN((1+N221)/(1+H221))</f>
        <v>0.000442498159382514</v>
      </c>
      <c r="S221" s="542">
        <f>LN((1+O221)/(1+H221))</f>
        <v>-0.0239226015523819</v>
      </c>
    </row>
    <row r="222">
      <c r="A222" s="320" t="n">
        <v>121</v>
      </c>
      <c r="B222" s="174" t="n">
        <v>18</v>
      </c>
      <c r="C222" s="174" t="n">
        <v>45</v>
      </c>
      <c r="D222" s="174" t="n">
        <v>22</v>
      </c>
      <c r="E222" s="174" t="n">
        <v>57</v>
      </c>
      <c r="F222" s="174" t="n">
        <v>63</v>
      </c>
      <c r="G222" s="68">
        <f>(1+INDEX($Z$21:$Z$97,B222))*(1+INDEX($Z$21:$Z$97,C222))*(1+INDEX($Z$21:$Z$97,D222))*(1+INDEX($Z$21:$Z$97,E222))*(1+INDEX($Z$21:$Z$97,F222))-1</f>
        <v>0.237733902526977</v>
      </c>
      <c r="H222" s="68">
        <f>(1+INDEX($AA$21:$AA$97,B222))*(1+INDEX($AA$21:$AA$97,C222))*(1+INDEX($AA$21:$AA$97,D222))*(1+INDEX($AA$21:$AA$97,E222))*(1+INDEX($AA$21:$AA$97,F222))-1</f>
        <v>0.198074631527105</v>
      </c>
      <c r="I222" s="68">
        <f>(1+INDEX($AB$21:$AB$97,B222))*(1+INDEX($AB$21:$AB$97,C222))*(1+INDEX($AB$21:$AB$97,D222))*(1+INDEX($AB$21:$AB$97,E222))*(1+INDEX($AB$21:$AB$97,F222))-1</f>
        <v>0.221525339533402</v>
      </c>
      <c r="J222" s="489">
        <f>LN((1+G222)/(1+H222))</f>
        <v>0.0325664152230815</v>
      </c>
      <c r="K222" s="489">
        <f>LN((1+I222)/(1+H222))</f>
        <v>0.0193845615840834</v>
      </c>
      <c r="L222" s="489">
        <f>(1+INDEX($AC$21:$AC$97,B222))*(1+INDEX($AC$21:$AC$97,C222))*(1+INDEX($AC$21:$AC$97,D222))*(1+INDEX($AC$21:$AC$97,E222))*(1+INDEX($AC$21:$AC$97,F222))-1</f>
        <v>0.211824480995843</v>
      </c>
      <c r="M222" s="489">
        <f>(1+INDEX($AD$21:$AD$97,B222))*(1+INDEX($AD$21:$AD$97,C222))*(1+INDEX($AD$21:$AD$97,D222))*(1+INDEX($AD$21:$AD$97,E222))*(1+INDEX($AD$21:$AD$97,F222))-1</f>
        <v>0.197519952761492</v>
      </c>
      <c r="N222" s="489">
        <f>(1+INDEX($AE$21:$AE$97,B222))*(1+INDEX($AE$21:$AE$97,C222))*(1+INDEX($AE$21:$AE$97,D222))*(1+INDEX($AE$21:$AE$97,E222))*(1+INDEX($AE$21:$AE$97,F222))-1</f>
        <v>0.20606748091858</v>
      </c>
      <c r="O222" s="489">
        <f>(1+INDEX($AF$21:$AF$97,B222))*(1+INDEX($AF$21:$AF$97,C222))*(1+INDEX($AF$21:$AF$97,D222))*(1+INDEX($AF$21:$AF$97,E222))*(1+INDEX($AF$21:$AF$97,F222))-1</f>
        <v>0.200586911602912</v>
      </c>
      <c r="P222" s="489">
        <f>LN((1+L222)/(1+H222))</f>
        <v>0.0114112649797438</v>
      </c>
      <c r="Q222" s="489">
        <f>LN((1+M222)/(1+H222))</f>
        <v>-0.000463082342198256</v>
      </c>
      <c r="R222" s="489">
        <f>LN((1+N222)/(1+H222))</f>
        <v>0.00664925654669576</v>
      </c>
      <c r="S222" s="542">
        <f>LN((1+O222)/(1+H222))</f>
        <v>0.00209473570928963</v>
      </c>
    </row>
    <row r="223">
      <c r="A223" s="320" t="n">
        <v>122</v>
      </c>
      <c r="B223" s="174" t="n">
        <v>75</v>
      </c>
      <c r="C223" s="174" t="n">
        <v>41</v>
      </c>
      <c r="D223" s="174" t="n">
        <v>49</v>
      </c>
      <c r="E223" s="174" t="n">
        <v>8</v>
      </c>
      <c r="F223" s="174" t="n">
        <v>47</v>
      </c>
      <c r="G223" s="68">
        <f>(1+INDEX($Z$21:$Z$97,B223))*(1+INDEX($Z$21:$Z$97,C223))*(1+INDEX($Z$21:$Z$97,D223))*(1+INDEX($Z$21:$Z$97,E223))*(1+INDEX($Z$21:$Z$97,F223))-1</f>
        <v>0.229570461325896</v>
      </c>
      <c r="H223" s="68">
        <f>(1+INDEX($AA$21:$AA$97,B223))*(1+INDEX($AA$21:$AA$97,C223))*(1+INDEX($AA$21:$AA$97,D223))*(1+INDEX($AA$21:$AA$97,E223))*(1+INDEX($AA$21:$AA$97,F223))-1</f>
        <v>0.237944104670644</v>
      </c>
      <c r="I223" s="68">
        <f>(1+INDEX($AB$21:$AB$97,B223))*(1+INDEX($AB$21:$AB$97,C223))*(1+INDEX($AB$21:$AB$97,D223))*(1+INDEX($AB$21:$AB$97,E223))*(1+INDEX($AB$21:$AB$97,F223))-1</f>
        <v>0.261704894763625</v>
      </c>
      <c r="J223" s="489">
        <f>LN((1+G223)/(1+H223))</f>
        <v>-0.00678713358337707</v>
      </c>
      <c r="K223" s="489">
        <f>LN((1+I223)/(1+H223))</f>
        <v>0.0190118739003092</v>
      </c>
      <c r="L223" s="489">
        <f>(1+INDEX($AC$21:$AC$97,B223))*(1+INDEX($AC$21:$AC$97,C223))*(1+INDEX($AC$21:$AC$97,D223))*(1+INDEX($AC$21:$AC$97,E223))*(1+INDEX($AC$21:$AC$97,F223))-1</f>
        <v>0.235913383770189</v>
      </c>
      <c r="M223" s="489">
        <f>(1+INDEX($AD$21:$AD$97,B223))*(1+INDEX($AD$21:$AD$97,C223))*(1+INDEX($AD$21:$AD$97,D223))*(1+INDEX($AD$21:$AD$97,E223))*(1+INDEX($AD$21:$AD$97,F223))-1</f>
        <v>0.255944313996956</v>
      </c>
      <c r="N223" s="489">
        <f>(1+INDEX($AE$21:$AE$97,B223))*(1+INDEX($AE$21:$AE$97,C223))*(1+INDEX($AE$21:$AE$97,D223))*(1+INDEX($AE$21:$AE$97,E223))*(1+INDEX($AE$21:$AE$97,F223))-1</f>
        <v>0.227916386942228</v>
      </c>
      <c r="O223" s="489">
        <f>(1+INDEX($AF$21:$AF$97,B223))*(1+INDEX($AF$21:$AF$97,C223))*(1+INDEX($AF$21:$AF$97,D223))*(1+INDEX($AF$21:$AF$97,E223))*(1+INDEX($AF$21:$AF$97,F223))-1</f>
        <v>0.275894273297391</v>
      </c>
      <c r="P223" s="489">
        <f>LN((1+L223)/(1+H223))</f>
        <v>-0.00164174481841792</v>
      </c>
      <c r="Q223" s="489">
        <f>LN((1+M223)/(1+H223))</f>
        <v>0.0144357075309378</v>
      </c>
      <c r="R223" s="489">
        <f>LN((1+N223)/(1+H223))</f>
        <v>-0.00813328494497355</v>
      </c>
      <c r="S223" s="542">
        <f>LN((1+O223)/(1+H223))</f>
        <v>0.0301953000297712</v>
      </c>
    </row>
    <row r="224">
      <c r="A224" s="320" t="n">
        <v>123</v>
      </c>
      <c r="B224" s="174" t="n">
        <v>9</v>
      </c>
      <c r="C224" s="174" t="n">
        <v>63</v>
      </c>
      <c r="D224" s="174" t="n">
        <v>30</v>
      </c>
      <c r="E224" s="174" t="n">
        <v>64</v>
      </c>
      <c r="F224" s="174" t="n">
        <v>68</v>
      </c>
      <c r="G224" s="68">
        <f>(1+INDEX($Z$21:$Z$97,B224))*(1+INDEX($Z$21:$Z$97,C224))*(1+INDEX($Z$21:$Z$97,D224))*(1+INDEX($Z$21:$Z$97,E224))*(1+INDEX($Z$21:$Z$97,F224))-1</f>
        <v>-0.112128217062861</v>
      </c>
      <c r="H224" s="68">
        <f>(1+INDEX($AA$21:$AA$97,B224))*(1+INDEX($AA$21:$AA$97,C224))*(1+INDEX($AA$21:$AA$97,D224))*(1+INDEX($AA$21:$AA$97,E224))*(1+INDEX($AA$21:$AA$97,F224))-1</f>
        <v>-0.0908699903399349</v>
      </c>
      <c r="I224" s="68">
        <f>(1+INDEX($AB$21:$AB$97,B224))*(1+INDEX($AB$21:$AB$97,C224))*(1+INDEX($AB$21:$AB$97,D224))*(1+INDEX($AB$21:$AB$97,E224))*(1+INDEX($AB$21:$AB$97,F224))-1</f>
        <v>-0.108114308249514</v>
      </c>
      <c r="J224" s="489">
        <f>LN((1+G224)/(1+H224))</f>
        <v>-0.0236607648961216</v>
      </c>
      <c r="K224" s="489">
        <f>LN((1+I224)/(1+H224))</f>
        <v>-0.0191501327724212</v>
      </c>
      <c r="L224" s="489">
        <f>(1+INDEX($AC$21:$AC$97,B224))*(1+INDEX($AC$21:$AC$97,C224))*(1+INDEX($AC$21:$AC$97,D224))*(1+INDEX($AC$21:$AC$97,E224))*(1+INDEX($AC$21:$AC$97,F224))-1</f>
        <v>-0.112851675834409</v>
      </c>
      <c r="M224" s="489">
        <f>(1+INDEX($AD$21:$AD$97,B224))*(1+INDEX($AD$21:$AD$97,C224))*(1+INDEX($AD$21:$AD$97,D224))*(1+INDEX($AD$21:$AD$97,E224))*(1+INDEX($AD$21:$AD$97,F224))-1</f>
        <v>-0.120289733764472</v>
      </c>
      <c r="N224" s="489">
        <f>(1+INDEX($AE$21:$AE$97,B224))*(1+INDEX($AE$21:$AE$97,C224))*(1+INDEX($AE$21:$AE$97,D224))*(1+INDEX($AE$21:$AE$97,E224))*(1+INDEX($AE$21:$AE$97,F224))-1</f>
        <v>-0.112247068691529</v>
      </c>
      <c r="O224" s="489">
        <f>(1+INDEX($AF$21:$AF$97,B224))*(1+INDEX($AF$21:$AF$97,C224))*(1+INDEX($AF$21:$AF$97,D224))*(1+INDEX($AF$21:$AF$97,E224))*(1+INDEX($AF$21:$AF$97,F224))-1</f>
        <v>-0.0776284840077232</v>
      </c>
      <c r="P224" s="489">
        <f>LN((1+L224)/(1+H224))</f>
        <v>-0.0244759205202332</v>
      </c>
      <c r="Q224" s="489">
        <f>LN((1+M224)/(1+H224))</f>
        <v>-0.0328954985332216</v>
      </c>
      <c r="R224" s="489">
        <f>LN((1+N224)/(1+H224))</f>
        <v>-0.0237946351085505</v>
      </c>
      <c r="S224" s="542">
        <f>LN((1+O224)/(1+H224))</f>
        <v>0.0144599792784873</v>
      </c>
    </row>
    <row r="225">
      <c r="A225" s="320" t="n">
        <v>124</v>
      </c>
      <c r="B225" s="174" t="n">
        <v>29</v>
      </c>
      <c r="C225" s="174" t="n">
        <v>19</v>
      </c>
      <c r="D225" s="174" t="n">
        <v>38</v>
      </c>
      <c r="E225" s="174" t="n">
        <v>1</v>
      </c>
      <c r="F225" s="174" t="n">
        <v>17</v>
      </c>
      <c r="G225" s="68">
        <f>(1+INDEX($Z$21:$Z$97,B225))*(1+INDEX($Z$21:$Z$97,C225))*(1+INDEX($Z$21:$Z$97,D225))*(1+INDEX($Z$21:$Z$97,E225))*(1+INDEX($Z$21:$Z$97,F225))-1</f>
        <v>0.341509649983159</v>
      </c>
      <c r="H225" s="68">
        <f>(1+INDEX($AA$21:$AA$97,B225))*(1+INDEX($AA$21:$AA$97,C225))*(1+INDEX($AA$21:$AA$97,D225))*(1+INDEX($AA$21:$AA$97,E225))*(1+INDEX($AA$21:$AA$97,F225))-1</f>
        <v>0.291521255484386</v>
      </c>
      <c r="I225" s="68">
        <f>(1+INDEX($AB$21:$AB$97,B225))*(1+INDEX($AB$21:$AB$97,C225))*(1+INDEX($AB$21:$AB$97,D225))*(1+INDEX($AB$21:$AB$97,E225))*(1+INDEX($AB$21:$AB$97,F225))-1</f>
        <v>0.286320303220057</v>
      </c>
      <c r="J225" s="489">
        <f>LN((1+G225)/(1+H225))</f>
        <v>0.0379747928844769</v>
      </c>
      <c r="K225" s="489">
        <f>LN((1+I225)/(1+H225))</f>
        <v>-0.00403512722005781</v>
      </c>
      <c r="L225" s="489">
        <f>(1+INDEX($AC$21:$AC$97,B225))*(1+INDEX($AC$21:$AC$97,C225))*(1+INDEX($AC$21:$AC$97,D225))*(1+INDEX($AC$21:$AC$97,E225))*(1+INDEX($AC$21:$AC$97,F225))-1</f>
        <v>0.269989869649858</v>
      </c>
      <c r="M225" s="489">
        <f>(1+INDEX($AD$21:$AD$97,B225))*(1+INDEX($AD$21:$AD$97,C225))*(1+INDEX($AD$21:$AD$97,D225))*(1+INDEX($AD$21:$AD$97,E225))*(1+INDEX($AD$21:$AD$97,F225))-1</f>
        <v>0.294511969229209</v>
      </c>
      <c r="N225" s="489">
        <f>(1+INDEX($AE$21:$AE$97,B225))*(1+INDEX($AE$21:$AE$97,C225))*(1+INDEX($AE$21:$AE$97,D225))*(1+INDEX($AE$21:$AE$97,E225))*(1+INDEX($AE$21:$AE$97,F225))-1</f>
        <v>0.285211986824103</v>
      </c>
      <c r="O225" s="489">
        <f>(1+INDEX($AF$21:$AF$97,B225))*(1+INDEX($AF$21:$AF$97,C225))*(1+INDEX($AF$21:$AF$97,D225))*(1+INDEX($AF$21:$AF$97,E225))*(1+INDEX($AF$21:$AF$97,F225))-1</f>
        <v>0.29514753172871</v>
      </c>
      <c r="P225" s="489">
        <f>LN((1+L225)/(1+H225))</f>
        <v>-0.016811867615786</v>
      </c>
      <c r="Q225" s="489">
        <f>LN((1+M225)/(1+H225))</f>
        <v>0.00231297498389817</v>
      </c>
      <c r="R225" s="489">
        <f>LN((1+N225)/(1+H225))</f>
        <v>-0.00489711636860613</v>
      </c>
      <c r="S225" s="542">
        <f>LN((1+O225)/(1+H225))</f>
        <v>0.00280382137665833</v>
      </c>
    </row>
    <row r="226">
      <c r="A226" s="320" t="n">
        <v>125</v>
      </c>
      <c r="B226" s="174" t="n">
        <v>20</v>
      </c>
      <c r="C226" s="174" t="n">
        <v>15</v>
      </c>
      <c r="D226" s="174" t="n">
        <v>53</v>
      </c>
      <c r="E226" s="174" t="n">
        <v>46</v>
      </c>
      <c r="F226" s="174" t="n">
        <v>7</v>
      </c>
      <c r="G226" s="68">
        <f>(1+INDEX($Z$21:$Z$97,B226))*(1+INDEX($Z$21:$Z$97,C226))*(1+INDEX($Z$21:$Z$97,D226))*(1+INDEX($Z$21:$Z$97,E226))*(1+INDEX($Z$21:$Z$97,F226))-1</f>
        <v>-0.0876942011841611</v>
      </c>
      <c r="H226" s="68">
        <f>(1+INDEX($AA$21:$AA$97,B226))*(1+INDEX($AA$21:$AA$97,C226))*(1+INDEX($AA$21:$AA$97,D226))*(1+INDEX($AA$21:$AA$97,E226))*(1+INDEX($AA$21:$AA$97,F226))-1</f>
        <v>-0.0284483965817557</v>
      </c>
      <c r="I226" s="68">
        <f>(1+INDEX($AB$21:$AB$97,B226))*(1+INDEX($AB$21:$AB$97,C226))*(1+INDEX($AB$21:$AB$97,D226))*(1+INDEX($AB$21:$AB$97,E226))*(1+INDEX($AB$21:$AB$97,F226))-1</f>
        <v>-0.0575481278484488</v>
      </c>
      <c r="J226" s="489">
        <f>LN((1+G226)/(1+H226))</f>
        <v>-0.0629191450759286</v>
      </c>
      <c r="K226" s="489">
        <f>LN((1+I226)/(1+H226))</f>
        <v>-0.0304095306788124</v>
      </c>
      <c r="L226" s="489">
        <f>(1+INDEX($AC$21:$AC$97,B226))*(1+INDEX($AC$21:$AC$97,C226))*(1+INDEX($AC$21:$AC$97,D226))*(1+INDEX($AC$21:$AC$97,E226))*(1+INDEX($AC$21:$AC$97,F226))-1</f>
        <v>-0.0761583232044439</v>
      </c>
      <c r="M226" s="489">
        <f>(1+INDEX($AD$21:$AD$97,B226))*(1+INDEX($AD$21:$AD$97,C226))*(1+INDEX($AD$21:$AD$97,D226))*(1+INDEX($AD$21:$AD$97,E226))*(1+INDEX($AD$21:$AD$97,F226))-1</f>
        <v>-0.0573552507803944</v>
      </c>
      <c r="N226" s="489">
        <f>(1+INDEX($AE$21:$AE$97,B226))*(1+INDEX($AE$21:$AE$97,C226))*(1+INDEX($AE$21:$AE$97,D226))*(1+INDEX($AE$21:$AE$97,E226))*(1+INDEX($AE$21:$AE$97,F226))-1</f>
        <v>-0.0826974177025172</v>
      </c>
      <c r="O226" s="489">
        <f>(1+INDEX($AF$21:$AF$97,B226))*(1+INDEX($AF$21:$AF$97,C226))*(1+INDEX($AF$21:$AF$97,D226))*(1+INDEX($AF$21:$AF$97,E226))*(1+INDEX($AF$21:$AF$97,F226))-1</f>
        <v>-0.0301245816773473</v>
      </c>
      <c r="P226" s="489">
        <f>LN((1+L226)/(1+H226))</f>
        <v>-0.050353673165963</v>
      </c>
      <c r="Q226" s="489">
        <f>LN((1+M226)/(1+H226))</f>
        <v>-0.0302048970631762</v>
      </c>
      <c r="R226" s="489">
        <f>LN((1+N226)/(1+H226))</f>
        <v>-0.0574569970485179</v>
      </c>
      <c r="S226" s="542">
        <f>LN((1+O226)/(1+H226))</f>
        <v>-0.00172675613691295</v>
      </c>
    </row>
    <row r="227">
      <c r="A227" s="320" t="n">
        <v>126</v>
      </c>
      <c r="B227" s="174" t="n">
        <v>18</v>
      </c>
      <c r="C227" s="174" t="n">
        <v>34</v>
      </c>
      <c r="D227" s="174" t="n">
        <v>59</v>
      </c>
      <c r="E227" s="174" t="n">
        <v>65</v>
      </c>
      <c r="F227" s="174" t="n">
        <v>19</v>
      </c>
      <c r="G227" s="68">
        <f>(1+INDEX($Z$21:$Z$97,B227))*(1+INDEX($Z$21:$Z$97,C227))*(1+INDEX($Z$21:$Z$97,D227))*(1+INDEX($Z$21:$Z$97,E227))*(1+INDEX($Z$21:$Z$97,F227))-1</f>
        <v>0.40112032524571</v>
      </c>
      <c r="H227" s="68">
        <f>(1+INDEX($AA$21:$AA$97,B227))*(1+INDEX($AA$21:$AA$97,C227))*(1+INDEX($AA$21:$AA$97,D227))*(1+INDEX($AA$21:$AA$97,E227))*(1+INDEX($AA$21:$AA$97,F227))-1</f>
        <v>0.391820414467324</v>
      </c>
      <c r="I227" s="68">
        <f>(1+INDEX($AB$21:$AB$97,B227))*(1+INDEX($AB$21:$AB$97,C227))*(1+INDEX($AB$21:$AB$97,D227))*(1+INDEX($AB$21:$AB$97,E227))*(1+INDEX($AB$21:$AB$97,F227))-1</f>
        <v>0.402474464618086</v>
      </c>
      <c r="J227" s="489">
        <f>LN((1+G227)/(1+H227))</f>
        <v>0.00665960793033507</v>
      </c>
      <c r="K227" s="489">
        <f>LN((1+I227)/(1+H227))</f>
        <v>0.00762561020896235</v>
      </c>
      <c r="L227" s="489">
        <f>(1+INDEX($AC$21:$AC$97,B227))*(1+INDEX($AC$21:$AC$97,C227))*(1+INDEX($AC$21:$AC$97,D227))*(1+INDEX($AC$21:$AC$97,E227))*(1+INDEX($AC$21:$AC$97,F227))-1</f>
        <v>0.403355400252021</v>
      </c>
      <c r="M227" s="489">
        <f>(1+INDEX($AD$21:$AD$97,B227))*(1+INDEX($AD$21:$AD$97,C227))*(1+INDEX($AD$21:$AD$97,D227))*(1+INDEX($AD$21:$AD$97,E227))*(1+INDEX($AD$21:$AD$97,F227))-1</f>
        <v>0.386037718782626</v>
      </c>
      <c r="N227" s="489">
        <f>(1+INDEX($AE$21:$AE$97,B227))*(1+INDEX($AE$21:$AE$97,C227))*(1+INDEX($AE$21:$AE$97,D227))*(1+INDEX($AE$21:$AE$97,E227))*(1+INDEX($AE$21:$AE$97,F227))-1</f>
        <v>0.420806365869711</v>
      </c>
      <c r="O227" s="489">
        <f>(1+INDEX($AF$21:$AF$97,B227))*(1+INDEX($AF$21:$AF$97,C227))*(1+INDEX($AF$21:$AF$97,D227))*(1+INDEX($AF$21:$AF$97,E227))*(1+INDEX($AF$21:$AF$97,F227))-1</f>
        <v>0.366114233334899</v>
      </c>
      <c r="P227" s="489">
        <f>LN((1+L227)/(1+H227))</f>
        <v>0.00825354255362155</v>
      </c>
      <c r="Q227" s="489">
        <f>LN((1+M227)/(1+H227))</f>
        <v>-0.00416342646778108</v>
      </c>
      <c r="R227" s="489">
        <f>LN((1+N227)/(1+H227))</f>
        <v>0.0206120327342807</v>
      </c>
      <c r="S227" s="542">
        <f>LN((1+O227)/(1+H227))</f>
        <v>-0.0186421571816993</v>
      </c>
    </row>
    <row r="228">
      <c r="A228" s="320" t="n">
        <v>127</v>
      </c>
      <c r="B228" s="174" t="n">
        <v>65</v>
      </c>
      <c r="C228" s="174" t="n">
        <v>55</v>
      </c>
      <c r="D228" s="174" t="n">
        <v>16</v>
      </c>
      <c r="E228" s="174" t="n">
        <v>38</v>
      </c>
      <c r="F228" s="174" t="n">
        <v>26</v>
      </c>
      <c r="G228" s="68">
        <f>(1+INDEX($Z$21:$Z$97,B228))*(1+INDEX($Z$21:$Z$97,C228))*(1+INDEX($Z$21:$Z$97,D228))*(1+INDEX($Z$21:$Z$97,E228))*(1+INDEX($Z$21:$Z$97,F228))-1</f>
        <v>0.214322903811801</v>
      </c>
      <c r="H228" s="68">
        <f>(1+INDEX($AA$21:$AA$97,B228))*(1+INDEX($AA$21:$AA$97,C228))*(1+INDEX($AA$21:$AA$97,D228))*(1+INDEX($AA$21:$AA$97,E228))*(1+INDEX($AA$21:$AA$97,F228))-1</f>
        <v>0.194114148387921</v>
      </c>
      <c r="I228" s="68">
        <f>(1+INDEX($AB$21:$AB$97,B228))*(1+INDEX($AB$21:$AB$97,C228))*(1+INDEX($AB$21:$AB$97,D228))*(1+INDEX($AB$21:$AB$97,E228))*(1+INDEX($AB$21:$AB$97,F228))-1</f>
        <v>0.219217730793026</v>
      </c>
      <c r="J228" s="489">
        <f>LN((1+G228)/(1+H228))</f>
        <v>0.0167820285747248</v>
      </c>
      <c r="K228" s="489">
        <f>LN((1+I228)/(1+H228))</f>
        <v>0.0208048367519918</v>
      </c>
      <c r="L228" s="489">
        <f>(1+INDEX($AC$21:$AC$97,B228))*(1+INDEX($AC$21:$AC$97,C228))*(1+INDEX($AC$21:$AC$97,D228))*(1+INDEX($AC$21:$AC$97,E228))*(1+INDEX($AC$21:$AC$97,F228))-1</f>
        <v>0.192379755912277</v>
      </c>
      <c r="M228" s="489">
        <f>(1+INDEX($AD$21:$AD$97,B228))*(1+INDEX($AD$21:$AD$97,C228))*(1+INDEX($AD$21:$AD$97,D228))*(1+INDEX($AD$21:$AD$97,E228))*(1+INDEX($AD$21:$AD$97,F228))-1</f>
        <v>0.232795514416429</v>
      </c>
      <c r="N228" s="489">
        <f>(1+INDEX($AE$21:$AE$97,B228))*(1+INDEX($AE$21:$AE$97,C228))*(1+INDEX($AE$21:$AE$97,D228))*(1+INDEX($AE$21:$AE$97,E228))*(1+INDEX($AE$21:$AE$97,F228))-1</f>
        <v>0.190677732845794</v>
      </c>
      <c r="O228" s="489">
        <f>(1+INDEX($AF$21:$AF$97,B228))*(1+INDEX($AF$21:$AF$97,C228))*(1+INDEX($AF$21:$AF$97,D228))*(1+INDEX($AF$21:$AF$97,E228))*(1+INDEX($AF$21:$AF$97,F228))-1</f>
        <v>0.234555250708527</v>
      </c>
      <c r="P228" s="489">
        <f>LN((1+L228)/(1+H228))</f>
        <v>-0.0014535069860186</v>
      </c>
      <c r="Q228" s="489">
        <f>LN((1+M228)/(1+H228))</f>
        <v>0.03187975441829</v>
      </c>
      <c r="R228" s="489">
        <f>LN((1+N228)/(1+H228))</f>
        <v>-0.0028819436594244</v>
      </c>
      <c r="S228" s="542">
        <f>LN((1+O228)/(1+H228))</f>
        <v>0.0333061722712716</v>
      </c>
    </row>
    <row r="229">
      <c r="A229" s="320" t="n">
        <v>128</v>
      </c>
      <c r="B229" s="174" t="n">
        <v>44</v>
      </c>
      <c r="C229" s="174" t="n">
        <v>64</v>
      </c>
      <c r="D229" s="174" t="n">
        <v>20</v>
      </c>
      <c r="E229" s="174" t="n">
        <v>32</v>
      </c>
      <c r="F229" s="174" t="n">
        <v>77</v>
      </c>
      <c r="G229" s="68">
        <f>(1+INDEX($Z$21:$Z$97,B229))*(1+INDEX($Z$21:$Z$97,C229))*(1+INDEX($Z$21:$Z$97,D229))*(1+INDEX($Z$21:$Z$97,E229))*(1+INDEX($Z$21:$Z$97,F229))-1</f>
        <v>0.144930063700761</v>
      </c>
      <c r="H229" s="68">
        <f>(1+INDEX($AA$21:$AA$97,B229))*(1+INDEX($AA$21:$AA$97,C229))*(1+INDEX($AA$21:$AA$97,D229))*(1+INDEX($AA$21:$AA$97,E229))*(1+INDEX($AA$21:$AA$97,F229))-1</f>
        <v>0.13377934959484</v>
      </c>
      <c r="I229" s="68">
        <f>(1+INDEX($AB$21:$AB$97,B229))*(1+INDEX($AB$21:$AB$97,C229))*(1+INDEX($AB$21:$AB$97,D229))*(1+INDEX($AB$21:$AB$97,E229))*(1+INDEX($AB$21:$AB$97,F229))-1</f>
        <v>0.158160309271073</v>
      </c>
      <c r="J229" s="489">
        <f>LN((1+G229)/(1+H229))</f>
        <v>0.00978694610730905</v>
      </c>
      <c r="K229" s="489">
        <f>LN((1+I229)/(1+H229))</f>
        <v>0.021276196604061</v>
      </c>
      <c r="L229" s="489">
        <f>(1+INDEX($AC$21:$AC$97,B229))*(1+INDEX($AC$21:$AC$97,C229))*(1+INDEX($AC$21:$AC$97,D229))*(1+INDEX($AC$21:$AC$97,E229))*(1+INDEX($AC$21:$AC$97,F229))-1</f>
        <v>0.140569518909697</v>
      </c>
      <c r="M229" s="489">
        <f>(1+INDEX($AD$21:$AD$97,B229))*(1+INDEX($AD$21:$AD$97,C229))*(1+INDEX($AD$21:$AD$97,D229))*(1+INDEX($AD$21:$AD$97,E229))*(1+INDEX($AD$21:$AD$97,F229))-1</f>
        <v>0.144089453547064</v>
      </c>
      <c r="N229" s="489">
        <f>(1+INDEX($AE$21:$AE$97,B229))*(1+INDEX($AE$21:$AE$97,C229))*(1+INDEX($AE$21:$AE$97,D229))*(1+INDEX($AE$21:$AE$97,E229))*(1+INDEX($AE$21:$AE$97,F229))-1</f>
        <v>0.126924276145485</v>
      </c>
      <c r="O229" s="489">
        <f>(1+INDEX($AF$21:$AF$97,B229))*(1+INDEX($AF$21:$AF$97,C229))*(1+INDEX($AF$21:$AF$97,D229))*(1+INDEX($AF$21:$AF$97,E229))*(1+INDEX($AF$21:$AF$97,F229))-1</f>
        <v>0.132025335883472</v>
      </c>
      <c r="P229" s="489">
        <f>LN((1+L229)/(1+H229))</f>
        <v>0.00597110635370368</v>
      </c>
      <c r="Q229" s="489">
        <f>LN((1+M229)/(1+H229))</f>
        <v>0.00905247426453881</v>
      </c>
      <c r="R229" s="489">
        <f>LN((1+N229)/(1+H229))</f>
        <v>-0.00606456713874773</v>
      </c>
      <c r="S229" s="542">
        <f>LN((1+O229)/(1+H229))</f>
        <v>-0.00154824824309372</v>
      </c>
    </row>
    <row r="230">
      <c r="A230" s="320" t="n">
        <v>129</v>
      </c>
      <c r="B230" s="174" t="n">
        <v>5</v>
      </c>
      <c r="C230" s="174" t="n">
        <v>67</v>
      </c>
      <c r="D230" s="174" t="n">
        <v>64</v>
      </c>
      <c r="E230" s="174" t="n">
        <v>18</v>
      </c>
      <c r="F230" s="174" t="n">
        <v>68</v>
      </c>
      <c r="G230" s="68">
        <f>(1+INDEX($Z$21:$Z$97,B230))*(1+INDEX($Z$21:$Z$97,C230))*(1+INDEX($Z$21:$Z$97,D230))*(1+INDEX($Z$21:$Z$97,E230))*(1+INDEX($Z$21:$Z$97,F230))-1</f>
        <v>0.102020664768237</v>
      </c>
      <c r="H230" s="68">
        <f>(1+INDEX($AA$21:$AA$97,B230))*(1+INDEX($AA$21:$AA$97,C230))*(1+INDEX($AA$21:$AA$97,D230))*(1+INDEX($AA$21:$AA$97,E230))*(1+INDEX($AA$21:$AA$97,F230))-1</f>
        <v>0.106563575754607</v>
      </c>
      <c r="I230" s="68">
        <f>(1+INDEX($AB$21:$AB$97,B230))*(1+INDEX($AB$21:$AB$97,C230))*(1+INDEX($AB$21:$AB$97,D230))*(1+INDEX($AB$21:$AB$97,E230))*(1+INDEX($AB$21:$AB$97,F230))-1</f>
        <v>0.0760294822321928</v>
      </c>
      <c r="J230" s="489">
        <f>LN((1+G230)/(1+H230))</f>
        <v>-0.00411387286933835</v>
      </c>
      <c r="K230" s="489">
        <f>LN((1+I230)/(1+H230))</f>
        <v>-0.0279814742742657</v>
      </c>
      <c r="L230" s="489">
        <f>(1+INDEX($AC$21:$AC$97,B230))*(1+INDEX($AC$21:$AC$97,C230))*(1+INDEX($AC$21:$AC$97,D230))*(1+INDEX($AC$21:$AC$97,E230))*(1+INDEX($AC$21:$AC$97,F230))-1</f>
        <v>0.0827871397720321</v>
      </c>
      <c r="M230" s="489">
        <f>(1+INDEX($AD$21:$AD$97,B230))*(1+INDEX($AD$21:$AD$97,C230))*(1+INDEX($AD$21:$AD$97,D230))*(1+INDEX($AD$21:$AD$97,E230))*(1+INDEX($AD$21:$AD$97,F230))-1</f>
        <v>0.0565471893561573</v>
      </c>
      <c r="N230" s="489">
        <f>(1+INDEX($AE$21:$AE$97,B230))*(1+INDEX($AE$21:$AE$97,C230))*(1+INDEX($AE$21:$AE$97,D230))*(1+INDEX($AE$21:$AE$97,E230))*(1+INDEX($AE$21:$AE$97,F230))-1</f>
        <v>0.0892762820019217</v>
      </c>
      <c r="O230" s="489">
        <f>(1+INDEX($AF$21:$AF$97,B230))*(1+INDEX($AF$21:$AF$97,C230))*(1+INDEX($AF$21:$AF$97,D230))*(1+INDEX($AF$21:$AF$97,E230))*(1+INDEX($AF$21:$AF$97,F230))-1</f>
        <v>0.104881711737808</v>
      </c>
      <c r="P230" s="489">
        <f>LN((1+L230)/(1+H230))</f>
        <v>-0.0217209336217716</v>
      </c>
      <c r="Q230" s="489">
        <f>LN((1+M230)/(1+H230))</f>
        <v>-0.0462531126642965</v>
      </c>
      <c r="R230" s="489">
        <f>LN((1+N230)/(1+H230))</f>
        <v>-0.0157458212276402</v>
      </c>
      <c r="S230" s="542">
        <f>LN((1+O230)/(1+H230))</f>
        <v>-0.0015210544439652</v>
      </c>
    </row>
    <row r="231">
      <c r="A231" s="320" t="n">
        <v>130</v>
      </c>
      <c r="B231" s="174" t="n">
        <v>23</v>
      </c>
      <c r="C231" s="174" t="n">
        <v>38</v>
      </c>
      <c r="D231" s="174" t="n">
        <v>28</v>
      </c>
      <c r="E231" s="174" t="n">
        <v>50</v>
      </c>
      <c r="F231" s="174" t="n">
        <v>24</v>
      </c>
      <c r="G231" s="68">
        <f>(1+INDEX($Z$21:$Z$97,B231))*(1+INDEX($Z$21:$Z$97,C231))*(1+INDEX($Z$21:$Z$97,D231))*(1+INDEX($Z$21:$Z$97,E231))*(1+INDEX($Z$21:$Z$97,F231))-1</f>
        <v>0.793079079264593</v>
      </c>
      <c r="H231" s="68">
        <f>(1+INDEX($AA$21:$AA$97,B231))*(1+INDEX($AA$21:$AA$97,C231))*(1+INDEX($AA$21:$AA$97,D231))*(1+INDEX($AA$21:$AA$97,E231))*(1+INDEX($AA$21:$AA$97,F231))-1</f>
        <v>0.685906334934009</v>
      </c>
      <c r="I231" s="68">
        <f>(1+INDEX($AB$21:$AB$97,B231))*(1+INDEX($AB$21:$AB$97,C231))*(1+INDEX($AB$21:$AB$97,D231))*(1+INDEX($AB$21:$AB$97,E231))*(1+INDEX($AB$21:$AB$97,F231))-1</f>
        <v>0.783606173939781</v>
      </c>
      <c r="J231" s="489">
        <f>LN((1+G231)/(1+H231))</f>
        <v>0.0616309946621857</v>
      </c>
      <c r="K231" s="489">
        <f>LN((1+I231)/(1+H231))</f>
        <v>0.0563339518396064</v>
      </c>
      <c r="L231" s="489">
        <f>(1+INDEX($AC$21:$AC$97,B231))*(1+INDEX($AC$21:$AC$97,C231))*(1+INDEX($AC$21:$AC$97,D231))*(1+INDEX($AC$21:$AC$97,E231))*(1+INDEX($AC$21:$AC$97,F231))-1</f>
        <v>0.754282218987022</v>
      </c>
      <c r="M231" s="489">
        <f>(1+INDEX($AD$21:$AD$97,B231))*(1+INDEX($AD$21:$AD$97,C231))*(1+INDEX($AD$21:$AD$97,D231))*(1+INDEX($AD$21:$AD$97,E231))*(1+INDEX($AD$21:$AD$97,F231))-1</f>
        <v>0.789693108707162</v>
      </c>
      <c r="N231" s="489">
        <f>(1+INDEX($AE$21:$AE$97,B231))*(1+INDEX($AE$21:$AE$97,C231))*(1+INDEX($AE$21:$AE$97,D231))*(1+INDEX($AE$21:$AE$97,E231))*(1+INDEX($AE$21:$AE$97,F231))-1</f>
        <v>0.745479623455035</v>
      </c>
      <c r="O231" s="489">
        <f>(1+INDEX($AF$21:$AF$97,B231))*(1+INDEX($AF$21:$AF$97,C231))*(1+INDEX($AF$21:$AF$97,D231))*(1+INDEX($AF$21:$AF$97,E231))*(1+INDEX($AF$21:$AF$97,F231))-1</f>
        <v>0.738170174308781</v>
      </c>
      <c r="P231" s="489">
        <f>LN((1+L231)/(1+H231))</f>
        <v>0.0397564777973039</v>
      </c>
      <c r="Q231" s="489">
        <f>LN((1+M231)/(1+H231))</f>
        <v>0.0597408540739188</v>
      </c>
      <c r="R231" s="489">
        <f>LN((1+N231)/(1+H231))</f>
        <v>0.0347260703063129</v>
      </c>
      <c r="S231" s="542">
        <f>LN((1+O231)/(1+H231))</f>
        <v>0.0305296324912293</v>
      </c>
    </row>
    <row r="232">
      <c r="A232" s="320" t="n">
        <v>131</v>
      </c>
      <c r="B232" s="174" t="n">
        <v>74</v>
      </c>
      <c r="C232" s="174" t="n">
        <v>72</v>
      </c>
      <c r="D232" s="174" t="n">
        <v>9</v>
      </c>
      <c r="E232" s="174" t="n">
        <v>76</v>
      </c>
      <c r="F232" s="174" t="n">
        <v>45</v>
      </c>
      <c r="G232" s="68">
        <f>(1+INDEX($Z$21:$Z$97,B232))*(1+INDEX($Z$21:$Z$97,C232))*(1+INDEX($Z$21:$Z$97,D232))*(1+INDEX($Z$21:$Z$97,E232))*(1+INDEX($Z$21:$Z$97,F232))-1</f>
        <v>0.152676400368934</v>
      </c>
      <c r="H232" s="68">
        <f>(1+INDEX($AA$21:$AA$97,B232))*(1+INDEX($AA$21:$AA$97,C232))*(1+INDEX($AA$21:$AA$97,D232))*(1+INDEX($AA$21:$AA$97,E232))*(1+INDEX($AA$21:$AA$97,F232))-1</f>
        <v>0.202446505367846</v>
      </c>
      <c r="I232" s="68">
        <f>(1+INDEX($AB$21:$AB$97,B232))*(1+INDEX($AB$21:$AB$97,C232))*(1+INDEX($AB$21:$AB$97,D232))*(1+INDEX($AB$21:$AB$97,E232))*(1+INDEX($AB$21:$AB$97,F232))-1</f>
        <v>0.214852038344236</v>
      </c>
      <c r="J232" s="489">
        <f>LN((1+G232)/(1+H232))</f>
        <v>-0.0422716927628582</v>
      </c>
      <c r="K232" s="489">
        <f>LN((1+I232)/(1+H232))</f>
        <v>0.0102640544086288</v>
      </c>
      <c r="L232" s="489">
        <f>(1+INDEX($AC$21:$AC$97,B232))*(1+INDEX($AC$21:$AC$97,C232))*(1+INDEX($AC$21:$AC$97,D232))*(1+INDEX($AC$21:$AC$97,E232))*(1+INDEX($AC$21:$AC$97,F232))-1</f>
        <v>0.189930561024848</v>
      </c>
      <c r="M232" s="489">
        <f>(1+INDEX($AD$21:$AD$97,B232))*(1+INDEX($AD$21:$AD$97,C232))*(1+INDEX($AD$21:$AD$97,D232))*(1+INDEX($AD$21:$AD$97,E232))*(1+INDEX($AD$21:$AD$97,F232))-1</f>
        <v>0.222536236225819</v>
      </c>
      <c r="N232" s="489">
        <f>(1+INDEX($AE$21:$AE$97,B232))*(1+INDEX($AE$21:$AE$97,C232))*(1+INDEX($AE$21:$AE$97,D232))*(1+INDEX($AE$21:$AE$97,E232))*(1+INDEX($AE$21:$AE$97,F232))-1</f>
        <v>0.176444670315792</v>
      </c>
      <c r="O232" s="489">
        <f>(1+INDEX($AF$21:$AF$97,B232))*(1+INDEX($AF$21:$AF$97,C232))*(1+INDEX($AF$21:$AF$97,D232))*(1+INDEX($AF$21:$AF$97,E232))*(1+INDEX($AF$21:$AF$97,F232))-1</f>
        <v>0.236467930141367</v>
      </c>
      <c r="P232" s="489">
        <f>LN((1+L232)/(1+H232))</f>
        <v>-0.010463282486725</v>
      </c>
      <c r="Q232" s="489">
        <f>LN((1+M232)/(1+H232))</f>
        <v>0.0165693471844613</v>
      </c>
      <c r="R232" s="489">
        <f>LN((1+N232)/(1+H232))</f>
        <v>-0.0218613368041255</v>
      </c>
      <c r="S232" s="542">
        <f>LN((1+O232)/(1+H232))</f>
        <v>0.0279006358196761</v>
      </c>
    </row>
    <row r="233">
      <c r="A233" s="320" t="n">
        <v>132</v>
      </c>
      <c r="B233" s="174" t="n">
        <v>25</v>
      </c>
      <c r="C233" s="174" t="n">
        <v>4</v>
      </c>
      <c r="D233" s="174" t="n">
        <v>35</v>
      </c>
      <c r="E233" s="174" t="n">
        <v>73</v>
      </c>
      <c r="F233" s="174" t="n">
        <v>22</v>
      </c>
      <c r="G233" s="68">
        <f>(1+INDEX($Z$21:$Z$97,B233))*(1+INDEX($Z$21:$Z$97,C233))*(1+INDEX($Z$21:$Z$97,D233))*(1+INDEX($Z$21:$Z$97,E233))*(1+INDEX($Z$21:$Z$97,F233))-1</f>
        <v>0.401023643760713</v>
      </c>
      <c r="H233" s="68">
        <f>(1+INDEX($AA$21:$AA$97,B233))*(1+INDEX($AA$21:$AA$97,C233))*(1+INDEX($AA$21:$AA$97,D233))*(1+INDEX($AA$21:$AA$97,E233))*(1+INDEX($AA$21:$AA$97,F233))-1</f>
        <v>0.384416081702262</v>
      </c>
      <c r="I233" s="68">
        <f>(1+INDEX($AB$21:$AB$97,B233))*(1+INDEX($AB$21:$AB$97,C233))*(1+INDEX($AB$21:$AB$97,D233))*(1+INDEX($AB$21:$AB$97,E233))*(1+INDEX($AB$21:$AB$97,F233))-1</f>
        <v>0.415568032237316</v>
      </c>
      <c r="J233" s="489">
        <f>LN((1+G233)/(1+H233))</f>
        <v>0.0119246944771241</v>
      </c>
      <c r="K233" s="489">
        <f>LN((1+I233)/(1+H233))</f>
        <v>0.0222524376700424</v>
      </c>
      <c r="L233" s="489">
        <f>(1+INDEX($AC$21:$AC$97,B233))*(1+INDEX($AC$21:$AC$97,C233))*(1+INDEX($AC$21:$AC$97,D233))*(1+INDEX($AC$21:$AC$97,E233))*(1+INDEX($AC$21:$AC$97,F233))-1</f>
        <v>0.403533398805043</v>
      </c>
      <c r="M233" s="489">
        <f>(1+INDEX($AD$21:$AD$97,B233))*(1+INDEX($AD$21:$AD$97,C233))*(1+INDEX($AD$21:$AD$97,D233))*(1+INDEX($AD$21:$AD$97,E233))*(1+INDEX($AD$21:$AD$97,F233))-1</f>
        <v>0.421935647230118</v>
      </c>
      <c r="N233" s="489">
        <f>(1+INDEX($AE$21:$AE$97,B233))*(1+INDEX($AE$21:$AE$97,C233))*(1+INDEX($AE$21:$AE$97,D233))*(1+INDEX($AE$21:$AE$97,E233))*(1+INDEX($AE$21:$AE$97,F233))-1</f>
        <v>0.385142483958158</v>
      </c>
      <c r="O233" s="489">
        <f>(1+INDEX($AF$21:$AF$97,B233))*(1+INDEX($AF$21:$AF$97,C233))*(1+INDEX($AF$21:$AF$97,D233))*(1+INDEX($AF$21:$AF$97,E233))*(1+INDEX($AF$21:$AF$97,F233))-1</f>
        <v>0.381109984241854</v>
      </c>
      <c r="P233" s="489">
        <f>LN((1+L233)/(1+H233))</f>
        <v>0.0137144642526658</v>
      </c>
      <c r="Q233" s="489">
        <f>LN((1+M233)/(1+H233))</f>
        <v>0.026740626163253</v>
      </c>
      <c r="R233" s="489">
        <f>LN((1+N233)/(1+H233))</f>
        <v>0.000524561770643822</v>
      </c>
      <c r="S233" s="542">
        <f>LN((1+O233)/(1+H233))</f>
        <v>-0.00239093681023981</v>
      </c>
    </row>
    <row r="234">
      <c r="A234" s="320" t="n">
        <v>133</v>
      </c>
      <c r="B234" s="174" t="n">
        <v>10</v>
      </c>
      <c r="C234" s="174" t="n">
        <v>72</v>
      </c>
      <c r="D234" s="174" t="n">
        <v>32</v>
      </c>
      <c r="E234" s="174" t="n">
        <v>48</v>
      </c>
      <c r="F234" s="174" t="n">
        <v>40</v>
      </c>
      <c r="G234" s="68">
        <f>(1+INDEX($Z$21:$Z$97,B234))*(1+INDEX($Z$21:$Z$97,C234))*(1+INDEX($Z$21:$Z$97,D234))*(1+INDEX($Z$21:$Z$97,E234))*(1+INDEX($Z$21:$Z$97,F234))-1</f>
        <v>0.225052657040247</v>
      </c>
      <c r="H234" s="68">
        <f>(1+INDEX($AA$21:$AA$97,B234))*(1+INDEX($AA$21:$AA$97,C234))*(1+INDEX($AA$21:$AA$97,D234))*(1+INDEX($AA$21:$AA$97,E234))*(1+INDEX($AA$21:$AA$97,F234))-1</f>
        <v>0.252248487635597</v>
      </c>
      <c r="I234" s="68">
        <f>(1+INDEX($AB$21:$AB$97,B234))*(1+INDEX($AB$21:$AB$97,C234))*(1+INDEX($AB$21:$AB$97,D234))*(1+INDEX($AB$21:$AB$97,E234))*(1+INDEX($AB$21:$AB$97,F234))-1</f>
        <v>0.269084141307913</v>
      </c>
      <c r="J234" s="489">
        <f>LN((1+G234)/(1+H234))</f>
        <v>-0.0219568971254047</v>
      </c>
      <c r="K234" s="489">
        <f>LN((1+I234)/(1+H234))</f>
        <v>0.0133547662041094</v>
      </c>
      <c r="L234" s="489">
        <f>(1+INDEX($AC$21:$AC$97,B234))*(1+INDEX($AC$21:$AC$97,C234))*(1+INDEX($AC$21:$AC$97,D234))*(1+INDEX($AC$21:$AC$97,E234))*(1+INDEX($AC$21:$AC$97,F234))-1</f>
        <v>0.250363334422009</v>
      </c>
      <c r="M234" s="489">
        <f>(1+INDEX($AD$21:$AD$97,B234))*(1+INDEX($AD$21:$AD$97,C234))*(1+INDEX($AD$21:$AD$97,D234))*(1+INDEX($AD$21:$AD$97,E234))*(1+INDEX($AD$21:$AD$97,F234))-1</f>
        <v>0.288320285847861</v>
      </c>
      <c r="N234" s="489">
        <f>(1+INDEX($AE$21:$AE$97,B234))*(1+INDEX($AE$21:$AE$97,C234))*(1+INDEX($AE$21:$AE$97,D234))*(1+INDEX($AE$21:$AE$97,E234))*(1+INDEX($AE$21:$AE$97,F234))-1</f>
        <v>0.24208895376793</v>
      </c>
      <c r="O234" s="489">
        <f>(1+INDEX($AF$21:$AF$97,B234))*(1+INDEX($AF$21:$AF$97,C234))*(1+INDEX($AF$21:$AF$97,D234))*(1+INDEX($AF$21:$AF$97,E234))*(1+INDEX($AF$21:$AF$97,F234))-1</f>
        <v>0.263237722819168</v>
      </c>
      <c r="P234" s="489">
        <f>LN((1+L234)/(1+H234))</f>
        <v>-0.00150654892103661</v>
      </c>
      <c r="Q234" s="489">
        <f>LN((1+M234)/(1+H234))</f>
        <v>0.0283985403684259</v>
      </c>
      <c r="R234" s="489">
        <f>LN((1+N234)/(1+H234))</f>
        <v>-0.0081461231993834</v>
      </c>
      <c r="S234" s="542">
        <f>LN((1+O234)/(1+H234))</f>
        <v>0.0087373208792562</v>
      </c>
    </row>
    <row r="235">
      <c r="A235" s="320" t="n">
        <v>134</v>
      </c>
      <c r="B235" s="174" t="n">
        <v>56</v>
      </c>
      <c r="C235" s="174" t="n">
        <v>35</v>
      </c>
      <c r="D235" s="174" t="n">
        <v>25</v>
      </c>
      <c r="E235" s="174" t="n">
        <v>76</v>
      </c>
      <c r="F235" s="174" t="n">
        <v>14</v>
      </c>
      <c r="G235" s="68">
        <f>(1+INDEX($Z$21:$Z$97,B235))*(1+INDEX($Z$21:$Z$97,C235))*(1+INDEX($Z$21:$Z$97,D235))*(1+INDEX($Z$21:$Z$97,E235))*(1+INDEX($Z$21:$Z$97,F235))-1</f>
        <v>0.512350327006896</v>
      </c>
      <c r="H235" s="68">
        <f>(1+INDEX($AA$21:$AA$97,B235))*(1+INDEX($AA$21:$AA$97,C235))*(1+INDEX($AA$21:$AA$97,D235))*(1+INDEX($AA$21:$AA$97,E235))*(1+INDEX($AA$21:$AA$97,F235))-1</f>
        <v>0.458675223073221</v>
      </c>
      <c r="I235" s="68">
        <f>(1+INDEX($AB$21:$AB$97,B235))*(1+INDEX($AB$21:$AB$97,C235))*(1+INDEX($AB$21:$AB$97,D235))*(1+INDEX($AB$21:$AB$97,E235))*(1+INDEX($AB$21:$AB$97,F235))-1</f>
        <v>0.507538429129743</v>
      </c>
      <c r="J235" s="489">
        <f>LN((1+G235)/(1+H235))</f>
        <v>0.0361363063316497</v>
      </c>
      <c r="K235" s="489">
        <f>LN((1+I235)/(1+H235))</f>
        <v>0.032949498910522</v>
      </c>
      <c r="L235" s="489">
        <f>(1+INDEX($AC$21:$AC$97,B235))*(1+INDEX($AC$21:$AC$97,C235))*(1+INDEX($AC$21:$AC$97,D235))*(1+INDEX($AC$21:$AC$97,E235))*(1+INDEX($AC$21:$AC$97,F235))-1</f>
        <v>0.493966224238594</v>
      </c>
      <c r="M235" s="489">
        <f>(1+INDEX($AD$21:$AD$97,B235))*(1+INDEX($AD$21:$AD$97,C235))*(1+INDEX($AD$21:$AD$97,D235))*(1+INDEX($AD$21:$AD$97,E235))*(1+INDEX($AD$21:$AD$97,F235))-1</f>
        <v>0.534204456268344</v>
      </c>
      <c r="N235" s="489">
        <f>(1+INDEX($AE$21:$AE$97,B235))*(1+INDEX($AE$21:$AE$97,C235))*(1+INDEX($AE$21:$AE$97,D235))*(1+INDEX($AE$21:$AE$97,E235))*(1+INDEX($AE$21:$AE$97,F235))-1</f>
        <v>0.479612677249158</v>
      </c>
      <c r="O235" s="489">
        <f>(1+INDEX($AF$21:$AF$97,B235))*(1+INDEX($AF$21:$AF$97,C235))*(1+INDEX($AF$21:$AF$97,D235))*(1+INDEX($AF$21:$AF$97,E235))*(1+INDEX($AF$21:$AF$97,F235))-1</f>
        <v>0.477355797310809</v>
      </c>
      <c r="P235" s="489">
        <f>LN((1+L235)/(1+H235))</f>
        <v>0.0239058365065847</v>
      </c>
      <c r="Q235" s="489">
        <f>LN((1+M235)/(1+H235))</f>
        <v>0.0504833348152667</v>
      </c>
      <c r="R235" s="489">
        <f>LN((1+N235)/(1+H235))</f>
        <v>0.0142517066202338</v>
      </c>
      <c r="S235" s="542">
        <f>LN((1+O235)/(1+H235))</f>
        <v>0.0127252240783977</v>
      </c>
    </row>
    <row r="236">
      <c r="A236" s="320" t="n">
        <v>135</v>
      </c>
      <c r="B236" s="174" t="n">
        <v>33</v>
      </c>
      <c r="C236" s="174" t="n">
        <v>14</v>
      </c>
      <c r="D236" s="174" t="n">
        <v>17</v>
      </c>
      <c r="E236" s="174" t="n">
        <v>59</v>
      </c>
      <c r="F236" s="174" t="n">
        <v>48</v>
      </c>
      <c r="G236" s="68">
        <f>(1+INDEX($Z$21:$Z$97,B236))*(1+INDEX($Z$21:$Z$97,C236))*(1+INDEX($Z$21:$Z$97,D236))*(1+INDEX($Z$21:$Z$97,E236))*(1+INDEX($Z$21:$Z$97,F236))-1</f>
        <v>0.698561458291311</v>
      </c>
      <c r="H236" s="68">
        <f>(1+INDEX($AA$21:$AA$97,B236))*(1+INDEX($AA$21:$AA$97,C236))*(1+INDEX($AA$21:$AA$97,D236))*(1+INDEX($AA$21:$AA$97,E236))*(1+INDEX($AA$21:$AA$97,F236))-1</f>
        <v>0.638825299506217</v>
      </c>
      <c r="I236" s="68">
        <f>(1+INDEX($AB$21:$AB$97,B236))*(1+INDEX($AB$21:$AB$97,C236))*(1+INDEX($AB$21:$AB$97,D236))*(1+INDEX($AB$21:$AB$97,E236))*(1+INDEX($AB$21:$AB$97,F236))-1</f>
        <v>0.702603605759389</v>
      </c>
      <c r="J236" s="489">
        <f>LN((1+G236)/(1+H236))</f>
        <v>0.0358019874313176</v>
      </c>
      <c r="K236" s="489">
        <f>LN((1+I236)/(1+H236))</f>
        <v>0.0381789078659622</v>
      </c>
      <c r="L236" s="489">
        <f>(1+INDEX($AC$21:$AC$97,B236))*(1+INDEX($AC$21:$AC$97,C236))*(1+INDEX($AC$21:$AC$97,D236))*(1+INDEX($AC$21:$AC$97,E236))*(1+INDEX($AC$21:$AC$97,F236))-1</f>
        <v>0.699311145086065</v>
      </c>
      <c r="M236" s="489">
        <f>(1+INDEX($AD$21:$AD$97,B236))*(1+INDEX($AD$21:$AD$97,C236))*(1+INDEX($AD$21:$AD$97,D236))*(1+INDEX($AD$21:$AD$97,E236))*(1+INDEX($AD$21:$AD$97,F236))-1</f>
        <v>0.688676231789136</v>
      </c>
      <c r="N236" s="489">
        <f>(1+INDEX($AE$21:$AE$97,B236))*(1+INDEX($AE$21:$AE$97,C236))*(1+INDEX($AE$21:$AE$97,D236))*(1+INDEX($AE$21:$AE$97,E236))*(1+INDEX($AE$21:$AE$97,F236))-1</f>
        <v>0.700214017166837</v>
      </c>
      <c r="O236" s="489">
        <f>(1+INDEX($AF$21:$AF$97,B236))*(1+INDEX($AF$21:$AF$97,C236))*(1+INDEX($AF$21:$AF$97,D236))*(1+INDEX($AF$21:$AF$97,E236))*(1+INDEX($AF$21:$AF$97,F236))-1</f>
        <v>0.573945293731097</v>
      </c>
      <c r="P236" s="489">
        <f>LN((1+L236)/(1+H236))</f>
        <v>0.0362432557744411</v>
      </c>
      <c r="Q236" s="489">
        <f>LN((1+M236)/(1+H236))</f>
        <v>0.0299652228044244</v>
      </c>
      <c r="R236" s="489">
        <f>LN((1+N236)/(1+H236))</f>
        <v>0.036774431193894</v>
      </c>
      <c r="S236" s="542">
        <f>LN((1+O236)/(1+H236))</f>
        <v>-0.0403943112107854</v>
      </c>
    </row>
    <row r="237">
      <c r="A237" s="320" t="n">
        <v>136</v>
      </c>
      <c r="B237" s="174" t="n">
        <v>49</v>
      </c>
      <c r="C237" s="174" t="n">
        <v>25</v>
      </c>
      <c r="D237" s="174" t="n">
        <v>57</v>
      </c>
      <c r="E237" s="174" t="n">
        <v>60</v>
      </c>
      <c r="F237" s="174" t="n">
        <v>2</v>
      </c>
      <c r="G237" s="68">
        <f>(1+INDEX($Z$21:$Z$97,B237))*(1+INDEX($Z$21:$Z$97,C237))*(1+INDEX($Z$21:$Z$97,D237))*(1+INDEX($Z$21:$Z$97,E237))*(1+INDEX($Z$21:$Z$97,F237))-1</f>
        <v>1.05921383356861</v>
      </c>
      <c r="H237" s="68">
        <f>(1+INDEX($AA$21:$AA$97,B237))*(1+INDEX($AA$21:$AA$97,C237))*(1+INDEX($AA$21:$AA$97,D237))*(1+INDEX($AA$21:$AA$97,E237))*(1+INDEX($AA$21:$AA$97,F237))-1</f>
        <v>0.876435694773893</v>
      </c>
      <c r="I237" s="68">
        <f>(1+INDEX($AB$21:$AB$97,B237))*(1+INDEX($AB$21:$AB$97,C237))*(1+INDEX($AB$21:$AB$97,D237))*(1+INDEX($AB$21:$AB$97,E237))*(1+INDEX($AB$21:$AB$97,F237))-1</f>
        <v>0.968003431941209</v>
      </c>
      <c r="J237" s="489">
        <f>LN((1+G237)/(1+H237))</f>
        <v>0.0929502054705086</v>
      </c>
      <c r="K237" s="489">
        <f>LN((1+I237)/(1+H237))</f>
        <v>0.0476454722009793</v>
      </c>
      <c r="L237" s="489">
        <f>(1+INDEX($AC$21:$AC$97,B237))*(1+INDEX($AC$21:$AC$97,C237))*(1+INDEX($AC$21:$AC$97,D237))*(1+INDEX($AC$21:$AC$97,E237))*(1+INDEX($AC$21:$AC$97,F237))-1</f>
        <v>0.987643696720225</v>
      </c>
      <c r="M237" s="489">
        <f>(1+INDEX($AD$21:$AD$97,B237))*(1+INDEX($AD$21:$AD$97,C237))*(1+INDEX($AD$21:$AD$97,D237))*(1+INDEX($AD$21:$AD$97,E237))*(1+INDEX($AD$21:$AD$97,F237))-1</f>
        <v>0.939723044058854</v>
      </c>
      <c r="N237" s="489">
        <f>(1+INDEX($AE$21:$AE$97,B237))*(1+INDEX($AE$21:$AE$97,C237))*(1+INDEX($AE$21:$AE$97,D237))*(1+INDEX($AE$21:$AE$97,E237))*(1+INDEX($AE$21:$AE$97,F237))-1</f>
        <v>1.00062690377071</v>
      </c>
      <c r="O237" s="489">
        <f>(1+INDEX($AF$21:$AF$97,B237))*(1+INDEX($AF$21:$AF$97,C237))*(1+INDEX($AF$21:$AF$97,D237))*(1+INDEX($AF$21:$AF$97,E237))*(1+INDEX($AF$21:$AF$97,F237))-1</f>
        <v>0.870519574612689</v>
      </c>
      <c r="P237" s="489">
        <f>LN((1+L237)/(1+H237))</f>
        <v>0.057575794869278</v>
      </c>
      <c r="Q237" s="489">
        <f>LN((1+M237)/(1+H237))</f>
        <v>0.0331711317894123</v>
      </c>
      <c r="R237" s="489">
        <f>LN((1+N237)/(1+H237))</f>
        <v>0.0640865130293948</v>
      </c>
      <c r="S237" s="542">
        <f>LN((1+O237)/(1+H237))</f>
        <v>-0.00315783063960403</v>
      </c>
    </row>
    <row r="238">
      <c r="A238" s="320" t="n">
        <v>137</v>
      </c>
      <c r="B238" s="174" t="n">
        <v>11</v>
      </c>
      <c r="C238" s="174" t="n">
        <v>51</v>
      </c>
      <c r="D238" s="174" t="n">
        <v>66</v>
      </c>
      <c r="E238" s="174" t="n">
        <v>16</v>
      </c>
      <c r="F238" s="174" t="n">
        <v>9</v>
      </c>
      <c r="G238" s="68">
        <f>(1+INDEX($Z$21:$Z$97,B238))*(1+INDEX($Z$21:$Z$97,C238))*(1+INDEX($Z$21:$Z$97,D238))*(1+INDEX($Z$21:$Z$97,E238))*(1+INDEX($Z$21:$Z$97,F238))-1</f>
        <v>0.0424347097802711</v>
      </c>
      <c r="H238" s="68">
        <f>(1+INDEX($AA$21:$AA$97,B238))*(1+INDEX($AA$21:$AA$97,C238))*(1+INDEX($AA$21:$AA$97,D238))*(1+INDEX($AA$21:$AA$97,E238))*(1+INDEX($AA$21:$AA$97,F238))-1</f>
        <v>0.0283664512566038</v>
      </c>
      <c r="I238" s="68">
        <f>(1+INDEX($AB$21:$AB$97,B238))*(1+INDEX($AB$21:$AB$97,C238))*(1+INDEX($AB$21:$AB$97,D238))*(1+INDEX($AB$21:$AB$97,E238))*(1+INDEX($AB$21:$AB$97,F238))-1</f>
        <v>-0.00161970967785241</v>
      </c>
      <c r="J238" s="489">
        <f>LN((1+G238)/(1+H238))</f>
        <v>0.0135874706148624</v>
      </c>
      <c r="K238" s="489">
        <f>LN((1+I238)/(1+H238))</f>
        <v>-0.0295925964322867</v>
      </c>
      <c r="L238" s="489">
        <f>(1+INDEX($AC$21:$AC$97,B238))*(1+INDEX($AC$21:$AC$97,C238))*(1+INDEX($AC$21:$AC$97,D238))*(1+INDEX($AC$21:$AC$97,E238))*(1+INDEX($AC$21:$AC$97,F238))-1</f>
        <v>-0.026945667243128</v>
      </c>
      <c r="M238" s="489">
        <f>(1+INDEX($AD$21:$AD$97,B238))*(1+INDEX($AD$21:$AD$97,C238))*(1+INDEX($AD$21:$AD$97,D238))*(1+INDEX($AD$21:$AD$97,E238))*(1+INDEX($AD$21:$AD$97,F238))-1</f>
        <v>0.0378717427970301</v>
      </c>
      <c r="N238" s="489">
        <f>(1+INDEX($AE$21:$AE$97,B238))*(1+INDEX($AE$21:$AE$97,C238))*(1+INDEX($AE$21:$AE$97,D238))*(1+INDEX($AE$21:$AE$97,E238))*(1+INDEX($AE$21:$AE$97,F238))-1</f>
        <v>-0.0285756194181415</v>
      </c>
      <c r="O238" s="489">
        <f>(1+INDEX($AF$21:$AF$97,B238))*(1+INDEX($AF$21:$AF$97,C238))*(1+INDEX($AF$21:$AF$97,D238))*(1+INDEX($AF$21:$AF$97,E238))*(1+INDEX($AF$21:$AF$97,F238))-1</f>
        <v>0.108313784676701</v>
      </c>
      <c r="P238" s="489">
        <f>LN((1+L238)/(1+H238))</f>
        <v>-0.0552869315127339</v>
      </c>
      <c r="Q238" s="489">
        <f>LN((1+M238)/(1+H238))</f>
        <v>0.0092006416501533</v>
      </c>
      <c r="R238" s="489">
        <f>LN((1+N238)/(1+H238))</f>
        <v>-0.0569634245960453</v>
      </c>
      <c r="S238" s="542">
        <f>LN((1+O238)/(1+H238))</f>
        <v>0.074868173791898</v>
      </c>
    </row>
    <row r="239">
      <c r="A239" s="320" t="n">
        <v>138</v>
      </c>
      <c r="B239" s="174" t="n">
        <v>59</v>
      </c>
      <c r="C239" s="174" t="n">
        <v>53</v>
      </c>
      <c r="D239" s="174" t="n">
        <v>28</v>
      </c>
      <c r="E239" s="174" t="n">
        <v>72</v>
      </c>
      <c r="F239" s="174" t="n">
        <v>51</v>
      </c>
      <c r="G239" s="68">
        <f>(1+INDEX($Z$21:$Z$97,B239))*(1+INDEX($Z$21:$Z$97,C239))*(1+INDEX($Z$21:$Z$97,D239))*(1+INDEX($Z$21:$Z$97,E239))*(1+INDEX($Z$21:$Z$97,F239))-1</f>
        <v>0.762743951892744</v>
      </c>
      <c r="H239" s="68">
        <f>(1+INDEX($AA$21:$AA$97,B239))*(1+INDEX($AA$21:$AA$97,C239))*(1+INDEX($AA$21:$AA$97,D239))*(1+INDEX($AA$21:$AA$97,E239))*(1+INDEX($AA$21:$AA$97,F239))-1</f>
        <v>0.802786582393534</v>
      </c>
      <c r="I239" s="68">
        <f>(1+INDEX($AB$21:$AB$97,B239))*(1+INDEX($AB$21:$AB$97,C239))*(1+INDEX($AB$21:$AB$97,D239))*(1+INDEX($AB$21:$AB$97,E239))*(1+INDEX($AB$21:$AB$97,F239))-1</f>
        <v>0.861401450986591</v>
      </c>
      <c r="J239" s="489">
        <f>LN((1+G239)/(1+H239))</f>
        <v>-0.0224619106107116</v>
      </c>
      <c r="K239" s="489">
        <f>LN((1+I239)/(1+H239))</f>
        <v>0.0319961031244583</v>
      </c>
      <c r="L239" s="489">
        <f>(1+INDEX($AC$21:$AC$97,B239))*(1+INDEX($AC$21:$AC$97,C239))*(1+INDEX($AC$21:$AC$97,D239))*(1+INDEX($AC$21:$AC$97,E239))*(1+INDEX($AC$21:$AC$97,F239))-1</f>
        <v>0.889408527461748</v>
      </c>
      <c r="M239" s="489">
        <f>(1+INDEX($AD$21:$AD$97,B239))*(1+INDEX($AD$21:$AD$97,C239))*(1+INDEX($AD$21:$AD$97,D239))*(1+INDEX($AD$21:$AD$97,E239))*(1+INDEX($AD$21:$AD$97,F239))-1</f>
        <v>0.836930269091061</v>
      </c>
      <c r="N239" s="489">
        <f>(1+INDEX($AE$21:$AE$97,B239))*(1+INDEX($AE$21:$AE$97,C239))*(1+INDEX($AE$21:$AE$97,D239))*(1+INDEX($AE$21:$AE$97,E239))*(1+INDEX($AE$21:$AE$97,F239))-1</f>
        <v>0.898430435924015</v>
      </c>
      <c r="O239" s="489">
        <f>(1+INDEX($AF$21:$AF$97,B239))*(1+INDEX($AF$21:$AF$97,C239))*(1+INDEX($AF$21:$AF$97,D239))*(1+INDEX($AF$21:$AF$97,E239))*(1+INDEX($AF$21:$AF$97,F239))-1</f>
        <v>0.773626286050531</v>
      </c>
      <c r="P239" s="489">
        <f>LN((1+L239)/(1+H239))</f>
        <v>0.0469302625017358</v>
      </c>
      <c r="Q239" s="489">
        <f>LN((1+M239)/(1+H239))</f>
        <v>0.0187622772312313</v>
      </c>
      <c r="R239" s="489">
        <f>LN((1+N239)/(1+H239))</f>
        <v>0.0516938892609526</v>
      </c>
      <c r="S239" s="542">
        <f>LN((1+O239)/(1+H239))</f>
        <v>-0.0163073692160152</v>
      </c>
    </row>
    <row r="240">
      <c r="A240" s="320" t="n">
        <v>139</v>
      </c>
      <c r="B240" s="174" t="n">
        <v>18</v>
      </c>
      <c r="C240" s="174" t="n">
        <v>35</v>
      </c>
      <c r="D240" s="174" t="n">
        <v>19</v>
      </c>
      <c r="E240" s="174" t="n">
        <v>52</v>
      </c>
      <c r="F240" s="174" t="n">
        <v>42</v>
      </c>
      <c r="G240" s="68">
        <f>(1+INDEX($Z$21:$Z$97,B240))*(1+INDEX($Z$21:$Z$97,C240))*(1+INDEX($Z$21:$Z$97,D240))*(1+INDEX($Z$21:$Z$97,E240))*(1+INDEX($Z$21:$Z$97,F240))-1</f>
        <v>0.4548829987758</v>
      </c>
      <c r="H240" s="68">
        <f>(1+INDEX($AA$21:$AA$97,B240))*(1+INDEX($AA$21:$AA$97,C240))*(1+INDEX($AA$21:$AA$97,D240))*(1+INDEX($AA$21:$AA$97,E240))*(1+INDEX($AA$21:$AA$97,F240))-1</f>
        <v>0.421100645107759</v>
      </c>
      <c r="I240" s="68">
        <f>(1+INDEX($AB$21:$AB$97,B240))*(1+INDEX($AB$21:$AB$97,C240))*(1+INDEX($AB$21:$AB$97,D240))*(1+INDEX($AB$21:$AB$97,E240))*(1+INDEX($AB$21:$AB$97,F240))-1</f>
        <v>0.44236227402753</v>
      </c>
      <c r="J240" s="489">
        <f>LN((1+G240)/(1+H240))</f>
        <v>0.0234938106124682</v>
      </c>
      <c r="K240" s="489">
        <f>LN((1+I240)/(1+H240))</f>
        <v>0.0148505639994332</v>
      </c>
      <c r="L240" s="489">
        <f>(1+INDEX($AC$21:$AC$97,B240))*(1+INDEX($AC$21:$AC$97,C240))*(1+INDEX($AC$21:$AC$97,D240))*(1+INDEX($AC$21:$AC$97,E240))*(1+INDEX($AC$21:$AC$97,F240))-1</f>
        <v>0.431202664324878</v>
      </c>
      <c r="M240" s="489">
        <f>(1+INDEX($AD$21:$AD$97,B240))*(1+INDEX($AD$21:$AD$97,C240))*(1+INDEX($AD$21:$AD$97,D240))*(1+INDEX($AD$21:$AD$97,E240))*(1+INDEX($AD$21:$AD$97,F240))-1</f>
        <v>0.448779513721822</v>
      </c>
      <c r="N240" s="489">
        <f>(1+INDEX($AE$21:$AE$97,B240))*(1+INDEX($AE$21:$AE$97,C240))*(1+INDEX($AE$21:$AE$97,D240))*(1+INDEX($AE$21:$AE$97,E240))*(1+INDEX($AE$21:$AE$97,F240))-1</f>
        <v>0.438687699892077</v>
      </c>
      <c r="O240" s="489">
        <f>(1+INDEX($AF$21:$AF$97,B240))*(1+INDEX($AF$21:$AF$97,C240))*(1+INDEX($AF$21:$AF$97,D240))*(1+INDEX($AF$21:$AF$97,E240))*(1+INDEX($AF$21:$AF$97,F240))-1</f>
        <v>0.436910878666502</v>
      </c>
      <c r="P240" s="489">
        <f>LN((1+L240)/(1+H240))</f>
        <v>0.00708344124754321</v>
      </c>
      <c r="Q240" s="489">
        <f>LN((1+M240)/(1+H240))</f>
        <v>0.0192898137520118</v>
      </c>
      <c r="R240" s="489">
        <f>LN((1+N240)/(1+H240))</f>
        <v>0.0122997049992646</v>
      </c>
      <c r="S240" s="542">
        <f>LN((1+O240)/(1+H240))</f>
        <v>0.0110639125872424</v>
      </c>
    </row>
    <row r="241">
      <c r="A241" s="320" t="n">
        <v>140</v>
      </c>
      <c r="B241" s="174" t="n">
        <v>18</v>
      </c>
      <c r="C241" s="174" t="n">
        <v>63</v>
      </c>
      <c r="D241" s="174" t="n">
        <v>34</v>
      </c>
      <c r="E241" s="174" t="n">
        <v>73</v>
      </c>
      <c r="F241" s="174" t="n">
        <v>29</v>
      </c>
      <c r="G241" s="68">
        <f>(1+INDEX($Z$21:$Z$97,B241))*(1+INDEX($Z$21:$Z$97,C241))*(1+INDEX($Z$21:$Z$97,D241))*(1+INDEX($Z$21:$Z$97,E241))*(1+INDEX($Z$21:$Z$97,F241))-1</f>
        <v>0.32405953239534</v>
      </c>
      <c r="H241" s="68">
        <f>(1+INDEX($AA$21:$AA$97,B241))*(1+INDEX($AA$21:$AA$97,C241))*(1+INDEX($AA$21:$AA$97,D241))*(1+INDEX($AA$21:$AA$97,E241))*(1+INDEX($AA$21:$AA$97,F241))-1</f>
        <v>0.324843331921252</v>
      </c>
      <c r="I241" s="68">
        <f>(1+INDEX($AB$21:$AB$97,B241))*(1+INDEX($AB$21:$AB$97,C241))*(1+INDEX($AB$21:$AB$97,D241))*(1+INDEX($AB$21:$AB$97,E241))*(1+INDEX($AB$21:$AB$97,F241))-1</f>
        <v>0.372444220088351</v>
      </c>
      <c r="J241" s="489">
        <f>LN((1+G241)/(1+H241))</f>
        <v>-0.000591791839063082</v>
      </c>
      <c r="K241" s="489">
        <f>LN((1+I241)/(1+H241))</f>
        <v>0.0352990400864468</v>
      </c>
      <c r="L241" s="489">
        <f>(1+INDEX($AC$21:$AC$97,B241))*(1+INDEX($AC$21:$AC$97,C241))*(1+INDEX($AC$21:$AC$97,D241))*(1+INDEX($AC$21:$AC$97,E241))*(1+INDEX($AC$21:$AC$97,F241))-1</f>
        <v>0.368601203577075</v>
      </c>
      <c r="M241" s="489">
        <f>(1+INDEX($AD$21:$AD$97,B241))*(1+INDEX($AD$21:$AD$97,C241))*(1+INDEX($AD$21:$AD$97,D241))*(1+INDEX($AD$21:$AD$97,E241))*(1+INDEX($AD$21:$AD$97,F241))-1</f>
        <v>0.348901771352383</v>
      </c>
      <c r="N241" s="489">
        <f>(1+INDEX($AE$21:$AE$97,B241))*(1+INDEX($AE$21:$AE$97,C241))*(1+INDEX($AE$21:$AE$97,D241))*(1+INDEX($AE$21:$AE$97,E241))*(1+INDEX($AE$21:$AE$97,F241))-1</f>
        <v>0.364511253990754</v>
      </c>
      <c r="O241" s="489">
        <f>(1+INDEX($AF$21:$AF$97,B241))*(1+INDEX($AF$21:$AF$97,C241))*(1+INDEX($AF$21:$AF$97,D241))*(1+INDEX($AF$21:$AF$97,E241))*(1+INDEX($AF$21:$AF$97,F241))-1</f>
        <v>0.301353530941563</v>
      </c>
      <c r="P241" s="489">
        <f>LN((1+L241)/(1+H241))</f>
        <v>0.0324949865701193</v>
      </c>
      <c r="Q241" s="489">
        <f>LN((1+M241)/(1+H241))</f>
        <v>0.0179965462876656</v>
      </c>
      <c r="R241" s="489">
        <f>LN((1+N241)/(1+H241))</f>
        <v>0.0295020964474059</v>
      </c>
      <c r="S241" s="542">
        <f>LN((1+O241)/(1+H241))</f>
        <v>-0.017889311922509</v>
      </c>
    </row>
    <row r="242">
      <c r="A242" s="320" t="n">
        <v>141</v>
      </c>
      <c r="B242" s="174" t="n">
        <v>8</v>
      </c>
      <c r="C242" s="174" t="n">
        <v>66</v>
      </c>
      <c r="D242" s="174" t="n">
        <v>1</v>
      </c>
      <c r="E242" s="174" t="n">
        <v>13</v>
      </c>
      <c r="F242" s="174" t="n">
        <v>17</v>
      </c>
      <c r="G242" s="68">
        <f>(1+INDEX($Z$21:$Z$97,B242))*(1+INDEX($Z$21:$Z$97,C242))*(1+INDEX($Z$21:$Z$97,D242))*(1+INDEX($Z$21:$Z$97,E242))*(1+INDEX($Z$21:$Z$97,F242))-1</f>
        <v>0.259932879067441</v>
      </c>
      <c r="H242" s="68">
        <f>(1+INDEX($AA$21:$AA$97,B242))*(1+INDEX($AA$21:$AA$97,C242))*(1+INDEX($AA$21:$AA$97,D242))*(1+INDEX($AA$21:$AA$97,E242))*(1+INDEX($AA$21:$AA$97,F242))-1</f>
        <v>0.193484565751389</v>
      </c>
      <c r="I242" s="68">
        <f>(1+INDEX($AB$21:$AB$97,B242))*(1+INDEX($AB$21:$AB$97,C242))*(1+INDEX($AB$21:$AB$97,D242))*(1+INDEX($AB$21:$AB$97,E242))*(1+INDEX($AB$21:$AB$97,F242))-1</f>
        <v>0.169921047049398</v>
      </c>
      <c r="J242" s="489">
        <f>LN((1+G242)/(1+H242))</f>
        <v>0.0541812141716853</v>
      </c>
      <c r="K242" s="489">
        <f>LN((1+I242)/(1+H242))</f>
        <v>-0.0199409694130291</v>
      </c>
      <c r="L242" s="489">
        <f>(1+INDEX($AC$21:$AC$97,B242))*(1+INDEX($AC$21:$AC$97,C242))*(1+INDEX($AC$21:$AC$97,D242))*(1+INDEX($AC$21:$AC$97,E242))*(1+INDEX($AC$21:$AC$97,F242))-1</f>
        <v>0.151334652745846</v>
      </c>
      <c r="M242" s="489">
        <f>(1+INDEX($AD$21:$AD$97,B242))*(1+INDEX($AD$21:$AD$97,C242))*(1+INDEX($AD$21:$AD$97,D242))*(1+INDEX($AD$21:$AD$97,E242))*(1+INDEX($AD$21:$AD$97,F242))-1</f>
        <v>0.192402491202839</v>
      </c>
      <c r="N242" s="489">
        <f>(1+INDEX($AE$21:$AE$97,B242))*(1+INDEX($AE$21:$AE$97,C242))*(1+INDEX($AE$21:$AE$97,D242))*(1+INDEX($AE$21:$AE$97,E242))*(1+INDEX($AE$21:$AE$97,F242))-1</f>
        <v>0.1643814340634</v>
      </c>
      <c r="O242" s="489">
        <f>(1+INDEX($AF$21:$AF$97,B242))*(1+INDEX($AF$21:$AF$97,C242))*(1+INDEX($AF$21:$AF$97,D242))*(1+INDEX($AF$21:$AF$97,E242))*(1+INDEX($AF$21:$AF$97,F242))-1</f>
        <v>0.231148032699601</v>
      </c>
      <c r="P242" s="489">
        <f>LN((1+L242)/(1+H242))</f>
        <v>-0.0359553977491084</v>
      </c>
      <c r="Q242" s="489">
        <f>LN((1+M242)/(1+H242))</f>
        <v>-0.000907062737597949</v>
      </c>
      <c r="R242" s="489">
        <f>LN((1+N242)/(1+H242))</f>
        <v>-0.02468724666726</v>
      </c>
      <c r="S242" s="542">
        <f>LN((1+O242)/(1+H242))</f>
        <v>0.0310698592018004</v>
      </c>
    </row>
    <row r="243">
      <c r="A243" s="320" t="n">
        <v>142</v>
      </c>
      <c r="B243" s="174" t="n">
        <v>19</v>
      </c>
      <c r="C243" s="174" t="n">
        <v>2</v>
      </c>
      <c r="D243" s="174" t="n">
        <v>58</v>
      </c>
      <c r="E243" s="174" t="n">
        <v>35</v>
      </c>
      <c r="F243" s="174" t="n">
        <v>21</v>
      </c>
      <c r="G243" s="68">
        <f>(1+INDEX($Z$21:$Z$97,B243))*(1+INDEX($Z$21:$Z$97,C243))*(1+INDEX($Z$21:$Z$97,D243))*(1+INDEX($Z$21:$Z$97,E243))*(1+INDEX($Z$21:$Z$97,F243))-1</f>
        <v>0.479599098655726</v>
      </c>
      <c r="H243" s="68">
        <f>(1+INDEX($AA$21:$AA$97,B243))*(1+INDEX($AA$21:$AA$97,C243))*(1+INDEX($AA$21:$AA$97,D243))*(1+INDEX($AA$21:$AA$97,E243))*(1+INDEX($AA$21:$AA$97,F243))-1</f>
        <v>0.470218718589502</v>
      </c>
      <c r="I243" s="68">
        <f>(1+INDEX($AB$21:$AB$97,B243))*(1+INDEX($AB$21:$AB$97,C243))*(1+INDEX($AB$21:$AB$97,D243))*(1+INDEX($AB$21:$AB$97,E243))*(1+INDEX($AB$21:$AB$97,F243))-1</f>
        <v>0.465998851262938</v>
      </c>
      <c r="J243" s="489">
        <f>LN((1+G243)/(1+H243))</f>
        <v>0.00635999391602246</v>
      </c>
      <c r="K243" s="489">
        <f>LN((1+I243)/(1+H243))</f>
        <v>-0.0028743580007467</v>
      </c>
      <c r="L243" s="489">
        <f>(1+INDEX($AC$21:$AC$97,B243))*(1+INDEX($AC$21:$AC$97,C243))*(1+INDEX($AC$21:$AC$97,D243))*(1+INDEX($AC$21:$AC$97,E243))*(1+INDEX($AC$21:$AC$97,F243))-1</f>
        <v>0.474802039983056</v>
      </c>
      <c r="M243" s="489">
        <f>(1+INDEX($AD$21:$AD$97,B243))*(1+INDEX($AD$21:$AD$97,C243))*(1+INDEX($AD$21:$AD$97,D243))*(1+INDEX($AD$21:$AD$97,E243))*(1+INDEX($AD$21:$AD$97,F243))-1</f>
        <v>0.470778843398248</v>
      </c>
      <c r="N243" s="489">
        <f>(1+INDEX($AE$21:$AE$97,B243))*(1+INDEX($AE$21:$AE$97,C243))*(1+INDEX($AE$21:$AE$97,D243))*(1+INDEX($AE$21:$AE$97,E243))*(1+INDEX($AE$21:$AE$97,F243))-1</f>
        <v>0.486994634106054</v>
      </c>
      <c r="O243" s="489">
        <f>(1+INDEX($AF$21:$AF$97,B243))*(1+INDEX($AF$21:$AF$97,C243))*(1+INDEX($AF$21:$AF$97,D243))*(1+INDEX($AF$21:$AF$97,E243))*(1+INDEX($AF$21:$AF$97,F243))-1</f>
        <v>0.433700679304956</v>
      </c>
      <c r="P243" s="489">
        <f>LN((1+L243)/(1+H243))</f>
        <v>0.00311259272490282</v>
      </c>
      <c r="Q243" s="489">
        <f>LN((1+M243)/(1+H243))</f>
        <v>0.000380908044779129</v>
      </c>
      <c r="R243" s="489">
        <f>LN((1+N243)/(1+H243))</f>
        <v>0.0113458810559835</v>
      </c>
      <c r="S243" s="542">
        <f>LN((1+O243)/(1+H243))</f>
        <v>-0.0251521887964534</v>
      </c>
    </row>
    <row r="244">
      <c r="A244" s="320" t="n">
        <v>143</v>
      </c>
      <c r="B244" s="174" t="n">
        <v>17</v>
      </c>
      <c r="C244" s="174" t="n">
        <v>31</v>
      </c>
      <c r="D244" s="174" t="n">
        <v>43</v>
      </c>
      <c r="E244" s="174" t="n">
        <v>66</v>
      </c>
      <c r="F244" s="174" t="n">
        <v>40</v>
      </c>
      <c r="G244" s="68">
        <f>(1+INDEX($Z$21:$Z$97,B244))*(1+INDEX($Z$21:$Z$97,C244))*(1+INDEX($Z$21:$Z$97,D244))*(1+INDEX($Z$21:$Z$97,E244))*(1+INDEX($Z$21:$Z$97,F244))-1</f>
        <v>0.449216358662667</v>
      </c>
      <c r="H244" s="68">
        <f>(1+INDEX($AA$21:$AA$97,B244))*(1+INDEX($AA$21:$AA$97,C244))*(1+INDEX($AA$21:$AA$97,D244))*(1+INDEX($AA$21:$AA$97,E244))*(1+INDEX($AA$21:$AA$97,F244))-1</f>
        <v>0.433700021531298</v>
      </c>
      <c r="I244" s="68">
        <f>(1+INDEX($AB$21:$AB$97,B244))*(1+INDEX($AB$21:$AB$97,C244))*(1+INDEX($AB$21:$AB$97,D244))*(1+INDEX($AB$21:$AB$97,E244))*(1+INDEX($AB$21:$AB$97,F244))-1</f>
        <v>0.471295281496105</v>
      </c>
      <c r="J244" s="489">
        <f>LN((1+G244)/(1+H244))</f>
        <v>0.0107644377512156</v>
      </c>
      <c r="K244" s="489">
        <f>LN((1+I244)/(1+H244))</f>
        <v>0.0258846263980968</v>
      </c>
      <c r="L244" s="489">
        <f>(1+INDEX($AC$21:$AC$97,B244))*(1+INDEX($AC$21:$AC$97,C244))*(1+INDEX($AC$21:$AC$97,D244))*(1+INDEX($AC$21:$AC$97,E244))*(1+INDEX($AC$21:$AC$97,F244))-1</f>
        <v>0.462745217536177</v>
      </c>
      <c r="M244" s="489">
        <f>(1+INDEX($AD$21:$AD$97,B244))*(1+INDEX($AD$21:$AD$97,C244))*(1+INDEX($AD$21:$AD$97,D244))*(1+INDEX($AD$21:$AD$97,E244))*(1+INDEX($AD$21:$AD$97,F244))-1</f>
        <v>0.466490717330605</v>
      </c>
      <c r="N244" s="489">
        <f>(1+INDEX($AE$21:$AE$97,B244))*(1+INDEX($AE$21:$AE$97,C244))*(1+INDEX($AE$21:$AE$97,D244))*(1+INDEX($AE$21:$AE$97,E244))*(1+INDEX($AE$21:$AE$97,F244))-1</f>
        <v>0.462415111307993</v>
      </c>
      <c r="O244" s="489">
        <f>(1+INDEX($AF$21:$AF$97,B244))*(1+INDEX($AF$21:$AF$97,C244))*(1+INDEX($AF$21:$AF$97,D244))*(1+INDEX($AF$21:$AF$97,E244))*(1+INDEX($AF$21:$AF$97,F244))-1</f>
        <v>0.452323640948538</v>
      </c>
      <c r="P244" s="489">
        <f>LN((1+L244)/(1+H244))</f>
        <v>0.0200564258909397</v>
      </c>
      <c r="Q244" s="489">
        <f>LN((1+M244)/(1+H244))</f>
        <v>0.02261374931519</v>
      </c>
      <c r="R244" s="489">
        <f>LN((1+N244)/(1+H244))</f>
        <v>0.0198307246011131</v>
      </c>
      <c r="S244" s="542">
        <f>LN((1+O244)/(1+H244))</f>
        <v>0.0129062544927695</v>
      </c>
    </row>
    <row r="245">
      <c r="A245" s="320" t="n">
        <v>144</v>
      </c>
      <c r="B245" s="174" t="n">
        <v>42</v>
      </c>
      <c r="C245" s="174" t="n">
        <v>34</v>
      </c>
      <c r="D245" s="174" t="n">
        <v>37</v>
      </c>
      <c r="E245" s="174" t="n">
        <v>73</v>
      </c>
      <c r="F245" s="174" t="n">
        <v>75</v>
      </c>
      <c r="G245" s="68">
        <f>(1+INDEX($Z$21:$Z$97,B245))*(1+INDEX($Z$21:$Z$97,C245))*(1+INDEX($Z$21:$Z$97,D245))*(1+INDEX($Z$21:$Z$97,E245))*(1+INDEX($Z$21:$Z$97,F245))-1</f>
        <v>0.362410899380547</v>
      </c>
      <c r="H245" s="68">
        <f>(1+INDEX($AA$21:$AA$97,B245))*(1+INDEX($AA$21:$AA$97,C245))*(1+INDEX($AA$21:$AA$97,D245))*(1+INDEX($AA$21:$AA$97,E245))*(1+INDEX($AA$21:$AA$97,F245))-1</f>
        <v>0.38361257215756</v>
      </c>
      <c r="I245" s="68">
        <f>(1+INDEX($AB$21:$AB$97,B245))*(1+INDEX($AB$21:$AB$97,C245))*(1+INDEX($AB$21:$AB$97,D245))*(1+INDEX($AB$21:$AB$97,E245))*(1+INDEX($AB$21:$AB$97,F245))-1</f>
        <v>0.433395541633731</v>
      </c>
      <c r="J245" s="489">
        <f>LN((1+G245)/(1+H245))</f>
        <v>-0.0154420341277771</v>
      </c>
      <c r="K245" s="489">
        <f>LN((1+I245)/(1+H245))</f>
        <v>0.035348249634778</v>
      </c>
      <c r="L245" s="489">
        <f>(1+INDEX($AC$21:$AC$97,B245))*(1+INDEX($AC$21:$AC$97,C245))*(1+INDEX($AC$21:$AC$97,D245))*(1+INDEX($AC$21:$AC$97,E245))*(1+INDEX($AC$21:$AC$97,F245))-1</f>
        <v>0.427059235077291</v>
      </c>
      <c r="M245" s="489">
        <f>(1+INDEX($AD$21:$AD$97,B245))*(1+INDEX($AD$21:$AD$97,C245))*(1+INDEX($AD$21:$AD$97,D245))*(1+INDEX($AD$21:$AD$97,E245))*(1+INDEX($AD$21:$AD$97,F245))-1</f>
        <v>0.442223674900565</v>
      </c>
      <c r="N245" s="489">
        <f>(1+INDEX($AE$21:$AE$97,B245))*(1+INDEX($AE$21:$AE$97,C245))*(1+INDEX($AE$21:$AE$97,D245))*(1+INDEX($AE$21:$AE$97,E245))*(1+INDEX($AE$21:$AE$97,F245))-1</f>
        <v>0.412510295770716</v>
      </c>
      <c r="O245" s="489">
        <f>(1+INDEX($AF$21:$AF$97,B245))*(1+INDEX($AF$21:$AF$97,C245))*(1+INDEX($AF$21:$AF$97,D245))*(1+INDEX($AF$21:$AF$97,E245))*(1+INDEX($AF$21:$AF$97,F245))-1</f>
        <v>0.378248029259108</v>
      </c>
      <c r="P245" s="489">
        <f>LN((1+L245)/(1+H245))</f>
        <v>0.0309179632538753</v>
      </c>
      <c r="Q245" s="489">
        <f>LN((1+M245)/(1+H245))</f>
        <v>0.0414882565945845</v>
      </c>
      <c r="R245" s="489">
        <f>LN((1+N245)/(1+H245))</f>
        <v>0.02067058845847</v>
      </c>
      <c r="S245" s="542">
        <f>LN((1+O245)/(1+H245))</f>
        <v>-0.00388473599437757</v>
      </c>
    </row>
    <row r="246">
      <c r="A246" s="320" t="n">
        <v>145</v>
      </c>
      <c r="B246" s="174" t="n">
        <v>54</v>
      </c>
      <c r="C246" s="174" t="n">
        <v>69</v>
      </c>
      <c r="D246" s="174" t="n">
        <v>35</v>
      </c>
      <c r="E246" s="174" t="n">
        <v>4</v>
      </c>
      <c r="F246" s="174" t="n">
        <v>62</v>
      </c>
      <c r="G246" s="68">
        <f>(1+INDEX($Z$21:$Z$97,B246))*(1+INDEX($Z$21:$Z$97,C246))*(1+INDEX($Z$21:$Z$97,D246))*(1+INDEX($Z$21:$Z$97,E246))*(1+INDEX($Z$21:$Z$97,F246))-1</f>
        <v>0.200547023434706</v>
      </c>
      <c r="H246" s="68">
        <f>(1+INDEX($AA$21:$AA$97,B246))*(1+INDEX($AA$21:$AA$97,C246))*(1+INDEX($AA$21:$AA$97,D246))*(1+INDEX($AA$21:$AA$97,E246))*(1+INDEX($AA$21:$AA$97,F246))-1</f>
        <v>0.245596120637703</v>
      </c>
      <c r="I246" s="68">
        <f>(1+INDEX($AB$21:$AB$97,B246))*(1+INDEX($AB$21:$AB$97,C246))*(1+INDEX($AB$21:$AB$97,D246))*(1+INDEX($AB$21:$AB$97,E246))*(1+INDEX($AB$21:$AB$97,F246))-1</f>
        <v>0.24310063693238</v>
      </c>
      <c r="J246" s="489">
        <f>LN((1+G246)/(1+H246))</f>
        <v>-0.0368369212932318</v>
      </c>
      <c r="K246" s="489">
        <f>LN((1+I246)/(1+H246))</f>
        <v>-0.00200545489047966</v>
      </c>
      <c r="L246" s="489">
        <f>(1+INDEX($AC$21:$AC$97,B246))*(1+INDEX($AC$21:$AC$97,C246))*(1+INDEX($AC$21:$AC$97,D246))*(1+INDEX($AC$21:$AC$97,E246))*(1+INDEX($AC$21:$AC$97,F246))-1</f>
        <v>0.259199871636696</v>
      </c>
      <c r="M246" s="489">
        <f>(1+INDEX($AD$21:$AD$97,B246))*(1+INDEX($AD$21:$AD$97,C246))*(1+INDEX($AD$21:$AD$97,D246))*(1+INDEX($AD$21:$AD$97,E246))*(1+INDEX($AD$21:$AD$97,F246))-1</f>
        <v>0.228115147979572</v>
      </c>
      <c r="N246" s="489">
        <f>(1+INDEX($AE$21:$AE$97,B246))*(1+INDEX($AE$21:$AE$97,C246))*(1+INDEX($AE$21:$AE$97,D246))*(1+INDEX($AE$21:$AE$97,E246))*(1+INDEX($AE$21:$AE$97,F246))-1</f>
        <v>0.255846253366206</v>
      </c>
      <c r="O246" s="489">
        <f>(1+INDEX($AF$21:$AF$97,B246))*(1+INDEX($AF$21:$AF$97,C246))*(1+INDEX($AF$21:$AF$97,D246))*(1+INDEX($AF$21:$AF$97,E246))*(1+INDEX($AF$21:$AF$97,F246))-1</f>
        <v>0.216115214484643</v>
      </c>
      <c r="P246" s="489">
        <f>LN((1+L246)/(1+H246))</f>
        <v>0.0108622696605443</v>
      </c>
      <c r="Q246" s="489">
        <f>LN((1+M246)/(1+H246))</f>
        <v>-0.0141336330381441</v>
      </c>
      <c r="R246" s="489">
        <f>LN((1+N246)/(1+H246))</f>
        <v>0.00819542373295096</v>
      </c>
      <c r="S246" s="542">
        <f>LN((1+O246)/(1+H246))</f>
        <v>-0.0239526992706765</v>
      </c>
    </row>
    <row r="247">
      <c r="A247" s="320" t="n">
        <v>146</v>
      </c>
      <c r="B247" s="174" t="n">
        <v>37</v>
      </c>
      <c r="C247" s="174" t="n">
        <v>33</v>
      </c>
      <c r="D247" s="174" t="n">
        <v>73</v>
      </c>
      <c r="E247" s="174" t="n">
        <v>27</v>
      </c>
      <c r="F247" s="174" t="n">
        <v>30</v>
      </c>
      <c r="G247" s="68">
        <f>(1+INDEX($Z$21:$Z$97,B247))*(1+INDEX($Z$21:$Z$97,C247))*(1+INDEX($Z$21:$Z$97,D247))*(1+INDEX($Z$21:$Z$97,E247))*(1+INDEX($Z$21:$Z$97,F247))-1</f>
        <v>0.656338692278583</v>
      </c>
      <c r="H247" s="68">
        <f>(1+INDEX($AA$21:$AA$97,B247))*(1+INDEX($AA$21:$AA$97,C247))*(1+INDEX($AA$21:$AA$97,D247))*(1+INDEX($AA$21:$AA$97,E247))*(1+INDEX($AA$21:$AA$97,F247))-1</f>
        <v>0.625876208151946</v>
      </c>
      <c r="I247" s="68">
        <f>(1+INDEX($AB$21:$AB$97,B247))*(1+INDEX($AB$21:$AB$97,C247))*(1+INDEX($AB$21:$AB$97,D247))*(1+INDEX($AB$21:$AB$97,E247))*(1+INDEX($AB$21:$AB$97,F247))-1</f>
        <v>0.703511619803587</v>
      </c>
      <c r="J247" s="489">
        <f>LN((1+G247)/(1+H247))</f>
        <v>0.0185626838941429</v>
      </c>
      <c r="K247" s="489">
        <f>LN((1+I247)/(1+H247))</f>
        <v>0.0466449037511945</v>
      </c>
      <c r="L247" s="489">
        <f>(1+INDEX($AC$21:$AC$97,B247))*(1+INDEX($AC$21:$AC$97,C247))*(1+INDEX($AC$21:$AC$97,D247))*(1+INDEX($AC$21:$AC$97,E247))*(1+INDEX($AC$21:$AC$97,F247))-1</f>
        <v>0.691897175789704</v>
      </c>
      <c r="M247" s="489">
        <f>(1+INDEX($AD$21:$AD$97,B247))*(1+INDEX($AD$21:$AD$97,C247))*(1+INDEX($AD$21:$AD$97,D247))*(1+INDEX($AD$21:$AD$97,E247))*(1+INDEX($AD$21:$AD$97,F247))-1</f>
        <v>0.713132080682162</v>
      </c>
      <c r="N247" s="489">
        <f>(1+INDEX($AE$21:$AE$97,B247))*(1+INDEX($AE$21:$AE$97,C247))*(1+INDEX($AE$21:$AE$97,D247))*(1+INDEX($AE$21:$AE$97,E247))*(1+INDEX($AE$21:$AE$97,F247))-1</f>
        <v>0.68800211106373</v>
      </c>
      <c r="O247" s="489">
        <f>(1+INDEX($AF$21:$AF$97,B247))*(1+INDEX($AF$21:$AF$97,C247))*(1+INDEX($AF$21:$AF$97,D247))*(1+INDEX($AF$21:$AF$97,E247))*(1+INDEX($AF$21:$AF$97,F247))-1</f>
        <v>0.626847535507016</v>
      </c>
      <c r="P247" s="489">
        <f>LN((1+L247)/(1+H247))</f>
        <v>0.0398036130480504</v>
      </c>
      <c r="Q247" s="489">
        <f>LN((1+M247)/(1+H247))</f>
        <v>0.0522764457833249</v>
      </c>
      <c r="R247" s="489">
        <f>LN((1+N247)/(1+H247))</f>
        <v>0.0374987713236622</v>
      </c>
      <c r="S247" s="542">
        <f>LN((1+O247)/(1+H247))</f>
        <v>0.000597239397189425</v>
      </c>
    </row>
    <row r="248">
      <c r="A248" s="320" t="n">
        <v>147</v>
      </c>
      <c r="B248" s="174" t="n">
        <v>60</v>
      </c>
      <c r="C248" s="174" t="n">
        <v>24</v>
      </c>
      <c r="D248" s="174" t="n">
        <v>47</v>
      </c>
      <c r="E248" s="174" t="n">
        <v>43</v>
      </c>
      <c r="F248" s="174" t="n">
        <v>30</v>
      </c>
      <c r="G248" s="68">
        <f>(1+INDEX($Z$21:$Z$97,B248))*(1+INDEX($Z$21:$Z$97,C248))*(1+INDEX($Z$21:$Z$97,D248))*(1+INDEX($Z$21:$Z$97,E248))*(1+INDEX($Z$21:$Z$97,F248))-1</f>
        <v>0.800241901395711</v>
      </c>
      <c r="H248" s="68">
        <f>(1+INDEX($AA$21:$AA$97,B248))*(1+INDEX($AA$21:$AA$97,C248))*(1+INDEX($AA$21:$AA$97,D248))*(1+INDEX($AA$21:$AA$97,E248))*(1+INDEX($AA$21:$AA$97,F248))-1</f>
        <v>0.759648886613679</v>
      </c>
      <c r="I248" s="68">
        <f>(1+INDEX($AB$21:$AB$97,B248))*(1+INDEX($AB$21:$AB$97,C248))*(1+INDEX($AB$21:$AB$97,D248))*(1+INDEX($AB$21:$AB$97,E248))*(1+INDEX($AB$21:$AB$97,F248))-1</f>
        <v>0.840165145331653</v>
      </c>
      <c r="J248" s="489">
        <f>LN((1+G248)/(1+H248))</f>
        <v>0.0228067526311109</v>
      </c>
      <c r="K248" s="489">
        <f>LN((1+I248)/(1+H248))</f>
        <v>0.0447410275851709</v>
      </c>
      <c r="L248" s="489">
        <f>(1+INDEX($AC$21:$AC$97,B248))*(1+INDEX($AC$21:$AC$97,C248))*(1+INDEX($AC$21:$AC$97,D248))*(1+INDEX($AC$21:$AC$97,E248))*(1+INDEX($AC$21:$AC$97,F248))-1</f>
        <v>0.861203753600627</v>
      </c>
      <c r="M248" s="489">
        <f>(1+INDEX($AD$21:$AD$97,B248))*(1+INDEX($AD$21:$AD$97,C248))*(1+INDEX($AD$21:$AD$97,D248))*(1+INDEX($AD$21:$AD$97,E248))*(1+INDEX($AD$21:$AD$97,F248))-1</f>
        <v>0.797497742483218</v>
      </c>
      <c r="N248" s="489">
        <f>(1+INDEX($AE$21:$AE$97,B248))*(1+INDEX($AE$21:$AE$97,C248))*(1+INDEX($AE$21:$AE$97,D248))*(1+INDEX($AE$21:$AE$97,E248))*(1+INDEX($AE$21:$AE$97,F248))-1</f>
        <v>0.857554938812198</v>
      </c>
      <c r="O248" s="489">
        <f>(1+INDEX($AF$21:$AF$97,B248))*(1+INDEX($AF$21:$AF$97,C248))*(1+INDEX($AF$21:$AF$97,D248))*(1+INDEX($AF$21:$AF$97,E248))*(1+INDEX($AF$21:$AF$97,F248))-1</f>
        <v>0.734390776530678</v>
      </c>
      <c r="P248" s="489">
        <f>LN((1+L248)/(1+H248))</f>
        <v>0.0561091648442279</v>
      </c>
      <c r="Q248" s="489">
        <f>LN((1+M248)/(1+H248))</f>
        <v>0.0212812617861419</v>
      </c>
      <c r="R248" s="489">
        <f>LN((1+N248)/(1+H248))</f>
        <v>0.0541467810160841</v>
      </c>
      <c r="S248" s="542">
        <f>LN((1+O248)/(1+H248))</f>
        <v>-0.014458078616471</v>
      </c>
    </row>
    <row r="249">
      <c r="A249" s="320" t="n">
        <v>148</v>
      </c>
      <c r="B249" s="174" t="n">
        <v>27</v>
      </c>
      <c r="C249" s="174" t="n">
        <v>56</v>
      </c>
      <c r="D249" s="174" t="n">
        <v>24</v>
      </c>
      <c r="E249" s="174" t="n">
        <v>62</v>
      </c>
      <c r="F249" s="174" t="n">
        <v>2</v>
      </c>
      <c r="G249" s="68">
        <f>(1+INDEX($Z$21:$Z$97,B249))*(1+INDEX($Z$21:$Z$97,C249))*(1+INDEX($Z$21:$Z$97,D249))*(1+INDEX($Z$21:$Z$97,E249))*(1+INDEX($Z$21:$Z$97,F249))-1</f>
        <v>0.494508839102077</v>
      </c>
      <c r="H249" s="68">
        <f>(1+INDEX($AA$21:$AA$97,B249))*(1+INDEX($AA$21:$AA$97,C249))*(1+INDEX($AA$21:$AA$97,D249))*(1+INDEX($AA$21:$AA$97,E249))*(1+INDEX($AA$21:$AA$97,F249))-1</f>
        <v>0.430918750318279</v>
      </c>
      <c r="I249" s="68">
        <f>(1+INDEX($AB$21:$AB$97,B249))*(1+INDEX($AB$21:$AB$97,C249))*(1+INDEX($AB$21:$AB$97,D249))*(1+INDEX($AB$21:$AB$97,E249))*(1+INDEX($AB$21:$AB$97,F249))-1</f>
        <v>0.470229214755768</v>
      </c>
      <c r="J249" s="489">
        <f>LN((1+G249)/(1+H249))</f>
        <v>0.0434808964370988</v>
      </c>
      <c r="K249" s="489">
        <f>LN((1+I249)/(1+H249))</f>
        <v>0.0271015963321643</v>
      </c>
      <c r="L249" s="489">
        <f>(1+INDEX($AC$21:$AC$97,B249))*(1+INDEX($AC$21:$AC$97,C249))*(1+INDEX($AC$21:$AC$97,D249))*(1+INDEX($AC$21:$AC$97,E249))*(1+INDEX($AC$21:$AC$97,F249))-1</f>
        <v>0.476635567957042</v>
      </c>
      <c r="M249" s="489">
        <f>(1+INDEX($AD$21:$AD$97,B249))*(1+INDEX($AD$21:$AD$97,C249))*(1+INDEX($AD$21:$AD$97,D249))*(1+INDEX($AD$21:$AD$97,E249))*(1+INDEX($AD$21:$AD$97,F249))-1</f>
        <v>0.460274865773181</v>
      </c>
      <c r="N249" s="489">
        <f>(1+INDEX($AE$21:$AE$97,B249))*(1+INDEX($AE$21:$AE$97,C249))*(1+INDEX($AE$21:$AE$97,D249))*(1+INDEX($AE$21:$AE$97,E249))*(1+INDEX($AE$21:$AE$97,F249))-1</f>
        <v>0.468563291433147</v>
      </c>
      <c r="O249" s="489">
        <f>(1+INDEX($AF$21:$AF$97,B249))*(1+INDEX($AF$21:$AF$97,C249))*(1+INDEX($AF$21:$AF$97,D249))*(1+INDEX($AF$21:$AF$97,E249))*(1+INDEX($AF$21:$AF$97,F249))-1</f>
        <v>0.45040702791225</v>
      </c>
      <c r="P249" s="489">
        <f>LN((1+L249)/(1+H249))</f>
        <v>0.0314495143847348</v>
      </c>
      <c r="Q249" s="489">
        <f>LN((1+M249)/(1+H249))</f>
        <v>0.0203079615207705</v>
      </c>
      <c r="R249" s="489">
        <f>LN((1+N249)/(1+H249))</f>
        <v>0.0259678493952445</v>
      </c>
      <c r="S249" s="542">
        <f>LN((1+O249)/(1+H249))</f>
        <v>0.0135275052379147</v>
      </c>
    </row>
    <row r="250">
      <c r="A250" s="320" t="n">
        <v>149</v>
      </c>
      <c r="B250" s="174" t="n">
        <v>9</v>
      </c>
      <c r="C250" s="174" t="n">
        <v>48</v>
      </c>
      <c r="D250" s="174" t="n">
        <v>28</v>
      </c>
      <c r="E250" s="174" t="n">
        <v>18</v>
      </c>
      <c r="F250" s="174" t="n">
        <v>50</v>
      </c>
      <c r="G250" s="68">
        <f>(1+INDEX($Z$21:$Z$97,B250))*(1+INDEX($Z$21:$Z$97,C250))*(1+INDEX($Z$21:$Z$97,D250))*(1+INDEX($Z$21:$Z$97,E250))*(1+INDEX($Z$21:$Z$97,F250))-1</f>
        <v>0.169902842597646</v>
      </c>
      <c r="H250" s="68">
        <f>(1+INDEX($AA$21:$AA$97,B250))*(1+INDEX($AA$21:$AA$97,C250))*(1+INDEX($AA$21:$AA$97,D250))*(1+INDEX($AA$21:$AA$97,E250))*(1+INDEX($AA$21:$AA$97,F250))-1</f>
        <v>0.167072448036613</v>
      </c>
      <c r="I250" s="68">
        <f>(1+INDEX($AB$21:$AB$97,B250))*(1+INDEX($AB$21:$AB$97,C250))*(1+INDEX($AB$21:$AB$97,D250))*(1+INDEX($AB$21:$AB$97,E250))*(1+INDEX($AB$21:$AB$97,F250))-1</f>
        <v>0.167292407204592</v>
      </c>
      <c r="J250" s="489">
        <f>LN((1+G250)/(1+H250))</f>
        <v>0.00242227288949021</v>
      </c>
      <c r="K250" s="489">
        <f>LN((1+I250)/(1+H250))</f>
        <v>0.000188453118745952</v>
      </c>
      <c r="L250" s="489">
        <f>(1+INDEX($AC$21:$AC$97,B250))*(1+INDEX($AC$21:$AC$97,C250))*(1+INDEX($AC$21:$AC$97,D250))*(1+INDEX($AC$21:$AC$97,E250))*(1+INDEX($AC$21:$AC$97,F250))-1</f>
        <v>0.133443319284569</v>
      </c>
      <c r="M250" s="489">
        <f>(1+INDEX($AD$21:$AD$97,B250))*(1+INDEX($AD$21:$AD$97,C250))*(1+INDEX($AD$21:$AD$97,D250))*(1+INDEX($AD$21:$AD$97,E250))*(1+INDEX($AD$21:$AD$97,F250))-1</f>
        <v>0.183764686175814</v>
      </c>
      <c r="N250" s="489">
        <f>(1+INDEX($AE$21:$AE$97,B250))*(1+INDEX($AE$21:$AE$97,C250))*(1+INDEX($AE$21:$AE$97,D250))*(1+INDEX($AE$21:$AE$97,E250))*(1+INDEX($AE$21:$AE$97,F250))-1</f>
        <v>0.142447963742135</v>
      </c>
      <c r="O250" s="489">
        <f>(1+INDEX($AF$21:$AF$97,B250))*(1+INDEX($AF$21:$AF$97,C250))*(1+INDEX($AF$21:$AF$97,D250))*(1+INDEX($AF$21:$AF$97,E250))*(1+INDEX($AF$21:$AF$97,F250))-1</f>
        <v>0.23169057627611</v>
      </c>
      <c r="P250" s="489">
        <f>LN((1+L250)/(1+H250))</f>
        <v>-0.0292382472844211</v>
      </c>
      <c r="Q250" s="489">
        <f>LN((1+M250)/(1+H250))</f>
        <v>0.0142013399682234</v>
      </c>
      <c r="R250" s="489">
        <f>LN((1+N250)/(1+H250))</f>
        <v>-0.0213251351670578</v>
      </c>
      <c r="S250" s="542">
        <f>LN((1+O250)/(1+H250))</f>
        <v>0.0538892459891449</v>
      </c>
    </row>
    <row r="251">
      <c r="A251" s="320" t="n">
        <v>150</v>
      </c>
      <c r="B251" s="174" t="n">
        <v>33</v>
      </c>
      <c r="C251" s="174" t="n">
        <v>68</v>
      </c>
      <c r="D251" s="174" t="n">
        <v>5</v>
      </c>
      <c r="E251" s="174" t="n">
        <v>67</v>
      </c>
      <c r="F251" s="174" t="n">
        <v>50</v>
      </c>
      <c r="G251" s="68">
        <f>(1+INDEX($Z$21:$Z$97,B251))*(1+INDEX($Z$21:$Z$97,C251))*(1+INDEX($Z$21:$Z$97,D251))*(1+INDEX($Z$21:$Z$97,E251))*(1+INDEX($Z$21:$Z$97,F251))-1</f>
        <v>0.50291665649397</v>
      </c>
      <c r="H251" s="68">
        <f>(1+INDEX($AA$21:$AA$97,B251))*(1+INDEX($AA$21:$AA$97,C251))*(1+INDEX($AA$21:$AA$97,D251))*(1+INDEX($AA$21:$AA$97,E251))*(1+INDEX($AA$21:$AA$97,F251))-1</f>
        <v>0.51424550164928</v>
      </c>
      <c r="I251" s="68">
        <f>(1+INDEX($AB$21:$AB$97,B251))*(1+INDEX($AB$21:$AB$97,C251))*(1+INDEX($AB$21:$AB$97,D251))*(1+INDEX($AB$21:$AB$97,E251))*(1+INDEX($AB$21:$AB$97,F251))-1</f>
        <v>0.533285728893678</v>
      </c>
      <c r="J251" s="489">
        <f>LN((1+G251)/(1+H251))</f>
        <v>-0.00750963839661218</v>
      </c>
      <c r="K251" s="489">
        <f>LN((1+I251)/(1+H251))</f>
        <v>0.0124956717758245</v>
      </c>
      <c r="L251" s="489">
        <f>(1+INDEX($AC$21:$AC$97,B251))*(1+INDEX($AC$21:$AC$97,C251))*(1+INDEX($AC$21:$AC$97,D251))*(1+INDEX($AC$21:$AC$97,E251))*(1+INDEX($AC$21:$AC$97,F251))-1</f>
        <v>0.532299960055943</v>
      </c>
      <c r="M251" s="489">
        <f>(1+INDEX($AD$21:$AD$97,B251))*(1+INDEX($AD$21:$AD$97,C251))*(1+INDEX($AD$21:$AD$97,D251))*(1+INDEX($AD$21:$AD$97,E251))*(1+INDEX($AD$21:$AD$97,F251))-1</f>
        <v>0.534479303622037</v>
      </c>
      <c r="N251" s="489">
        <f>(1+INDEX($AE$21:$AE$97,B251))*(1+INDEX($AE$21:$AE$97,C251))*(1+INDEX($AE$21:$AE$97,D251))*(1+INDEX($AE$21:$AE$97,E251))*(1+INDEX($AE$21:$AE$97,F251))-1</f>
        <v>0.52979420819239</v>
      </c>
      <c r="O251" s="489">
        <f>(1+INDEX($AF$21:$AF$97,B251))*(1+INDEX($AF$21:$AF$97,C251))*(1+INDEX($AF$21:$AF$97,D251))*(1+INDEX($AF$21:$AF$97,E251))*(1+INDEX($AF$21:$AF$97,F251))-1</f>
        <v>0.515966507004828</v>
      </c>
      <c r="P251" s="489">
        <f>LN((1+L251)/(1+H251))</f>
        <v>0.0118525523384755</v>
      </c>
      <c r="Q251" s="489">
        <f>LN((1+M251)/(1+H251))</f>
        <v>0.0132738114155519</v>
      </c>
      <c r="R251" s="489">
        <f>LN((1+N251)/(1+H251))</f>
        <v>0.0102159257129135</v>
      </c>
      <c r="S251" s="542">
        <f>LN((1+O251)/(1+H251))</f>
        <v>0.00113589777591707</v>
      </c>
    </row>
    <row r="252">
      <c r="A252" s="320" t="n">
        <v>151</v>
      </c>
      <c r="B252" s="174" t="n">
        <v>22</v>
      </c>
      <c r="C252" s="174" t="n">
        <v>30</v>
      </c>
      <c r="D252" s="174" t="n">
        <v>9</v>
      </c>
      <c r="E252" s="174" t="n">
        <v>72</v>
      </c>
      <c r="F252" s="174" t="n">
        <v>16</v>
      </c>
      <c r="G252" s="68">
        <f>(1+INDEX($Z$21:$Z$97,B252))*(1+INDEX($Z$21:$Z$97,C252))*(1+INDEX($Z$21:$Z$97,D252))*(1+INDEX($Z$21:$Z$97,E252))*(1+INDEX($Z$21:$Z$97,F252))-1</f>
        <v>0.111040950702698</v>
      </c>
      <c r="H252" s="68">
        <f>(1+INDEX($AA$21:$AA$97,B252))*(1+INDEX($AA$21:$AA$97,C252))*(1+INDEX($AA$21:$AA$97,D252))*(1+INDEX($AA$21:$AA$97,E252))*(1+INDEX($AA$21:$AA$97,F252))-1</f>
        <v>0.142869982890804</v>
      </c>
      <c r="I252" s="68">
        <f>(1+INDEX($AB$21:$AB$97,B252))*(1+INDEX($AB$21:$AB$97,C252))*(1+INDEX($AB$21:$AB$97,D252))*(1+INDEX($AB$21:$AB$97,E252))*(1+INDEX($AB$21:$AB$97,F252))-1</f>
        <v>0.133847440026812</v>
      </c>
      <c r="J252" s="489">
        <f>LN((1+G252)/(1+H252))</f>
        <v>-0.0282452582942987</v>
      </c>
      <c r="K252" s="489">
        <f>LN((1+I252)/(1+H252))</f>
        <v>-0.00792596393984789</v>
      </c>
      <c r="L252" s="489">
        <f>(1+INDEX($AC$21:$AC$97,B252))*(1+INDEX($AC$21:$AC$97,C252))*(1+INDEX($AC$21:$AC$97,D252))*(1+INDEX($AC$21:$AC$97,E252))*(1+INDEX($AC$21:$AC$97,F252))-1</f>
        <v>0.104416116304854</v>
      </c>
      <c r="M252" s="489">
        <f>(1+INDEX($AD$21:$AD$97,B252))*(1+INDEX($AD$21:$AD$97,C252))*(1+INDEX($AD$21:$AD$97,D252))*(1+INDEX($AD$21:$AD$97,E252))*(1+INDEX($AD$21:$AD$97,F252))-1</f>
        <v>0.150459562049204</v>
      </c>
      <c r="N252" s="489">
        <f>(1+INDEX($AE$21:$AE$97,B252))*(1+INDEX($AE$21:$AE$97,C252))*(1+INDEX($AE$21:$AE$97,D252))*(1+INDEX($AE$21:$AE$97,E252))*(1+INDEX($AE$21:$AE$97,F252))-1</f>
        <v>0.100922317714743</v>
      </c>
      <c r="O252" s="489">
        <f>(1+INDEX($AF$21:$AF$97,B252))*(1+INDEX($AF$21:$AF$97,C252))*(1+INDEX($AF$21:$AF$97,D252))*(1+INDEX($AF$21:$AF$97,E252))*(1+INDEX($AF$21:$AF$97,F252))-1</f>
        <v>0.185708137720763</v>
      </c>
      <c r="P252" s="489">
        <f>LN((1+L252)/(1+H252))</f>
        <v>-0.0342258338085041</v>
      </c>
      <c r="Q252" s="489">
        <f>LN((1+M252)/(1+H252))</f>
        <v>0.00661885413103984</v>
      </c>
      <c r="R252" s="489">
        <f>LN((1+N252)/(1+H252))</f>
        <v>-0.0373943284569205</v>
      </c>
      <c r="S252" s="542">
        <f>LN((1+O252)/(1+H252))</f>
        <v>0.0367975530881542</v>
      </c>
    </row>
    <row r="253">
      <c r="A253" s="320" t="n">
        <v>152</v>
      </c>
      <c r="B253" s="174" t="n">
        <v>50</v>
      </c>
      <c r="C253" s="174" t="n">
        <v>12</v>
      </c>
      <c r="D253" s="174" t="n">
        <v>63</v>
      </c>
      <c r="E253" s="174" t="n">
        <v>48</v>
      </c>
      <c r="F253" s="174" t="n">
        <v>68</v>
      </c>
      <c r="G253" s="68">
        <f>(1+INDEX($Z$21:$Z$97,B253))*(1+INDEX($Z$21:$Z$97,C253))*(1+INDEX($Z$21:$Z$97,D253))*(1+INDEX($Z$21:$Z$97,E253))*(1+INDEX($Z$21:$Z$97,F253))-1</f>
        <v>0.324848153504493</v>
      </c>
      <c r="H253" s="68">
        <f>(1+INDEX($AA$21:$AA$97,B253))*(1+INDEX($AA$21:$AA$97,C253))*(1+INDEX($AA$21:$AA$97,D253))*(1+INDEX($AA$21:$AA$97,E253))*(1+INDEX($AA$21:$AA$97,F253))-1</f>
        <v>0.255772943111351</v>
      </c>
      <c r="I253" s="68">
        <f>(1+INDEX($AB$21:$AB$97,B253))*(1+INDEX($AB$21:$AB$97,C253))*(1+INDEX($AB$21:$AB$97,D253))*(1+INDEX($AB$21:$AB$97,E253))*(1+INDEX($AB$21:$AB$97,F253))-1</f>
        <v>0.287505260188417</v>
      </c>
      <c r="J253" s="489">
        <f>LN((1+G253)/(1+H253))</f>
        <v>0.0535465778161418</v>
      </c>
      <c r="K253" s="489">
        <f>LN((1+I253)/(1+H253))</f>
        <v>0.0249551652044967</v>
      </c>
      <c r="L253" s="489">
        <f>(1+INDEX($AC$21:$AC$97,B253))*(1+INDEX($AC$21:$AC$97,C253))*(1+INDEX($AC$21:$AC$97,D253))*(1+INDEX($AC$21:$AC$97,E253))*(1+INDEX($AC$21:$AC$97,F253))-1</f>
        <v>0.283417918963935</v>
      </c>
      <c r="M253" s="489">
        <f>(1+INDEX($AD$21:$AD$97,B253))*(1+INDEX($AD$21:$AD$97,C253))*(1+INDEX($AD$21:$AD$97,D253))*(1+INDEX($AD$21:$AD$97,E253))*(1+INDEX($AD$21:$AD$97,F253))-1</f>
        <v>0.276243377959116</v>
      </c>
      <c r="N253" s="489">
        <f>(1+INDEX($AE$21:$AE$97,B253))*(1+INDEX($AE$21:$AE$97,C253))*(1+INDEX($AE$21:$AE$97,D253))*(1+INDEX($AE$21:$AE$97,E253))*(1+INDEX($AE$21:$AE$97,F253))-1</f>
        <v>0.275559050614761</v>
      </c>
      <c r="O253" s="489">
        <f>(1+INDEX($AF$21:$AF$97,B253))*(1+INDEX($AF$21:$AF$97,C253))*(1+INDEX($AF$21:$AF$97,D253))*(1+INDEX($AF$21:$AF$97,E253))*(1+INDEX($AF$21:$AF$97,F253))-1</f>
        <v>0.268208702319059</v>
      </c>
      <c r="P253" s="489">
        <f>LN((1+L253)/(1+H253))</f>
        <v>0.0217754944143965</v>
      </c>
      <c r="Q253" s="489">
        <f>LN((1+M253)/(1+H253))</f>
        <v>0.0161696278865045</v>
      </c>
      <c r="R253" s="489">
        <f>LN((1+N253)/(1+H253))</f>
        <v>0.0156332796542925</v>
      </c>
      <c r="S253" s="542">
        <f>LN((1+O253)/(1+H253))</f>
        <v>0.00985416027942633</v>
      </c>
    </row>
    <row r="254">
      <c r="A254" s="320" t="n">
        <v>153</v>
      </c>
      <c r="B254" s="174" t="n">
        <v>6</v>
      </c>
      <c r="C254" s="174" t="n">
        <v>8</v>
      </c>
      <c r="D254" s="174" t="n">
        <v>75</v>
      </c>
      <c r="E254" s="174" t="n">
        <v>46</v>
      </c>
      <c r="F254" s="174" t="n">
        <v>36</v>
      </c>
      <c r="G254" s="68">
        <f>(1+INDEX($Z$21:$Z$97,B254))*(1+INDEX($Z$21:$Z$97,C254))*(1+INDEX($Z$21:$Z$97,D254))*(1+INDEX($Z$21:$Z$97,E254))*(1+INDEX($Z$21:$Z$97,F254))-1</f>
        <v>-0.0921428044446527</v>
      </c>
      <c r="H254" s="68">
        <f>(1+INDEX($AA$21:$AA$97,B254))*(1+INDEX($AA$21:$AA$97,C254))*(1+INDEX($AA$21:$AA$97,D254))*(1+INDEX($AA$21:$AA$97,E254))*(1+INDEX($AA$21:$AA$97,F254))-1</f>
        <v>-0.0373933088252576</v>
      </c>
      <c r="I254" s="68">
        <f>(1+INDEX($AB$21:$AB$97,B254))*(1+INDEX($AB$21:$AB$97,C254))*(1+INDEX($AB$21:$AB$97,D254))*(1+INDEX($AB$21:$AB$97,E254))*(1+INDEX($AB$21:$AB$97,F254))-1</f>
        <v>-0.0618309586798581</v>
      </c>
      <c r="J254" s="489">
        <f>LN((1+G254)/(1+H254))</f>
        <v>-0.0585578153774729</v>
      </c>
      <c r="K254" s="489">
        <f>LN((1+I254)/(1+H254))</f>
        <v>-0.0257147605959785</v>
      </c>
      <c r="L254" s="489">
        <f>(1+INDEX($AC$21:$AC$97,B254))*(1+INDEX($AC$21:$AC$97,C254))*(1+INDEX($AC$21:$AC$97,D254))*(1+INDEX($AC$21:$AC$97,E254))*(1+INDEX($AC$21:$AC$97,F254))-1</f>
        <v>-0.0817906413770064</v>
      </c>
      <c r="M254" s="489">
        <f>(1+INDEX($AD$21:$AD$97,B254))*(1+INDEX($AD$21:$AD$97,C254))*(1+INDEX($AD$21:$AD$97,D254))*(1+INDEX($AD$21:$AD$97,E254))*(1+INDEX($AD$21:$AD$97,F254))-1</f>
        <v>-0.0683033808422878</v>
      </c>
      <c r="N254" s="489">
        <f>(1+INDEX($AE$21:$AE$97,B254))*(1+INDEX($AE$21:$AE$97,C254))*(1+INDEX($AE$21:$AE$97,D254))*(1+INDEX($AE$21:$AE$97,E254))*(1+INDEX($AE$21:$AE$97,F254))-1</f>
        <v>-0.0915752332633358</v>
      </c>
      <c r="O254" s="489">
        <f>(1+INDEX($AF$21:$AF$97,B254))*(1+INDEX($AF$21:$AF$97,C254))*(1+INDEX($AF$21:$AF$97,D254))*(1+INDEX($AF$21:$AF$97,E254))*(1+INDEX($AF$21:$AF$97,F254))-1</f>
        <v>-0.0239061216410236</v>
      </c>
      <c r="P254" s="489">
        <f>LN((1+L254)/(1+H254))</f>
        <v>-0.0472194838714679</v>
      </c>
      <c r="Q254" s="489">
        <f>LN((1+M254)/(1+H254))</f>
        <v>-0.0326376622239342</v>
      </c>
      <c r="R254" s="489">
        <f>LN((1+N254)/(1+H254))</f>
        <v>-0.057932834001701</v>
      </c>
      <c r="S254" s="542">
        <f>LN((1+O254)/(1+H254))</f>
        <v>0.0139138606381332</v>
      </c>
    </row>
    <row r="255">
      <c r="A255" s="320" t="n">
        <v>154</v>
      </c>
      <c r="B255" s="174" t="n">
        <v>1</v>
      </c>
      <c r="C255" s="174" t="n">
        <v>29</v>
      </c>
      <c r="D255" s="174" t="n">
        <v>9</v>
      </c>
      <c r="E255" s="174" t="n">
        <v>62</v>
      </c>
      <c r="F255" s="174" t="n">
        <v>12</v>
      </c>
      <c r="G255" s="68">
        <f>(1+INDEX($Z$21:$Z$97,B255))*(1+INDEX($Z$21:$Z$97,C255))*(1+INDEX($Z$21:$Z$97,D255))*(1+INDEX($Z$21:$Z$97,E255))*(1+INDEX($Z$21:$Z$97,F255))-1</f>
        <v>0.142007731008196</v>
      </c>
      <c r="H255" s="68">
        <f>(1+INDEX($AA$21:$AA$97,B255))*(1+INDEX($AA$21:$AA$97,C255))*(1+INDEX($AA$21:$AA$97,D255))*(1+INDEX($AA$21:$AA$97,E255))*(1+INDEX($AA$21:$AA$97,F255))-1</f>
        <v>0.1347080809137</v>
      </c>
      <c r="I255" s="68">
        <f>(1+INDEX($AB$21:$AB$97,B255))*(1+INDEX($AB$21:$AB$97,C255))*(1+INDEX($AB$21:$AB$97,D255))*(1+INDEX($AB$21:$AB$97,E255))*(1+INDEX($AB$21:$AB$97,F255))-1</f>
        <v>0.105133341055473</v>
      </c>
      <c r="J255" s="489">
        <f>LN((1+G255)/(1+H255))</f>
        <v>0.00641246050078707</v>
      </c>
      <c r="K255" s="489">
        <f>LN((1+I255)/(1+H255))</f>
        <v>-0.0264094220915326</v>
      </c>
      <c r="L255" s="489">
        <f>(1+INDEX($AC$21:$AC$97,B255))*(1+INDEX($AC$21:$AC$97,C255))*(1+INDEX($AC$21:$AC$97,D255))*(1+INDEX($AC$21:$AC$97,E255))*(1+INDEX($AC$21:$AC$97,F255))-1</f>
        <v>0.113976055985254</v>
      </c>
      <c r="M255" s="489">
        <f>(1+INDEX($AD$21:$AD$97,B255))*(1+INDEX($AD$21:$AD$97,C255))*(1+INDEX($AD$21:$AD$97,D255))*(1+INDEX($AD$21:$AD$97,E255))*(1+INDEX($AD$21:$AD$97,F255))-1</f>
        <v>0.107172263742599</v>
      </c>
      <c r="N255" s="489">
        <f>(1+INDEX($AE$21:$AE$97,B255))*(1+INDEX($AE$21:$AE$97,C255))*(1+INDEX($AE$21:$AE$97,D255))*(1+INDEX($AE$21:$AE$97,E255))*(1+INDEX($AE$21:$AE$97,F255))-1</f>
        <v>0.112228051386442</v>
      </c>
      <c r="O255" s="489">
        <f>(1+INDEX($AF$21:$AF$97,B255))*(1+INDEX($AF$21:$AF$97,C255))*(1+INDEX($AF$21:$AF$97,D255))*(1+INDEX($AF$21:$AF$97,E255))*(1+INDEX($AF$21:$AF$97,F255))-1</f>
        <v>0.141585216214317</v>
      </c>
      <c r="P255" s="489">
        <f>LN((1+L255)/(1+H255))</f>
        <v>-0.018439772875046</v>
      </c>
      <c r="Q255" s="489">
        <f>LN((1+M255)/(1+H255))</f>
        <v>-0.024566165662593</v>
      </c>
      <c r="R255" s="489">
        <f>LN((1+N255)/(1+H255))</f>
        <v>-0.0200101634356029</v>
      </c>
      <c r="S255" s="542">
        <f>LN((1+O255)/(1+H255))</f>
        <v>0.00604241661953059</v>
      </c>
    </row>
    <row r="256">
      <c r="A256" s="320" t="n">
        <v>155</v>
      </c>
      <c r="B256" s="174" t="n">
        <v>7</v>
      </c>
      <c r="C256" s="174" t="n">
        <v>68</v>
      </c>
      <c r="D256" s="174" t="n">
        <v>4</v>
      </c>
      <c r="E256" s="174" t="n">
        <v>35</v>
      </c>
      <c r="F256" s="174" t="n">
        <v>13</v>
      </c>
      <c r="G256" s="68">
        <f>(1+INDEX($Z$21:$Z$97,B256))*(1+INDEX($Z$21:$Z$97,C256))*(1+INDEX($Z$21:$Z$97,D256))*(1+INDEX($Z$21:$Z$97,E256))*(1+INDEX($Z$21:$Z$97,F256))-1</f>
        <v>0.393508346054133</v>
      </c>
      <c r="H256" s="68">
        <f>(1+INDEX($AA$21:$AA$97,B256))*(1+INDEX($AA$21:$AA$97,C256))*(1+INDEX($AA$21:$AA$97,D256))*(1+INDEX($AA$21:$AA$97,E256))*(1+INDEX($AA$21:$AA$97,F256))-1</f>
        <v>0.38282536894644</v>
      </c>
      <c r="I256" s="68">
        <f>(1+INDEX($AB$21:$AB$97,B256))*(1+INDEX($AB$21:$AB$97,C256))*(1+INDEX($AB$21:$AB$97,D256))*(1+INDEX($AB$21:$AB$97,E256))*(1+INDEX($AB$21:$AB$97,F256))-1</f>
        <v>0.377225907857516</v>
      </c>
      <c r="J256" s="489">
        <f>LN((1+G256)/(1+H256))</f>
        <v>0.00769578222885859</v>
      </c>
      <c r="K256" s="489">
        <f>LN((1+I256)/(1+H256))</f>
        <v>-0.00405751068334026</v>
      </c>
      <c r="L256" s="489">
        <f>(1+INDEX($AC$21:$AC$97,B256))*(1+INDEX($AC$21:$AC$97,C256))*(1+INDEX($AC$21:$AC$97,D256))*(1+INDEX($AC$21:$AC$97,E256))*(1+INDEX($AC$21:$AC$97,F256))-1</f>
        <v>0.384673557326595</v>
      </c>
      <c r="M256" s="489">
        <f>(1+INDEX($AD$21:$AD$97,B256))*(1+INDEX($AD$21:$AD$97,C256))*(1+INDEX($AD$21:$AD$97,D256))*(1+INDEX($AD$21:$AD$97,E256))*(1+INDEX($AD$21:$AD$97,F256))-1</f>
        <v>0.375933802252246</v>
      </c>
      <c r="N256" s="489">
        <f>(1+INDEX($AE$21:$AE$97,B256))*(1+INDEX($AE$21:$AE$97,C256))*(1+INDEX($AE$21:$AE$97,D256))*(1+INDEX($AE$21:$AE$97,E256))*(1+INDEX($AE$21:$AE$97,F256))-1</f>
        <v>0.37411786857592</v>
      </c>
      <c r="O256" s="489">
        <f>(1+INDEX($AF$21:$AF$97,B256))*(1+INDEX($AF$21:$AF$97,C256))*(1+INDEX($AF$21:$AF$97,D256))*(1+INDEX($AF$21:$AF$97,E256))*(1+INDEX($AF$21:$AF$97,F256))-1</f>
        <v>0.368242868216266</v>
      </c>
      <c r="P256" s="489">
        <f>LN((1+L256)/(1+H256))</f>
        <v>0.00133563820918786</v>
      </c>
      <c r="Q256" s="489">
        <f>LN((1+M256)/(1+H256))</f>
        <v>-0.00499614544208017</v>
      </c>
      <c r="R256" s="489">
        <f>LN((1+N256)/(1+H256))</f>
        <v>-0.00631679985706735</v>
      </c>
      <c r="S256" s="542">
        <f>LN((1+O256)/(1+H256))</f>
        <v>-0.0106014362790055</v>
      </c>
    </row>
    <row r="257">
      <c r="A257" s="320" t="n">
        <v>156</v>
      </c>
      <c r="B257" s="174" t="n">
        <v>23</v>
      </c>
      <c r="C257" s="174" t="n">
        <v>49</v>
      </c>
      <c r="D257" s="174" t="n">
        <v>21</v>
      </c>
      <c r="E257" s="174" t="n">
        <v>30</v>
      </c>
      <c r="F257" s="174" t="n">
        <v>54</v>
      </c>
      <c r="G257" s="68">
        <f>(1+INDEX($Z$21:$Z$97,B257))*(1+INDEX($Z$21:$Z$97,C257))*(1+INDEX($Z$21:$Z$97,D257))*(1+INDEX($Z$21:$Z$97,E257))*(1+INDEX($Z$21:$Z$97,F257))-1</f>
        <v>0.40241977196499</v>
      </c>
      <c r="H257" s="68">
        <f>(1+INDEX($AA$21:$AA$97,B257))*(1+INDEX($AA$21:$AA$97,C257))*(1+INDEX($AA$21:$AA$97,D257))*(1+INDEX($AA$21:$AA$97,E257))*(1+INDEX($AA$21:$AA$97,F257))-1</f>
        <v>0.371584664785749</v>
      </c>
      <c r="I257" s="68">
        <f>(1+INDEX($AB$21:$AB$97,B257))*(1+INDEX($AB$21:$AB$97,C257))*(1+INDEX($AB$21:$AB$97,D257))*(1+INDEX($AB$21:$AB$97,E257))*(1+INDEX($AB$21:$AB$97,F257))-1</f>
        <v>0.407622551092348</v>
      </c>
      <c r="J257" s="489">
        <f>LN((1+G257)/(1+H257))</f>
        <v>0.0222323921738682</v>
      </c>
      <c r="K257" s="489">
        <f>LN((1+I257)/(1+H257))</f>
        <v>0.0259353862745476</v>
      </c>
      <c r="L257" s="489">
        <f>(1+INDEX($AC$21:$AC$97,B257))*(1+INDEX($AC$21:$AC$97,C257))*(1+INDEX($AC$21:$AC$97,D257))*(1+INDEX($AC$21:$AC$97,E257))*(1+INDEX($AC$21:$AC$97,F257))-1</f>
        <v>0.376769135551066</v>
      </c>
      <c r="M257" s="489">
        <f>(1+INDEX($AD$21:$AD$97,B257))*(1+INDEX($AD$21:$AD$97,C257))*(1+INDEX($AD$21:$AD$97,D257))*(1+INDEX($AD$21:$AD$97,E257))*(1+INDEX($AD$21:$AD$97,F257))-1</f>
        <v>0.42018360466908</v>
      </c>
      <c r="N257" s="489">
        <f>(1+INDEX($AE$21:$AE$97,B257))*(1+INDEX($AE$21:$AE$97,C257))*(1+INDEX($AE$21:$AE$97,D257))*(1+INDEX($AE$21:$AE$97,E257))*(1+INDEX($AE$21:$AE$97,F257))-1</f>
        <v>0.371767373566865</v>
      </c>
      <c r="O257" s="489">
        <f>(1+INDEX($AF$21:$AF$97,B257))*(1+INDEX($AF$21:$AF$97,C257))*(1+INDEX($AF$21:$AF$97,D257))*(1+INDEX($AF$21:$AF$97,E257))*(1+INDEX($AF$21:$AF$97,F257))-1</f>
        <v>0.421667376651569</v>
      </c>
      <c r="P257" s="489">
        <f>LN((1+L257)/(1+H257))</f>
        <v>0.00377278712390898</v>
      </c>
      <c r="Q257" s="489">
        <f>LN((1+M257)/(1+H257))</f>
        <v>0.0348194013028651</v>
      </c>
      <c r="R257" s="489">
        <f>LN((1+N257)/(1+H257))</f>
        <v>0.000133201119529351</v>
      </c>
      <c r="S257" s="542">
        <f>LN((1+O257)/(1+H257))</f>
        <v>0.035863630663988</v>
      </c>
    </row>
    <row r="258">
      <c r="A258" s="320" t="n">
        <v>157</v>
      </c>
      <c r="B258" s="174" t="n">
        <v>47</v>
      </c>
      <c r="C258" s="174" t="n">
        <v>62</v>
      </c>
      <c r="D258" s="174" t="n">
        <v>64</v>
      </c>
      <c r="E258" s="174" t="n">
        <v>9</v>
      </c>
      <c r="F258" s="174" t="n">
        <v>6</v>
      </c>
      <c r="G258" s="68">
        <f>(1+INDEX($Z$21:$Z$97,B258))*(1+INDEX($Z$21:$Z$97,C258))*(1+INDEX($Z$21:$Z$97,D258))*(1+INDEX($Z$21:$Z$97,E258))*(1+INDEX($Z$21:$Z$97,F258))-1</f>
        <v>-0.290758784939703</v>
      </c>
      <c r="H258" s="68">
        <f>(1+INDEX($AA$21:$AA$97,B258))*(1+INDEX($AA$21:$AA$97,C258))*(1+INDEX($AA$21:$AA$97,D258))*(1+INDEX($AA$21:$AA$97,E258))*(1+INDEX($AA$21:$AA$97,F258))-1</f>
        <v>-0.245882358160895</v>
      </c>
      <c r="I258" s="68">
        <f>(1+INDEX($AB$21:$AB$97,B258))*(1+INDEX($AB$21:$AB$97,C258))*(1+INDEX($AB$21:$AB$97,D258))*(1+INDEX($AB$21:$AB$97,E258))*(1+INDEX($AB$21:$AB$97,F258))-1</f>
        <v>-0.275604577707578</v>
      </c>
      <c r="J258" s="489">
        <f>LN((1+G258)/(1+H258))</f>
        <v>-0.0613526921231364</v>
      </c>
      <c r="K258" s="489">
        <f>LN((1+I258)/(1+H258))</f>
        <v>-0.0402109728167211</v>
      </c>
      <c r="L258" s="489">
        <f>(1+INDEX($AC$21:$AC$97,B258))*(1+INDEX($AC$21:$AC$97,C258))*(1+INDEX($AC$21:$AC$97,D258))*(1+INDEX($AC$21:$AC$97,E258))*(1+INDEX($AC$21:$AC$97,F258))-1</f>
        <v>-0.279133390823218</v>
      </c>
      <c r="M258" s="489">
        <f>(1+INDEX($AD$21:$AD$97,B258))*(1+INDEX($AD$21:$AD$97,C258))*(1+INDEX($AD$21:$AD$97,D258))*(1+INDEX($AD$21:$AD$97,E258))*(1+INDEX($AD$21:$AD$97,F258))-1</f>
        <v>-0.302527556800121</v>
      </c>
      <c r="N258" s="489">
        <f>(1+INDEX($AE$21:$AE$97,B258))*(1+INDEX($AE$21:$AE$97,C258))*(1+INDEX($AE$21:$AE$97,D258))*(1+INDEX($AE$21:$AE$97,E258))*(1+INDEX($AE$21:$AE$97,F258))-1</f>
        <v>-0.289302054836675</v>
      </c>
      <c r="O258" s="489">
        <f>(1+INDEX($AF$21:$AF$97,B258))*(1+INDEX($AF$21:$AF$97,C258))*(1+INDEX($AF$21:$AF$97,D258))*(1+INDEX($AF$21:$AF$97,E258))*(1+INDEX($AF$21:$AF$97,F258))-1</f>
        <v>-0.254095879822372</v>
      </c>
      <c r="P258" s="489">
        <f>LN((1+L258)/(1+H258))</f>
        <v>-0.0450942674045633</v>
      </c>
      <c r="Q258" s="489">
        <f>LN((1+M258)/(1+H258))</f>
        <v>-0.078085374538923</v>
      </c>
      <c r="R258" s="489">
        <f>LN((1+N258)/(1+H258))</f>
        <v>-0.0593008709537506</v>
      </c>
      <c r="S258" s="542">
        <f>LN((1+O258)/(1+H258))</f>
        <v>-0.0109513127841975</v>
      </c>
    </row>
    <row r="259">
      <c r="A259" s="320" t="n">
        <v>158</v>
      </c>
      <c r="B259" s="174" t="n">
        <v>47</v>
      </c>
      <c r="C259" s="174" t="n">
        <v>18</v>
      </c>
      <c r="D259" s="174" t="n">
        <v>65</v>
      </c>
      <c r="E259" s="174" t="n">
        <v>17</v>
      </c>
      <c r="F259" s="174" t="n">
        <v>8</v>
      </c>
      <c r="G259" s="68">
        <f>(1+INDEX($Z$21:$Z$97,B259))*(1+INDEX($Z$21:$Z$97,C259))*(1+INDEX($Z$21:$Z$97,D259))*(1+INDEX($Z$21:$Z$97,E259))*(1+INDEX($Z$21:$Z$97,F259))-1</f>
        <v>-0.0261130489484603</v>
      </c>
      <c r="H259" s="68">
        <f>(1+INDEX($AA$21:$AA$97,B259))*(1+INDEX($AA$21:$AA$97,C259))*(1+INDEX($AA$21:$AA$97,D259))*(1+INDEX($AA$21:$AA$97,E259))*(1+INDEX($AA$21:$AA$97,F259))-1</f>
        <v>-0.0237761107634238</v>
      </c>
      <c r="I259" s="68">
        <f>(1+INDEX($AB$21:$AB$97,B259))*(1+INDEX($AB$21:$AB$97,C259))*(1+INDEX($AB$21:$AB$97,D259))*(1+INDEX($AB$21:$AB$97,E259))*(1+INDEX($AB$21:$AB$97,F259))-1</f>
        <v>-0.044105469062518</v>
      </c>
      <c r="J259" s="489">
        <f>LN((1+G259)/(1+H259))</f>
        <v>-0.00239672459167683</v>
      </c>
      <c r="K259" s="489">
        <f>LN((1+I259)/(1+H259))</f>
        <v>-0.0210443711375688</v>
      </c>
      <c r="L259" s="489">
        <f>(1+INDEX($AC$21:$AC$97,B259))*(1+INDEX($AC$21:$AC$97,C259))*(1+INDEX($AC$21:$AC$97,D259))*(1+INDEX($AC$21:$AC$97,E259))*(1+INDEX($AC$21:$AC$97,F259))-1</f>
        <v>-0.0757739972859018</v>
      </c>
      <c r="M259" s="489">
        <f>(1+INDEX($AD$21:$AD$97,B259))*(1+INDEX($AD$21:$AD$97,C259))*(1+INDEX($AD$21:$AD$97,D259))*(1+INDEX($AD$21:$AD$97,E259))*(1+INDEX($AD$21:$AD$97,F259))-1</f>
        <v>-0.04244874848939</v>
      </c>
      <c r="N259" s="489">
        <f>(1+INDEX($AE$21:$AE$97,B259))*(1+INDEX($AE$21:$AE$97,C259))*(1+INDEX($AE$21:$AE$97,D259))*(1+INDEX($AE$21:$AE$97,E259))*(1+INDEX($AE$21:$AE$97,F259))-1</f>
        <v>-0.0648501401949599</v>
      </c>
      <c r="O259" s="489">
        <f>(1+INDEX($AF$21:$AF$97,B259))*(1+INDEX($AF$21:$AF$97,C259))*(1+INDEX($AF$21:$AF$97,D259))*(1+INDEX($AF$21:$AF$97,E259))*(1+INDEX($AF$21:$AF$97,F259))-1</f>
        <v>0.00699281051842005</v>
      </c>
      <c r="P259" s="489">
        <f>LN((1+L259)/(1+H259))</f>
        <v>-0.0547353213998161</v>
      </c>
      <c r="Q259" s="489">
        <f>LN((1+M259)/(1+H259))</f>
        <v>-0.0193127088116023</v>
      </c>
      <c r="R259" s="489">
        <f>LN((1+N259)/(1+H259))</f>
        <v>-0.0429851605038408</v>
      </c>
      <c r="S259" s="542">
        <f>LN((1+O259)/(1+H259))</f>
        <v>0.0310317983722754</v>
      </c>
    </row>
    <row r="260">
      <c r="A260" s="320" t="n">
        <v>159</v>
      </c>
      <c r="B260" s="174" t="n">
        <v>69</v>
      </c>
      <c r="C260" s="174" t="n">
        <v>22</v>
      </c>
      <c r="D260" s="174" t="n">
        <v>48</v>
      </c>
      <c r="E260" s="174" t="n">
        <v>77</v>
      </c>
      <c r="F260" s="174" t="n">
        <v>13</v>
      </c>
      <c r="G260" s="68">
        <f>(1+INDEX($Z$21:$Z$97,B260))*(1+INDEX($Z$21:$Z$97,C260))*(1+INDEX($Z$21:$Z$97,D260))*(1+INDEX($Z$21:$Z$97,E260))*(1+INDEX($Z$21:$Z$97,F260))-1</f>
        <v>0.53189272139238</v>
      </c>
      <c r="H260" s="68">
        <f>(1+INDEX($AA$21:$AA$97,B260))*(1+INDEX($AA$21:$AA$97,C260))*(1+INDEX($AA$21:$AA$97,D260))*(1+INDEX($AA$21:$AA$97,E260))*(1+INDEX($AA$21:$AA$97,F260))-1</f>
        <v>0.469266743212776</v>
      </c>
      <c r="I260" s="68">
        <f>(1+INDEX($AB$21:$AB$97,B260))*(1+INDEX($AB$21:$AB$97,C260))*(1+INDEX($AB$21:$AB$97,D260))*(1+INDEX($AB$21:$AB$97,E260))*(1+INDEX($AB$21:$AB$97,F260))-1</f>
        <v>0.5195613006837</v>
      </c>
      <c r="J260" s="489">
        <f>LN((1+G260)/(1+H260))</f>
        <v>0.0417405814652081</v>
      </c>
      <c r="K260" s="489">
        <f>LN((1+I260)/(1+H260))</f>
        <v>0.0336582130282364</v>
      </c>
      <c r="L260" s="489">
        <f>(1+INDEX($AC$21:$AC$97,B260))*(1+INDEX($AC$21:$AC$97,C260))*(1+INDEX($AC$21:$AC$97,D260))*(1+INDEX($AC$21:$AC$97,E260))*(1+INDEX($AC$21:$AC$97,F260))-1</f>
        <v>0.513902921849839</v>
      </c>
      <c r="M260" s="489">
        <f>(1+INDEX($AD$21:$AD$97,B260))*(1+INDEX($AD$21:$AD$97,C260))*(1+INDEX($AD$21:$AD$97,D260))*(1+INDEX($AD$21:$AD$97,E260))*(1+INDEX($AD$21:$AD$97,F260))-1</f>
        <v>0.508832487369808</v>
      </c>
      <c r="N260" s="489">
        <f>(1+INDEX($AE$21:$AE$97,B260))*(1+INDEX($AE$21:$AE$97,C260))*(1+INDEX($AE$21:$AE$97,D260))*(1+INDEX($AE$21:$AE$97,E260))*(1+INDEX($AE$21:$AE$97,F260))-1</f>
        <v>0.496809746902464</v>
      </c>
      <c r="O260" s="489">
        <f>(1+INDEX($AF$21:$AF$97,B260))*(1+INDEX($AF$21:$AF$97,C260))*(1+INDEX($AF$21:$AF$97,D260))*(1+INDEX($AF$21:$AF$97,E260))*(1+INDEX($AF$21:$AF$97,F260))-1</f>
        <v>0.47251688889719</v>
      </c>
      <c r="P260" s="489">
        <f>LN((1+L260)/(1+H260))</f>
        <v>0.0299275704484035</v>
      </c>
      <c r="Q260" s="489">
        <f>LN((1+M260)/(1+H260))</f>
        <v>0.0265727023906378</v>
      </c>
      <c r="R260" s="489">
        <f>LN((1+N260)/(1+H260))</f>
        <v>0.0185725455828978</v>
      </c>
      <c r="S260" s="542">
        <f>LN((1+O260)/(1+H260))</f>
        <v>0.00220964381700109</v>
      </c>
    </row>
    <row r="261">
      <c r="A261" s="320" t="n">
        <v>160</v>
      </c>
      <c r="B261" s="174" t="n">
        <v>62</v>
      </c>
      <c r="C261" s="174" t="n">
        <v>2</v>
      </c>
      <c r="D261" s="174" t="n">
        <v>36</v>
      </c>
      <c r="E261" s="174" t="n">
        <v>53</v>
      </c>
      <c r="F261" s="174" t="n">
        <v>66</v>
      </c>
      <c r="G261" s="68">
        <f>(1+INDEX($Z$21:$Z$97,B261))*(1+INDEX($Z$21:$Z$97,C261))*(1+INDEX($Z$21:$Z$97,D261))*(1+INDEX($Z$21:$Z$97,E261))*(1+INDEX($Z$21:$Z$97,F261))-1</f>
        <v>0.216032238980594</v>
      </c>
      <c r="H261" s="68">
        <f>(1+INDEX($AA$21:$AA$97,B261))*(1+INDEX($AA$21:$AA$97,C261))*(1+INDEX($AA$21:$AA$97,D261))*(1+INDEX($AA$21:$AA$97,E261))*(1+INDEX($AA$21:$AA$97,F261))-1</f>
        <v>0.224862885965542</v>
      </c>
      <c r="I261" s="68">
        <f>(1+INDEX($AB$21:$AB$97,B261))*(1+INDEX($AB$21:$AB$97,C261))*(1+INDEX($AB$21:$AB$97,D261))*(1+INDEX($AB$21:$AB$97,E261))*(1+INDEX($AB$21:$AB$97,F261))-1</f>
        <v>0.215859720000114</v>
      </c>
      <c r="J261" s="489">
        <f>LN((1+G261)/(1+H261))</f>
        <v>-0.00723561239593531</v>
      </c>
      <c r="K261" s="489">
        <f>LN((1+I261)/(1+H261))</f>
        <v>-0.00737749286075817</v>
      </c>
      <c r="L261" s="489">
        <f>(1+INDEX($AC$21:$AC$97,B261))*(1+INDEX($AC$21:$AC$97,C261))*(1+INDEX($AC$21:$AC$97,D261))*(1+INDEX($AC$21:$AC$97,E261))*(1+INDEX($AC$21:$AC$97,F261))-1</f>
        <v>0.228220502450033</v>
      </c>
      <c r="M261" s="489">
        <f>(1+INDEX($AD$21:$AD$97,B261))*(1+INDEX($AD$21:$AD$97,C261))*(1+INDEX($AD$21:$AD$97,D261))*(1+INDEX($AD$21:$AD$97,E261))*(1+INDEX($AD$21:$AD$97,F261))-1</f>
        <v>0.217148881955885</v>
      </c>
      <c r="N261" s="489">
        <f>(1+INDEX($AE$21:$AE$97,B261))*(1+INDEX($AE$21:$AE$97,C261))*(1+INDEX($AE$21:$AE$97,D261))*(1+INDEX($AE$21:$AE$97,E261))*(1+INDEX($AE$21:$AE$97,F261))-1</f>
        <v>0.242161633053118</v>
      </c>
      <c r="O261" s="489">
        <f>(1+INDEX($AF$21:$AF$97,B261))*(1+INDEX($AF$21:$AF$97,C261))*(1+INDEX($AF$21:$AF$97,D261))*(1+INDEX($AF$21:$AF$97,E261))*(1+INDEX($AF$21:$AF$97,F261))-1</f>
        <v>0.216751166215665</v>
      </c>
      <c r="P261" s="489">
        <f>LN((1+L261)/(1+H261))</f>
        <v>0.0027374679532726</v>
      </c>
      <c r="Q261" s="489">
        <f>LN((1+M261)/(1+H261))</f>
        <v>-0.00631776617061752</v>
      </c>
      <c r="R261" s="489">
        <f>LN((1+N261)/(1+H261))</f>
        <v>0.0140242064700997</v>
      </c>
      <c r="S261" s="542">
        <f>LN((1+O261)/(1+H261))</f>
        <v>-0.00664457970929049</v>
      </c>
    </row>
    <row r="262">
      <c r="A262" s="320" t="n">
        <v>161</v>
      </c>
      <c r="B262" s="174" t="n">
        <v>58</v>
      </c>
      <c r="C262" s="174" t="n">
        <v>69</v>
      </c>
      <c r="D262" s="174" t="n">
        <v>17</v>
      </c>
      <c r="E262" s="174" t="n">
        <v>48</v>
      </c>
      <c r="F262" s="174" t="n">
        <v>21</v>
      </c>
      <c r="G262" s="68">
        <f>(1+INDEX($Z$21:$Z$97,B262))*(1+INDEX($Z$21:$Z$97,C262))*(1+INDEX($Z$21:$Z$97,D262))*(1+INDEX($Z$21:$Z$97,E262))*(1+INDEX($Z$21:$Z$97,F262))-1</f>
        <v>0.420477838404066</v>
      </c>
      <c r="H262" s="68">
        <f>(1+INDEX($AA$21:$AA$97,B262))*(1+INDEX($AA$21:$AA$97,C262))*(1+INDEX($AA$21:$AA$97,D262))*(1+INDEX($AA$21:$AA$97,E262))*(1+INDEX($AA$21:$AA$97,F262))-1</f>
        <v>0.42485408965834</v>
      </c>
      <c r="I262" s="68">
        <f>(1+INDEX($AB$21:$AB$97,B262))*(1+INDEX($AB$21:$AB$97,C262))*(1+INDEX($AB$21:$AB$97,D262))*(1+INDEX($AB$21:$AB$97,E262))*(1+INDEX($AB$21:$AB$97,F262))-1</f>
        <v>0.432326917202903</v>
      </c>
      <c r="J262" s="489">
        <f>LN((1+G262)/(1+H262))</f>
        <v>-0.00307609432974509</v>
      </c>
      <c r="K262" s="489">
        <f>LN((1+I262)/(1+H262))</f>
        <v>0.00523092136356611</v>
      </c>
      <c r="L262" s="489">
        <f>(1+INDEX($AC$21:$AC$97,B262))*(1+INDEX($AC$21:$AC$97,C262))*(1+INDEX($AC$21:$AC$97,D262))*(1+INDEX($AC$21:$AC$97,E262))*(1+INDEX($AC$21:$AC$97,F262))-1</f>
        <v>0.433026084350251</v>
      </c>
      <c r="M262" s="489">
        <f>(1+INDEX($AD$21:$AD$97,B262))*(1+INDEX($AD$21:$AD$97,C262))*(1+INDEX($AD$21:$AD$97,D262))*(1+INDEX($AD$21:$AD$97,E262))*(1+INDEX($AD$21:$AD$97,F262))-1</f>
        <v>0.412766168727334</v>
      </c>
      <c r="N262" s="489">
        <f>(1+INDEX($AE$21:$AE$97,B262))*(1+INDEX($AE$21:$AE$97,C262))*(1+INDEX($AE$21:$AE$97,D262))*(1+INDEX($AE$21:$AE$97,E262))*(1+INDEX($AE$21:$AE$97,F262))-1</f>
        <v>0.447718206412036</v>
      </c>
      <c r="O262" s="489">
        <f>(1+INDEX($AF$21:$AF$97,B262))*(1+INDEX($AF$21:$AF$97,C262))*(1+INDEX($AF$21:$AF$97,D262))*(1+INDEX($AF$21:$AF$97,E262))*(1+INDEX($AF$21:$AF$97,F262))-1</f>
        <v>0.389634683983977</v>
      </c>
      <c r="P262" s="489">
        <f>LN((1+L262)/(1+H262))</f>
        <v>0.00571893604157942</v>
      </c>
      <c r="Q262" s="489">
        <f>LN((1+M262)/(1+H262))</f>
        <v>-0.00851981093255948</v>
      </c>
      <c r="R262" s="489">
        <f>LN((1+N262)/(1+H262))</f>
        <v>0.0159192509374494</v>
      </c>
      <c r="S262" s="542">
        <f>LN((1+O262)/(1+H262))</f>
        <v>-0.0250285199334793</v>
      </c>
    </row>
    <row r="263">
      <c r="A263" s="320" t="n">
        <v>162</v>
      </c>
      <c r="B263" s="174" t="n">
        <v>36</v>
      </c>
      <c r="C263" s="174" t="n">
        <v>47</v>
      </c>
      <c r="D263" s="174" t="n">
        <v>70</v>
      </c>
      <c r="E263" s="174" t="n">
        <v>49</v>
      </c>
      <c r="F263" s="174" t="n">
        <v>9</v>
      </c>
      <c r="G263" s="68">
        <f>(1+INDEX($Z$21:$Z$97,B263))*(1+INDEX($Z$21:$Z$97,C263))*(1+INDEX($Z$21:$Z$97,D263))*(1+INDEX($Z$21:$Z$97,E263))*(1+INDEX($Z$21:$Z$97,F263))-1</f>
        <v>0.219904757116344</v>
      </c>
      <c r="H263" s="68">
        <f>(1+INDEX($AA$21:$AA$97,B263))*(1+INDEX($AA$21:$AA$97,C263))*(1+INDEX($AA$21:$AA$97,D263))*(1+INDEX($AA$21:$AA$97,E263))*(1+INDEX($AA$21:$AA$97,F263))-1</f>
        <v>0.228891862981309</v>
      </c>
      <c r="I263" s="68">
        <f>(1+INDEX($AB$21:$AB$97,B263))*(1+INDEX($AB$21:$AB$97,C263))*(1+INDEX($AB$21:$AB$97,D263))*(1+INDEX($AB$21:$AB$97,E263))*(1+INDEX($AB$21:$AB$97,F263))-1</f>
        <v>0.243500972254375</v>
      </c>
      <c r="J263" s="489">
        <f>LN((1+G263)/(1+H263))</f>
        <v>-0.00734005114229697</v>
      </c>
      <c r="K263" s="489">
        <f>LN((1+I263)/(1+H263))</f>
        <v>0.0118179272276574</v>
      </c>
      <c r="L263" s="489">
        <f>(1+INDEX($AC$21:$AC$97,B263))*(1+INDEX($AC$21:$AC$97,C263))*(1+INDEX($AC$21:$AC$97,D263))*(1+INDEX($AC$21:$AC$97,E263))*(1+INDEX($AC$21:$AC$97,F263))-1</f>
        <v>0.215123101768721</v>
      </c>
      <c r="M263" s="489">
        <f>(1+INDEX($AD$21:$AD$97,B263))*(1+INDEX($AD$21:$AD$97,C263))*(1+INDEX($AD$21:$AD$97,D263))*(1+INDEX($AD$21:$AD$97,E263))*(1+INDEX($AD$21:$AD$97,F263))-1</f>
        <v>0.250063782351786</v>
      </c>
      <c r="N263" s="489">
        <f>(1+INDEX($AE$21:$AE$97,B263))*(1+INDEX($AE$21:$AE$97,C263))*(1+INDEX($AE$21:$AE$97,D263))*(1+INDEX($AE$21:$AE$97,E263))*(1+INDEX($AE$21:$AE$97,F263))-1</f>
        <v>0.222651682810412</v>
      </c>
      <c r="O263" s="489">
        <f>(1+INDEX($AF$21:$AF$97,B263))*(1+INDEX($AF$21:$AF$97,C263))*(1+INDEX($AF$21:$AF$97,D263))*(1+INDEX($AF$21:$AF$97,E263))*(1+INDEX($AF$21:$AF$97,F263))-1</f>
        <v>0.266681093311118</v>
      </c>
      <c r="P263" s="489">
        <f>LN((1+L263)/(1+H263))</f>
        <v>-0.0112674489142574</v>
      </c>
      <c r="Q263" s="489">
        <f>LN((1+M263)/(1+H263))</f>
        <v>0.0170817369912831</v>
      </c>
      <c r="R263" s="489">
        <f>LN((1+N263)/(1+H263))</f>
        <v>-0.00509082831393238</v>
      </c>
      <c r="S263" s="542">
        <f>LN((1+O263)/(1+H263))</f>
        <v>0.0302873285529374</v>
      </c>
    </row>
    <row r="264">
      <c r="A264" s="320" t="n">
        <v>163</v>
      </c>
      <c r="B264" s="174" t="n">
        <v>57</v>
      </c>
      <c r="C264" s="174" t="n">
        <v>60</v>
      </c>
      <c r="D264" s="174" t="n">
        <v>65</v>
      </c>
      <c r="E264" s="174" t="n">
        <v>20</v>
      </c>
      <c r="F264" s="174" t="n">
        <v>77</v>
      </c>
      <c r="G264" s="68">
        <f>(1+INDEX($Z$21:$Z$97,B264))*(1+INDEX($Z$21:$Z$97,C264))*(1+INDEX($Z$21:$Z$97,D264))*(1+INDEX($Z$21:$Z$97,E264))*(1+INDEX($Z$21:$Z$97,F264))-1</f>
        <v>0.443315018788139</v>
      </c>
      <c r="H264" s="68">
        <f>(1+INDEX($AA$21:$AA$97,B264))*(1+INDEX($AA$21:$AA$97,C264))*(1+INDEX($AA$21:$AA$97,D264))*(1+INDEX($AA$21:$AA$97,E264))*(1+INDEX($AA$21:$AA$97,F264))-1</f>
        <v>0.419581288293514</v>
      </c>
      <c r="I264" s="68">
        <f>(1+INDEX($AB$21:$AB$97,B264))*(1+INDEX($AB$21:$AB$97,C264))*(1+INDEX($AB$21:$AB$97,D264))*(1+INDEX($AB$21:$AB$97,E264))*(1+INDEX($AB$21:$AB$97,F264))-1</f>
        <v>0.452971487296155</v>
      </c>
      <c r="J264" s="489">
        <f>LN((1+G264)/(1+H264))</f>
        <v>0.0165806034721497</v>
      </c>
      <c r="K264" s="489">
        <f>LN((1+I264)/(1+H264))</f>
        <v>0.0232488003296239</v>
      </c>
      <c r="L264" s="489">
        <f>(1+INDEX($AC$21:$AC$97,B264))*(1+INDEX($AC$21:$AC$97,C264))*(1+INDEX($AC$21:$AC$97,D264))*(1+INDEX($AC$21:$AC$97,E264))*(1+INDEX($AC$21:$AC$97,F264))-1</f>
        <v>0.468016536610751</v>
      </c>
      <c r="M264" s="489">
        <f>(1+INDEX($AD$21:$AD$97,B264))*(1+INDEX($AD$21:$AD$97,C264))*(1+INDEX($AD$21:$AD$97,D264))*(1+INDEX($AD$21:$AD$97,E264))*(1+INDEX($AD$21:$AD$97,F264))-1</f>
        <v>0.413530655382089</v>
      </c>
      <c r="N264" s="489">
        <f>(1+INDEX($AE$21:$AE$97,B264))*(1+INDEX($AE$21:$AE$97,C264))*(1+INDEX($AE$21:$AE$97,D264))*(1+INDEX($AE$21:$AE$97,E264))*(1+INDEX($AE$21:$AE$97,F264))-1</f>
        <v>0.46345985081523</v>
      </c>
      <c r="O264" s="489">
        <f>(1+INDEX($AF$21:$AF$97,B264))*(1+INDEX($AF$21:$AF$97,C264))*(1+INDEX($AF$21:$AF$97,D264))*(1+INDEX($AF$21:$AF$97,E264))*(1+INDEX($AF$21:$AF$97,F264))-1</f>
        <v>0.395426711573209</v>
      </c>
      <c r="P264" s="489">
        <f>LN((1+L264)/(1+H264))</f>
        <v>0.033550234117801</v>
      </c>
      <c r="Q264" s="489">
        <f>LN((1+M264)/(1+H264))</f>
        <v>-0.00427137524462072</v>
      </c>
      <c r="R264" s="489">
        <f>LN((1+N264)/(1+H264))</f>
        <v>0.0304414323652351</v>
      </c>
      <c r="S264" s="542">
        <f>LN((1+O264)/(1+H264))</f>
        <v>-0.017161705800276</v>
      </c>
    </row>
    <row r="265">
      <c r="A265" s="320" t="n">
        <v>164</v>
      </c>
      <c r="B265" s="174" t="n">
        <v>4</v>
      </c>
      <c r="C265" s="174" t="n">
        <v>21</v>
      </c>
      <c r="D265" s="174" t="n">
        <v>48</v>
      </c>
      <c r="E265" s="174" t="n">
        <v>2</v>
      </c>
      <c r="F265" s="174" t="n">
        <v>33</v>
      </c>
      <c r="G265" s="68">
        <f>(1+INDEX($Z$21:$Z$97,B265))*(1+INDEX($Z$21:$Z$97,C265))*(1+INDEX($Z$21:$Z$97,D265))*(1+INDEX($Z$21:$Z$97,E265))*(1+INDEX($Z$21:$Z$97,F265))-1</f>
        <v>0.47967481959464</v>
      </c>
      <c r="H265" s="68">
        <f>(1+INDEX($AA$21:$AA$97,B265))*(1+INDEX($AA$21:$AA$97,C265))*(1+INDEX($AA$21:$AA$97,D265))*(1+INDEX($AA$21:$AA$97,E265))*(1+INDEX($AA$21:$AA$97,F265))-1</f>
        <v>0.439932002001414</v>
      </c>
      <c r="I265" s="68">
        <f>(1+INDEX($AB$21:$AB$97,B265))*(1+INDEX($AB$21:$AB$97,C265))*(1+INDEX($AB$21:$AB$97,D265))*(1+INDEX($AB$21:$AB$97,E265))*(1+INDEX($AB$21:$AB$97,F265))-1</f>
        <v>0.461895410447674</v>
      </c>
      <c r="J265" s="489">
        <f>LN((1+G265)/(1+H265))</f>
        <v>0.0272264555040923</v>
      </c>
      <c r="K265" s="489">
        <f>LN((1+I265)/(1+H265))</f>
        <v>0.0151379284464723</v>
      </c>
      <c r="L265" s="489">
        <f>(1+INDEX($AC$21:$AC$97,B265))*(1+INDEX($AC$21:$AC$97,C265))*(1+INDEX($AC$21:$AC$97,D265))*(1+INDEX($AC$21:$AC$97,E265))*(1+INDEX($AC$21:$AC$97,F265))-1</f>
        <v>0.442118018428979</v>
      </c>
      <c r="M265" s="489">
        <f>(1+INDEX($AD$21:$AD$97,B265))*(1+INDEX($AD$21:$AD$97,C265))*(1+INDEX($AD$21:$AD$97,D265))*(1+INDEX($AD$21:$AD$97,E265))*(1+INDEX($AD$21:$AD$97,F265))-1</f>
        <v>0.480129327253353</v>
      </c>
      <c r="N265" s="489">
        <f>(1+INDEX($AE$21:$AE$97,B265))*(1+INDEX($AE$21:$AE$97,C265))*(1+INDEX($AE$21:$AE$97,D265))*(1+INDEX($AE$21:$AE$97,E265))*(1+INDEX($AE$21:$AE$97,F265))-1</f>
        <v>0.437528759656542</v>
      </c>
      <c r="O265" s="489">
        <f>(1+INDEX($AF$21:$AF$97,B265))*(1+INDEX($AF$21:$AF$97,C265))*(1+INDEX($AF$21:$AF$97,D265))*(1+INDEX($AF$21:$AF$97,E265))*(1+INDEX($AF$21:$AF$97,F265))-1</f>
        <v>0.450508831595869</v>
      </c>
      <c r="P265" s="489">
        <f>LN((1+L265)/(1+H265))</f>
        <v>0.00151698744385638</v>
      </c>
      <c r="Q265" s="489">
        <f>LN((1+M265)/(1+H265))</f>
        <v>0.0275335755970008</v>
      </c>
      <c r="R265" s="489">
        <f>LN((1+N265)/(1+H265))</f>
        <v>-0.00167039143378835</v>
      </c>
      <c r="S265" s="542">
        <f>LN((1+O265)/(1+H265))</f>
        <v>0.0073185215764015</v>
      </c>
    </row>
    <row r="266">
      <c r="A266" s="320" t="n">
        <v>165</v>
      </c>
      <c r="B266" s="174" t="n">
        <v>34</v>
      </c>
      <c r="C266" s="174" t="n">
        <v>6</v>
      </c>
      <c r="D266" s="174" t="n">
        <v>59</v>
      </c>
      <c r="E266" s="174" t="n">
        <v>61</v>
      </c>
      <c r="F266" s="174" t="n">
        <v>50</v>
      </c>
      <c r="G266" s="68">
        <f>(1+INDEX($Z$21:$Z$97,B266))*(1+INDEX($Z$21:$Z$97,C266))*(1+INDEX($Z$21:$Z$97,D266))*(1+INDEX($Z$21:$Z$97,E266))*(1+INDEX($Z$21:$Z$97,F266))-1</f>
        <v>0.461951070857347</v>
      </c>
      <c r="H266" s="68">
        <f>(1+INDEX($AA$21:$AA$97,B266))*(1+INDEX($AA$21:$AA$97,C266))*(1+INDEX($AA$21:$AA$97,D266))*(1+INDEX($AA$21:$AA$97,E266))*(1+INDEX($AA$21:$AA$97,F266))-1</f>
        <v>0.482513963932848</v>
      </c>
      <c r="I266" s="68">
        <f>(1+INDEX($AB$21:$AB$97,B266))*(1+INDEX($AB$21:$AB$97,C266))*(1+INDEX($AB$21:$AB$97,D266))*(1+INDEX($AB$21:$AB$97,E266))*(1+INDEX($AB$21:$AB$97,F266))-1</f>
        <v>0.492845363856657</v>
      </c>
      <c r="J266" s="489">
        <f>LN((1+G266)/(1+H266))</f>
        <v>-0.0139673775226617</v>
      </c>
      <c r="K266" s="489">
        <f>LN((1+I266)/(1+H266))</f>
        <v>0.00694466806044834</v>
      </c>
      <c r="L266" s="489">
        <f>(1+INDEX($AC$21:$AC$97,B266))*(1+INDEX($AC$21:$AC$97,C266))*(1+INDEX($AC$21:$AC$97,D266))*(1+INDEX($AC$21:$AC$97,E266))*(1+INDEX($AC$21:$AC$97,F266))-1</f>
        <v>0.525613121215614</v>
      </c>
      <c r="M266" s="489">
        <f>(1+INDEX($AD$21:$AD$97,B266))*(1+INDEX($AD$21:$AD$97,C266))*(1+INDEX($AD$21:$AD$97,D266))*(1+INDEX($AD$21:$AD$97,E266))*(1+INDEX($AD$21:$AD$97,F266))-1</f>
        <v>0.434742214942592</v>
      </c>
      <c r="N266" s="489">
        <f>(1+INDEX($AE$21:$AE$97,B266))*(1+INDEX($AE$21:$AE$97,C266))*(1+INDEX($AE$21:$AE$97,D266))*(1+INDEX($AE$21:$AE$97,E266))*(1+INDEX($AE$21:$AE$97,F266))-1</f>
        <v>0.519112590220557</v>
      </c>
      <c r="O266" s="489">
        <f>(1+INDEX($AF$21:$AF$97,B266))*(1+INDEX($AF$21:$AF$97,C266))*(1+INDEX($AF$21:$AF$97,D266))*(1+INDEX($AF$21:$AF$97,E266))*(1+INDEX($AF$21:$AF$97,F266))-1</f>
        <v>0.404949559417402</v>
      </c>
      <c r="P266" s="489">
        <f>LN((1+L266)/(1+H266))</f>
        <v>0.0286571049346498</v>
      </c>
      <c r="Q266" s="489">
        <f>LN((1+M266)/(1+H266))</f>
        <v>-0.032754079105179</v>
      </c>
      <c r="R266" s="489">
        <f>LN((1+N266)/(1+H266))</f>
        <v>0.0243870711199418</v>
      </c>
      <c r="S266" s="542">
        <f>LN((1+O266)/(1+H266))</f>
        <v>-0.053737869653642</v>
      </c>
    </row>
    <row r="267">
      <c r="A267" s="320" t="n">
        <v>166</v>
      </c>
      <c r="B267" s="174" t="n">
        <v>33</v>
      </c>
      <c r="C267" s="174" t="n">
        <v>41</v>
      </c>
      <c r="D267" s="174" t="n">
        <v>20</v>
      </c>
      <c r="E267" s="174" t="n">
        <v>44</v>
      </c>
      <c r="F267" s="174" t="n">
        <v>38</v>
      </c>
      <c r="G267" s="68">
        <f>(1+INDEX($Z$21:$Z$97,B267))*(1+INDEX($Z$21:$Z$97,C267))*(1+INDEX($Z$21:$Z$97,D267))*(1+INDEX($Z$21:$Z$97,E267))*(1+INDEX($Z$21:$Z$97,F267))-1</f>
        <v>0.479085267991951</v>
      </c>
      <c r="H267" s="68">
        <f>(1+INDEX($AA$21:$AA$97,B267))*(1+INDEX($AA$21:$AA$97,C267))*(1+INDEX($AA$21:$AA$97,D267))*(1+INDEX($AA$21:$AA$97,E267))*(1+INDEX($AA$21:$AA$97,F267))-1</f>
        <v>0.447523865046189</v>
      </c>
      <c r="I267" s="68">
        <f>(1+INDEX($AB$21:$AB$97,B267))*(1+INDEX($AB$21:$AB$97,C267))*(1+INDEX($AB$21:$AB$97,D267))*(1+INDEX($AB$21:$AB$97,E267))*(1+INDEX($AB$21:$AB$97,F267))-1</f>
        <v>0.489564203704061</v>
      </c>
      <c r="J267" s="489">
        <f>LN((1+G267)/(1+H267))</f>
        <v>0.0215694171216206</v>
      </c>
      <c r="K267" s="489">
        <f>LN((1+I267)/(1+H267))</f>
        <v>0.0286291790333615</v>
      </c>
      <c r="L267" s="489">
        <f>(1+INDEX($AC$21:$AC$97,B267))*(1+INDEX($AC$21:$AC$97,C267))*(1+INDEX($AC$21:$AC$97,D267))*(1+INDEX($AC$21:$AC$97,E267))*(1+INDEX($AC$21:$AC$97,F267))-1</f>
        <v>0.464133443143647</v>
      </c>
      <c r="M267" s="489">
        <f>(1+INDEX($AD$21:$AD$97,B267))*(1+INDEX($AD$21:$AD$97,C267))*(1+INDEX($AD$21:$AD$97,D267))*(1+INDEX($AD$21:$AD$97,E267))*(1+INDEX($AD$21:$AD$97,F267))-1</f>
        <v>0.506360212034273</v>
      </c>
      <c r="N267" s="489">
        <f>(1+INDEX($AE$21:$AE$97,B267))*(1+INDEX($AE$21:$AE$97,C267))*(1+INDEX($AE$21:$AE$97,D267))*(1+INDEX($AE$21:$AE$97,E267))*(1+INDEX($AE$21:$AE$97,F267))-1</f>
        <v>0.461405758265856</v>
      </c>
      <c r="O267" s="489">
        <f>(1+INDEX($AF$21:$AF$97,B267))*(1+INDEX($AF$21:$AF$97,C267))*(1+INDEX($AF$21:$AF$97,D267))*(1+INDEX($AF$21:$AF$97,E267))*(1+INDEX($AF$21:$AF$97,F267))-1</f>
        <v>0.460830485143118</v>
      </c>
      <c r="P267" s="489">
        <f>LN((1+L267)/(1+H267))</f>
        <v>0.0114091436658788</v>
      </c>
      <c r="Q267" s="489">
        <f>LN((1+M267)/(1+H267))</f>
        <v>0.0398418679876885</v>
      </c>
      <c r="R267" s="489">
        <f>LN((1+N267)/(1+H267))</f>
        <v>0.00954440319897135</v>
      </c>
      <c r="S267" s="542">
        <f>LN((1+O267)/(1+H267))</f>
        <v>0.00915068203322589</v>
      </c>
    </row>
    <row r="268">
      <c r="A268" s="320" t="n">
        <v>167</v>
      </c>
      <c r="B268" s="174" t="n">
        <v>71</v>
      </c>
      <c r="C268" s="174" t="n">
        <v>6</v>
      </c>
      <c r="D268" s="174" t="n">
        <v>19</v>
      </c>
      <c r="E268" s="174" t="n">
        <v>50</v>
      </c>
      <c r="F268" s="174" t="n">
        <v>76</v>
      </c>
      <c r="G268" s="68">
        <f>(1+INDEX($Z$21:$Z$97,B268))*(1+INDEX($Z$21:$Z$97,C268))*(1+INDEX($Z$21:$Z$97,D268))*(1+INDEX($Z$21:$Z$97,E268))*(1+INDEX($Z$21:$Z$97,F268))-1</f>
        <v>0.188541013013115</v>
      </c>
      <c r="H268" s="68">
        <f>(1+INDEX($AA$21:$AA$97,B268))*(1+INDEX($AA$21:$AA$97,C268))*(1+INDEX($AA$21:$AA$97,D268))*(1+INDEX($AA$21:$AA$97,E268))*(1+INDEX($AA$21:$AA$97,F268))-1</f>
        <v>0.179678497189852</v>
      </c>
      <c r="I268" s="68">
        <f>(1+INDEX($AB$21:$AB$97,B268))*(1+INDEX($AB$21:$AB$97,C268))*(1+INDEX($AB$21:$AB$97,D268))*(1+INDEX($AB$21:$AB$97,E268))*(1+INDEX($AB$21:$AB$97,F268))-1</f>
        <v>0.180913793025854</v>
      </c>
      <c r="J268" s="489">
        <f>LN((1+G268)/(1+H268))</f>
        <v>0.00748457409236795</v>
      </c>
      <c r="K268" s="489">
        <f>LN((1+I268)/(1+H268))</f>
        <v>0.00104659830829775</v>
      </c>
      <c r="L268" s="489">
        <f>(1+INDEX($AC$21:$AC$97,B268))*(1+INDEX($AC$21:$AC$97,C268))*(1+INDEX($AC$21:$AC$97,D268))*(1+INDEX($AC$21:$AC$97,E268))*(1+INDEX($AC$21:$AC$97,F268))-1</f>
        <v>0.155423685252665</v>
      </c>
      <c r="M268" s="489">
        <f>(1+INDEX($AD$21:$AD$97,B268))*(1+INDEX($AD$21:$AD$97,C268))*(1+INDEX($AD$21:$AD$97,D268))*(1+INDEX($AD$21:$AD$97,E268))*(1+INDEX($AD$21:$AD$97,F268))-1</f>
        <v>0.172966166222122</v>
      </c>
      <c r="N268" s="489">
        <f>(1+INDEX($AE$21:$AE$97,B268))*(1+INDEX($AE$21:$AE$97,C268))*(1+INDEX($AE$21:$AE$97,D268))*(1+INDEX($AE$21:$AE$97,E268))*(1+INDEX($AE$21:$AE$97,F268))-1</f>
        <v>0.142826683374699</v>
      </c>
      <c r="O268" s="489">
        <f>(1+INDEX($AF$21:$AF$97,B268))*(1+INDEX($AF$21:$AF$97,C268))*(1+INDEX($AF$21:$AF$97,D268))*(1+INDEX($AF$21:$AF$97,E268))*(1+INDEX($AF$21:$AF$97,F268))-1</f>
        <v>0.206678123153924</v>
      </c>
      <c r="P268" s="489">
        <f>LN((1+L268)/(1+H268))</f>
        <v>-0.0207748375772566</v>
      </c>
      <c r="Q268" s="489">
        <f>LN((1+M268)/(1+H268))</f>
        <v>-0.00570621589006171</v>
      </c>
      <c r="R268" s="489">
        <f>LN((1+N268)/(1+H268))</f>
        <v>-0.0317372011227897</v>
      </c>
      <c r="S268" s="542">
        <f>LN((1+O268)/(1+H268))</f>
        <v>0.0226292901059538</v>
      </c>
    </row>
    <row r="269">
      <c r="A269" s="320" t="n">
        <v>168</v>
      </c>
      <c r="B269" s="174" t="n">
        <v>64</v>
      </c>
      <c r="C269" s="174" t="n">
        <v>42</v>
      </c>
      <c r="D269" s="174" t="n">
        <v>53</v>
      </c>
      <c r="E269" s="174" t="n">
        <v>69</v>
      </c>
      <c r="F269" s="174" t="n">
        <v>24</v>
      </c>
      <c r="G269" s="68">
        <f>(1+INDEX($Z$21:$Z$97,B269))*(1+INDEX($Z$21:$Z$97,C269))*(1+INDEX($Z$21:$Z$97,D269))*(1+INDEX($Z$21:$Z$97,E269))*(1+INDEX($Z$21:$Z$97,F269))-1</f>
        <v>0.23814978730396</v>
      </c>
      <c r="H269" s="68">
        <f>(1+INDEX($AA$21:$AA$97,B269))*(1+INDEX($AA$21:$AA$97,C269))*(1+INDEX($AA$21:$AA$97,D269))*(1+INDEX($AA$21:$AA$97,E269))*(1+INDEX($AA$21:$AA$97,F269))-1</f>
        <v>0.249362690190203</v>
      </c>
      <c r="I269" s="68">
        <f>(1+INDEX($AB$21:$AB$97,B269))*(1+INDEX($AB$21:$AB$97,C269))*(1+INDEX($AB$21:$AB$97,D269))*(1+INDEX($AB$21:$AB$97,E269))*(1+INDEX($AB$21:$AB$97,F269))-1</f>
        <v>0.262555555409342</v>
      </c>
      <c r="J269" s="489">
        <f>LN((1+G269)/(1+H269))</f>
        <v>-0.0090154151459973</v>
      </c>
      <c r="K269" s="489">
        <f>LN((1+I269)/(1+H269))</f>
        <v>0.0105043120340817</v>
      </c>
      <c r="L269" s="489">
        <f>(1+INDEX($AC$21:$AC$97,B269))*(1+INDEX($AC$21:$AC$97,C269))*(1+INDEX($AC$21:$AC$97,D269))*(1+INDEX($AC$21:$AC$97,E269))*(1+INDEX($AC$21:$AC$97,F269))-1</f>
        <v>0.267026578223783</v>
      </c>
      <c r="M269" s="489">
        <f>(1+INDEX($AD$21:$AD$97,B269))*(1+INDEX($AD$21:$AD$97,C269))*(1+INDEX($AD$21:$AD$97,D269))*(1+INDEX($AD$21:$AD$97,E269))*(1+INDEX($AD$21:$AD$97,F269))-1</f>
        <v>0.255013624110859</v>
      </c>
      <c r="N269" s="489">
        <f>(1+INDEX($AE$21:$AE$97,B269))*(1+INDEX($AE$21:$AE$97,C269))*(1+INDEX($AE$21:$AE$97,D269))*(1+INDEX($AE$21:$AE$97,E269))*(1+INDEX($AE$21:$AE$97,F269))-1</f>
        <v>0.264735016395278</v>
      </c>
      <c r="O269" s="489">
        <f>(1+INDEX($AF$21:$AF$97,B269))*(1+INDEX($AF$21:$AF$97,C269))*(1+INDEX($AF$21:$AF$97,D269))*(1+INDEX($AF$21:$AF$97,E269))*(1+INDEX($AF$21:$AF$97,F269))-1</f>
        <v>0.259413135158514</v>
      </c>
      <c r="P269" s="489">
        <f>LN((1+L269)/(1+H269))</f>
        <v>0.0140393049571287</v>
      </c>
      <c r="Q269" s="489">
        <f>LN((1+M269)/(1+H269))</f>
        <v>0.00451285494028534</v>
      </c>
      <c r="R269" s="489">
        <f>LN((1+N269)/(1+H269))</f>
        <v>0.0122290535818303</v>
      </c>
      <c r="S269" s="542">
        <f>LN((1+O269)/(1+H269))</f>
        <v>0.00801227326385366</v>
      </c>
    </row>
    <row r="270">
      <c r="A270" s="320" t="n">
        <v>169</v>
      </c>
      <c r="B270" s="174" t="n">
        <v>62</v>
      </c>
      <c r="C270" s="174" t="n">
        <v>4</v>
      </c>
      <c r="D270" s="174" t="n">
        <v>14</v>
      </c>
      <c r="E270" s="174" t="n">
        <v>49</v>
      </c>
      <c r="F270" s="174" t="n">
        <v>23</v>
      </c>
      <c r="G270" s="68">
        <f>(1+INDEX($Z$21:$Z$97,B270))*(1+INDEX($Z$21:$Z$97,C270))*(1+INDEX($Z$21:$Z$97,D270))*(1+INDEX($Z$21:$Z$97,E270))*(1+INDEX($Z$21:$Z$97,F270))-1</f>
        <v>0.382123137321958</v>
      </c>
      <c r="H270" s="68">
        <f>(1+INDEX($AA$21:$AA$97,B270))*(1+INDEX($AA$21:$AA$97,C270))*(1+INDEX($AA$21:$AA$97,D270))*(1+INDEX($AA$21:$AA$97,E270))*(1+INDEX($AA$21:$AA$97,F270))-1</f>
        <v>0.329230259277481</v>
      </c>
      <c r="I270" s="68">
        <f>(1+INDEX($AB$21:$AB$97,B270))*(1+INDEX($AB$21:$AB$97,C270))*(1+INDEX($AB$21:$AB$97,D270))*(1+INDEX($AB$21:$AB$97,E270))*(1+INDEX($AB$21:$AB$97,F270))-1</f>
        <v>0.36416949216051</v>
      </c>
      <c r="J270" s="489">
        <f>LN((1+G270)/(1+H270))</f>
        <v>0.0390207999191875</v>
      </c>
      <c r="K270" s="489">
        <f>LN((1+I270)/(1+H270))</f>
        <v>0.0259457905473553</v>
      </c>
      <c r="L270" s="489">
        <f>(1+INDEX($AC$21:$AC$97,B270))*(1+INDEX($AC$21:$AC$97,C270))*(1+INDEX($AC$21:$AC$97,D270))*(1+INDEX($AC$21:$AC$97,E270))*(1+INDEX($AC$21:$AC$97,F270))-1</f>
        <v>0.366104816622465</v>
      </c>
      <c r="M270" s="489">
        <f>(1+INDEX($AD$21:$AD$97,B270))*(1+INDEX($AD$21:$AD$97,C270))*(1+INDEX($AD$21:$AD$97,D270))*(1+INDEX($AD$21:$AD$97,E270))*(1+INDEX($AD$21:$AD$97,F270))-1</f>
        <v>0.335235025979873</v>
      </c>
      <c r="N270" s="489">
        <f>(1+INDEX($AE$21:$AE$97,B270))*(1+INDEX($AE$21:$AE$97,C270))*(1+INDEX($AE$21:$AE$97,D270))*(1+INDEX($AE$21:$AE$97,E270))*(1+INDEX($AE$21:$AE$97,F270))-1</f>
        <v>0.343565074687143</v>
      </c>
      <c r="O270" s="489">
        <f>(1+INDEX($AF$21:$AF$97,B270))*(1+INDEX($AF$21:$AF$97,C270))*(1+INDEX($AF$21:$AF$97,D270))*(1+INDEX($AF$21:$AF$97,E270))*(1+INDEX($AF$21:$AF$97,F270))-1</f>
        <v>0.301454586256736</v>
      </c>
      <c r="P270" s="489">
        <f>LN((1+L270)/(1+H270))</f>
        <v>0.0273634684560294</v>
      </c>
      <c r="Q270" s="489">
        <f>LN((1+M270)/(1+H270))</f>
        <v>0.00450730351157182</v>
      </c>
      <c r="R270" s="489">
        <f>LN((1+N270)/(1+H270))</f>
        <v>0.0107265623171341</v>
      </c>
      <c r="S270" s="542">
        <f>LN((1+O270)/(1+H270))</f>
        <v>-0.0211174708122554</v>
      </c>
    </row>
    <row r="271">
      <c r="A271" s="320" t="n">
        <v>170</v>
      </c>
      <c r="B271" s="174" t="n">
        <v>26</v>
      </c>
      <c r="C271" s="174" t="n">
        <v>39</v>
      </c>
      <c r="D271" s="174" t="n">
        <v>72</v>
      </c>
      <c r="E271" s="174" t="n">
        <v>9</v>
      </c>
      <c r="F271" s="174" t="n">
        <v>31</v>
      </c>
      <c r="G271" s="68">
        <f>(1+INDEX($Z$21:$Z$97,B271))*(1+INDEX($Z$21:$Z$97,C271))*(1+INDEX($Z$21:$Z$97,D271))*(1+INDEX($Z$21:$Z$97,E271))*(1+INDEX($Z$21:$Z$97,F271))-1</f>
        <v>0.333108421534447</v>
      </c>
      <c r="H271" s="68">
        <f>(1+INDEX($AA$21:$AA$97,B271))*(1+INDEX($AA$21:$AA$97,C271))*(1+INDEX($AA$21:$AA$97,D271))*(1+INDEX($AA$21:$AA$97,E271))*(1+INDEX($AA$21:$AA$97,F271))-1</f>
        <v>0.357083178532937</v>
      </c>
      <c r="I271" s="68">
        <f>(1+INDEX($AB$21:$AB$97,B271))*(1+INDEX($AB$21:$AB$97,C271))*(1+INDEX($AB$21:$AB$97,D271))*(1+INDEX($AB$21:$AB$97,E271))*(1+INDEX($AB$21:$AB$97,F271))-1</f>
        <v>0.382080763922031</v>
      </c>
      <c r="J271" s="489">
        <f>LN((1+G271)/(1+H271))</f>
        <v>-0.0178243004978411</v>
      </c>
      <c r="K271" s="489">
        <f>LN((1+I271)/(1+H271))</f>
        <v>0.0182524886518932</v>
      </c>
      <c r="L271" s="489">
        <f>(1+INDEX($AC$21:$AC$97,B271))*(1+INDEX($AC$21:$AC$97,C271))*(1+INDEX($AC$21:$AC$97,D271))*(1+INDEX($AC$21:$AC$97,E271))*(1+INDEX($AC$21:$AC$97,F271))-1</f>
        <v>0.356906576114207</v>
      </c>
      <c r="M271" s="489">
        <f>(1+INDEX($AD$21:$AD$97,B271))*(1+INDEX($AD$21:$AD$97,C271))*(1+INDEX($AD$21:$AD$97,D271))*(1+INDEX($AD$21:$AD$97,E271))*(1+INDEX($AD$21:$AD$97,F271))-1</f>
        <v>0.398360186692403</v>
      </c>
      <c r="N271" s="489">
        <f>(1+INDEX($AE$21:$AE$97,B271))*(1+INDEX($AE$21:$AE$97,C271))*(1+INDEX($AE$21:$AE$97,D271))*(1+INDEX($AE$21:$AE$97,E271))*(1+INDEX($AE$21:$AE$97,F271))-1</f>
        <v>0.352968839352475</v>
      </c>
      <c r="O271" s="489">
        <f>(1+INDEX($AF$21:$AF$97,B271))*(1+INDEX($AF$21:$AF$97,C271))*(1+INDEX($AF$21:$AF$97,D271))*(1+INDEX($AF$21:$AF$97,E271))*(1+INDEX($AF$21:$AF$97,F271))-1</f>
        <v>0.408519545691961</v>
      </c>
      <c r="P271" s="489">
        <f>LN((1+L271)/(1+H271))</f>
        <v>-0.000130142288619058</v>
      </c>
      <c r="Q271" s="489">
        <f>LN((1+M271)/(1+H271))</f>
        <v>0.0299625800274013</v>
      </c>
      <c r="R271" s="489">
        <f>LN((1+N271)/(1+H271))</f>
        <v>-0.0030363567299133</v>
      </c>
      <c r="S271" s="542">
        <f>LN((1+O271)/(1+H271))</f>
        <v>0.0372015103218681</v>
      </c>
    </row>
    <row r="272">
      <c r="A272" s="320" t="n">
        <v>171</v>
      </c>
      <c r="B272" s="174" t="n">
        <v>27</v>
      </c>
      <c r="C272" s="174" t="n">
        <v>70</v>
      </c>
      <c r="D272" s="174" t="n">
        <v>24</v>
      </c>
      <c r="E272" s="174" t="n">
        <v>25</v>
      </c>
      <c r="F272" s="174" t="n">
        <v>73</v>
      </c>
      <c r="G272" s="68">
        <f>(1+INDEX($Z$21:$Z$97,B272))*(1+INDEX($Z$21:$Z$97,C272))*(1+INDEX($Z$21:$Z$97,D272))*(1+INDEX($Z$21:$Z$97,E272))*(1+INDEX($Z$21:$Z$97,F272))-1</f>
        <v>0.808189093029608</v>
      </c>
      <c r="H272" s="68">
        <f>(1+INDEX($AA$21:$AA$97,B272))*(1+INDEX($AA$21:$AA$97,C272))*(1+INDEX($AA$21:$AA$97,D272))*(1+INDEX($AA$21:$AA$97,E272))*(1+INDEX($AA$21:$AA$97,F272))-1</f>
        <v>0.716071708260699</v>
      </c>
      <c r="I272" s="68">
        <f>(1+INDEX($AB$21:$AB$97,B272))*(1+INDEX($AB$21:$AB$97,C272))*(1+INDEX($AB$21:$AB$97,D272))*(1+INDEX($AB$21:$AB$97,E272))*(1+INDEX($AB$21:$AB$97,F272))-1</f>
        <v>0.827193041543242</v>
      </c>
      <c r="J272" s="489">
        <f>LN((1+G272)/(1+H272))</f>
        <v>0.0522880551304345</v>
      </c>
      <c r="K272" s="489">
        <f>LN((1+I272)/(1+H272))</f>
        <v>0.0627431439866807</v>
      </c>
      <c r="L272" s="489">
        <f>(1+INDEX($AC$21:$AC$97,B272))*(1+INDEX($AC$21:$AC$97,C272))*(1+INDEX($AC$21:$AC$97,D272))*(1+INDEX($AC$21:$AC$97,E272))*(1+INDEX($AC$21:$AC$97,F272))-1</f>
        <v>0.811391105475894</v>
      </c>
      <c r="M272" s="489">
        <f>(1+INDEX($AD$21:$AD$97,B272))*(1+INDEX($AD$21:$AD$97,C272))*(1+INDEX($AD$21:$AD$97,D272))*(1+INDEX($AD$21:$AD$97,E272))*(1+INDEX($AD$21:$AD$97,F272))-1</f>
        <v>0.813433866220531</v>
      </c>
      <c r="N272" s="489">
        <f>(1+INDEX($AE$21:$AE$97,B272))*(1+INDEX($AE$21:$AE$97,C272))*(1+INDEX($AE$21:$AE$97,D272))*(1+INDEX($AE$21:$AE$97,E272))*(1+INDEX($AE$21:$AE$97,F272))-1</f>
        <v>0.793514330967994</v>
      </c>
      <c r="O272" s="489">
        <f>(1+INDEX($AF$21:$AF$97,B272))*(1+INDEX($AF$21:$AF$97,C272))*(1+INDEX($AF$21:$AF$97,D272))*(1+INDEX($AF$21:$AF$97,E272))*(1+INDEX($AF$21:$AF$97,F272))-1</f>
        <v>0.7518962732933</v>
      </c>
      <c r="P272" s="489">
        <f>LN((1+L272)/(1+H272))</f>
        <v>0.0540573284195785</v>
      </c>
      <c r="Q272" s="489">
        <f>LN((1+M272)/(1+H272))</f>
        <v>0.0551844233700043</v>
      </c>
      <c r="R272" s="489">
        <f>LN((1+N272)/(1+H272))</f>
        <v>0.0441392202383723</v>
      </c>
      <c r="S272" s="542">
        <f>LN((1+O272)/(1+H272))</f>
        <v>0.020660997796877</v>
      </c>
    </row>
    <row r="273">
      <c r="A273" s="320" t="n">
        <v>172</v>
      </c>
      <c r="B273" s="174" t="n">
        <v>50</v>
      </c>
      <c r="C273" s="174" t="n">
        <v>39</v>
      </c>
      <c r="D273" s="174" t="n">
        <v>62</v>
      </c>
      <c r="E273" s="174" t="n">
        <v>1</v>
      </c>
      <c r="F273" s="174" t="n">
        <v>20</v>
      </c>
      <c r="G273" s="68">
        <f>(1+INDEX($Z$21:$Z$97,B273))*(1+INDEX($Z$21:$Z$97,C273))*(1+INDEX($Z$21:$Z$97,D273))*(1+INDEX($Z$21:$Z$97,E273))*(1+INDEX($Z$21:$Z$97,F273))-1</f>
        <v>0.205530656040555</v>
      </c>
      <c r="H273" s="68">
        <f>(1+INDEX($AA$21:$AA$97,B273))*(1+INDEX($AA$21:$AA$97,C273))*(1+INDEX($AA$21:$AA$97,D273))*(1+INDEX($AA$21:$AA$97,E273))*(1+INDEX($AA$21:$AA$97,F273))-1</f>
        <v>0.153390767049557</v>
      </c>
      <c r="I273" s="68">
        <f>(1+INDEX($AB$21:$AB$97,B273))*(1+INDEX($AB$21:$AB$97,C273))*(1+INDEX($AB$21:$AB$97,D273))*(1+INDEX($AB$21:$AB$97,E273))*(1+INDEX($AB$21:$AB$97,F273))-1</f>
        <v>0.150735615405922</v>
      </c>
      <c r="J273" s="489">
        <f>LN((1+G273)/(1+H273))</f>
        <v>0.0442137512798863</v>
      </c>
      <c r="K273" s="489">
        <f>LN((1+I273)/(1+H273))</f>
        <v>-0.00230469373478304</v>
      </c>
      <c r="L273" s="489">
        <f>(1+INDEX($AC$21:$AC$97,B273))*(1+INDEX($AC$21:$AC$97,C273))*(1+INDEX($AC$21:$AC$97,D273))*(1+INDEX($AC$21:$AC$97,E273))*(1+INDEX($AC$21:$AC$97,F273))-1</f>
        <v>0.141516134499368</v>
      </c>
      <c r="M273" s="489">
        <f>(1+INDEX($AD$21:$AD$97,B273))*(1+INDEX($AD$21:$AD$97,C273))*(1+INDEX($AD$21:$AD$97,D273))*(1+INDEX($AD$21:$AD$97,E273))*(1+INDEX($AD$21:$AD$97,F273))-1</f>
        <v>0.144546094948286</v>
      </c>
      <c r="N273" s="489">
        <f>(1+INDEX($AE$21:$AE$97,B273))*(1+INDEX($AE$21:$AE$97,C273))*(1+INDEX($AE$21:$AE$97,D273))*(1+INDEX($AE$21:$AE$97,E273))*(1+INDEX($AE$21:$AE$97,F273))-1</f>
        <v>0.146283703660617</v>
      </c>
      <c r="O273" s="489">
        <f>(1+INDEX($AF$21:$AF$97,B273))*(1+INDEX($AF$21:$AF$97,C273))*(1+INDEX($AF$21:$AF$97,D273))*(1+INDEX($AF$21:$AF$97,E273))*(1+INDEX($AF$21:$AF$97,F273))-1</f>
        <v>0.150255215516744</v>
      </c>
      <c r="P273" s="489">
        <f>LN((1+L273)/(1+H273))</f>
        <v>-0.010348775822036</v>
      </c>
      <c r="Q273" s="489">
        <f>LN((1+M273)/(1+H273))</f>
        <v>-0.0076979623978567</v>
      </c>
      <c r="R273" s="489">
        <f>LN((1+N273)/(1+H273))</f>
        <v>-0.00618094961356333</v>
      </c>
      <c r="S273" s="542">
        <f>LN((1+O273)/(1+H273))</f>
        <v>-0.00272225289208348</v>
      </c>
    </row>
    <row r="274">
      <c r="A274" s="320" t="n">
        <v>173</v>
      </c>
      <c r="B274" s="174" t="n">
        <v>40</v>
      </c>
      <c r="C274" s="174" t="n">
        <v>4</v>
      </c>
      <c r="D274" s="174" t="n">
        <v>5</v>
      </c>
      <c r="E274" s="174" t="n">
        <v>49</v>
      </c>
      <c r="F274" s="174" t="n">
        <v>74</v>
      </c>
      <c r="G274" s="68">
        <f>(1+INDEX($Z$21:$Z$97,B274))*(1+INDEX($Z$21:$Z$97,C274))*(1+INDEX($Z$21:$Z$97,D274))*(1+INDEX($Z$21:$Z$97,E274))*(1+INDEX($Z$21:$Z$97,F274))-1</f>
        <v>0.291897849835222</v>
      </c>
      <c r="H274" s="68">
        <f>(1+INDEX($AA$21:$AA$97,B274))*(1+INDEX($AA$21:$AA$97,C274))*(1+INDEX($AA$21:$AA$97,D274))*(1+INDEX($AA$21:$AA$97,E274))*(1+INDEX($AA$21:$AA$97,F274))-1</f>
        <v>0.280945273485771</v>
      </c>
      <c r="I274" s="68">
        <f>(1+INDEX($AB$21:$AB$97,B274))*(1+INDEX($AB$21:$AB$97,C274))*(1+INDEX($AB$21:$AB$97,D274))*(1+INDEX($AB$21:$AB$97,E274))*(1+INDEX($AB$21:$AB$97,F274))-1</f>
        <v>0.279810865748113</v>
      </c>
      <c r="J274" s="489">
        <f>LN((1+G274)/(1+H274))</f>
        <v>0.00851403835059432</v>
      </c>
      <c r="K274" s="489">
        <f>LN((1+I274)/(1+H274))</f>
        <v>-0.000885994409608078</v>
      </c>
      <c r="L274" s="489">
        <f>(1+INDEX($AC$21:$AC$97,B274))*(1+INDEX($AC$21:$AC$97,C274))*(1+INDEX($AC$21:$AC$97,D274))*(1+INDEX($AC$21:$AC$97,E274))*(1+INDEX($AC$21:$AC$97,F274))-1</f>
        <v>0.279070205866305</v>
      </c>
      <c r="M274" s="489">
        <f>(1+INDEX($AD$21:$AD$97,B274))*(1+INDEX($AD$21:$AD$97,C274))*(1+INDEX($AD$21:$AD$97,D274))*(1+INDEX($AD$21:$AD$97,E274))*(1+INDEX($AD$21:$AD$97,F274))-1</f>
        <v>0.266986472310092</v>
      </c>
      <c r="N274" s="489">
        <f>(1+INDEX($AE$21:$AE$97,B274))*(1+INDEX($AE$21:$AE$97,C274))*(1+INDEX($AE$21:$AE$97,D274))*(1+INDEX($AE$21:$AE$97,E274))*(1+INDEX($AE$21:$AE$97,F274))-1</f>
        <v>0.253879774136103</v>
      </c>
      <c r="O274" s="489">
        <f>(1+INDEX($AF$21:$AF$97,B274))*(1+INDEX($AF$21:$AF$97,C274))*(1+INDEX($AF$21:$AF$97,D274))*(1+INDEX($AF$21:$AF$97,E274))*(1+INDEX($AF$21:$AF$97,F274))-1</f>
        <v>0.289518413547356</v>
      </c>
      <c r="P274" s="489">
        <f>LN((1+L274)/(1+H274))</f>
        <v>-0.00146488798204367</v>
      </c>
      <c r="Q274" s="489">
        <f>LN((1+M274)/(1+H274))</f>
        <v>-0.0109570759525602</v>
      </c>
      <c r="R274" s="489">
        <f>LN((1+N274)/(1+H274))</f>
        <v>-0.0213557365692164</v>
      </c>
      <c r="S274" s="542">
        <f>LN((1+O274)/(1+H274))</f>
        <v>0.00667052555066196</v>
      </c>
    </row>
    <row r="275">
      <c r="A275" s="320" t="n">
        <v>174</v>
      </c>
      <c r="B275" s="174" t="n">
        <v>60</v>
      </c>
      <c r="C275" s="174" t="n">
        <v>17</v>
      </c>
      <c r="D275" s="174" t="n">
        <v>33</v>
      </c>
      <c r="E275" s="174" t="n">
        <v>73</v>
      </c>
      <c r="F275" s="174" t="n">
        <v>67</v>
      </c>
      <c r="G275" s="68">
        <f>(1+INDEX($Z$21:$Z$97,B275))*(1+INDEX($Z$21:$Z$97,C275))*(1+INDEX($Z$21:$Z$97,D275))*(1+INDEX($Z$21:$Z$97,E275))*(1+INDEX($Z$21:$Z$97,F275))-1</f>
        <v>0.682272382661701</v>
      </c>
      <c r="H275" s="68">
        <f>(1+INDEX($AA$21:$AA$97,B275))*(1+INDEX($AA$21:$AA$97,C275))*(1+INDEX($AA$21:$AA$97,D275))*(1+INDEX($AA$21:$AA$97,E275))*(1+INDEX($AA$21:$AA$97,F275))-1</f>
        <v>0.687184316572391</v>
      </c>
      <c r="I275" s="68">
        <f>(1+INDEX($AB$21:$AB$97,B275))*(1+INDEX($AB$21:$AB$97,C275))*(1+INDEX($AB$21:$AB$97,D275))*(1+INDEX($AB$21:$AB$97,E275))*(1+INDEX($AB$21:$AB$97,F275))-1</f>
        <v>0.744263817529671</v>
      </c>
      <c r="J275" s="489">
        <f>LN((1+G275)/(1+H275))</f>
        <v>-0.00291556641241793</v>
      </c>
      <c r="K275" s="489">
        <f>LN((1+I275)/(1+H275))</f>
        <v>0.033271530962055</v>
      </c>
      <c r="L275" s="489">
        <f>(1+INDEX($AC$21:$AC$97,B275))*(1+INDEX($AC$21:$AC$97,C275))*(1+INDEX($AC$21:$AC$97,D275))*(1+INDEX($AC$21:$AC$97,E275))*(1+INDEX($AC$21:$AC$97,F275))-1</f>
        <v>0.760405829693979</v>
      </c>
      <c r="M275" s="489">
        <f>(1+INDEX($AD$21:$AD$97,B275))*(1+INDEX($AD$21:$AD$97,C275))*(1+INDEX($AD$21:$AD$97,D275))*(1+INDEX($AD$21:$AD$97,E275))*(1+INDEX($AD$21:$AD$97,F275))-1</f>
        <v>0.714752828424815</v>
      </c>
      <c r="N275" s="489">
        <f>(1+INDEX($AE$21:$AE$97,B275))*(1+INDEX($AE$21:$AE$97,C275))*(1+INDEX($AE$21:$AE$97,D275))*(1+INDEX($AE$21:$AE$97,E275))*(1+INDEX($AE$21:$AE$97,F275))-1</f>
        <v>0.771660173579306</v>
      </c>
      <c r="O275" s="489">
        <f>(1+INDEX($AF$21:$AF$97,B275))*(1+INDEX($AF$21:$AF$97,C275))*(1+INDEX($AF$21:$AF$97,D275))*(1+INDEX($AF$21:$AF$97,E275))*(1+INDEX($AF$21:$AF$97,F275))-1</f>
        <v>0.605321376958476</v>
      </c>
      <c r="P275" s="489">
        <f>LN((1+L275)/(1+H275))</f>
        <v>0.0424833129191532</v>
      </c>
      <c r="Q275" s="489">
        <f>LN((1+M275)/(1+H275))</f>
        <v>0.0162078922600209</v>
      </c>
      <c r="R275" s="489">
        <f>LN((1+N275)/(1+H275))</f>
        <v>0.0488560035554885</v>
      </c>
      <c r="S275" s="542">
        <f>LN((1+O275)/(1+H275))</f>
        <v>-0.0497370832009088</v>
      </c>
    </row>
    <row r="276">
      <c r="A276" s="320" t="n">
        <v>175</v>
      </c>
      <c r="B276" s="174" t="n">
        <v>52</v>
      </c>
      <c r="C276" s="174" t="n">
        <v>43</v>
      </c>
      <c r="D276" s="174" t="n">
        <v>58</v>
      </c>
      <c r="E276" s="174" t="n">
        <v>41</v>
      </c>
      <c r="F276" s="174" t="n">
        <v>45</v>
      </c>
      <c r="G276" s="68">
        <f>(1+INDEX($Z$21:$Z$97,B276))*(1+INDEX($Z$21:$Z$97,C276))*(1+INDEX($Z$21:$Z$97,D276))*(1+INDEX($Z$21:$Z$97,E276))*(1+INDEX($Z$21:$Z$97,F276))-1</f>
        <v>0.744484823670789</v>
      </c>
      <c r="H276" s="68">
        <f>(1+INDEX($AA$21:$AA$97,B276))*(1+INDEX($AA$21:$AA$97,C276))*(1+INDEX($AA$21:$AA$97,D276))*(1+INDEX($AA$21:$AA$97,E276))*(1+INDEX($AA$21:$AA$97,F276))-1</f>
        <v>0.734838488450596</v>
      </c>
      <c r="I276" s="68">
        <f>(1+INDEX($AB$21:$AB$97,B276))*(1+INDEX($AB$21:$AB$97,C276))*(1+INDEX($AB$21:$AB$97,D276))*(1+INDEX($AB$21:$AB$97,E276))*(1+INDEX($AB$21:$AB$97,F276))-1</f>
        <v>0.808593863888085</v>
      </c>
      <c r="J276" s="489">
        <f>LN((1+G276)/(1+H276))</f>
        <v>0.00554496324189738</v>
      </c>
      <c r="K276" s="489">
        <f>LN((1+I276)/(1+H276))</f>
        <v>0.0416353537417335</v>
      </c>
      <c r="L276" s="489">
        <f>(1+INDEX($AC$21:$AC$97,B276))*(1+INDEX($AC$21:$AC$97,C276))*(1+INDEX($AC$21:$AC$97,D276))*(1+INDEX($AC$21:$AC$97,E276))*(1+INDEX($AC$21:$AC$97,F276))-1</f>
        <v>0.83794255815184</v>
      </c>
      <c r="M276" s="489">
        <f>(1+INDEX($AD$21:$AD$97,B276))*(1+INDEX($AD$21:$AD$97,C276))*(1+INDEX($AD$21:$AD$97,D276))*(1+INDEX($AD$21:$AD$97,E276))*(1+INDEX($AD$21:$AD$97,F276))-1</f>
        <v>0.77025073908371</v>
      </c>
      <c r="N276" s="489">
        <f>(1+INDEX($AE$21:$AE$97,B276))*(1+INDEX($AE$21:$AE$97,C276))*(1+INDEX($AE$21:$AE$97,D276))*(1+INDEX($AE$21:$AE$97,E276))*(1+INDEX($AE$21:$AE$97,F276))-1</f>
        <v>0.814321188268521</v>
      </c>
      <c r="O276" s="489">
        <f>(1+INDEX($AF$21:$AF$97,B276))*(1+INDEX($AF$21:$AF$97,C276))*(1+INDEX($AF$21:$AF$97,D276))*(1+INDEX($AF$21:$AF$97,E276))*(1+INDEX($AF$21:$AF$97,F276))-1</f>
        <v>0.718314927335803</v>
      </c>
      <c r="P276" s="489">
        <f>LN((1+L276)/(1+H276))</f>
        <v>0.0577324522439739</v>
      </c>
      <c r="Q276" s="489">
        <f>LN((1+M276)/(1+H276))</f>
        <v>0.0202068782166538</v>
      </c>
      <c r="R276" s="489">
        <f>LN((1+N276)/(1+H276))</f>
        <v>0.0447970779715773</v>
      </c>
      <c r="S276" s="542">
        <f>LN((1+O276)/(1+H276))</f>
        <v>-0.00957020163276462</v>
      </c>
    </row>
    <row r="277">
      <c r="A277" s="320" t="n">
        <v>176</v>
      </c>
      <c r="B277" s="174" t="n">
        <v>47</v>
      </c>
      <c r="C277" s="174" t="n">
        <v>52</v>
      </c>
      <c r="D277" s="174" t="n">
        <v>70</v>
      </c>
      <c r="E277" s="174" t="n">
        <v>12</v>
      </c>
      <c r="F277" s="174" t="n">
        <v>71</v>
      </c>
      <c r="G277" s="68">
        <f>(1+INDEX($Z$21:$Z$97,B277))*(1+INDEX($Z$21:$Z$97,C277))*(1+INDEX($Z$21:$Z$97,D277))*(1+INDEX($Z$21:$Z$97,E277))*(1+INDEX($Z$21:$Z$97,F277))-1</f>
        <v>1.00450457702917</v>
      </c>
      <c r="H277" s="68">
        <f>(1+INDEX($AA$21:$AA$97,B277))*(1+INDEX($AA$21:$AA$97,C277))*(1+INDEX($AA$21:$AA$97,D277))*(1+INDEX($AA$21:$AA$97,E277))*(1+INDEX($AA$21:$AA$97,F277))-1</f>
        <v>0.871310343965217</v>
      </c>
      <c r="I277" s="68">
        <f>(1+INDEX($AB$21:$AB$97,B277))*(1+INDEX($AB$21:$AB$97,C277))*(1+INDEX($AB$21:$AB$97,D277))*(1+INDEX($AB$21:$AB$97,E277))*(1+INDEX($AB$21:$AB$97,F277))-1</f>
        <v>0.965881664221719</v>
      </c>
      <c r="J277" s="489">
        <f>LN((1+G277)/(1+H277))</f>
        <v>0.0687580322990519</v>
      </c>
      <c r="K277" s="489">
        <f>LN((1+I277)/(1+H277))</f>
        <v>0.0493019245991694</v>
      </c>
      <c r="L277" s="489">
        <f>(1+INDEX($AC$21:$AC$97,B277))*(1+INDEX($AC$21:$AC$97,C277))*(1+INDEX($AC$21:$AC$97,D277))*(1+INDEX($AC$21:$AC$97,E277))*(1+INDEX($AC$21:$AC$97,F277))-1</f>
        <v>0.962530498211051</v>
      </c>
      <c r="M277" s="489">
        <f>(1+INDEX($AD$21:$AD$97,B277))*(1+INDEX($AD$21:$AD$97,C277))*(1+INDEX($AD$21:$AD$97,D277))*(1+INDEX($AD$21:$AD$97,E277))*(1+INDEX($AD$21:$AD$97,F277))-1</f>
        <v>0.946812131894391</v>
      </c>
      <c r="N277" s="489">
        <f>(1+INDEX($AE$21:$AE$97,B277))*(1+INDEX($AE$21:$AE$97,C277))*(1+INDEX($AE$21:$AE$97,D277))*(1+INDEX($AE$21:$AE$97,E277))*(1+INDEX($AE$21:$AE$97,F277))-1</f>
        <v>0.958152576793309</v>
      </c>
      <c r="O277" s="489">
        <f>(1+INDEX($AF$21:$AF$97,B277))*(1+INDEX($AF$21:$AF$97,C277))*(1+INDEX($AF$21:$AF$97,D277))*(1+INDEX($AF$21:$AF$97,E277))*(1+INDEX($AF$21:$AF$97,F277))-1</f>
        <v>0.912426661090269</v>
      </c>
      <c r="P277" s="489">
        <f>LN((1+L277)/(1+H277))</f>
        <v>0.0475958068676311</v>
      </c>
      <c r="Q277" s="489">
        <f>LN((1+M277)/(1+H277))</f>
        <v>0.0395543264926943</v>
      </c>
      <c r="R277" s="489">
        <f>LN((1+N277)/(1+H277))</f>
        <v>0.0453625617144157</v>
      </c>
      <c r="S277" s="542">
        <f>LN((1+O277)/(1+H277))</f>
        <v>0.0217340346651891</v>
      </c>
    </row>
    <row r="278">
      <c r="A278" s="320" t="n">
        <v>177</v>
      </c>
      <c r="B278" s="174" t="n">
        <v>58</v>
      </c>
      <c r="C278" s="174" t="n">
        <v>18</v>
      </c>
      <c r="D278" s="174" t="n">
        <v>61</v>
      </c>
      <c r="E278" s="174" t="n">
        <v>71</v>
      </c>
      <c r="F278" s="174" t="n">
        <v>30</v>
      </c>
      <c r="G278" s="68">
        <f>(1+INDEX($Z$21:$Z$97,B278))*(1+INDEX($Z$21:$Z$97,C278))*(1+INDEX($Z$21:$Z$97,D278))*(1+INDEX($Z$21:$Z$97,E278))*(1+INDEX($Z$21:$Z$97,F278))-1</f>
        <v>0.82674713824603</v>
      </c>
      <c r="H278" s="68">
        <f>(1+INDEX($AA$21:$AA$97,B278))*(1+INDEX($AA$21:$AA$97,C278))*(1+INDEX($AA$21:$AA$97,D278))*(1+INDEX($AA$21:$AA$97,E278))*(1+INDEX($AA$21:$AA$97,F278))-1</f>
        <v>0.748416969359447</v>
      </c>
      <c r="I278" s="68">
        <f>(1+INDEX($AB$21:$AB$97,B278))*(1+INDEX($AB$21:$AB$97,C278))*(1+INDEX($AB$21:$AB$97,D278))*(1+INDEX($AB$21:$AB$97,E278))*(1+INDEX($AB$21:$AB$97,F278))-1</f>
        <v>0.766936984884257</v>
      </c>
      <c r="J278" s="489">
        <f>LN((1+G278)/(1+H278))</f>
        <v>0.0438260754953106</v>
      </c>
      <c r="K278" s="489">
        <f>LN((1+I278)/(1+H278))</f>
        <v>0.0105367408864389</v>
      </c>
      <c r="L278" s="489">
        <f>(1+INDEX($AC$21:$AC$97,B278))*(1+INDEX($AC$21:$AC$97,C278))*(1+INDEX($AC$21:$AC$97,D278))*(1+INDEX($AC$21:$AC$97,E278))*(1+INDEX($AC$21:$AC$97,F278))-1</f>
        <v>0.801484709096003</v>
      </c>
      <c r="M278" s="489">
        <f>(1+INDEX($AD$21:$AD$97,B278))*(1+INDEX($AD$21:$AD$97,C278))*(1+INDEX($AD$21:$AD$97,D278))*(1+INDEX($AD$21:$AD$97,E278))*(1+INDEX($AD$21:$AD$97,F278))-1</f>
        <v>0.71925788950963</v>
      </c>
      <c r="N278" s="489">
        <f>(1+INDEX($AE$21:$AE$97,B278))*(1+INDEX($AE$21:$AE$97,C278))*(1+INDEX($AE$21:$AE$97,D278))*(1+INDEX($AE$21:$AE$97,E278))*(1+INDEX($AE$21:$AE$97,F278))-1</f>
        <v>0.836605080384612</v>
      </c>
      <c r="O278" s="489">
        <f>(1+INDEX($AF$21:$AF$97,B278))*(1+INDEX($AF$21:$AF$97,C278))*(1+INDEX($AF$21:$AF$97,D278))*(1+INDEX($AF$21:$AF$97,E278))*(1+INDEX($AF$21:$AF$97,F278))-1</f>
        <v>0.698641616984894</v>
      </c>
      <c r="P278" s="489">
        <f>LN((1+L278)/(1+H278))</f>
        <v>0.0299003736860642</v>
      </c>
      <c r="Q278" s="489">
        <f>LN((1+M278)/(1+H278))</f>
        <v>-0.0168180514780197</v>
      </c>
      <c r="R278" s="489">
        <f>LN((1+N278)/(1+H278))</f>
        <v>0.0492080127730031</v>
      </c>
      <c r="S278" s="542">
        <f>LN((1+O278)/(1+H278))</f>
        <v>-0.0288819067904106</v>
      </c>
    </row>
    <row r="279">
      <c r="A279" s="320" t="n">
        <v>178</v>
      </c>
      <c r="B279" s="174" t="n">
        <v>60</v>
      </c>
      <c r="C279" s="174" t="n">
        <v>35</v>
      </c>
      <c r="D279" s="174" t="n">
        <v>23</v>
      </c>
      <c r="E279" s="174" t="n">
        <v>25</v>
      </c>
      <c r="F279" s="174" t="n">
        <v>50</v>
      </c>
      <c r="G279" s="68">
        <f>(1+INDEX($Z$21:$Z$97,B279))*(1+INDEX($Z$21:$Z$97,C279))*(1+INDEX($Z$21:$Z$97,D279))*(1+INDEX($Z$21:$Z$97,E279))*(1+INDEX($Z$21:$Z$97,F279))-1</f>
        <v>0.809002151175551</v>
      </c>
      <c r="H279" s="68">
        <f>(1+INDEX($AA$21:$AA$97,B279))*(1+INDEX($AA$21:$AA$97,C279))*(1+INDEX($AA$21:$AA$97,D279))*(1+INDEX($AA$21:$AA$97,E279))*(1+INDEX($AA$21:$AA$97,F279))-1</f>
        <v>0.735142769103936</v>
      </c>
      <c r="I279" s="68">
        <f>(1+INDEX($AB$21:$AB$97,B279))*(1+INDEX($AB$21:$AB$97,C279))*(1+INDEX($AB$21:$AB$97,D279))*(1+INDEX($AB$21:$AB$97,E279))*(1+INDEX($AB$21:$AB$97,F279))-1</f>
        <v>0.815784268870961</v>
      </c>
      <c r="J279" s="489">
        <f>LN((1+G279)/(1+H279))</f>
        <v>0.0416856978828675</v>
      </c>
      <c r="K279" s="489">
        <f>LN((1+I279)/(1+H279))</f>
        <v>0.0454277807665215</v>
      </c>
      <c r="L279" s="489">
        <f>(1+INDEX($AC$21:$AC$97,B279))*(1+INDEX($AC$21:$AC$97,C279))*(1+INDEX($AC$21:$AC$97,D279))*(1+INDEX($AC$21:$AC$97,E279))*(1+INDEX($AC$21:$AC$97,F279))-1</f>
        <v>0.818275974884297</v>
      </c>
      <c r="M279" s="489">
        <f>(1+INDEX($AD$21:$AD$97,B279))*(1+INDEX($AD$21:$AD$97,C279))*(1+INDEX($AD$21:$AD$97,D279))*(1+INDEX($AD$21:$AD$97,E279))*(1+INDEX($AD$21:$AD$97,F279))-1</f>
        <v>0.803673944620955</v>
      </c>
      <c r="N279" s="489">
        <f>(1+INDEX($AE$21:$AE$97,B279))*(1+INDEX($AE$21:$AE$97,C279))*(1+INDEX($AE$21:$AE$97,D279))*(1+INDEX($AE$21:$AE$97,E279))*(1+INDEX($AE$21:$AE$97,F279))-1</f>
        <v>0.825471636734217</v>
      </c>
      <c r="O279" s="489">
        <f>(1+INDEX($AF$21:$AF$97,B279))*(1+INDEX($AF$21:$AF$97,C279))*(1+INDEX($AF$21:$AF$97,D279))*(1+INDEX($AF$21:$AF$97,E279))*(1+INDEX($AF$21:$AF$97,F279))-1</f>
        <v>0.701620816554125</v>
      </c>
      <c r="P279" s="489">
        <f>LN((1+L279)/(1+H279))</f>
        <v>0.0467990879197724</v>
      </c>
      <c r="Q279" s="489">
        <f>LN((1+M279)/(1+H279))</f>
        <v>0.0387359673913085</v>
      </c>
      <c r="R279" s="489">
        <f>LN((1+N279)/(1+H279))</f>
        <v>0.0507486870527831</v>
      </c>
      <c r="S279" s="542">
        <f>LN((1+O279)/(1+H279))</f>
        <v>-0.0195084793343522</v>
      </c>
    </row>
    <row r="280">
      <c r="A280" s="320" t="n">
        <v>179</v>
      </c>
      <c r="B280" s="174" t="n">
        <v>20</v>
      </c>
      <c r="C280" s="174" t="n">
        <v>55</v>
      </c>
      <c r="D280" s="174" t="n">
        <v>20</v>
      </c>
      <c r="E280" s="174" t="n">
        <v>12</v>
      </c>
      <c r="F280" s="174" t="n">
        <v>67</v>
      </c>
      <c r="G280" s="68">
        <f>(1+INDEX($Z$21:$Z$97,B280))*(1+INDEX($Z$21:$Z$97,C280))*(1+INDEX($Z$21:$Z$97,D280))*(1+INDEX($Z$21:$Z$97,E280))*(1+INDEX($Z$21:$Z$97,F280))-1</f>
        <v>0.142188379122946</v>
      </c>
      <c r="H280" s="68">
        <f>(1+INDEX($AA$21:$AA$97,B280))*(1+INDEX($AA$21:$AA$97,C280))*(1+INDEX($AA$21:$AA$97,D280))*(1+INDEX($AA$21:$AA$97,E280))*(1+INDEX($AA$21:$AA$97,F280))-1</f>
        <v>0.15239732606512</v>
      </c>
      <c r="I280" s="68">
        <f>(1+INDEX($AB$21:$AB$97,B280))*(1+INDEX($AB$21:$AB$97,C280))*(1+INDEX($AB$21:$AB$97,D280))*(1+INDEX($AB$21:$AB$97,E280))*(1+INDEX($AB$21:$AB$97,F280))-1</f>
        <v>0.119345301103161</v>
      </c>
      <c r="J280" s="489">
        <f>LN((1+G280)/(1+H280))</f>
        <v>-0.00889835082785395</v>
      </c>
      <c r="K280" s="489">
        <f>LN((1+I280)/(1+H280))</f>
        <v>-0.0291004421041161</v>
      </c>
      <c r="L280" s="489">
        <f>(1+INDEX($AC$21:$AC$97,B280))*(1+INDEX($AC$21:$AC$97,C280))*(1+INDEX($AC$21:$AC$97,D280))*(1+INDEX($AC$21:$AC$97,E280))*(1+INDEX($AC$21:$AC$97,F280))-1</f>
        <v>0.112514418231216</v>
      </c>
      <c r="M280" s="489">
        <f>(1+INDEX($AD$21:$AD$97,B280))*(1+INDEX($AD$21:$AD$97,C280))*(1+INDEX($AD$21:$AD$97,D280))*(1+INDEX($AD$21:$AD$97,E280))*(1+INDEX($AD$21:$AD$97,F280))-1</f>
        <v>0.135285289264129</v>
      </c>
      <c r="N280" s="489">
        <f>(1+INDEX($AE$21:$AE$97,B280))*(1+INDEX($AE$21:$AE$97,C280))*(1+INDEX($AE$21:$AE$97,D280))*(1+INDEX($AE$21:$AE$97,E280))*(1+INDEX($AE$21:$AE$97,F280))-1</f>
        <v>0.114348311213138</v>
      </c>
      <c r="O280" s="489">
        <f>(1+INDEX($AF$21:$AF$97,B280))*(1+INDEX($AF$21:$AF$97,C280))*(1+INDEX($AF$21:$AF$97,D280))*(1+INDEX($AF$21:$AF$97,E280))*(1+INDEX($AF$21:$AF$97,F280))-1</f>
        <v>0.183484475907274</v>
      </c>
      <c r="P280" s="489">
        <f>LN((1+L280)/(1+H280))</f>
        <v>-0.0352217087250729</v>
      </c>
      <c r="Q280" s="489">
        <f>LN((1+M280)/(1+H280))</f>
        <v>-0.0149604283786396</v>
      </c>
      <c r="R280" s="489">
        <f>LN((1+N280)/(1+H280))</f>
        <v>-0.0335746441150636</v>
      </c>
      <c r="S280" s="542">
        <f>LN((1+O280)/(1+H280))</f>
        <v>0.026618628874569</v>
      </c>
    </row>
    <row r="281">
      <c r="A281" s="320" t="n">
        <v>180</v>
      </c>
      <c r="B281" s="174" t="n">
        <v>53</v>
      </c>
      <c r="C281" s="174" t="n">
        <v>5</v>
      </c>
      <c r="D281" s="174" t="n">
        <v>65</v>
      </c>
      <c r="E281" s="174" t="n">
        <v>23</v>
      </c>
      <c r="F281" s="174" t="n">
        <v>67</v>
      </c>
      <c r="G281" s="68">
        <f>(1+INDEX($Z$21:$Z$97,B281))*(1+INDEX($Z$21:$Z$97,C281))*(1+INDEX($Z$21:$Z$97,D281))*(1+INDEX($Z$21:$Z$97,E281))*(1+INDEX($Z$21:$Z$97,F281))-1</f>
        <v>0.0747650708109886</v>
      </c>
      <c r="H281" s="68">
        <f>(1+INDEX($AA$21:$AA$97,B281))*(1+INDEX($AA$21:$AA$97,C281))*(1+INDEX($AA$21:$AA$97,D281))*(1+INDEX($AA$21:$AA$97,E281))*(1+INDEX($AA$21:$AA$97,F281))-1</f>
        <v>0.128242406577378</v>
      </c>
      <c r="I281" s="68">
        <f>(1+INDEX($AB$21:$AB$97,B281))*(1+INDEX($AB$21:$AB$97,C281))*(1+INDEX($AB$21:$AB$97,D281))*(1+INDEX($AB$21:$AB$97,E281))*(1+INDEX($AB$21:$AB$97,F281))-1</f>
        <v>0.100505524696234</v>
      </c>
      <c r="J281" s="489">
        <f>LN((1+G281)/(1+H281))</f>
        <v>-0.0485589305202469</v>
      </c>
      <c r="K281" s="489">
        <f>LN((1+I281)/(1+H281))</f>
        <v>-0.0248913872953136</v>
      </c>
      <c r="L281" s="489">
        <f>(1+INDEX($AC$21:$AC$97,B281))*(1+INDEX($AC$21:$AC$97,C281))*(1+INDEX($AC$21:$AC$97,D281))*(1+INDEX($AC$21:$AC$97,E281))*(1+INDEX($AC$21:$AC$97,F281))-1</f>
        <v>0.102817296352374</v>
      </c>
      <c r="M281" s="489">
        <f>(1+INDEX($AD$21:$AD$97,B281))*(1+INDEX($AD$21:$AD$97,C281))*(1+INDEX($AD$21:$AD$97,D281))*(1+INDEX($AD$21:$AD$97,E281))*(1+INDEX($AD$21:$AD$97,F281))-1</f>
        <v>0.100436515129201</v>
      </c>
      <c r="N281" s="489">
        <f>(1+INDEX($AE$21:$AE$97,B281))*(1+INDEX($AE$21:$AE$97,C281))*(1+INDEX($AE$21:$AE$97,D281))*(1+INDEX($AE$21:$AE$97,E281))*(1+INDEX($AE$21:$AE$97,F281))-1</f>
        <v>0.0983609838378605</v>
      </c>
      <c r="O281" s="489">
        <f>(1+INDEX($AF$21:$AF$97,B281))*(1+INDEX($AF$21:$AF$97,C281))*(1+INDEX($AF$21:$AF$97,D281))*(1+INDEX($AF$21:$AF$97,E281))*(1+INDEX($AF$21:$AF$97,F281))-1</f>
        <v>0.134006297541538</v>
      </c>
      <c r="P281" s="489">
        <f>LN((1+L281)/(1+H281))</f>
        <v>-0.0227929453580978</v>
      </c>
      <c r="Q281" s="489">
        <f>LN((1+M281)/(1+H281))</f>
        <v>-0.0249540964133246</v>
      </c>
      <c r="R281" s="489">
        <f>LN((1+N281)/(1+H281))</f>
        <v>-0.026841975500656</v>
      </c>
      <c r="S281" s="542">
        <f>LN((1+O281)/(1+H281))</f>
        <v>0.00509572924142161</v>
      </c>
    </row>
    <row r="282">
      <c r="A282" s="320" t="n">
        <v>181</v>
      </c>
      <c r="B282" s="174" t="n">
        <v>27</v>
      </c>
      <c r="C282" s="174" t="n">
        <v>72</v>
      </c>
      <c r="D282" s="174" t="n">
        <v>14</v>
      </c>
      <c r="E282" s="174" t="n">
        <v>53</v>
      </c>
      <c r="F282" s="174" t="n">
        <v>45</v>
      </c>
      <c r="G282" s="68">
        <f>(1+INDEX($Z$21:$Z$97,B282))*(1+INDEX($Z$21:$Z$97,C282))*(1+INDEX($Z$21:$Z$97,D282))*(1+INDEX($Z$21:$Z$97,E282))*(1+INDEX($Z$21:$Z$97,F282))-1</f>
        <v>0.504264841103892</v>
      </c>
      <c r="H282" s="68">
        <f>(1+INDEX($AA$21:$AA$97,B282))*(1+INDEX($AA$21:$AA$97,C282))*(1+INDEX($AA$21:$AA$97,D282))*(1+INDEX($AA$21:$AA$97,E282))*(1+INDEX($AA$21:$AA$97,F282))-1</f>
        <v>0.532598257727577</v>
      </c>
      <c r="I282" s="68">
        <f>(1+INDEX($AB$21:$AB$97,B282))*(1+INDEX($AB$21:$AB$97,C282))*(1+INDEX($AB$21:$AB$97,D282))*(1+INDEX($AB$21:$AB$97,E282))*(1+INDEX($AB$21:$AB$97,F282))-1</f>
        <v>0.590893759690143</v>
      </c>
      <c r="J282" s="489">
        <f>LN((1+G282)/(1+H282))</f>
        <v>-0.0186602015602836</v>
      </c>
      <c r="K282" s="489">
        <f>LN((1+I282)/(1+H282))</f>
        <v>0.0373314685732617</v>
      </c>
      <c r="L282" s="489">
        <f>(1+INDEX($AC$21:$AC$97,B282))*(1+INDEX($AC$21:$AC$97,C282))*(1+INDEX($AC$21:$AC$97,D282))*(1+INDEX($AC$21:$AC$97,E282))*(1+INDEX($AC$21:$AC$97,F282))-1</f>
        <v>0.585795999750871</v>
      </c>
      <c r="M282" s="489">
        <f>(1+INDEX($AD$21:$AD$97,B282))*(1+INDEX($AD$21:$AD$97,C282))*(1+INDEX($AD$21:$AD$97,D282))*(1+INDEX($AD$21:$AD$97,E282))*(1+INDEX($AD$21:$AD$97,F282))-1</f>
        <v>0.59157052835721</v>
      </c>
      <c r="N282" s="489">
        <f>(1+INDEX($AE$21:$AE$97,B282))*(1+INDEX($AE$21:$AE$97,C282))*(1+INDEX($AE$21:$AE$97,D282))*(1+INDEX($AE$21:$AE$97,E282))*(1+INDEX($AE$21:$AE$97,F282))-1</f>
        <v>0.568446834183094</v>
      </c>
      <c r="O282" s="489">
        <f>(1+INDEX($AF$21:$AF$97,B282))*(1+INDEX($AF$21:$AF$97,C282))*(1+INDEX($AF$21:$AF$97,D282))*(1+INDEX($AF$21:$AF$97,E282))*(1+INDEX($AF$21:$AF$97,F282))-1</f>
        <v>0.533601112320328</v>
      </c>
      <c r="P282" s="489">
        <f>LN((1+L282)/(1+H282))</f>
        <v>0.0341219865644969</v>
      </c>
      <c r="Q282" s="489">
        <f>LN((1+M282)/(1+H282))</f>
        <v>0.0377567796630429</v>
      </c>
      <c r="R282" s="489">
        <f>LN((1+N282)/(1+H282))</f>
        <v>0.0231213493665842</v>
      </c>
      <c r="S282" s="542">
        <f>LN((1+O282)/(1+H282))</f>
        <v>0.00065413530399045</v>
      </c>
    </row>
    <row r="283">
      <c r="A283" s="320" t="n">
        <v>182</v>
      </c>
      <c r="B283" s="174" t="n">
        <v>33</v>
      </c>
      <c r="C283" s="174" t="n">
        <v>59</v>
      </c>
      <c r="D283" s="174" t="n">
        <v>75</v>
      </c>
      <c r="E283" s="174" t="n">
        <v>17</v>
      </c>
      <c r="F283" s="174" t="n">
        <v>49</v>
      </c>
      <c r="G283" s="68">
        <f>(1+INDEX($Z$21:$Z$97,B283))*(1+INDEX($Z$21:$Z$97,C283))*(1+INDEX($Z$21:$Z$97,D283))*(1+INDEX($Z$21:$Z$97,E283))*(1+INDEX($Z$21:$Z$97,F283))-1</f>
        <v>0.846953881864796</v>
      </c>
      <c r="H283" s="68">
        <f>(1+INDEX($AA$21:$AA$97,B283))*(1+INDEX($AA$21:$AA$97,C283))*(1+INDEX($AA$21:$AA$97,D283))*(1+INDEX($AA$21:$AA$97,E283))*(1+INDEX($AA$21:$AA$97,F283))-1</f>
        <v>0.789788286227987</v>
      </c>
      <c r="I283" s="68">
        <f>(1+INDEX($AB$21:$AB$97,B283))*(1+INDEX($AB$21:$AB$97,C283))*(1+INDEX($AB$21:$AB$97,D283))*(1+INDEX($AB$21:$AB$97,E283))*(1+INDEX($AB$21:$AB$97,F283))-1</f>
        <v>0.892521533522238</v>
      </c>
      <c r="J283" s="489">
        <f>LN((1+G283)/(1+H283))</f>
        <v>0.0314403946857834</v>
      </c>
      <c r="K283" s="489">
        <f>LN((1+I283)/(1+H283))</f>
        <v>0.0558127476047822</v>
      </c>
      <c r="L283" s="489">
        <f>(1+INDEX($AC$21:$AC$97,B283))*(1+INDEX($AC$21:$AC$97,C283))*(1+INDEX($AC$21:$AC$97,D283))*(1+INDEX($AC$21:$AC$97,E283))*(1+INDEX($AC$21:$AC$97,F283))-1</f>
        <v>0.885030332913216</v>
      </c>
      <c r="M283" s="489">
        <f>(1+INDEX($AD$21:$AD$97,B283))*(1+INDEX($AD$21:$AD$97,C283))*(1+INDEX($AD$21:$AD$97,D283))*(1+INDEX($AD$21:$AD$97,E283))*(1+INDEX($AD$21:$AD$97,F283))-1</f>
        <v>0.85994974223669</v>
      </c>
      <c r="N283" s="489">
        <f>(1+INDEX($AE$21:$AE$97,B283))*(1+INDEX($AE$21:$AE$97,C283))*(1+INDEX($AE$21:$AE$97,D283))*(1+INDEX($AE$21:$AE$97,E283))*(1+INDEX($AE$21:$AE$97,F283))-1</f>
        <v>0.884642049836299</v>
      </c>
      <c r="O283" s="489">
        <f>(1+INDEX($AF$21:$AF$97,B283))*(1+INDEX($AF$21:$AF$97,C283))*(1+INDEX($AF$21:$AF$97,D283))*(1+INDEX($AF$21:$AF$97,E283))*(1+INDEX($AF$21:$AF$97,F283))-1</f>
        <v>0.74006349265804</v>
      </c>
      <c r="P283" s="489">
        <f>LN((1+L283)/(1+H283))</f>
        <v>0.0518465754944155</v>
      </c>
      <c r="Q283" s="489">
        <f>LN((1+M283)/(1+H283))</f>
        <v>0.0384521300499629</v>
      </c>
      <c r="R283" s="489">
        <f>LN((1+N283)/(1+H283))</f>
        <v>0.0516405718745427</v>
      </c>
      <c r="S283" s="542">
        <f>LN((1+O283)/(1+H283))</f>
        <v>-0.0281757344131885</v>
      </c>
    </row>
    <row r="284">
      <c r="A284" s="320" t="n">
        <v>183</v>
      </c>
      <c r="B284" s="174" t="n">
        <v>74</v>
      </c>
      <c r="C284" s="174" t="n">
        <v>76</v>
      </c>
      <c r="D284" s="174" t="n">
        <v>43</v>
      </c>
      <c r="E284" s="174" t="n">
        <v>36</v>
      </c>
      <c r="F284" s="174" t="n">
        <v>73</v>
      </c>
      <c r="G284" s="68">
        <f>(1+INDEX($Z$21:$Z$97,B284))*(1+INDEX($Z$21:$Z$97,C284))*(1+INDEX($Z$21:$Z$97,D284))*(1+INDEX($Z$21:$Z$97,E284))*(1+INDEX($Z$21:$Z$97,F284))-1</f>
        <v>0.410021710280188</v>
      </c>
      <c r="H284" s="68">
        <f>(1+INDEX($AA$21:$AA$97,B284))*(1+INDEX($AA$21:$AA$97,C284))*(1+INDEX($AA$21:$AA$97,D284))*(1+INDEX($AA$21:$AA$97,E284))*(1+INDEX($AA$21:$AA$97,F284))-1</f>
        <v>0.401924783250294</v>
      </c>
      <c r="I284" s="68">
        <f>(1+INDEX($AB$21:$AB$97,B284))*(1+INDEX($AB$21:$AB$97,C284))*(1+INDEX($AB$21:$AB$97,D284))*(1+INDEX($AB$21:$AB$97,E284))*(1+INDEX($AB$21:$AB$97,F284))-1</f>
        <v>0.457108475720343</v>
      </c>
      <c r="J284" s="489">
        <f>LN((1+G284)/(1+H284))</f>
        <v>0.00575896406766125</v>
      </c>
      <c r="K284" s="489">
        <f>LN((1+I284)/(1+H284))</f>
        <v>0.0386078382969478</v>
      </c>
      <c r="L284" s="489">
        <f>(1+INDEX($AC$21:$AC$97,B284))*(1+INDEX($AC$21:$AC$97,C284))*(1+INDEX($AC$21:$AC$97,D284))*(1+INDEX($AC$21:$AC$97,E284))*(1+INDEX($AC$21:$AC$97,F284))-1</f>
        <v>0.445882095743042</v>
      </c>
      <c r="M284" s="489">
        <f>(1+INDEX($AD$21:$AD$97,B284))*(1+INDEX($AD$21:$AD$97,C284))*(1+INDEX($AD$21:$AD$97,D284))*(1+INDEX($AD$21:$AD$97,E284))*(1+INDEX($AD$21:$AD$97,F284))-1</f>
        <v>0.457702543805055</v>
      </c>
      <c r="N284" s="489">
        <f>(1+INDEX($AE$21:$AE$97,B284))*(1+INDEX($AE$21:$AE$97,C284))*(1+INDEX($AE$21:$AE$97,D284))*(1+INDEX($AE$21:$AE$97,E284))*(1+INDEX($AE$21:$AE$97,F284))-1</f>
        <v>0.431730850633901</v>
      </c>
      <c r="O284" s="489">
        <f>(1+INDEX($AF$21:$AF$97,B284))*(1+INDEX($AF$21:$AF$97,C284))*(1+INDEX($AF$21:$AF$97,D284))*(1+INDEX($AF$21:$AF$97,E284))*(1+INDEX($AF$21:$AF$97,F284))-1</f>
        <v>0.407151060436354</v>
      </c>
      <c r="P284" s="489">
        <f>LN((1+L284)/(1+H284))</f>
        <v>0.0308734446327753</v>
      </c>
      <c r="Q284" s="489">
        <f>LN((1+M284)/(1+H284))</f>
        <v>0.0390154586119247</v>
      </c>
      <c r="R284" s="489">
        <f>LN((1+N284)/(1+H284))</f>
        <v>0.0210379598393281</v>
      </c>
      <c r="S284" s="542">
        <f>LN((1+O284)/(1+H284))</f>
        <v>0.00372099829770189</v>
      </c>
    </row>
    <row r="285">
      <c r="A285" s="320" t="n">
        <v>184</v>
      </c>
      <c r="B285" s="174" t="n">
        <v>72</v>
      </c>
      <c r="C285" s="174" t="n">
        <v>65</v>
      </c>
      <c r="D285" s="174" t="n">
        <v>51</v>
      </c>
      <c r="E285" s="174" t="n">
        <v>75</v>
      </c>
      <c r="F285" s="174" t="n">
        <v>29</v>
      </c>
      <c r="G285" s="68">
        <f>(1+INDEX($Z$21:$Z$97,B285))*(1+INDEX($Z$21:$Z$97,C285))*(1+INDEX($Z$21:$Z$97,D285))*(1+INDEX($Z$21:$Z$97,E285))*(1+INDEX($Z$21:$Z$97,F285))-1</f>
        <v>0.581941123294265</v>
      </c>
      <c r="H285" s="68">
        <f>(1+INDEX($AA$21:$AA$97,B285))*(1+INDEX($AA$21:$AA$97,C285))*(1+INDEX($AA$21:$AA$97,D285))*(1+INDEX($AA$21:$AA$97,E285))*(1+INDEX($AA$21:$AA$97,F285))-1</f>
        <v>0.580797341568028</v>
      </c>
      <c r="I285" s="68">
        <f>(1+INDEX($AB$21:$AB$97,B285))*(1+INDEX($AB$21:$AB$97,C285))*(1+INDEX($AB$21:$AB$97,D285))*(1+INDEX($AB$21:$AB$97,E285))*(1+INDEX($AB$21:$AB$97,F285))-1</f>
        <v>0.672694969677104</v>
      </c>
      <c r="J285" s="489">
        <f>LN((1+G285)/(1+H285))</f>
        <v>0.000723285715089706</v>
      </c>
      <c r="K285" s="489">
        <f>LN((1+I285)/(1+H285))</f>
        <v>0.0565067137143536</v>
      </c>
      <c r="L285" s="489">
        <f>(1+INDEX($AC$21:$AC$97,B285))*(1+INDEX($AC$21:$AC$97,C285))*(1+INDEX($AC$21:$AC$97,D285))*(1+INDEX($AC$21:$AC$97,E285))*(1+INDEX($AC$21:$AC$97,F285))-1</f>
        <v>0.657153553897828</v>
      </c>
      <c r="M285" s="489">
        <f>(1+INDEX($AD$21:$AD$97,B285))*(1+INDEX($AD$21:$AD$97,C285))*(1+INDEX($AD$21:$AD$97,D285))*(1+INDEX($AD$21:$AD$97,E285))*(1+INDEX($AD$21:$AD$97,F285))-1</f>
        <v>0.64931150454092</v>
      </c>
      <c r="N285" s="489">
        <f>(1+INDEX($AE$21:$AE$97,B285))*(1+INDEX($AE$21:$AE$97,C285))*(1+INDEX($AE$21:$AE$97,D285))*(1+INDEX($AE$21:$AE$97,E285))*(1+INDEX($AE$21:$AE$97,F285))-1</f>
        <v>0.647833320579884</v>
      </c>
      <c r="O285" s="489">
        <f>(1+INDEX($AF$21:$AF$97,B285))*(1+INDEX($AF$21:$AF$97,C285))*(1+INDEX($AF$21:$AF$97,D285))*(1+INDEX($AF$21:$AF$97,E285))*(1+INDEX($AF$21:$AF$97,F285))-1</f>
        <v>0.596084165120576</v>
      </c>
      <c r="P285" s="489">
        <f>LN((1+L285)/(1+H285))</f>
        <v>0.0471720376648516</v>
      </c>
      <c r="Q285" s="489">
        <f>LN((1+M285)/(1+H285))</f>
        <v>0.0424285645462824</v>
      </c>
      <c r="R285" s="489">
        <f>LN((1+N285)/(1+H285))</f>
        <v>0.0415319196377494</v>
      </c>
      <c r="S285" s="542">
        <f>LN((1+O285)/(1+H285))</f>
        <v>0.00962386636546328</v>
      </c>
    </row>
    <row r="286">
      <c r="A286" s="320" t="n">
        <v>185</v>
      </c>
      <c r="B286" s="174" t="n">
        <v>77</v>
      </c>
      <c r="C286" s="174" t="n">
        <v>4</v>
      </c>
      <c r="D286" s="174" t="n">
        <v>41</v>
      </c>
      <c r="E286" s="174" t="n">
        <v>22</v>
      </c>
      <c r="F286" s="174" t="n">
        <v>41</v>
      </c>
      <c r="G286" s="68">
        <f>(1+INDEX($Z$21:$Z$97,B286))*(1+INDEX($Z$21:$Z$97,C286))*(1+INDEX($Z$21:$Z$97,D286))*(1+INDEX($Z$21:$Z$97,E286))*(1+INDEX($Z$21:$Z$97,F286))-1</f>
        <v>0.422644297428305</v>
      </c>
      <c r="H286" s="68">
        <f>(1+INDEX($AA$21:$AA$97,B286))*(1+INDEX($AA$21:$AA$97,C286))*(1+INDEX($AA$21:$AA$97,D286))*(1+INDEX($AA$21:$AA$97,E286))*(1+INDEX($AA$21:$AA$97,F286))-1</f>
        <v>0.402557723226532</v>
      </c>
      <c r="I286" s="68">
        <f>(1+INDEX($AB$21:$AB$97,B286))*(1+INDEX($AB$21:$AB$97,C286))*(1+INDEX($AB$21:$AB$97,D286))*(1+INDEX($AB$21:$AB$97,E286))*(1+INDEX($AB$21:$AB$97,F286))-1</f>
        <v>0.427629898540215</v>
      </c>
      <c r="J286" s="489">
        <f>LN((1+G286)/(1+H286))</f>
        <v>0.014219806242096</v>
      </c>
      <c r="K286" s="489">
        <f>LN((1+I286)/(1+H286))</f>
        <v>0.0177181406855578</v>
      </c>
      <c r="L286" s="489">
        <f>(1+INDEX($AC$21:$AC$97,B286))*(1+INDEX($AC$21:$AC$97,C286))*(1+INDEX($AC$21:$AC$97,D286))*(1+INDEX($AC$21:$AC$97,E286))*(1+INDEX($AC$21:$AC$97,F286))-1</f>
        <v>0.436159254075295</v>
      </c>
      <c r="M286" s="489">
        <f>(1+INDEX($AD$21:$AD$97,B286))*(1+INDEX($AD$21:$AD$97,C286))*(1+INDEX($AD$21:$AD$97,D286))*(1+INDEX($AD$21:$AD$97,E286))*(1+INDEX($AD$21:$AD$97,F286))-1</f>
        <v>0.411724227310816</v>
      </c>
      <c r="N286" s="489">
        <f>(1+INDEX($AE$21:$AE$97,B286))*(1+INDEX($AE$21:$AE$97,C286))*(1+INDEX($AE$21:$AE$97,D286))*(1+INDEX($AE$21:$AE$97,E286))*(1+INDEX($AE$21:$AE$97,F286))-1</f>
        <v>0.399649524660701</v>
      </c>
      <c r="O286" s="489">
        <f>(1+INDEX($AF$21:$AF$97,B286))*(1+INDEX($AF$21:$AF$97,C286))*(1+INDEX($AF$21:$AF$97,D286))*(1+INDEX($AF$21:$AF$97,E286))*(1+INDEX($AF$21:$AF$97,F286))-1</f>
        <v>0.429283213202367</v>
      </c>
      <c r="P286" s="489">
        <f>LN((1+L286)/(1+H286))</f>
        <v>0.0236748506950484</v>
      </c>
      <c r="Q286" s="489">
        <f>LN((1+M286)/(1+H286))</f>
        <v>0.00651429861062142</v>
      </c>
      <c r="R286" s="489">
        <f>LN((1+N286)/(1+H286))</f>
        <v>-0.00207564919557159</v>
      </c>
      <c r="S286" s="542">
        <f>LN((1+O286)/(1+H286))</f>
        <v>0.0188755541469072</v>
      </c>
    </row>
    <row r="287">
      <c r="A287" s="320" t="n">
        <v>186</v>
      </c>
      <c r="B287" s="174" t="n">
        <v>26</v>
      </c>
      <c r="C287" s="174" t="n">
        <v>44</v>
      </c>
      <c r="D287" s="174" t="n">
        <v>44</v>
      </c>
      <c r="E287" s="174" t="n">
        <v>44</v>
      </c>
      <c r="F287" s="174" t="n">
        <v>61</v>
      </c>
      <c r="G287" s="68">
        <f>(1+INDEX($Z$21:$Z$97,B287))*(1+INDEX($Z$21:$Z$97,C287))*(1+INDEX($Z$21:$Z$97,D287))*(1+INDEX($Z$21:$Z$97,E287))*(1+INDEX($Z$21:$Z$97,F287))-1</f>
        <v>0.617581651800234</v>
      </c>
      <c r="H287" s="68">
        <f>(1+INDEX($AA$21:$AA$97,B287))*(1+INDEX($AA$21:$AA$97,C287))*(1+INDEX($AA$21:$AA$97,D287))*(1+INDEX($AA$21:$AA$97,E287))*(1+INDEX($AA$21:$AA$97,F287))-1</f>
        <v>0.575620220446844</v>
      </c>
      <c r="I287" s="68">
        <f>(1+INDEX($AB$21:$AB$97,B287))*(1+INDEX($AB$21:$AB$97,C287))*(1+INDEX($AB$21:$AB$97,D287))*(1+INDEX($AB$21:$AB$97,E287))*(1+INDEX($AB$21:$AB$97,F287))-1</f>
        <v>0.64840192037071</v>
      </c>
      <c r="J287" s="489">
        <f>LN((1+G287)/(1+H287))</f>
        <v>0.0262832408440085</v>
      </c>
      <c r="K287" s="489">
        <f>LN((1+I287)/(1+H287))</f>
        <v>0.0451572999503059</v>
      </c>
      <c r="L287" s="489">
        <f>(1+INDEX($AC$21:$AC$97,B287))*(1+INDEX($AC$21:$AC$97,C287))*(1+INDEX($AC$21:$AC$97,D287))*(1+INDEX($AC$21:$AC$97,E287))*(1+INDEX($AC$21:$AC$97,F287))-1</f>
        <v>0.651527630751928</v>
      </c>
      <c r="M287" s="489">
        <f>(1+INDEX($AD$21:$AD$97,B287))*(1+INDEX($AD$21:$AD$97,C287))*(1+INDEX($AD$21:$AD$97,D287))*(1+INDEX($AD$21:$AD$97,E287))*(1+INDEX($AD$21:$AD$97,F287))-1</f>
        <v>0.615040617841932</v>
      </c>
      <c r="N287" s="489">
        <f>(1+INDEX($AE$21:$AE$97,B287))*(1+INDEX($AE$21:$AE$97,C287))*(1+INDEX($AE$21:$AE$97,D287))*(1+INDEX($AE$21:$AE$97,E287))*(1+INDEX($AE$21:$AE$97,F287))-1</f>
        <v>0.637185637736478</v>
      </c>
      <c r="O287" s="489">
        <f>(1+INDEX($AF$21:$AF$97,B287))*(1+INDEX($AF$21:$AF$97,C287))*(1+INDEX($AF$21:$AF$97,D287))*(1+INDEX($AF$21:$AF$97,E287))*(1+INDEX($AF$21:$AF$97,F287))-1</f>
        <v>0.578168255912878</v>
      </c>
      <c r="P287" s="489">
        <f>LN((1+L287)/(1+H287))</f>
        <v>0.0470517108870171</v>
      </c>
      <c r="Q287" s="489">
        <f>LN((1+M287)/(1+H287))</f>
        <v>0.024711121202611</v>
      </c>
      <c r="R287" s="489">
        <f>LN((1+N287)/(1+H287))</f>
        <v>0.0383297076202474</v>
      </c>
      <c r="S287" s="542">
        <f>LN((1+O287)/(1+H287))</f>
        <v>0.0016158572710521</v>
      </c>
    </row>
    <row r="288">
      <c r="A288" s="320" t="n">
        <v>187</v>
      </c>
      <c r="B288" s="174" t="n">
        <v>70</v>
      </c>
      <c r="C288" s="174" t="n">
        <v>66</v>
      </c>
      <c r="D288" s="174" t="n">
        <v>17</v>
      </c>
      <c r="E288" s="174" t="n">
        <v>43</v>
      </c>
      <c r="F288" s="174" t="n">
        <v>58</v>
      </c>
      <c r="G288" s="68">
        <f>(1+INDEX($Z$21:$Z$97,B288))*(1+INDEX($Z$21:$Z$97,C288))*(1+INDEX($Z$21:$Z$97,D288))*(1+INDEX($Z$21:$Z$97,E288))*(1+INDEX($Z$21:$Z$97,F288))-1</f>
        <v>0.593377035135263</v>
      </c>
      <c r="H288" s="68">
        <f>(1+INDEX($AA$21:$AA$97,B288))*(1+INDEX($AA$21:$AA$97,C288))*(1+INDEX($AA$21:$AA$97,D288))*(1+INDEX($AA$21:$AA$97,E288))*(1+INDEX($AA$21:$AA$97,F288))-1</f>
        <v>0.57371810340315</v>
      </c>
      <c r="I288" s="68">
        <f>(1+INDEX($AB$21:$AB$97,B288))*(1+INDEX($AB$21:$AB$97,C288))*(1+INDEX($AB$21:$AB$97,D288))*(1+INDEX($AB$21:$AB$97,E288))*(1+INDEX($AB$21:$AB$97,F288))-1</f>
        <v>0.610174396440921</v>
      </c>
      <c r="J288" s="489">
        <f>LN((1+G288)/(1+H288))</f>
        <v>0.012414647090407</v>
      </c>
      <c r="K288" s="489">
        <f>LN((1+I288)/(1+H288))</f>
        <v>0.0229014556229889</v>
      </c>
      <c r="L288" s="489">
        <f>(1+INDEX($AC$21:$AC$97,B288))*(1+INDEX($AC$21:$AC$97,C288))*(1+INDEX($AC$21:$AC$97,D288))*(1+INDEX($AC$21:$AC$97,E288))*(1+INDEX($AC$21:$AC$97,F288))-1</f>
        <v>0.620470247178204</v>
      </c>
      <c r="M288" s="489">
        <f>(1+INDEX($AD$21:$AD$97,B288))*(1+INDEX($AD$21:$AD$97,C288))*(1+INDEX($AD$21:$AD$97,D288))*(1+INDEX($AD$21:$AD$97,E288))*(1+INDEX($AD$21:$AD$97,F288))-1</f>
        <v>0.583377439393137</v>
      </c>
      <c r="N288" s="489">
        <f>(1+INDEX($AE$21:$AE$97,B288))*(1+INDEX($AE$21:$AE$97,C288))*(1+INDEX($AE$21:$AE$97,D288))*(1+INDEX($AE$21:$AE$97,E288))*(1+INDEX($AE$21:$AE$97,F288))-1</f>
        <v>0.634589851578149</v>
      </c>
      <c r="O288" s="489">
        <f>(1+INDEX($AF$21:$AF$97,B288))*(1+INDEX($AF$21:$AF$97,C288))*(1+INDEX($AF$21:$AF$97,D288))*(1+INDEX($AF$21:$AF$97,E288))*(1+INDEX($AF$21:$AF$97,F288))-1</f>
        <v>0.563341969059267</v>
      </c>
      <c r="P288" s="489">
        <f>LN((1+L288)/(1+H288))</f>
        <v>0.0292753448804136</v>
      </c>
      <c r="Q288" s="489">
        <f>LN((1+M288)/(1+H288))</f>
        <v>0.0061191471714096</v>
      </c>
      <c r="R288" s="489">
        <f>LN((1+N288)/(1+H288))</f>
        <v>0.037950879298007</v>
      </c>
      <c r="S288" s="542">
        <f>LN((1+O288)/(1+H288))</f>
        <v>-0.00661522058454072</v>
      </c>
    </row>
    <row r="289">
      <c r="A289" s="320" t="n">
        <v>188</v>
      </c>
      <c r="B289" s="174" t="n">
        <v>68</v>
      </c>
      <c r="C289" s="174" t="n">
        <v>71</v>
      </c>
      <c r="D289" s="174" t="n">
        <v>21</v>
      </c>
      <c r="E289" s="174" t="n">
        <v>34</v>
      </c>
      <c r="F289" s="174" t="n">
        <v>76</v>
      </c>
      <c r="G289" s="68">
        <f>(1+INDEX($Z$21:$Z$97,B289))*(1+INDEX($Z$21:$Z$97,C289))*(1+INDEX($Z$21:$Z$97,D289))*(1+INDEX($Z$21:$Z$97,E289))*(1+INDEX($Z$21:$Z$97,F289))-1</f>
        <v>0.602462900608706</v>
      </c>
      <c r="H289" s="68">
        <f>(1+INDEX($AA$21:$AA$97,B289))*(1+INDEX($AA$21:$AA$97,C289))*(1+INDEX($AA$21:$AA$97,D289))*(1+INDEX($AA$21:$AA$97,E289))*(1+INDEX($AA$21:$AA$97,F289))-1</f>
        <v>0.600155201222498</v>
      </c>
      <c r="I289" s="68">
        <f>(1+INDEX($AB$21:$AB$97,B289))*(1+INDEX($AB$21:$AB$97,C289))*(1+INDEX($AB$21:$AB$97,D289))*(1+INDEX($AB$21:$AB$97,E289))*(1+INDEX($AB$21:$AB$97,F289))-1</f>
        <v>0.646796659952063</v>
      </c>
      <c r="J289" s="489">
        <f>LN((1+G289)/(1+H289))</f>
        <v>0.0014411332929688</v>
      </c>
      <c r="K289" s="489">
        <f>LN((1+I289)/(1+H289))</f>
        <v>0.0287313574010639</v>
      </c>
      <c r="L289" s="489">
        <f>(1+INDEX($AC$21:$AC$97,B289))*(1+INDEX($AC$21:$AC$97,C289))*(1+INDEX($AC$21:$AC$97,D289))*(1+INDEX($AC$21:$AC$97,E289))*(1+INDEX($AC$21:$AC$97,F289))-1</f>
        <v>0.631376881130399</v>
      </c>
      <c r="M289" s="489">
        <f>(1+INDEX($AD$21:$AD$97,B289))*(1+INDEX($AD$21:$AD$97,C289))*(1+INDEX($AD$21:$AD$97,D289))*(1+INDEX($AD$21:$AD$97,E289))*(1+INDEX($AD$21:$AD$97,F289))-1</f>
        <v>0.664389267036345</v>
      </c>
      <c r="N289" s="489">
        <f>(1+INDEX($AE$21:$AE$97,B289))*(1+INDEX($AE$21:$AE$97,C289))*(1+INDEX($AE$21:$AE$97,D289))*(1+INDEX($AE$21:$AE$97,E289))*(1+INDEX($AE$21:$AE$97,F289))-1</f>
        <v>0.636519264045828</v>
      </c>
      <c r="O289" s="489">
        <f>(1+INDEX($AF$21:$AF$97,B289))*(1+INDEX($AF$21:$AF$97,C289))*(1+INDEX($AF$21:$AF$97,D289))*(1+INDEX($AF$21:$AF$97,E289))*(1+INDEX($AF$21:$AF$97,F289))-1</f>
        <v>0.611066844565764</v>
      </c>
      <c r="P289" s="489">
        <f>LN((1+L289)/(1+H289))</f>
        <v>0.0193237452943899</v>
      </c>
      <c r="Q289" s="489">
        <f>LN((1+M289)/(1+H289))</f>
        <v>0.0393576242521122</v>
      </c>
      <c r="R289" s="489">
        <f>LN((1+N289)/(1+H289))</f>
        <v>0.022470961075781</v>
      </c>
      <c r="S289" s="542">
        <f>LN((1+O289)/(1+H289))</f>
        <v>0.00679597062054896</v>
      </c>
    </row>
    <row r="290">
      <c r="A290" s="320" t="n">
        <v>189</v>
      </c>
      <c r="B290" s="174" t="n">
        <v>19</v>
      </c>
      <c r="C290" s="174" t="n">
        <v>49</v>
      </c>
      <c r="D290" s="174" t="n">
        <v>69</v>
      </c>
      <c r="E290" s="174" t="n">
        <v>40</v>
      </c>
      <c r="F290" s="174" t="n">
        <v>73</v>
      </c>
      <c r="G290" s="68">
        <f>(1+INDEX($Z$21:$Z$97,B290))*(1+INDEX($Z$21:$Z$97,C290))*(1+INDEX($Z$21:$Z$97,D290))*(1+INDEX($Z$21:$Z$97,E290))*(1+INDEX($Z$21:$Z$97,F290))-1</f>
        <v>0.404264839160408</v>
      </c>
      <c r="H290" s="68">
        <f>(1+INDEX($AA$21:$AA$97,B290))*(1+INDEX($AA$21:$AA$97,C290))*(1+INDEX($AA$21:$AA$97,D290))*(1+INDEX($AA$21:$AA$97,E290))*(1+INDEX($AA$21:$AA$97,F290))-1</f>
        <v>0.386998847627247</v>
      </c>
      <c r="I290" s="68">
        <f>(1+INDEX($AB$21:$AB$97,B290))*(1+INDEX($AB$21:$AB$97,C290))*(1+INDEX($AB$21:$AB$97,D290))*(1+INDEX($AB$21:$AB$97,E290))*(1+INDEX($AB$21:$AB$97,F290))-1</f>
        <v>0.429494944081767</v>
      </c>
      <c r="J290" s="489">
        <f>LN((1+G290)/(1+H290))</f>
        <v>0.0123716092014683</v>
      </c>
      <c r="K290" s="489">
        <f>LN((1+I290)/(1+H290))</f>
        <v>0.0301788854361332</v>
      </c>
      <c r="L290" s="489">
        <f>(1+INDEX($AC$21:$AC$97,B290))*(1+INDEX($AC$21:$AC$97,C290))*(1+INDEX($AC$21:$AC$97,D290))*(1+INDEX($AC$21:$AC$97,E290))*(1+INDEX($AC$21:$AC$97,F290))-1</f>
        <v>0.417126803107184</v>
      </c>
      <c r="M290" s="489">
        <f>(1+INDEX($AD$21:$AD$97,B290))*(1+INDEX($AD$21:$AD$97,C290))*(1+INDEX($AD$21:$AD$97,D290))*(1+INDEX($AD$21:$AD$97,E290))*(1+INDEX($AD$21:$AD$97,F290))-1</f>
        <v>0.413008499199019</v>
      </c>
      <c r="N290" s="489">
        <f>(1+INDEX($AE$21:$AE$97,B290))*(1+INDEX($AE$21:$AE$97,C290))*(1+INDEX($AE$21:$AE$97,D290))*(1+INDEX($AE$21:$AE$97,E290))*(1+INDEX($AE$21:$AE$97,F290))-1</f>
        <v>0.410828214041853</v>
      </c>
      <c r="O290" s="489">
        <f>(1+INDEX($AF$21:$AF$97,B290))*(1+INDEX($AF$21:$AF$97,C290))*(1+INDEX($AF$21:$AF$97,D290))*(1+INDEX($AF$21:$AF$97,E290))*(1+INDEX($AF$21:$AF$97,F290))-1</f>
        <v>0.386276107893749</v>
      </c>
      <c r="P290" s="489">
        <f>LN((1+L290)/(1+H290))</f>
        <v>0.0214891332306812</v>
      </c>
      <c r="Q290" s="489">
        <f>LN((1+M290)/(1+H290))</f>
        <v>0.0185788081931176</v>
      </c>
      <c r="R290" s="489">
        <f>LN((1+N290)/(1+H290))</f>
        <v>0.017034607297794</v>
      </c>
      <c r="S290" s="542">
        <f>LN((1+O290)/(1+H290))</f>
        <v>-0.000521217521848218</v>
      </c>
    </row>
    <row r="291">
      <c r="A291" s="320" t="n">
        <v>190</v>
      </c>
      <c r="B291" s="174" t="n">
        <v>74</v>
      </c>
      <c r="C291" s="174" t="n">
        <v>42</v>
      </c>
      <c r="D291" s="174" t="n">
        <v>77</v>
      </c>
      <c r="E291" s="174" t="n">
        <v>4</v>
      </c>
      <c r="F291" s="174" t="n">
        <v>46</v>
      </c>
      <c r="G291" s="68">
        <f>(1+INDEX($Z$21:$Z$97,B291))*(1+INDEX($Z$21:$Z$97,C291))*(1+INDEX($Z$21:$Z$97,D291))*(1+INDEX($Z$21:$Z$97,E291))*(1+INDEX($Z$21:$Z$97,F291))-1</f>
        <v>0.463365856138685</v>
      </c>
      <c r="H291" s="68">
        <f>(1+INDEX($AA$21:$AA$97,B291))*(1+INDEX($AA$21:$AA$97,C291))*(1+INDEX($AA$21:$AA$97,D291))*(1+INDEX($AA$21:$AA$97,E291))*(1+INDEX($AA$21:$AA$97,F291))-1</f>
        <v>0.433759504229533</v>
      </c>
      <c r="I291" s="68">
        <f>(1+INDEX($AB$21:$AB$97,B291))*(1+INDEX($AB$21:$AB$97,C291))*(1+INDEX($AB$21:$AB$97,D291))*(1+INDEX($AB$21:$AB$97,E291))*(1+INDEX($AB$21:$AB$97,F291))-1</f>
        <v>0.480581992271581</v>
      </c>
      <c r="J291" s="489">
        <f>LN((1+G291)/(1+H291))</f>
        <v>0.0204391449534446</v>
      </c>
      <c r="K291" s="489">
        <f>LN((1+I291)/(1+H291))</f>
        <v>0.0321352301292837</v>
      </c>
      <c r="L291" s="489">
        <f>(1+INDEX($AC$21:$AC$97,B291))*(1+INDEX($AC$21:$AC$97,C291))*(1+INDEX($AC$21:$AC$97,D291))*(1+INDEX($AC$21:$AC$97,E291))*(1+INDEX($AC$21:$AC$97,F291))-1</f>
        <v>0.479523486384022</v>
      </c>
      <c r="M291" s="489">
        <f>(1+INDEX($AD$21:$AD$97,B291))*(1+INDEX($AD$21:$AD$97,C291))*(1+INDEX($AD$21:$AD$97,D291))*(1+INDEX($AD$21:$AD$97,E291))*(1+INDEX($AD$21:$AD$97,F291))-1</f>
        <v>0.45609968599797</v>
      </c>
      <c r="N291" s="489">
        <f>(1+INDEX($AE$21:$AE$97,B291))*(1+INDEX($AE$21:$AE$97,C291))*(1+INDEX($AE$21:$AE$97,D291))*(1+INDEX($AE$21:$AE$97,E291))*(1+INDEX($AE$21:$AE$97,F291))-1</f>
        <v>0.445916913978367</v>
      </c>
      <c r="O291" s="489">
        <f>(1+INDEX($AF$21:$AF$97,B291))*(1+INDEX($AF$21:$AF$97,C291))*(1+INDEX($AF$21:$AF$97,D291))*(1+INDEX($AF$21:$AF$97,E291))*(1+INDEX($AF$21:$AF$97,F291))-1</f>
        <v>0.458444146230977</v>
      </c>
      <c r="P291" s="489">
        <f>LN((1+L291)/(1+H291))</f>
        <v>0.031420048903271</v>
      </c>
      <c r="Q291" s="489">
        <f>LN((1+M291)/(1+H291))</f>
        <v>0.0154613947185029</v>
      </c>
      <c r="R291" s="489">
        <f>LN((1+N291)/(1+H291))</f>
        <v>0.00844364450271034</v>
      </c>
      <c r="S291" s="542">
        <f>LN((1+O291)/(1+H291))</f>
        <v>0.0170701958713634</v>
      </c>
    </row>
    <row r="292">
      <c r="A292" s="320" t="n">
        <v>191</v>
      </c>
      <c r="B292" s="174" t="n">
        <v>17</v>
      </c>
      <c r="C292" s="174" t="n">
        <v>70</v>
      </c>
      <c r="D292" s="174" t="n">
        <v>10</v>
      </c>
      <c r="E292" s="174" t="n">
        <v>51</v>
      </c>
      <c r="F292" s="174" t="n">
        <v>5</v>
      </c>
      <c r="G292" s="68">
        <f>(1+INDEX($Z$21:$Z$97,B292))*(1+INDEX($Z$21:$Z$97,C292))*(1+INDEX($Z$21:$Z$97,D292))*(1+INDEX($Z$21:$Z$97,E292))*(1+INDEX($Z$21:$Z$97,F292))-1</f>
        <v>0.0418883859561257</v>
      </c>
      <c r="H292" s="68">
        <f>(1+INDEX($AA$21:$AA$97,B292))*(1+INDEX($AA$21:$AA$97,C292))*(1+INDEX($AA$21:$AA$97,D292))*(1+INDEX($AA$21:$AA$97,E292))*(1+INDEX($AA$21:$AA$97,F292))-1</f>
        <v>0.0692380074558889</v>
      </c>
      <c r="I292" s="68">
        <f>(1+INDEX($AB$21:$AB$97,B292))*(1+INDEX($AB$21:$AB$97,C292))*(1+INDEX($AB$21:$AB$97,D292))*(1+INDEX($AB$21:$AB$97,E292))*(1+INDEX($AB$21:$AB$97,F292))-1</f>
        <v>0.036365327456461</v>
      </c>
      <c r="J292" s="489">
        <f>LN((1+G292)/(1+H292))</f>
        <v>-0.0259114298265794</v>
      </c>
      <c r="K292" s="489">
        <f>LN((1+I292)/(1+H292))</f>
        <v>-0.0312265378582753</v>
      </c>
      <c r="L292" s="489">
        <f>(1+INDEX($AC$21:$AC$97,B292))*(1+INDEX($AC$21:$AC$97,C292))*(1+INDEX($AC$21:$AC$97,D292))*(1+INDEX($AC$21:$AC$97,E292))*(1+INDEX($AC$21:$AC$97,F292))-1</f>
        <v>0.0206091101762782</v>
      </c>
      <c r="M292" s="489">
        <f>(1+INDEX($AD$21:$AD$97,B292))*(1+INDEX($AD$21:$AD$97,C292))*(1+INDEX($AD$21:$AD$97,D292))*(1+INDEX($AD$21:$AD$97,E292))*(1+INDEX($AD$21:$AD$97,F292))-1</f>
        <v>0.0494802792755764</v>
      </c>
      <c r="N292" s="489">
        <f>(1+INDEX($AE$21:$AE$97,B292))*(1+INDEX($AE$21:$AE$97,C292))*(1+INDEX($AE$21:$AE$97,D292))*(1+INDEX($AE$21:$AE$97,E292))*(1+INDEX($AE$21:$AE$97,F292))-1</f>
        <v>0.0126555589688635</v>
      </c>
      <c r="O292" s="489">
        <f>(1+INDEX($AF$21:$AF$97,B292))*(1+INDEX($AF$21:$AF$97,C292))*(1+INDEX($AF$21:$AF$97,D292))*(1+INDEX($AF$21:$AF$97,E292))*(1+INDEX($AF$21:$AF$97,F292))-1</f>
        <v>0.087840657076989</v>
      </c>
      <c r="P292" s="489">
        <f>LN((1+L292)/(1+H292))</f>
        <v>-0.0465466363127534</v>
      </c>
      <c r="Q292" s="489">
        <f>LN((1+M292)/(1+H292))</f>
        <v>-0.0186511827034605</v>
      </c>
      <c r="R292" s="489">
        <f>LN((1+N292)/(1+H292))</f>
        <v>-0.0543701055301177</v>
      </c>
      <c r="S292" s="542">
        <f>LN((1+O292)/(1+H292))</f>
        <v>0.017248430600455</v>
      </c>
    </row>
    <row r="293">
      <c r="A293" s="320" t="n">
        <v>192</v>
      </c>
      <c r="B293" s="174" t="n">
        <v>72</v>
      </c>
      <c r="C293" s="174" t="n">
        <v>9</v>
      </c>
      <c r="D293" s="174" t="n">
        <v>67</v>
      </c>
      <c r="E293" s="174" t="n">
        <v>76</v>
      </c>
      <c r="F293" s="174" t="n">
        <v>42</v>
      </c>
      <c r="G293" s="68">
        <f>(1+INDEX($Z$21:$Z$97,B293))*(1+INDEX($Z$21:$Z$97,C293))*(1+INDEX($Z$21:$Z$97,D293))*(1+INDEX($Z$21:$Z$97,E293))*(1+INDEX($Z$21:$Z$97,F293))-1</f>
        <v>0.183986783254846</v>
      </c>
      <c r="H293" s="68">
        <f>(1+INDEX($AA$21:$AA$97,B293))*(1+INDEX($AA$21:$AA$97,C293))*(1+INDEX($AA$21:$AA$97,D293))*(1+INDEX($AA$21:$AA$97,E293))*(1+INDEX($AA$21:$AA$97,F293))-1</f>
        <v>0.236185664932004</v>
      </c>
      <c r="I293" s="68">
        <f>(1+INDEX($AB$21:$AB$97,B293))*(1+INDEX($AB$21:$AB$97,C293))*(1+INDEX($AB$21:$AB$97,D293))*(1+INDEX($AB$21:$AB$97,E293))*(1+INDEX($AB$21:$AB$97,F293))-1</f>
        <v>0.233280547602554</v>
      </c>
      <c r="J293" s="489">
        <f>LN((1+G293)/(1+H293))</f>
        <v>-0.0431431884927416</v>
      </c>
      <c r="K293" s="489">
        <f>LN((1+I293)/(1+H293))</f>
        <v>-0.00235283127575264</v>
      </c>
      <c r="L293" s="489">
        <f>(1+INDEX($AC$21:$AC$97,B293))*(1+INDEX($AC$21:$AC$97,C293))*(1+INDEX($AC$21:$AC$97,D293))*(1+INDEX($AC$21:$AC$97,E293))*(1+INDEX($AC$21:$AC$97,F293))-1</f>
        <v>0.226591300765845</v>
      </c>
      <c r="M293" s="489">
        <f>(1+INDEX($AD$21:$AD$97,B293))*(1+INDEX($AD$21:$AD$97,C293))*(1+INDEX($AD$21:$AD$97,D293))*(1+INDEX($AD$21:$AD$97,E293))*(1+INDEX($AD$21:$AD$97,F293))-1</f>
        <v>0.243541867786684</v>
      </c>
      <c r="N293" s="489">
        <f>(1+INDEX($AE$21:$AE$97,B293))*(1+INDEX($AE$21:$AE$97,C293))*(1+INDEX($AE$21:$AE$97,D293))*(1+INDEX($AE$21:$AE$97,E293))*(1+INDEX($AE$21:$AE$97,F293))-1</f>
        <v>0.221840577127768</v>
      </c>
      <c r="O293" s="489">
        <f>(1+INDEX($AF$21:$AF$97,B293))*(1+INDEX($AF$21:$AF$97,C293))*(1+INDEX($AF$21:$AF$97,D293))*(1+INDEX($AF$21:$AF$97,E293))*(1+INDEX($AF$21:$AF$97,F293))-1</f>
        <v>0.275561188321942</v>
      </c>
      <c r="P293" s="489">
        <f>LN((1+L293)/(1+H293))</f>
        <v>-0.00779154006855624</v>
      </c>
      <c r="Q293" s="489">
        <f>LN((1+M293)/(1+H293))</f>
        <v>0.00593309090354619</v>
      </c>
      <c r="R293" s="489">
        <f>LN((1+N293)/(1+H293))</f>
        <v>-0.0116721704776325</v>
      </c>
      <c r="S293" s="542">
        <f>LN((1+O293)/(1+H293))</f>
        <v>0.0313556673765513</v>
      </c>
    </row>
    <row r="294">
      <c r="A294" s="320" t="n">
        <v>193</v>
      </c>
      <c r="B294" s="174" t="n">
        <v>30</v>
      </c>
      <c r="C294" s="174" t="n">
        <v>21</v>
      </c>
      <c r="D294" s="174" t="n">
        <v>13</v>
      </c>
      <c r="E294" s="174" t="n">
        <v>28</v>
      </c>
      <c r="F294" s="174" t="n">
        <v>2</v>
      </c>
      <c r="G294" s="68">
        <f>(1+INDEX($Z$21:$Z$97,B294))*(1+INDEX($Z$21:$Z$97,C294))*(1+INDEX($Z$21:$Z$97,D294))*(1+INDEX($Z$21:$Z$97,E294))*(1+INDEX($Z$21:$Z$97,F294))-1</f>
        <v>0.971909368873543</v>
      </c>
      <c r="H294" s="68">
        <f>(1+INDEX($AA$21:$AA$97,B294))*(1+INDEX($AA$21:$AA$97,C294))*(1+INDEX($AA$21:$AA$97,D294))*(1+INDEX($AA$21:$AA$97,E294))*(1+INDEX($AA$21:$AA$97,F294))-1</f>
        <v>0.842232261590514</v>
      </c>
      <c r="I294" s="68">
        <f>(1+INDEX($AB$21:$AB$97,B294))*(1+INDEX($AB$21:$AB$97,C294))*(1+INDEX($AB$21:$AB$97,D294))*(1+INDEX($AB$21:$AB$97,E294))*(1+INDEX($AB$21:$AB$97,F294))-1</f>
        <v>0.905335671088977</v>
      </c>
      <c r="J294" s="489">
        <f>LN((1+G294)/(1+H294))</f>
        <v>0.0680242741823596</v>
      </c>
      <c r="K294" s="489">
        <f>LN((1+I294)/(1+H294))</f>
        <v>0.0336801763995239</v>
      </c>
      <c r="L294" s="489">
        <f>(1+INDEX($AC$21:$AC$97,B294))*(1+INDEX($AC$21:$AC$97,C294))*(1+INDEX($AC$21:$AC$97,D294))*(1+INDEX($AC$21:$AC$97,E294))*(1+INDEX($AC$21:$AC$97,F294))-1</f>
        <v>0.909158644083848</v>
      </c>
      <c r="M294" s="489">
        <f>(1+INDEX($AD$21:$AD$97,B294))*(1+INDEX($AD$21:$AD$97,C294))*(1+INDEX($AD$21:$AD$97,D294))*(1+INDEX($AD$21:$AD$97,E294))*(1+INDEX($AD$21:$AD$97,F294))-1</f>
        <v>0.915054493065024</v>
      </c>
      <c r="N294" s="489">
        <f>(1+INDEX($AE$21:$AE$97,B294))*(1+INDEX($AE$21:$AE$97,C294))*(1+INDEX($AE$21:$AE$97,D294))*(1+INDEX($AE$21:$AE$97,E294))*(1+INDEX($AE$21:$AE$97,F294))-1</f>
        <v>0.911479685337148</v>
      </c>
      <c r="O294" s="489">
        <f>(1+INDEX($AF$21:$AF$97,B294))*(1+INDEX($AF$21:$AF$97,C294))*(1+INDEX($AF$21:$AF$97,D294))*(1+INDEX($AF$21:$AF$97,E294))*(1+INDEX($AF$21:$AF$97,F294))-1</f>
        <v>0.889331771646025</v>
      </c>
      <c r="P294" s="489">
        <f>LN((1+L294)/(1+H294))</f>
        <v>0.0356846225771786</v>
      </c>
      <c r="Q294" s="489">
        <f>LN((1+M294)/(1+H294))</f>
        <v>0.0387680561835148</v>
      </c>
      <c r="R294" s="489">
        <f>LN((1+N294)/(1+H294))</f>
        <v>0.0368996245421434</v>
      </c>
      <c r="S294" s="542">
        <f>LN((1+O294)/(1+H294))</f>
        <v>0.025245184625977</v>
      </c>
    </row>
    <row r="295">
      <c r="A295" s="320" t="n">
        <v>194</v>
      </c>
      <c r="B295" s="174" t="n">
        <v>48</v>
      </c>
      <c r="C295" s="174" t="n">
        <v>72</v>
      </c>
      <c r="D295" s="174" t="n">
        <v>61</v>
      </c>
      <c r="E295" s="174" t="n">
        <v>70</v>
      </c>
      <c r="F295" s="174" t="n">
        <v>8</v>
      </c>
      <c r="G295" s="68">
        <f>(1+INDEX($Z$21:$Z$97,B295))*(1+INDEX($Z$21:$Z$97,C295))*(1+INDEX($Z$21:$Z$97,D295))*(1+INDEX($Z$21:$Z$97,E295))*(1+INDEX($Z$21:$Z$97,F295))-1</f>
        <v>0.103518072556793</v>
      </c>
      <c r="H295" s="68">
        <f>(1+INDEX($AA$21:$AA$97,B295))*(1+INDEX($AA$21:$AA$97,C295))*(1+INDEX($AA$21:$AA$97,D295))*(1+INDEX($AA$21:$AA$97,E295))*(1+INDEX($AA$21:$AA$97,F295))-1</f>
        <v>0.151599831775743</v>
      </c>
      <c r="I295" s="68">
        <f>(1+INDEX($AB$21:$AB$97,B295))*(1+INDEX($AB$21:$AB$97,C295))*(1+INDEX($AB$21:$AB$97,D295))*(1+INDEX($AB$21:$AB$97,E295))*(1+INDEX($AB$21:$AB$97,F295))-1</f>
        <v>0.139833843562706</v>
      </c>
      <c r="J295" s="489">
        <f>LN((1+G295)/(1+H295))</f>
        <v>-0.0426488096097076</v>
      </c>
      <c r="K295" s="489">
        <f>LN((1+I295)/(1+H295))</f>
        <v>-0.0102696331542785</v>
      </c>
      <c r="L295" s="489">
        <f>(1+INDEX($AC$21:$AC$97,B295))*(1+INDEX($AC$21:$AC$97,C295))*(1+INDEX($AC$21:$AC$97,D295))*(1+INDEX($AC$21:$AC$97,E295))*(1+INDEX($AC$21:$AC$97,F295))-1</f>
        <v>0.131503104092536</v>
      </c>
      <c r="M295" s="489">
        <f>(1+INDEX($AD$21:$AD$97,B295))*(1+INDEX($AD$21:$AD$97,C295))*(1+INDEX($AD$21:$AD$97,D295))*(1+INDEX($AD$21:$AD$97,E295))*(1+INDEX($AD$21:$AD$97,F295))-1</f>
        <v>0.122059943663922</v>
      </c>
      <c r="N295" s="489">
        <f>(1+INDEX($AE$21:$AE$97,B295))*(1+INDEX($AE$21:$AE$97,C295))*(1+INDEX($AE$21:$AE$97,D295))*(1+INDEX($AE$21:$AE$97,E295))*(1+INDEX($AE$21:$AE$97,F295))-1</f>
        <v>0.144021288970485</v>
      </c>
      <c r="O295" s="489">
        <f>(1+INDEX($AF$21:$AF$97,B295))*(1+INDEX($AF$21:$AF$97,C295))*(1+INDEX($AF$21:$AF$97,D295))*(1+INDEX($AF$21:$AF$97,E295))*(1+INDEX($AF$21:$AF$97,F295))-1</f>
        <v>0.135722845344559</v>
      </c>
      <c r="P295" s="489">
        <f>LN((1+L295)/(1+H295))</f>
        <v>-0.0176052042465193</v>
      </c>
      <c r="Q295" s="489">
        <f>LN((1+M295)/(1+H295))</f>
        <v>-0.0259859022783288</v>
      </c>
      <c r="R295" s="489">
        <f>LN((1+N295)/(1+H295))</f>
        <v>-0.00660263165276036</v>
      </c>
      <c r="S295" s="542">
        <f>LN((1+O295)/(1+H295))</f>
        <v>-0.0138828173132526</v>
      </c>
    </row>
    <row r="296">
      <c r="A296" s="320" t="n">
        <v>195</v>
      </c>
      <c r="B296" s="174" t="n">
        <v>40</v>
      </c>
      <c r="C296" s="174" t="n">
        <v>14</v>
      </c>
      <c r="D296" s="174" t="n">
        <v>22</v>
      </c>
      <c r="E296" s="174" t="n">
        <v>74</v>
      </c>
      <c r="F296" s="174" t="n">
        <v>34</v>
      </c>
      <c r="G296" s="68">
        <f>(1+INDEX($Z$21:$Z$97,B296))*(1+INDEX($Z$21:$Z$97,C296))*(1+INDEX($Z$21:$Z$97,D296))*(1+INDEX($Z$21:$Z$97,E296))*(1+INDEX($Z$21:$Z$97,F296))-1</f>
        <v>0.550535791235626</v>
      </c>
      <c r="H296" s="68">
        <f>(1+INDEX($AA$21:$AA$97,B296))*(1+INDEX($AA$21:$AA$97,C296))*(1+INDEX($AA$21:$AA$97,D296))*(1+INDEX($AA$21:$AA$97,E296))*(1+INDEX($AA$21:$AA$97,F296))-1</f>
        <v>0.530494034509263</v>
      </c>
      <c r="I296" s="68">
        <f>(1+INDEX($AB$21:$AB$97,B296))*(1+INDEX($AB$21:$AB$97,C296))*(1+INDEX($AB$21:$AB$97,D296))*(1+INDEX($AB$21:$AB$97,E296))*(1+INDEX($AB$21:$AB$97,F296))-1</f>
        <v>0.584020476970141</v>
      </c>
      <c r="J296" s="489">
        <f>LN((1+G296)/(1+H296))</f>
        <v>0.0130099613094039</v>
      </c>
      <c r="K296" s="489">
        <f>LN((1+I296)/(1+H296))</f>
        <v>0.034375639032864</v>
      </c>
      <c r="L296" s="489">
        <f>(1+INDEX($AC$21:$AC$97,B296))*(1+INDEX($AC$21:$AC$97,C296))*(1+INDEX($AC$21:$AC$97,D296))*(1+INDEX($AC$21:$AC$97,E296))*(1+INDEX($AC$21:$AC$97,F296))-1</f>
        <v>0.576499993512558</v>
      </c>
      <c r="M296" s="489">
        <f>(1+INDEX($AD$21:$AD$97,B296))*(1+INDEX($AD$21:$AD$97,C296))*(1+INDEX($AD$21:$AD$97,D296))*(1+INDEX($AD$21:$AD$97,E296))*(1+INDEX($AD$21:$AD$97,F296))-1</f>
        <v>0.593743188442719</v>
      </c>
      <c r="N296" s="489">
        <f>(1+INDEX($AE$21:$AE$97,B296))*(1+INDEX($AE$21:$AE$97,C296))*(1+INDEX($AE$21:$AE$97,D296))*(1+INDEX($AE$21:$AE$97,E296))*(1+INDEX($AE$21:$AE$97,F296))-1</f>
        <v>0.556852862105588</v>
      </c>
      <c r="O296" s="489">
        <f>(1+INDEX($AF$21:$AF$97,B296))*(1+INDEX($AF$21:$AF$97,C296))*(1+INDEX($AF$21:$AF$97,D296))*(1+INDEX($AF$21:$AF$97,E296))*(1+INDEX($AF$21:$AF$97,F296))-1</f>
        <v>0.509956764098508</v>
      </c>
      <c r="P296" s="489">
        <f>LN((1+L296)/(1+H296))</f>
        <v>0.0296166142319351</v>
      </c>
      <c r="Q296" s="489">
        <f>LN((1+M296)/(1+H296))</f>
        <v>0.0404948743412209</v>
      </c>
      <c r="R296" s="489">
        <f>LN((1+N296)/(1+H296))</f>
        <v>0.017075805834843</v>
      </c>
      <c r="S296" s="542">
        <f>LN((1+O296)/(1+H296))</f>
        <v>-0.0135095642863975</v>
      </c>
    </row>
    <row r="297">
      <c r="A297" s="320" t="n">
        <v>196</v>
      </c>
      <c r="B297" s="174" t="n">
        <v>2</v>
      </c>
      <c r="C297" s="174" t="n">
        <v>24</v>
      </c>
      <c r="D297" s="174" t="n">
        <v>38</v>
      </c>
      <c r="E297" s="174" t="n">
        <v>55</v>
      </c>
      <c r="F297" s="174" t="n">
        <v>68</v>
      </c>
      <c r="G297" s="68">
        <f>(1+INDEX($Z$21:$Z$97,B297))*(1+INDEX($Z$21:$Z$97,C297))*(1+INDEX($Z$21:$Z$97,D297))*(1+INDEX($Z$21:$Z$97,E297))*(1+INDEX($Z$21:$Z$97,F297))-1</f>
        <v>0.471028844408779</v>
      </c>
      <c r="H297" s="68">
        <f>(1+INDEX($AA$21:$AA$97,B297))*(1+INDEX($AA$21:$AA$97,C297))*(1+INDEX($AA$21:$AA$97,D297))*(1+INDEX($AA$21:$AA$97,E297))*(1+INDEX($AA$21:$AA$97,F297))-1</f>
        <v>0.409119075877863</v>
      </c>
      <c r="I297" s="68">
        <f>(1+INDEX($AB$21:$AB$97,B297))*(1+INDEX($AB$21:$AB$97,C297))*(1+INDEX($AB$21:$AB$97,D297))*(1+INDEX($AB$21:$AB$97,E297))*(1+INDEX($AB$21:$AB$97,F297))-1</f>
        <v>0.426188167336823</v>
      </c>
      <c r="J297" s="489">
        <f>LN((1+G297)/(1+H297))</f>
        <v>0.0429973098748602</v>
      </c>
      <c r="K297" s="489">
        <f>LN((1+I297)/(1+H297))</f>
        <v>0.0120405276812845</v>
      </c>
      <c r="L297" s="489">
        <f>(1+INDEX($AC$21:$AC$97,B297))*(1+INDEX($AC$21:$AC$97,C297))*(1+INDEX($AC$21:$AC$97,D297))*(1+INDEX($AC$21:$AC$97,E297))*(1+INDEX($AC$21:$AC$97,F297))-1</f>
        <v>0.410126150438065</v>
      </c>
      <c r="M297" s="489">
        <f>(1+INDEX($AD$21:$AD$97,B297))*(1+INDEX($AD$21:$AD$97,C297))*(1+INDEX($AD$21:$AD$97,D297))*(1+INDEX($AD$21:$AD$97,E297))*(1+INDEX($AD$21:$AD$97,F297))-1</f>
        <v>0.459278009118315</v>
      </c>
      <c r="N297" s="489">
        <f>(1+INDEX($AE$21:$AE$97,B297))*(1+INDEX($AE$21:$AE$97,C297))*(1+INDEX($AE$21:$AE$97,D297))*(1+INDEX($AE$21:$AE$97,E297))*(1+INDEX($AE$21:$AE$97,F297))-1</f>
        <v>0.414071800506477</v>
      </c>
      <c r="O297" s="489">
        <f>(1+INDEX($AF$21:$AF$97,B297))*(1+INDEX($AF$21:$AF$97,C297))*(1+INDEX($AF$21:$AF$97,D297))*(1+INDEX($AF$21:$AF$97,E297))*(1+INDEX($AF$21:$AF$97,F297))-1</f>
        <v>0.461260594229091</v>
      </c>
      <c r="P297" s="489">
        <f>LN((1+L297)/(1+H297))</f>
        <v>0.000714428524085914</v>
      </c>
      <c r="Q297" s="489">
        <f>LN((1+M297)/(1+H297))</f>
        <v>0.0349770588454748</v>
      </c>
      <c r="R297" s="489">
        <f>LN((1+N297)/(1+H297))</f>
        <v>0.00350860421860764</v>
      </c>
      <c r="S297" s="542">
        <f>LN((1+O297)/(1+H297))</f>
        <v>0.0363347436321414</v>
      </c>
    </row>
    <row r="298">
      <c r="A298" s="320" t="n">
        <v>197</v>
      </c>
      <c r="B298" s="174" t="n">
        <v>52</v>
      </c>
      <c r="C298" s="174" t="n">
        <v>43</v>
      </c>
      <c r="D298" s="174" t="n">
        <v>25</v>
      </c>
      <c r="E298" s="174" t="n">
        <v>35</v>
      </c>
      <c r="F298" s="174" t="n">
        <v>9</v>
      </c>
      <c r="G298" s="68">
        <f>(1+INDEX($Z$21:$Z$97,B298))*(1+INDEX($Z$21:$Z$97,C298))*(1+INDEX($Z$21:$Z$97,D298))*(1+INDEX($Z$21:$Z$97,E298))*(1+INDEX($Z$21:$Z$97,F298))-1</f>
        <v>0.301606670241182</v>
      </c>
      <c r="H298" s="68">
        <f>(1+INDEX($AA$21:$AA$97,B298))*(1+INDEX($AA$21:$AA$97,C298))*(1+INDEX($AA$21:$AA$97,D298))*(1+INDEX($AA$21:$AA$97,E298))*(1+INDEX($AA$21:$AA$97,F298))-1</f>
        <v>0.312346903595871</v>
      </c>
      <c r="I298" s="68">
        <f>(1+INDEX($AB$21:$AB$97,B298))*(1+INDEX($AB$21:$AB$97,C298))*(1+INDEX($AB$21:$AB$97,D298))*(1+INDEX($AB$21:$AB$97,E298))*(1+INDEX($AB$21:$AB$97,F298))-1</f>
        <v>0.328916025114921</v>
      </c>
      <c r="J298" s="489">
        <f>LN((1+G298)/(1+H298))</f>
        <v>-0.00821766224370552</v>
      </c>
      <c r="K298" s="489">
        <f>LN((1+I298)/(1+H298))</f>
        <v>0.0125465274139944</v>
      </c>
      <c r="L298" s="489">
        <f>(1+INDEX($AC$21:$AC$97,B298))*(1+INDEX($AC$21:$AC$97,C298))*(1+INDEX($AC$21:$AC$97,D298))*(1+INDEX($AC$21:$AC$97,E298))*(1+INDEX($AC$21:$AC$97,F298))-1</f>
        <v>0.31058166223498</v>
      </c>
      <c r="M298" s="489">
        <f>(1+INDEX($AD$21:$AD$97,B298))*(1+INDEX($AD$21:$AD$97,C298))*(1+INDEX($AD$21:$AD$97,D298))*(1+INDEX($AD$21:$AD$97,E298))*(1+INDEX($AD$21:$AD$97,F298))-1</f>
        <v>0.352553553287506</v>
      </c>
      <c r="N298" s="489">
        <f>(1+INDEX($AE$21:$AE$97,B298))*(1+INDEX($AE$21:$AE$97,C298))*(1+INDEX($AE$21:$AE$97,D298))*(1+INDEX($AE$21:$AE$97,E298))*(1+INDEX($AE$21:$AE$97,F298))-1</f>
        <v>0.304434082144625</v>
      </c>
      <c r="O298" s="489">
        <f>(1+INDEX($AF$21:$AF$97,B298))*(1+INDEX($AF$21:$AF$97,C298))*(1+INDEX($AF$21:$AF$97,D298))*(1+INDEX($AF$21:$AF$97,E298))*(1+INDEX($AF$21:$AF$97,F298))-1</f>
        <v>0.354437371012326</v>
      </c>
      <c r="P298" s="489">
        <f>LN((1+L298)/(1+H298))</f>
        <v>-0.00134600816080113</v>
      </c>
      <c r="Q298" s="489">
        <f>LN((1+M298)/(1+H298))</f>
        <v>0.0301772629301895</v>
      </c>
      <c r="R298" s="489">
        <f>LN((1+N298)/(1+H298))</f>
        <v>-0.00604777061001288</v>
      </c>
      <c r="S298" s="542">
        <f>LN((1+O298)/(1+H298))</f>
        <v>0.0315690799562565</v>
      </c>
    </row>
    <row r="299">
      <c r="A299" s="320" t="n">
        <v>198</v>
      </c>
      <c r="B299" s="174" t="n">
        <v>72</v>
      </c>
      <c r="C299" s="174" t="n">
        <v>46</v>
      </c>
      <c r="D299" s="174" t="n">
        <v>13</v>
      </c>
      <c r="E299" s="174" t="n">
        <v>45</v>
      </c>
      <c r="F299" s="174" t="n">
        <v>39</v>
      </c>
      <c r="G299" s="68">
        <f>(1+INDEX($Z$21:$Z$97,B299))*(1+INDEX($Z$21:$Z$97,C299))*(1+INDEX($Z$21:$Z$97,D299))*(1+INDEX($Z$21:$Z$97,E299))*(1+INDEX($Z$21:$Z$97,F299))-1</f>
        <v>0.735842655461253</v>
      </c>
      <c r="H299" s="68">
        <f>(1+INDEX($AA$21:$AA$97,B299))*(1+INDEX($AA$21:$AA$97,C299))*(1+INDEX($AA$21:$AA$97,D299))*(1+INDEX($AA$21:$AA$97,E299))*(1+INDEX($AA$21:$AA$97,F299))-1</f>
        <v>0.640800485692885</v>
      </c>
      <c r="I299" s="68">
        <f>(1+INDEX($AB$21:$AB$97,B299))*(1+INDEX($AB$21:$AB$97,C299))*(1+INDEX($AB$21:$AB$97,D299))*(1+INDEX($AB$21:$AB$97,E299))*(1+INDEX($AB$21:$AB$97,F299))-1</f>
        <v>0.734811794909646</v>
      </c>
      <c r="J299" s="489">
        <f>LN((1+G299)/(1+H299))</f>
        <v>0.0563087520896131</v>
      </c>
      <c r="K299" s="489">
        <f>LN((1+I299)/(1+H299))</f>
        <v>0.0557147081727309</v>
      </c>
      <c r="L299" s="489">
        <f>(1+INDEX($AC$21:$AC$97,B299))*(1+INDEX($AC$21:$AC$97,C299))*(1+INDEX($AC$21:$AC$97,D299))*(1+INDEX($AC$21:$AC$97,E299))*(1+INDEX($AC$21:$AC$97,F299))-1</f>
        <v>0.719998800118633</v>
      </c>
      <c r="M299" s="489">
        <f>(1+INDEX($AD$21:$AD$97,B299))*(1+INDEX($AD$21:$AD$97,C299))*(1+INDEX($AD$21:$AD$97,D299))*(1+INDEX($AD$21:$AD$97,E299))*(1+INDEX($AD$21:$AD$97,F299))-1</f>
        <v>0.716565677839101</v>
      </c>
      <c r="N299" s="489">
        <f>(1+INDEX($AE$21:$AE$97,B299))*(1+INDEX($AE$21:$AE$97,C299))*(1+INDEX($AE$21:$AE$97,D299))*(1+INDEX($AE$21:$AE$97,E299))*(1+INDEX($AE$21:$AE$97,F299))-1</f>
        <v>0.695863358724951</v>
      </c>
      <c r="O299" s="489">
        <f>(1+INDEX($AF$21:$AF$97,B299))*(1+INDEX($AF$21:$AF$97,C299))*(1+INDEX($AF$21:$AF$97,D299))*(1+INDEX($AF$21:$AF$97,E299))*(1+INDEX($AF$21:$AF$97,F299))-1</f>
        <v>0.66026092645921</v>
      </c>
      <c r="P299" s="489">
        <f>LN((1+L299)/(1+H299))</f>
        <v>0.0471393694338791</v>
      </c>
      <c r="Q299" s="489">
        <f>LN((1+M299)/(1+H299))</f>
        <v>0.0451413720480392</v>
      </c>
      <c r="R299" s="489">
        <f>LN((1+N299)/(1+H299))</f>
        <v>0.0330077435487065</v>
      </c>
      <c r="S299" s="542">
        <f>LN((1+O299)/(1+H299))</f>
        <v>0.0117905508444338</v>
      </c>
    </row>
    <row r="300">
      <c r="A300" s="320" t="n">
        <v>199</v>
      </c>
      <c r="B300" s="174" t="n">
        <v>65</v>
      </c>
      <c r="C300" s="174" t="n">
        <v>20</v>
      </c>
      <c r="D300" s="174" t="n">
        <v>40</v>
      </c>
      <c r="E300" s="174" t="n">
        <v>15</v>
      </c>
      <c r="F300" s="174" t="n">
        <v>4</v>
      </c>
      <c r="G300" s="68">
        <f>(1+INDEX($Z$21:$Z$97,B300))*(1+INDEX($Z$21:$Z$97,C300))*(1+INDEX($Z$21:$Z$97,D300))*(1+INDEX($Z$21:$Z$97,E300))*(1+INDEX($Z$21:$Z$97,F300))-1</f>
        <v>0.126294076260787</v>
      </c>
      <c r="H300" s="68">
        <f>(1+INDEX($AA$21:$AA$97,B300))*(1+INDEX($AA$21:$AA$97,C300))*(1+INDEX($AA$21:$AA$97,D300))*(1+INDEX($AA$21:$AA$97,E300))*(1+INDEX($AA$21:$AA$97,F300))-1</f>
        <v>0.124002688591599</v>
      </c>
      <c r="I300" s="68">
        <f>(1+INDEX($AB$21:$AB$97,B300))*(1+INDEX($AB$21:$AB$97,C300))*(1+INDEX($AB$21:$AB$97,D300))*(1+INDEX($AB$21:$AB$97,E300))*(1+INDEX($AB$21:$AB$97,F300))-1</f>
        <v>0.116599188293435</v>
      </c>
      <c r="J300" s="489">
        <f>LN((1+G300)/(1+H300))</f>
        <v>0.00203652113527643</v>
      </c>
      <c r="K300" s="489">
        <f>LN((1+I300)/(1+H300))</f>
        <v>-0.00660851650498911</v>
      </c>
      <c r="L300" s="489">
        <f>(1+INDEX($AC$21:$AC$97,B300))*(1+INDEX($AC$21:$AC$97,C300))*(1+INDEX($AC$21:$AC$97,D300))*(1+INDEX($AC$21:$AC$97,E300))*(1+INDEX($AC$21:$AC$97,F300))-1</f>
        <v>0.104437370499583</v>
      </c>
      <c r="M300" s="489">
        <f>(1+INDEX($AD$21:$AD$97,B300))*(1+INDEX($AD$21:$AD$97,C300))*(1+INDEX($AD$21:$AD$97,D300))*(1+INDEX($AD$21:$AD$97,E300))*(1+INDEX($AD$21:$AD$97,F300))-1</f>
        <v>0.114314178258833</v>
      </c>
      <c r="N300" s="489">
        <f>(1+INDEX($AE$21:$AE$97,B300))*(1+INDEX($AE$21:$AE$97,C300))*(1+INDEX($AE$21:$AE$97,D300))*(1+INDEX($AE$21:$AE$97,E300))*(1+INDEX($AE$21:$AE$97,F300))-1</f>
        <v>0.0896758018597597</v>
      </c>
      <c r="O300" s="489">
        <f>(1+INDEX($AF$21:$AF$97,B300))*(1+INDEX($AF$21:$AF$97,C300))*(1+INDEX($AF$21:$AF$97,D300))*(1+INDEX($AF$21:$AF$97,E300))*(1+INDEX($AF$21:$AF$97,F300))-1</f>
        <v>0.138412063482802</v>
      </c>
      <c r="P300" s="489">
        <f>LN((1+L300)/(1+H300))</f>
        <v>-0.0175601051225529</v>
      </c>
      <c r="Q300" s="489">
        <f>LN((1+M300)/(1+H300))</f>
        <v>-0.00865701454881128</v>
      </c>
      <c r="R300" s="489">
        <f>LN((1+N300)/(1+H300))</f>
        <v>-0.0310159209403762</v>
      </c>
      <c r="S300" s="542">
        <f>LN((1+O300)/(1+H300))</f>
        <v>0.0127382211585773</v>
      </c>
    </row>
    <row r="301">
      <c r="A301" s="320" t="n">
        <v>200</v>
      </c>
      <c r="B301" s="174" t="n">
        <v>46</v>
      </c>
      <c r="C301" s="174" t="n">
        <v>18</v>
      </c>
      <c r="D301" s="174" t="n">
        <v>73</v>
      </c>
      <c r="E301" s="174" t="n">
        <v>52</v>
      </c>
      <c r="F301" s="174" t="n">
        <v>75</v>
      </c>
      <c r="G301" s="68">
        <f>(1+INDEX($Z$21:$Z$97,B301))*(1+INDEX($Z$21:$Z$97,C301))*(1+INDEX($Z$21:$Z$97,D301))*(1+INDEX($Z$21:$Z$97,E301))*(1+INDEX($Z$21:$Z$97,F301))-1</f>
        <v>0.598507106728988</v>
      </c>
      <c r="H301" s="68">
        <f>(1+INDEX($AA$21:$AA$97,B301))*(1+INDEX($AA$21:$AA$97,C301))*(1+INDEX($AA$21:$AA$97,D301))*(1+INDEX($AA$21:$AA$97,E301))*(1+INDEX($AA$21:$AA$97,F301))-1</f>
        <v>0.548344171653522</v>
      </c>
      <c r="I301" s="68">
        <f>(1+INDEX($AB$21:$AB$97,B301))*(1+INDEX($AB$21:$AB$97,C301))*(1+INDEX($AB$21:$AB$97,D301))*(1+INDEX($AB$21:$AB$97,E301))*(1+INDEX($AB$21:$AB$97,F301))-1</f>
        <v>0.628294761332101</v>
      </c>
      <c r="J301" s="489">
        <f>LN((1+G301)/(1+H301))</f>
        <v>0.0318840518167971</v>
      </c>
      <c r="K301" s="489">
        <f>LN((1+I301)/(1+H301))</f>
        <v>0.0503472249560457</v>
      </c>
      <c r="L301" s="489">
        <f>(1+INDEX($AC$21:$AC$97,B301))*(1+INDEX($AC$21:$AC$97,C301))*(1+INDEX($AC$21:$AC$97,D301))*(1+INDEX($AC$21:$AC$97,E301))*(1+INDEX($AC$21:$AC$97,F301))-1</f>
        <v>0.608231907187137</v>
      </c>
      <c r="M301" s="489">
        <f>(1+INDEX($AD$21:$AD$97,B301))*(1+INDEX($AD$21:$AD$97,C301))*(1+INDEX($AD$21:$AD$97,D301))*(1+INDEX($AD$21:$AD$97,E301))*(1+INDEX($AD$21:$AD$97,F301))-1</f>
        <v>0.598458373540097</v>
      </c>
      <c r="N301" s="489">
        <f>(1+INDEX($AE$21:$AE$97,B301))*(1+INDEX($AE$21:$AE$97,C301))*(1+INDEX($AE$21:$AE$97,D301))*(1+INDEX($AE$21:$AE$97,E301))*(1+INDEX($AE$21:$AE$97,F301))-1</f>
        <v>0.59150787082768</v>
      </c>
      <c r="O301" s="489">
        <f>(1+INDEX($AF$21:$AF$97,B301))*(1+INDEX($AF$21:$AF$97,C301))*(1+INDEX($AF$21:$AF$97,D301))*(1+INDEX($AF$21:$AF$97,E301))*(1+INDEX($AF$21:$AF$97,F301))-1</f>
        <v>0.565245742060436</v>
      </c>
      <c r="P301" s="489">
        <f>LN((1+L301)/(1+H301))</f>
        <v>0.0379492976807622</v>
      </c>
      <c r="Q301" s="489">
        <f>LN((1+M301)/(1+H301))</f>
        <v>0.0318535646631536</v>
      </c>
      <c r="R301" s="489">
        <f>LN((1+N301)/(1+H301))</f>
        <v>0.027495829703562</v>
      </c>
      <c r="S301" s="542">
        <f>LN((1+O301)/(1+H301))</f>
        <v>0.0108567517812754</v>
      </c>
    </row>
    <row r="302">
      <c r="A302" s="320" t="n">
        <v>201</v>
      </c>
      <c r="B302" s="174" t="n">
        <v>13</v>
      </c>
      <c r="C302" s="174" t="n">
        <v>44</v>
      </c>
      <c r="D302" s="174" t="n">
        <v>4</v>
      </c>
      <c r="E302" s="174" t="n">
        <v>37</v>
      </c>
      <c r="F302" s="174" t="n">
        <v>34</v>
      </c>
      <c r="G302" s="68">
        <f>(1+INDEX($Z$21:$Z$97,B302))*(1+INDEX($Z$21:$Z$97,C302))*(1+INDEX($Z$21:$Z$97,D302))*(1+INDEX($Z$21:$Z$97,E302))*(1+INDEX($Z$21:$Z$97,F302))-1</f>
        <v>0.532969223009695</v>
      </c>
      <c r="H302" s="68">
        <f>(1+INDEX($AA$21:$AA$97,B302))*(1+INDEX($AA$21:$AA$97,C302))*(1+INDEX($AA$21:$AA$97,D302))*(1+INDEX($AA$21:$AA$97,E302))*(1+INDEX($AA$21:$AA$97,F302))-1</f>
        <v>0.475440755369106</v>
      </c>
      <c r="I302" s="68">
        <f>(1+INDEX($AB$21:$AB$97,B302))*(1+INDEX($AB$21:$AB$97,C302))*(1+INDEX($AB$21:$AB$97,D302))*(1+INDEX($AB$21:$AB$97,E302))*(1+INDEX($AB$21:$AB$97,F302))-1</f>
        <v>0.501512297369819</v>
      </c>
      <c r="J302" s="489">
        <f>LN((1+G302)/(1+H302))</f>
        <v>0.0382497610193208</v>
      </c>
      <c r="K302" s="489">
        <f>LN((1+I302)/(1+H302))</f>
        <v>0.0175160361099895</v>
      </c>
      <c r="L302" s="489">
        <f>(1+INDEX($AC$21:$AC$97,B302))*(1+INDEX($AC$21:$AC$97,C302))*(1+INDEX($AC$21:$AC$97,D302))*(1+INDEX($AC$21:$AC$97,E302))*(1+INDEX($AC$21:$AC$97,F302))-1</f>
        <v>0.505010087728142</v>
      </c>
      <c r="M302" s="489">
        <f>(1+INDEX($AD$21:$AD$97,B302))*(1+INDEX($AD$21:$AD$97,C302))*(1+INDEX($AD$21:$AD$97,D302))*(1+INDEX($AD$21:$AD$97,E302))*(1+INDEX($AD$21:$AD$97,F302))-1</f>
        <v>0.51886278247609</v>
      </c>
      <c r="N302" s="489">
        <f>(1+INDEX($AE$21:$AE$97,B302))*(1+INDEX($AE$21:$AE$97,C302))*(1+INDEX($AE$21:$AE$97,D302))*(1+INDEX($AE$21:$AE$97,E302))*(1+INDEX($AE$21:$AE$97,F302))-1</f>
        <v>0.487227116501338</v>
      </c>
      <c r="O302" s="489">
        <f>(1+INDEX($AF$21:$AF$97,B302))*(1+INDEX($AF$21:$AF$97,C302))*(1+INDEX($AF$21:$AF$97,D302))*(1+INDEX($AF$21:$AF$97,E302))*(1+INDEX($AF$21:$AF$97,F302))-1</f>
        <v>0.482131581313219</v>
      </c>
      <c r="P302" s="489">
        <f>LN((1+L302)/(1+H302))</f>
        <v>0.0198428386335622</v>
      </c>
      <c r="Q302" s="489">
        <f>LN((1+M302)/(1+H302))</f>
        <v>0.0290051230619307</v>
      </c>
      <c r="R302" s="489">
        <f>LN((1+N302)/(1+H302))</f>
        <v>0.00795662816269089</v>
      </c>
      <c r="S302" s="542">
        <f>LN((1+O302)/(1+H302))</f>
        <v>0.00452454688962851</v>
      </c>
    </row>
    <row r="303">
      <c r="A303" s="320" t="n">
        <v>202</v>
      </c>
      <c r="B303" s="174" t="n">
        <v>50</v>
      </c>
      <c r="C303" s="174" t="n">
        <v>25</v>
      </c>
      <c r="D303" s="174" t="n">
        <v>40</v>
      </c>
      <c r="E303" s="174" t="n">
        <v>76</v>
      </c>
      <c r="F303" s="174" t="n">
        <v>4</v>
      </c>
      <c r="G303" s="68">
        <f>(1+INDEX($Z$21:$Z$97,B303))*(1+INDEX($Z$21:$Z$97,C303))*(1+INDEX($Z$21:$Z$97,D303))*(1+INDEX($Z$21:$Z$97,E303))*(1+INDEX($Z$21:$Z$97,F303))-1</f>
        <v>0.520546908986069</v>
      </c>
      <c r="H303" s="68">
        <f>(1+INDEX($AA$21:$AA$97,B303))*(1+INDEX($AA$21:$AA$97,C303))*(1+INDEX($AA$21:$AA$97,D303))*(1+INDEX($AA$21:$AA$97,E303))*(1+INDEX($AA$21:$AA$97,F303))-1</f>
        <v>0.449602331065305</v>
      </c>
      <c r="I303" s="68">
        <f>(1+INDEX($AB$21:$AB$97,B303))*(1+INDEX($AB$21:$AB$97,C303))*(1+INDEX($AB$21:$AB$97,D303))*(1+INDEX($AB$21:$AB$97,E303))*(1+INDEX($AB$21:$AB$97,F303))-1</f>
        <v>0.491156324823125</v>
      </c>
      <c r="J303" s="489">
        <f>LN((1+G303)/(1+H303))</f>
        <v>0.0477808143059439</v>
      </c>
      <c r="K303" s="489">
        <f>LN((1+I303)/(1+H303))</f>
        <v>0.0282626115290319</v>
      </c>
      <c r="L303" s="489">
        <f>(1+INDEX($AC$21:$AC$97,B303))*(1+INDEX($AC$21:$AC$97,C303))*(1+INDEX($AC$21:$AC$97,D303))*(1+INDEX($AC$21:$AC$97,E303))*(1+INDEX($AC$21:$AC$97,F303))-1</f>
        <v>0.483742877089125</v>
      </c>
      <c r="M303" s="489">
        <f>(1+INDEX($AD$21:$AD$97,B303))*(1+INDEX($AD$21:$AD$97,C303))*(1+INDEX($AD$21:$AD$97,D303))*(1+INDEX($AD$21:$AD$97,E303))*(1+INDEX($AD$21:$AD$97,F303))-1</f>
        <v>0.489108324515284</v>
      </c>
      <c r="N303" s="489">
        <f>(1+INDEX($AE$21:$AE$97,B303))*(1+INDEX($AE$21:$AE$97,C303))*(1+INDEX($AE$21:$AE$97,D303))*(1+INDEX($AE$21:$AE$97,E303))*(1+INDEX($AE$21:$AE$97,F303))-1</f>
        <v>0.454836696883341</v>
      </c>
      <c r="O303" s="489">
        <f>(1+INDEX($AF$21:$AF$97,B303))*(1+INDEX($AF$21:$AF$97,C303))*(1+INDEX($AF$21:$AF$97,D303))*(1+INDEX($AF$21:$AF$97,E303))*(1+INDEX($AF$21:$AF$97,F303))-1</f>
        <v>0.491906979132447</v>
      </c>
      <c r="P303" s="489">
        <f>LN((1+L303)/(1+H303))</f>
        <v>0.0232786019361806</v>
      </c>
      <c r="Q303" s="489">
        <f>LN((1+M303)/(1+H303))</f>
        <v>0.0268882365179609</v>
      </c>
      <c r="R303" s="489">
        <f>LN((1+N303)/(1+H303))</f>
        <v>0.00360439412539875</v>
      </c>
      <c r="S303" s="542">
        <f>LN((1+O303)/(1+H303))</f>
        <v>0.0287658890318395</v>
      </c>
    </row>
    <row r="304">
      <c r="A304" s="320" t="n">
        <v>203</v>
      </c>
      <c r="B304" s="174" t="n">
        <v>1</v>
      </c>
      <c r="C304" s="174" t="n">
        <v>49</v>
      </c>
      <c r="D304" s="174" t="n">
        <v>19</v>
      </c>
      <c r="E304" s="174" t="n">
        <v>31</v>
      </c>
      <c r="F304" s="174" t="n">
        <v>33</v>
      </c>
      <c r="G304" s="68">
        <f>(1+INDEX($Z$21:$Z$97,B304))*(1+INDEX($Z$21:$Z$97,C304))*(1+INDEX($Z$21:$Z$97,D304))*(1+INDEX($Z$21:$Z$97,E304))*(1+INDEX($Z$21:$Z$97,F304))-1</f>
        <v>0.611614697145587</v>
      </c>
      <c r="H304" s="68">
        <f>(1+INDEX($AA$21:$AA$97,B304))*(1+INDEX($AA$21:$AA$97,C304))*(1+INDEX($AA$21:$AA$97,D304))*(1+INDEX($AA$21:$AA$97,E304))*(1+INDEX($AA$21:$AA$97,F304))-1</f>
        <v>0.551869997024628</v>
      </c>
      <c r="I304" s="68">
        <f>(1+INDEX($AB$21:$AB$97,B304))*(1+INDEX($AB$21:$AB$97,C304))*(1+INDEX($AB$21:$AB$97,D304))*(1+INDEX($AB$21:$AB$97,E304))*(1+INDEX($AB$21:$AB$97,F304))-1</f>
        <v>0.603152388075357</v>
      </c>
      <c r="J304" s="489">
        <f>LN((1+G304)/(1+H304))</f>
        <v>0.0377759404435308</v>
      </c>
      <c r="K304" s="489">
        <f>LN((1+I304)/(1+H304))</f>
        <v>0.0325112799617835</v>
      </c>
      <c r="L304" s="489">
        <f>(1+INDEX($AC$21:$AC$97,B304))*(1+INDEX($AC$21:$AC$97,C304))*(1+INDEX($AC$21:$AC$97,D304))*(1+INDEX($AC$21:$AC$97,E304))*(1+INDEX($AC$21:$AC$97,F304))-1</f>
        <v>0.575192331849582</v>
      </c>
      <c r="M304" s="489">
        <f>(1+INDEX($AD$21:$AD$97,B304))*(1+INDEX($AD$21:$AD$97,C304))*(1+INDEX($AD$21:$AD$97,D304))*(1+INDEX($AD$21:$AD$97,E304))*(1+INDEX($AD$21:$AD$97,F304))-1</f>
        <v>0.616866127022093</v>
      </c>
      <c r="N304" s="489">
        <f>(1+INDEX($AE$21:$AE$97,B304))*(1+INDEX($AE$21:$AE$97,C304))*(1+INDEX($AE$21:$AE$97,D304))*(1+INDEX($AE$21:$AE$97,E304))*(1+INDEX($AE$21:$AE$97,F304))-1</f>
        <v>0.587665323556005</v>
      </c>
      <c r="O304" s="489">
        <f>(1+INDEX($AF$21:$AF$97,B304))*(1+INDEX($AF$21:$AF$97,C304))*(1+INDEX($AF$21:$AF$97,D304))*(1+INDEX($AF$21:$AF$97,E304))*(1+INDEX($AF$21:$AF$97,F304))-1</f>
        <v>0.543270212107165</v>
      </c>
      <c r="P304" s="489">
        <f>LN((1+L304)/(1+H304))</f>
        <v>0.0149167268333217</v>
      </c>
      <c r="Q304" s="489">
        <f>LN((1+M304)/(1+H304))</f>
        <v>0.0410291327614973</v>
      </c>
      <c r="R304" s="489">
        <f>LN((1+N304)/(1+H304))</f>
        <v>0.02280393373627</v>
      </c>
      <c r="S304" s="542">
        <f>LN((1+O304)/(1+H304))</f>
        <v>-0.00555697413782125</v>
      </c>
    </row>
    <row r="305">
      <c r="A305" s="320" t="n">
        <v>204</v>
      </c>
      <c r="B305" s="174" t="n">
        <v>35</v>
      </c>
      <c r="C305" s="174" t="n">
        <v>60</v>
      </c>
      <c r="D305" s="174" t="n">
        <v>33</v>
      </c>
      <c r="E305" s="174" t="n">
        <v>23</v>
      </c>
      <c r="F305" s="174" t="n">
        <v>43</v>
      </c>
      <c r="G305" s="68">
        <f>(1+INDEX($Z$21:$Z$97,B305))*(1+INDEX($Z$21:$Z$97,C305))*(1+INDEX($Z$21:$Z$97,D305))*(1+INDEX($Z$21:$Z$97,E305))*(1+INDEX($Z$21:$Z$97,F305))-1</f>
        <v>0.843417594180308</v>
      </c>
      <c r="H305" s="68">
        <f>(1+INDEX($AA$21:$AA$97,B305))*(1+INDEX($AA$21:$AA$97,C305))*(1+INDEX($AA$21:$AA$97,D305))*(1+INDEX($AA$21:$AA$97,E305))*(1+INDEX($AA$21:$AA$97,F305))-1</f>
        <v>0.842702059397534</v>
      </c>
      <c r="I305" s="68">
        <f>(1+INDEX($AB$21:$AB$97,B305))*(1+INDEX($AB$21:$AB$97,C305))*(1+INDEX($AB$21:$AB$97,D305))*(1+INDEX($AB$21:$AB$97,E305))*(1+INDEX($AB$21:$AB$97,F305))-1</f>
        <v>0.937743276508773</v>
      </c>
      <c r="J305" s="489">
        <f>LN((1+G305)/(1+H305))</f>
        <v>0.000388231994079263</v>
      </c>
      <c r="K305" s="489">
        <f>LN((1+I305)/(1+H305))</f>
        <v>0.0502910314762617</v>
      </c>
      <c r="L305" s="489">
        <f>(1+INDEX($AC$21:$AC$97,B305))*(1+INDEX($AC$21:$AC$97,C305))*(1+INDEX($AC$21:$AC$97,D305))*(1+INDEX($AC$21:$AC$97,E305))*(1+INDEX($AC$21:$AC$97,F305))-1</f>
        <v>0.952556148026835</v>
      </c>
      <c r="M305" s="489">
        <f>(1+INDEX($AD$21:$AD$97,B305))*(1+INDEX($AD$21:$AD$97,C305))*(1+INDEX($AD$21:$AD$97,D305))*(1+INDEX($AD$21:$AD$97,E305))*(1+INDEX($AD$21:$AD$97,F305))-1</f>
        <v>0.927288936323851</v>
      </c>
      <c r="N305" s="489">
        <f>(1+INDEX($AE$21:$AE$97,B305))*(1+INDEX($AE$21:$AE$97,C305))*(1+INDEX($AE$21:$AE$97,D305))*(1+INDEX($AE$21:$AE$97,E305))*(1+INDEX($AE$21:$AE$97,F305))-1</f>
        <v>0.95935907421268</v>
      </c>
      <c r="O305" s="489">
        <f>(1+INDEX($AF$21:$AF$97,B305))*(1+INDEX($AF$21:$AF$97,C305))*(1+INDEX($AF$21:$AF$97,D305))*(1+INDEX($AF$21:$AF$97,E305))*(1+INDEX($AF$21:$AF$97,F305))-1</f>
        <v>0.760633406463126</v>
      </c>
      <c r="P305" s="489">
        <f>LN((1+L305)/(1+H305))</f>
        <v>0.0579063543543159</v>
      </c>
      <c r="Q305" s="489">
        <f>LN((1+M305)/(1+H305))</f>
        <v>0.0448813142450541</v>
      </c>
      <c r="R305" s="489">
        <f>LN((1+N305)/(1+H305))</f>
        <v>0.061384411856697</v>
      </c>
      <c r="S305" s="542">
        <f>LN((1+O305)/(1+H305))</f>
        <v>-0.0455593706148486</v>
      </c>
    </row>
    <row r="306">
      <c r="A306" s="320" t="n">
        <v>205</v>
      </c>
      <c r="B306" s="174" t="n">
        <v>13</v>
      </c>
      <c r="C306" s="174" t="n">
        <v>17</v>
      </c>
      <c r="D306" s="174" t="n">
        <v>46</v>
      </c>
      <c r="E306" s="174" t="n">
        <v>36</v>
      </c>
      <c r="F306" s="174" t="n">
        <v>37</v>
      </c>
      <c r="G306" s="68">
        <f>(1+INDEX($Z$21:$Z$97,B306))*(1+INDEX($Z$21:$Z$97,C306))*(1+INDEX($Z$21:$Z$97,D306))*(1+INDEX($Z$21:$Z$97,E306))*(1+INDEX($Z$21:$Z$97,F306))-1</f>
        <v>0.457831315088195</v>
      </c>
      <c r="H306" s="68">
        <f>(1+INDEX($AA$21:$AA$97,B306))*(1+INDEX($AA$21:$AA$97,C306))*(1+INDEX($AA$21:$AA$97,D306))*(1+INDEX($AA$21:$AA$97,E306))*(1+INDEX($AA$21:$AA$97,F306))-1</f>
        <v>0.375944799478014</v>
      </c>
      <c r="I306" s="68">
        <f>(1+INDEX($AB$21:$AB$97,B306))*(1+INDEX($AB$21:$AB$97,C306))*(1+INDEX($AB$21:$AB$97,D306))*(1+INDEX($AB$21:$AB$97,E306))*(1+INDEX($AB$21:$AB$97,F306))-1</f>
        <v>0.400625360058042</v>
      </c>
      <c r="J306" s="489">
        <f>LN((1+G306)/(1+H306))</f>
        <v>0.0578093087464877</v>
      </c>
      <c r="K306" s="489">
        <f>LN((1+I306)/(1+H306))</f>
        <v>0.017778200594537</v>
      </c>
      <c r="L306" s="489">
        <f>(1+INDEX($AC$21:$AC$97,B306))*(1+INDEX($AC$21:$AC$97,C306))*(1+INDEX($AC$21:$AC$97,D306))*(1+INDEX($AC$21:$AC$97,E306))*(1+INDEX($AC$21:$AC$97,F306))-1</f>
        <v>0.390885834582786</v>
      </c>
      <c r="M306" s="489">
        <f>(1+INDEX($AD$21:$AD$97,B306))*(1+INDEX($AD$21:$AD$97,C306))*(1+INDEX($AD$21:$AD$97,D306))*(1+INDEX($AD$21:$AD$97,E306))*(1+INDEX($AD$21:$AD$97,F306))-1</f>
        <v>0.405596733489431</v>
      </c>
      <c r="N306" s="489">
        <f>(1+INDEX($AE$21:$AE$97,B306))*(1+INDEX($AE$21:$AE$97,C306))*(1+INDEX($AE$21:$AE$97,D306))*(1+INDEX($AE$21:$AE$97,E306))*(1+INDEX($AE$21:$AE$97,F306))-1</f>
        <v>0.394571254276328</v>
      </c>
      <c r="O306" s="489">
        <f>(1+INDEX($AF$21:$AF$97,B306))*(1+INDEX($AF$21:$AF$97,C306))*(1+INDEX($AF$21:$AF$97,D306))*(1+INDEX($AF$21:$AF$97,E306))*(1+INDEX($AF$21:$AF$97,F306))-1</f>
        <v>0.373479283614139</v>
      </c>
      <c r="P306" s="489">
        <f>LN((1+L306)/(1+H306))</f>
        <v>0.010800213177599</v>
      </c>
      <c r="Q306" s="489">
        <f>LN((1+M306)/(1+H306))</f>
        <v>0.0213213119138821</v>
      </c>
      <c r="R306" s="489">
        <f>LN((1+N306)/(1+H306))</f>
        <v>0.0134464013804761</v>
      </c>
      <c r="S306" s="542">
        <f>LN((1+O306)/(1+H306))</f>
        <v>-0.00179347852512905</v>
      </c>
    </row>
    <row r="307">
      <c r="A307" s="320" t="n">
        <v>206</v>
      </c>
      <c r="B307" s="174" t="n">
        <v>20</v>
      </c>
      <c r="C307" s="174" t="n">
        <v>10</v>
      </c>
      <c r="D307" s="174" t="n">
        <v>37</v>
      </c>
      <c r="E307" s="174" t="n">
        <v>13</v>
      </c>
      <c r="F307" s="174" t="n">
        <v>77</v>
      </c>
      <c r="G307" s="68">
        <f>(1+INDEX($Z$21:$Z$97,B307))*(1+INDEX($Z$21:$Z$97,C307))*(1+INDEX($Z$21:$Z$97,D307))*(1+INDEX($Z$21:$Z$97,E307))*(1+INDEX($Z$21:$Z$97,F307))-1</f>
        <v>0.0947232735746799</v>
      </c>
      <c r="H307" s="68">
        <f>(1+INDEX($AA$21:$AA$97,B307))*(1+INDEX($AA$21:$AA$97,C307))*(1+INDEX($AA$21:$AA$97,D307))*(1+INDEX($AA$21:$AA$97,E307))*(1+INDEX($AA$21:$AA$97,F307))-1</f>
        <v>0.0815817887329504</v>
      </c>
      <c r="I307" s="68">
        <f>(1+INDEX($AB$21:$AB$97,B307))*(1+INDEX($AB$21:$AB$97,C307))*(1+INDEX($AB$21:$AB$97,D307))*(1+INDEX($AB$21:$AB$97,E307))*(1+INDEX($AB$21:$AB$97,F307))-1</f>
        <v>0.0620093513495452</v>
      </c>
      <c r="J307" s="489">
        <f>LN((1+G307)/(1+H307))</f>
        <v>0.0120770243084848</v>
      </c>
      <c r="K307" s="489">
        <f>LN((1+I307)/(1+H307))</f>
        <v>-0.0182618606298513</v>
      </c>
      <c r="L307" s="489">
        <f>(1+INDEX($AC$21:$AC$97,B307))*(1+INDEX($AC$21:$AC$97,C307))*(1+INDEX($AC$21:$AC$97,D307))*(1+INDEX($AC$21:$AC$97,E307))*(1+INDEX($AC$21:$AC$97,F307))-1</f>
        <v>0.0527643728364635</v>
      </c>
      <c r="M307" s="489">
        <f>(1+INDEX($AD$21:$AD$97,B307))*(1+INDEX($AD$21:$AD$97,C307))*(1+INDEX($AD$21:$AD$97,D307))*(1+INDEX($AD$21:$AD$97,E307))*(1+INDEX($AD$21:$AD$97,F307))-1</f>
        <v>0.0852032865583365</v>
      </c>
      <c r="N307" s="489">
        <f>(1+INDEX($AE$21:$AE$97,B307))*(1+INDEX($AE$21:$AE$97,C307))*(1+INDEX($AE$21:$AE$97,D307))*(1+INDEX($AE$21:$AE$97,E307))*(1+INDEX($AE$21:$AE$97,F307))-1</f>
        <v>0.0383685676287198</v>
      </c>
      <c r="O307" s="489">
        <f>(1+INDEX($AF$21:$AF$97,B307))*(1+INDEX($AF$21:$AF$97,C307))*(1+INDEX($AF$21:$AF$97,D307))*(1+INDEX($AF$21:$AF$97,E307))*(1+INDEX($AF$21:$AF$97,F307))-1</f>
        <v>0.10663792760856</v>
      </c>
      <c r="P307" s="489">
        <f>LN((1+L307)/(1+H307))</f>
        <v>-0.0270051481992957</v>
      </c>
      <c r="Q307" s="489">
        <f>LN((1+M307)/(1+H307))</f>
        <v>0.00334274150110874</v>
      </c>
      <c r="R307" s="489">
        <f>LN((1+N307)/(1+H307))</f>
        <v>-0.0407737923183316</v>
      </c>
      <c r="S307" s="542">
        <f>LN((1+O307)/(1+H307))</f>
        <v>0.0229019360699613</v>
      </c>
    </row>
    <row r="308">
      <c r="A308" s="320" t="n">
        <v>207</v>
      </c>
      <c r="B308" s="174" t="n">
        <v>27</v>
      </c>
      <c r="C308" s="174" t="n">
        <v>42</v>
      </c>
      <c r="D308" s="174" t="n">
        <v>6</v>
      </c>
      <c r="E308" s="174" t="n">
        <v>48</v>
      </c>
      <c r="F308" s="174" t="n">
        <v>29</v>
      </c>
      <c r="G308" s="68">
        <f>(1+INDEX($Z$21:$Z$97,B308))*(1+INDEX($Z$21:$Z$97,C308))*(1+INDEX($Z$21:$Z$97,D308))*(1+INDEX($Z$21:$Z$97,E308))*(1+INDEX($Z$21:$Z$97,F308))-1</f>
        <v>0.309376862315089</v>
      </c>
      <c r="H308" s="68">
        <f>(1+INDEX($AA$21:$AA$97,B308))*(1+INDEX($AA$21:$AA$97,C308))*(1+INDEX($AA$21:$AA$97,D308))*(1+INDEX($AA$21:$AA$97,E308))*(1+INDEX($AA$21:$AA$97,F308))-1</f>
        <v>0.326145486382641</v>
      </c>
      <c r="I308" s="68">
        <f>(1+INDEX($AB$21:$AB$97,B308))*(1+INDEX($AB$21:$AB$97,C308))*(1+INDEX($AB$21:$AB$97,D308))*(1+INDEX($AB$21:$AB$97,E308))*(1+INDEX($AB$21:$AB$97,F308))-1</f>
        <v>0.351148958652527</v>
      </c>
      <c r="J308" s="489">
        <f>LN((1+G308)/(1+H308))</f>
        <v>-0.0127252575618504</v>
      </c>
      <c r="K308" s="489">
        <f>LN((1+I308)/(1+H308))</f>
        <v>0.0186787069877048</v>
      </c>
      <c r="L308" s="489">
        <f>(1+INDEX($AC$21:$AC$97,B308))*(1+INDEX($AC$21:$AC$97,C308))*(1+INDEX($AC$21:$AC$97,D308))*(1+INDEX($AC$21:$AC$97,E308))*(1+INDEX($AC$21:$AC$97,F308))-1</f>
        <v>0.347016507900032</v>
      </c>
      <c r="M308" s="489">
        <f>(1+INDEX($AD$21:$AD$97,B308))*(1+INDEX($AD$21:$AD$97,C308))*(1+INDEX($AD$21:$AD$97,D308))*(1+INDEX($AD$21:$AD$97,E308))*(1+INDEX($AD$21:$AD$97,F308))-1</f>
        <v>0.329048500408006</v>
      </c>
      <c r="N308" s="489">
        <f>(1+INDEX($AE$21:$AE$97,B308))*(1+INDEX($AE$21:$AE$97,C308))*(1+INDEX($AE$21:$AE$97,D308))*(1+INDEX($AE$21:$AE$97,E308))*(1+INDEX($AE$21:$AE$97,F308))-1</f>
        <v>0.330636070241776</v>
      </c>
      <c r="O308" s="489">
        <f>(1+INDEX($AF$21:$AF$97,B308))*(1+INDEX($AF$21:$AF$97,C308))*(1+INDEX($AF$21:$AF$97,D308))*(1+INDEX($AF$21:$AF$97,E308))*(1+INDEX($AF$21:$AF$97,F308))-1</f>
        <v>0.347022997329316</v>
      </c>
      <c r="P308" s="489">
        <f>LN((1+L308)/(1+H308))</f>
        <v>0.0156155486788958</v>
      </c>
      <c r="Q308" s="489">
        <f>LN((1+M308)/(1+H308))</f>
        <v>0.00218666899408651</v>
      </c>
      <c r="R308" s="489">
        <f>LN((1+N308)/(1+H308))</f>
        <v>0.0033804722291277</v>
      </c>
      <c r="S308" s="542">
        <f>LN((1+O308)/(1+H308))</f>
        <v>0.0156203662988837</v>
      </c>
    </row>
    <row r="309">
      <c r="A309" s="320" t="n">
        <v>208</v>
      </c>
      <c r="B309" s="174" t="n">
        <v>3</v>
      </c>
      <c r="C309" s="174" t="n">
        <v>33</v>
      </c>
      <c r="D309" s="174" t="n">
        <v>45</v>
      </c>
      <c r="E309" s="174" t="n">
        <v>8</v>
      </c>
      <c r="F309" s="174" t="n">
        <v>34</v>
      </c>
      <c r="G309" s="68">
        <f>(1+INDEX($Z$21:$Z$97,B309))*(1+INDEX($Z$21:$Z$97,C309))*(1+INDEX($Z$21:$Z$97,D309))*(1+INDEX($Z$21:$Z$97,E309))*(1+INDEX($Z$21:$Z$97,F309))-1</f>
        <v>0.279962022342684</v>
      </c>
      <c r="H309" s="68">
        <f>(1+INDEX($AA$21:$AA$97,B309))*(1+INDEX($AA$21:$AA$97,C309))*(1+INDEX($AA$21:$AA$97,D309))*(1+INDEX($AA$21:$AA$97,E309))*(1+INDEX($AA$21:$AA$97,F309))-1</f>
        <v>0.313325034724034</v>
      </c>
      <c r="I309" s="68">
        <f>(1+INDEX($AB$21:$AB$97,B309))*(1+INDEX($AB$21:$AB$97,C309))*(1+INDEX($AB$21:$AB$97,D309))*(1+INDEX($AB$21:$AB$97,E309))*(1+INDEX($AB$21:$AB$97,F309))-1</f>
        <v>0.325205395459647</v>
      </c>
      <c r="J309" s="489">
        <f>LN((1+G309)/(1+H309))</f>
        <v>-0.0257317084371409</v>
      </c>
      <c r="K309" s="489">
        <f>LN((1+I309)/(1+H309))</f>
        <v>0.00900534698205222</v>
      </c>
      <c r="L309" s="489">
        <f>(1+INDEX($AC$21:$AC$97,B309))*(1+INDEX($AC$21:$AC$97,C309))*(1+INDEX($AC$21:$AC$97,D309))*(1+INDEX($AC$21:$AC$97,E309))*(1+INDEX($AC$21:$AC$97,F309))-1</f>
        <v>0.297492349068989</v>
      </c>
      <c r="M309" s="489">
        <f>(1+INDEX($AD$21:$AD$97,B309))*(1+INDEX($AD$21:$AD$97,C309))*(1+INDEX($AD$21:$AD$97,D309))*(1+INDEX($AD$21:$AD$97,E309))*(1+INDEX($AD$21:$AD$97,F309))-1</f>
        <v>0.353712221700924</v>
      </c>
      <c r="N309" s="489">
        <f>(1+INDEX($AE$21:$AE$97,B309))*(1+INDEX($AE$21:$AE$97,C309))*(1+INDEX($AE$21:$AE$97,D309))*(1+INDEX($AE$21:$AE$97,E309))*(1+INDEX($AE$21:$AE$97,F309))-1</f>
        <v>0.289413437199992</v>
      </c>
      <c r="O309" s="489">
        <f>(1+INDEX($AF$21:$AF$97,B309))*(1+INDEX($AF$21:$AF$97,C309))*(1+INDEX($AF$21:$AF$97,D309))*(1+INDEX($AF$21:$AF$97,E309))*(1+INDEX($AF$21:$AF$97,F309))-1</f>
        <v>0.322689772957142</v>
      </c>
      <c r="P309" s="489">
        <f>LN((1+L309)/(1+H309))</f>
        <v>-0.0121286765145025</v>
      </c>
      <c r="Q309" s="489">
        <f>LN((1+M309)/(1+H309))</f>
        <v>0.0302884966525049</v>
      </c>
      <c r="R309" s="489">
        <f>LN((1+N309)/(1+H309))</f>
        <v>-0.0183747007624324</v>
      </c>
      <c r="S309" s="542">
        <f>LN((1+O309)/(1+H309))</f>
        <v>0.00710525419184884</v>
      </c>
    </row>
    <row r="310">
      <c r="A310" s="320" t="n">
        <v>209</v>
      </c>
      <c r="B310" s="174" t="n">
        <v>57</v>
      </c>
      <c r="C310" s="174" t="n">
        <v>71</v>
      </c>
      <c r="D310" s="174" t="n">
        <v>52</v>
      </c>
      <c r="E310" s="174" t="n">
        <v>44</v>
      </c>
      <c r="F310" s="174" t="n">
        <v>29</v>
      </c>
      <c r="G310" s="68">
        <f>(1+INDEX($Z$21:$Z$97,B310))*(1+INDEX($Z$21:$Z$97,C310))*(1+INDEX($Z$21:$Z$97,D310))*(1+INDEX($Z$21:$Z$97,E310))*(1+INDEX($Z$21:$Z$97,F310))-1</f>
        <v>1.06603637900422</v>
      </c>
      <c r="H310" s="68">
        <f>(1+INDEX($AA$21:$AA$97,B310))*(1+INDEX($AA$21:$AA$97,C310))*(1+INDEX($AA$21:$AA$97,D310))*(1+INDEX($AA$21:$AA$97,E310))*(1+INDEX($AA$21:$AA$97,F310))-1</f>
        <v>0.94934315107773</v>
      </c>
      <c r="I310" s="68">
        <f>(1+INDEX($AB$21:$AB$97,B310))*(1+INDEX($AB$21:$AB$97,C310))*(1+INDEX($AB$21:$AB$97,D310))*(1+INDEX($AB$21:$AB$97,E310))*(1+INDEX($AB$21:$AB$97,F310))-1</f>
        <v>1.07184054835365</v>
      </c>
      <c r="J310" s="489">
        <f>LN((1+G310)/(1+H310))</f>
        <v>0.0581395087372661</v>
      </c>
      <c r="K310" s="489">
        <f>LN((1+I310)/(1+H310))</f>
        <v>0.0609448957789707</v>
      </c>
      <c r="L310" s="489">
        <f>(1+INDEX($AC$21:$AC$97,B310))*(1+INDEX($AC$21:$AC$97,C310))*(1+INDEX($AC$21:$AC$97,D310))*(1+INDEX($AC$21:$AC$97,E310))*(1+INDEX($AC$21:$AC$97,F310))-1</f>
        <v>1.06953647815587</v>
      </c>
      <c r="M310" s="489">
        <f>(1+INDEX($AD$21:$AD$97,B310))*(1+INDEX($AD$21:$AD$97,C310))*(1+INDEX($AD$21:$AD$97,D310))*(1+INDEX($AD$21:$AD$97,E310))*(1+INDEX($AD$21:$AD$97,F310))-1</f>
        <v>1.05107372961537</v>
      </c>
      <c r="N310" s="489">
        <f>(1+INDEX($AE$21:$AE$97,B310))*(1+INDEX($AE$21:$AE$97,C310))*(1+INDEX($AE$21:$AE$97,D310))*(1+INDEX($AE$21:$AE$97,E310))*(1+INDEX($AE$21:$AE$97,F310))-1</f>
        <v>1.06235783370764</v>
      </c>
      <c r="O310" s="489">
        <f>(1+INDEX($AF$21:$AF$97,B310))*(1+INDEX($AF$21:$AF$97,C310))*(1+INDEX($AF$21:$AF$97,D310))*(1+INDEX($AF$21:$AF$97,E310))*(1+INDEX($AF$21:$AF$97,F310))-1</f>
        <v>1.0084009698044</v>
      </c>
      <c r="P310" s="489">
        <f>LN((1+L310)/(1+H310))</f>
        <v>0.0598321883771796</v>
      </c>
      <c r="Q310" s="489">
        <f>LN((1+M310)/(1+H310))</f>
        <v>0.0508709563452191</v>
      </c>
      <c r="R310" s="489">
        <f>LN((1+N310)/(1+H310))</f>
        <v>0.0563574375102636</v>
      </c>
      <c r="S310" s="542">
        <f>LN((1+O310)/(1+H310))</f>
        <v>0.0298463978231575</v>
      </c>
    </row>
    <row r="311">
      <c r="A311" s="320" t="n">
        <v>210</v>
      </c>
      <c r="B311" s="174" t="n">
        <v>7</v>
      </c>
      <c r="C311" s="174" t="n">
        <v>20</v>
      </c>
      <c r="D311" s="174" t="n">
        <v>16</v>
      </c>
      <c r="E311" s="174" t="n">
        <v>71</v>
      </c>
      <c r="F311" s="174" t="n">
        <v>8</v>
      </c>
      <c r="G311" s="68">
        <f>(1+INDEX($Z$21:$Z$97,B311))*(1+INDEX($Z$21:$Z$97,C311))*(1+INDEX($Z$21:$Z$97,D311))*(1+INDEX($Z$21:$Z$97,E311))*(1+INDEX($Z$21:$Z$97,F311))-1</f>
        <v>-0.189103907112614</v>
      </c>
      <c r="H311" s="68">
        <f>(1+INDEX($AA$21:$AA$97,B311))*(1+INDEX($AA$21:$AA$97,C311))*(1+INDEX($AA$21:$AA$97,D311))*(1+INDEX($AA$21:$AA$97,E311))*(1+INDEX($AA$21:$AA$97,F311))-1</f>
        <v>-0.147664771549126</v>
      </c>
      <c r="I311" s="68">
        <f>(1+INDEX($AB$21:$AB$97,B311))*(1+INDEX($AB$21:$AB$97,C311))*(1+INDEX($AB$21:$AB$97,D311))*(1+INDEX($AB$21:$AB$97,E311))*(1+INDEX($AB$21:$AB$97,F311))-1</f>
        <v>-0.191827798396331</v>
      </c>
      <c r="J311" s="489">
        <f>LN((1+G311)/(1+H311))</f>
        <v>-0.049839986370387</v>
      </c>
      <c r="K311" s="489">
        <f>LN((1+I311)/(1+H311))</f>
        <v>-0.0532047534563698</v>
      </c>
      <c r="L311" s="489">
        <f>(1+INDEX($AC$21:$AC$97,B311))*(1+INDEX($AC$21:$AC$97,C311))*(1+INDEX($AC$21:$AC$97,D311))*(1+INDEX($AC$21:$AC$97,E311))*(1+INDEX($AC$21:$AC$97,F311))-1</f>
        <v>-0.223145141984678</v>
      </c>
      <c r="M311" s="489">
        <f>(1+INDEX($AD$21:$AD$97,B311))*(1+INDEX($AD$21:$AD$97,C311))*(1+INDEX($AD$21:$AD$97,D311))*(1+INDEX($AD$21:$AD$97,E311))*(1+INDEX($AD$21:$AD$97,F311))-1</f>
        <v>-0.179711136887629</v>
      </c>
      <c r="N311" s="489">
        <f>(1+INDEX($AE$21:$AE$97,B311))*(1+INDEX($AE$21:$AE$97,C311))*(1+INDEX($AE$21:$AE$97,D311))*(1+INDEX($AE$21:$AE$97,E311))*(1+INDEX($AE$21:$AE$97,F311))-1</f>
        <v>-0.218412675781196</v>
      </c>
      <c r="O311" s="489">
        <f>(1+INDEX($AF$21:$AF$97,B311))*(1+INDEX($AF$21:$AF$97,C311))*(1+INDEX($AF$21:$AF$97,D311))*(1+INDEX($AF$21:$AF$97,E311))*(1+INDEX($AF$21:$AF$97,F311))-1</f>
        <v>-0.126239171051043</v>
      </c>
      <c r="P311" s="489">
        <f>LN((1+L311)/(1+H311))</f>
        <v>-0.09272637506941</v>
      </c>
      <c r="Q311" s="489">
        <f>LN((1+M311)/(1+H311))</f>
        <v>-0.0383233597537623</v>
      </c>
      <c r="R311" s="489">
        <f>LN((1+N311)/(1+H311))</f>
        <v>-0.0866530272043953</v>
      </c>
      <c r="S311" s="542">
        <f>LN((1+O311)/(1+H311))</f>
        <v>0.0248267770510198</v>
      </c>
    </row>
    <row r="312">
      <c r="A312" s="320" t="n">
        <v>211</v>
      </c>
      <c r="B312" s="174" t="n">
        <v>57</v>
      </c>
      <c r="C312" s="174" t="n">
        <v>56</v>
      </c>
      <c r="D312" s="174" t="n">
        <v>53</v>
      </c>
      <c r="E312" s="174" t="n">
        <v>38</v>
      </c>
      <c r="F312" s="174" t="n">
        <v>2</v>
      </c>
      <c r="G312" s="68">
        <f>(1+INDEX($Z$21:$Z$97,B312))*(1+INDEX($Z$21:$Z$97,C312))*(1+INDEX($Z$21:$Z$97,D312))*(1+INDEX($Z$21:$Z$97,E312))*(1+INDEX($Z$21:$Z$97,F312))-1</f>
        <v>0.407374305121329</v>
      </c>
      <c r="H312" s="68">
        <f>(1+INDEX($AA$21:$AA$97,B312))*(1+INDEX($AA$21:$AA$97,C312))*(1+INDEX($AA$21:$AA$97,D312))*(1+INDEX($AA$21:$AA$97,E312))*(1+INDEX($AA$21:$AA$97,F312))-1</f>
        <v>0.355533544607915</v>
      </c>
      <c r="I312" s="68">
        <f>(1+INDEX($AB$21:$AB$97,B312))*(1+INDEX($AB$21:$AB$97,C312))*(1+INDEX($AB$21:$AB$97,D312))*(1+INDEX($AB$21:$AB$97,E312))*(1+INDEX($AB$21:$AB$97,F312))-1</f>
        <v>0.354251422986978</v>
      </c>
      <c r="J312" s="489">
        <f>LN((1+G312)/(1+H312))</f>
        <v>0.037530636713249</v>
      </c>
      <c r="K312" s="489">
        <f>LN((1+I312)/(1+H312))</f>
        <v>-0.000946290375025586</v>
      </c>
      <c r="L312" s="489">
        <f>(1+INDEX($AC$21:$AC$97,B312))*(1+INDEX($AC$21:$AC$97,C312))*(1+INDEX($AC$21:$AC$97,D312))*(1+INDEX($AC$21:$AC$97,E312))*(1+INDEX($AC$21:$AC$97,F312))-1</f>
        <v>0.348706578412963</v>
      </c>
      <c r="M312" s="489">
        <f>(1+INDEX($AD$21:$AD$97,B312))*(1+INDEX($AD$21:$AD$97,C312))*(1+INDEX($AD$21:$AD$97,D312))*(1+INDEX($AD$21:$AD$97,E312))*(1+INDEX($AD$21:$AD$97,F312))-1</f>
        <v>0.387456022091492</v>
      </c>
      <c r="N312" s="489">
        <f>(1+INDEX($AE$21:$AE$97,B312))*(1+INDEX($AE$21:$AE$97,C312))*(1+INDEX($AE$21:$AE$97,D312))*(1+INDEX($AE$21:$AE$97,E312))*(1+INDEX($AE$21:$AE$97,F312))-1</f>
        <v>0.354654334540501</v>
      </c>
      <c r="O312" s="489">
        <f>(1+INDEX($AF$21:$AF$97,B312))*(1+INDEX($AF$21:$AF$97,C312))*(1+INDEX($AF$21:$AF$97,D312))*(1+INDEX($AF$21:$AF$97,E312))*(1+INDEX($AF$21:$AF$97,F312))-1</f>
        <v>0.409349759339735</v>
      </c>
      <c r="P312" s="489">
        <f>LN((1+L312)/(1+H312))</f>
        <v>-0.00504909356262128</v>
      </c>
      <c r="Q312" s="489">
        <f>LN((1+M312)/(1+H312))</f>
        <v>0.0232767336593791</v>
      </c>
      <c r="R312" s="489">
        <f>LN((1+N312)/(1+H312))</f>
        <v>-0.00064881855979141</v>
      </c>
      <c r="S312" s="542">
        <f>LN((1+O312)/(1+H312))</f>
        <v>0.0389332977457696</v>
      </c>
    </row>
    <row r="313">
      <c r="A313" s="320" t="n">
        <v>212</v>
      </c>
      <c r="B313" s="174" t="n">
        <v>52</v>
      </c>
      <c r="C313" s="174" t="n">
        <v>53</v>
      </c>
      <c r="D313" s="174" t="n">
        <v>30</v>
      </c>
      <c r="E313" s="174" t="n">
        <v>39</v>
      </c>
      <c r="F313" s="174" t="n">
        <v>58</v>
      </c>
      <c r="G313" s="68">
        <f>(1+INDEX($Z$21:$Z$97,B313))*(1+INDEX($Z$21:$Z$97,C313))*(1+INDEX($Z$21:$Z$97,D313))*(1+INDEX($Z$21:$Z$97,E313))*(1+INDEX($Z$21:$Z$97,F313))-1</f>
        <v>0.653824145596953</v>
      </c>
      <c r="H313" s="68">
        <f>(1+INDEX($AA$21:$AA$97,B313))*(1+INDEX($AA$21:$AA$97,C313))*(1+INDEX($AA$21:$AA$97,D313))*(1+INDEX($AA$21:$AA$97,E313))*(1+INDEX($AA$21:$AA$97,F313))-1</f>
        <v>0.641233829843958</v>
      </c>
      <c r="I313" s="68">
        <f>(1+INDEX($AB$21:$AB$97,B313))*(1+INDEX($AB$21:$AB$97,C313))*(1+INDEX($AB$21:$AB$97,D313))*(1+INDEX($AB$21:$AB$97,E313))*(1+INDEX($AB$21:$AB$97,F313))-1</f>
        <v>0.659633194876974</v>
      </c>
      <c r="J313" s="489">
        <f>LN((1+G313)/(1+H313))</f>
        <v>0.00764197602557061</v>
      </c>
      <c r="K313" s="489">
        <f>LN((1+I313)/(1+H313))</f>
        <v>0.0111483167655819</v>
      </c>
      <c r="L313" s="489">
        <f>(1+INDEX($AC$21:$AC$97,B313))*(1+INDEX($AC$21:$AC$97,C313))*(1+INDEX($AC$21:$AC$97,D313))*(1+INDEX($AC$21:$AC$97,E313))*(1+INDEX($AC$21:$AC$97,F313))-1</f>
        <v>0.684384213418428</v>
      </c>
      <c r="M313" s="489">
        <f>(1+INDEX($AD$21:$AD$97,B313))*(1+INDEX($AD$21:$AD$97,C313))*(1+INDEX($AD$21:$AD$97,D313))*(1+INDEX($AD$21:$AD$97,E313))*(1+INDEX($AD$21:$AD$97,F313))-1</f>
        <v>0.656870238376812</v>
      </c>
      <c r="N313" s="489">
        <f>(1+INDEX($AE$21:$AE$97,B313))*(1+INDEX($AE$21:$AE$97,C313))*(1+INDEX($AE$21:$AE$97,D313))*(1+INDEX($AE$21:$AE$97,E313))*(1+INDEX($AE$21:$AE$97,F313))-1</f>
        <v>0.683687118450146</v>
      </c>
      <c r="O313" s="489">
        <f>(1+INDEX($AF$21:$AF$97,B313))*(1+INDEX($AF$21:$AF$97,C313))*(1+INDEX($AF$21:$AF$97,D313))*(1+INDEX($AF$21:$AF$97,E313))*(1+INDEX($AF$21:$AF$97,F313))-1</f>
        <v>0.64359710432421</v>
      </c>
      <c r="P313" s="489">
        <f>LN((1+L313)/(1+H313))</f>
        <v>0.0259517507887869</v>
      </c>
      <c r="Q313" s="489">
        <f>LN((1+M313)/(1+H313))</f>
        <v>0.00948212995469964</v>
      </c>
      <c r="R313" s="489">
        <f>LN((1+N313)/(1+H313))</f>
        <v>0.0255378076684973</v>
      </c>
      <c r="S313" s="542">
        <f>LN((1+O313)/(1+H313))</f>
        <v>0.00143890199244079</v>
      </c>
    </row>
    <row r="314">
      <c r="A314" s="320" t="n">
        <v>213</v>
      </c>
      <c r="B314" s="174" t="n">
        <v>43</v>
      </c>
      <c r="C314" s="174" t="n">
        <v>50</v>
      </c>
      <c r="D314" s="174" t="n">
        <v>24</v>
      </c>
      <c r="E314" s="174" t="n">
        <v>50</v>
      </c>
      <c r="F314" s="174" t="n">
        <v>44</v>
      </c>
      <c r="G314" s="68">
        <f>(1+INDEX($Z$21:$Z$97,B314))*(1+INDEX($Z$21:$Z$97,C314))*(1+INDEX($Z$21:$Z$97,D314))*(1+INDEX($Z$21:$Z$97,E314))*(1+INDEX($Z$21:$Z$97,F314))-1</f>
        <v>0.588736071451308</v>
      </c>
      <c r="H314" s="68">
        <f>(1+INDEX($AA$21:$AA$97,B314))*(1+INDEX($AA$21:$AA$97,C314))*(1+INDEX($AA$21:$AA$97,D314))*(1+INDEX($AA$21:$AA$97,E314))*(1+INDEX($AA$21:$AA$97,F314))-1</f>
        <v>0.498740653580048</v>
      </c>
      <c r="I314" s="68">
        <f>(1+INDEX($AB$21:$AB$97,B314))*(1+INDEX($AB$21:$AB$97,C314))*(1+INDEX($AB$21:$AB$97,D314))*(1+INDEX($AB$21:$AB$97,E314))*(1+INDEX($AB$21:$AB$97,F314))-1</f>
        <v>0.589590009285591</v>
      </c>
      <c r="J314" s="489">
        <f>LN((1+G314)/(1+H314))</f>
        <v>0.0583135853005738</v>
      </c>
      <c r="K314" s="489">
        <f>LN((1+I314)/(1+H314))</f>
        <v>0.0588509359896714</v>
      </c>
      <c r="L314" s="489">
        <f>(1+INDEX($AC$21:$AC$97,B314))*(1+INDEX($AC$21:$AC$97,C314))*(1+INDEX($AC$21:$AC$97,D314))*(1+INDEX($AC$21:$AC$97,E314))*(1+INDEX($AC$21:$AC$97,F314))-1</f>
        <v>0.551087101999927</v>
      </c>
      <c r="M314" s="489">
        <f>(1+INDEX($AD$21:$AD$97,B314))*(1+INDEX($AD$21:$AD$97,C314))*(1+INDEX($AD$21:$AD$97,D314))*(1+INDEX($AD$21:$AD$97,E314))*(1+INDEX($AD$21:$AD$97,F314))-1</f>
        <v>0.596753906215402</v>
      </c>
      <c r="N314" s="489">
        <f>(1+INDEX($AE$21:$AE$97,B314))*(1+INDEX($AE$21:$AE$97,C314))*(1+INDEX($AE$21:$AE$97,D314))*(1+INDEX($AE$21:$AE$97,E314))*(1+INDEX($AE$21:$AE$97,F314))-1</f>
        <v>0.527513148345845</v>
      </c>
      <c r="O314" s="489">
        <f>(1+INDEX($AF$21:$AF$97,B314))*(1+INDEX($AF$21:$AF$97,C314))*(1+INDEX($AF$21:$AF$97,D314))*(1+INDEX($AF$21:$AF$97,E314))*(1+INDEX($AF$21:$AF$97,F314))-1</f>
        <v>0.567058141271791</v>
      </c>
      <c r="P314" s="489">
        <f>LN((1+L314)/(1+H314))</f>
        <v>0.0343308500281478</v>
      </c>
      <c r="Q314" s="489">
        <f>LN((1+M314)/(1+H314))</f>
        <v>0.0633475686136301</v>
      </c>
      <c r="R314" s="489">
        <f>LN((1+N314)/(1+H314))</f>
        <v>0.0190158285848993</v>
      </c>
      <c r="S314" s="542">
        <f>LN((1+O314)/(1+H314))</f>
        <v>0.0445748750445483</v>
      </c>
    </row>
    <row r="315">
      <c r="A315" s="320" t="n">
        <v>214</v>
      </c>
      <c r="B315" s="174" t="n">
        <v>18</v>
      </c>
      <c r="C315" s="174" t="n">
        <v>37</v>
      </c>
      <c r="D315" s="174" t="n">
        <v>15</v>
      </c>
      <c r="E315" s="174" t="n">
        <v>3</v>
      </c>
      <c r="F315" s="174" t="n">
        <v>8</v>
      </c>
      <c r="G315" s="68">
        <f>(1+INDEX($Z$21:$Z$97,B315))*(1+INDEX($Z$21:$Z$97,C315))*(1+INDEX($Z$21:$Z$97,D315))*(1+INDEX($Z$21:$Z$97,E315))*(1+INDEX($Z$21:$Z$97,F315))-1</f>
        <v>-0.0510131960979524</v>
      </c>
      <c r="H315" s="68">
        <f>(1+INDEX($AA$21:$AA$97,B315))*(1+INDEX($AA$21:$AA$97,C315))*(1+INDEX($AA$21:$AA$97,D315))*(1+INDEX($AA$21:$AA$97,E315))*(1+INDEX($AA$21:$AA$97,F315))-1</f>
        <v>-0.0650032054896313</v>
      </c>
      <c r="I315" s="68">
        <f>(1+INDEX($AB$21:$AB$97,B315))*(1+INDEX($AB$21:$AB$97,C315))*(1+INDEX($AB$21:$AB$97,D315))*(1+INDEX($AB$21:$AB$97,E315))*(1+INDEX($AB$21:$AB$97,F315))-1</f>
        <v>-0.108965467252766</v>
      </c>
      <c r="J315" s="489">
        <f>LN((1+G315)/(1+H315))</f>
        <v>0.0148517922950488</v>
      </c>
      <c r="K315" s="489">
        <f>LN((1+I315)/(1+H315))</f>
        <v>-0.0481599169398192</v>
      </c>
      <c r="L315" s="489">
        <f>(1+INDEX($AC$21:$AC$97,B315))*(1+INDEX($AC$21:$AC$97,C315))*(1+INDEX($AC$21:$AC$97,D315))*(1+INDEX($AC$21:$AC$97,E315))*(1+INDEX($AC$21:$AC$97,F315))-1</f>
        <v>-0.132312627103364</v>
      </c>
      <c r="M315" s="489">
        <f>(1+INDEX($AD$21:$AD$97,B315))*(1+INDEX($AD$21:$AD$97,C315))*(1+INDEX($AD$21:$AD$97,D315))*(1+INDEX($AD$21:$AD$97,E315))*(1+INDEX($AD$21:$AD$97,F315))-1</f>
        <v>-0.084346697038297</v>
      </c>
      <c r="N315" s="489">
        <f>(1+INDEX($AE$21:$AE$97,B315))*(1+INDEX($AE$21:$AE$97,C315))*(1+INDEX($AE$21:$AE$97,D315))*(1+INDEX($AE$21:$AE$97,E315))*(1+INDEX($AE$21:$AE$97,F315))-1</f>
        <v>-0.127131894659485</v>
      </c>
      <c r="O315" s="489">
        <f>(1+INDEX($AF$21:$AF$97,B315))*(1+INDEX($AF$21:$AF$97,C315))*(1+INDEX($AF$21:$AF$97,D315))*(1+INDEX($AF$21:$AF$97,E315))*(1+INDEX($AF$21:$AF$97,F315))-1</f>
        <v>-0.0324512810306736</v>
      </c>
      <c r="P315" s="489">
        <f>LN((1+L315)/(1+H315))</f>
        <v>-0.0747116206418279</v>
      </c>
      <c r="Q315" s="489">
        <f>LN((1+M315)/(1+H315))</f>
        <v>-0.0209052981395055</v>
      </c>
      <c r="R315" s="489">
        <f>LN((1+N315)/(1+H315))</f>
        <v>-0.0687586386102748</v>
      </c>
      <c r="S315" s="542">
        <f>LN((1+O315)/(1+H315))</f>
        <v>0.0342226782083379</v>
      </c>
    </row>
    <row r="316">
      <c r="A316" s="320" t="n">
        <v>215</v>
      </c>
      <c r="B316" s="174" t="n">
        <v>56</v>
      </c>
      <c r="C316" s="174" t="n">
        <v>36</v>
      </c>
      <c r="D316" s="174" t="n">
        <v>60</v>
      </c>
      <c r="E316" s="174" t="n">
        <v>28</v>
      </c>
      <c r="F316" s="174" t="n">
        <v>68</v>
      </c>
      <c r="G316" s="68">
        <f>(1+INDEX($Z$21:$Z$97,B316))*(1+INDEX($Z$21:$Z$97,C316))*(1+INDEX($Z$21:$Z$97,D316))*(1+INDEX($Z$21:$Z$97,E316))*(1+INDEX($Z$21:$Z$97,F316))-1</f>
        <v>0.702512229370015</v>
      </c>
      <c r="H316" s="68">
        <f>(1+INDEX($AA$21:$AA$97,B316))*(1+INDEX($AA$21:$AA$97,C316))*(1+INDEX($AA$21:$AA$97,D316))*(1+INDEX($AA$21:$AA$97,E316))*(1+INDEX($AA$21:$AA$97,F316))-1</f>
        <v>0.7185319271449</v>
      </c>
      <c r="I316" s="68">
        <f>(1+INDEX($AB$21:$AB$97,B316))*(1+INDEX($AB$21:$AB$97,C316))*(1+INDEX($AB$21:$AB$97,D316))*(1+INDEX($AB$21:$AB$97,E316))*(1+INDEX($AB$21:$AB$97,F316))-1</f>
        <v>0.756579668703515</v>
      </c>
      <c r="J316" s="489">
        <f>LN((1+G316)/(1+H316))</f>
        <v>-0.00936545343160266</v>
      </c>
      <c r="K316" s="489">
        <f>LN((1+I316)/(1+H316))</f>
        <v>0.0218981525706864</v>
      </c>
      <c r="L316" s="489">
        <f>(1+INDEX($AC$21:$AC$97,B316))*(1+INDEX($AC$21:$AC$97,C316))*(1+INDEX($AC$21:$AC$97,D316))*(1+INDEX($AC$21:$AC$97,E316))*(1+INDEX($AC$21:$AC$97,F316))-1</f>
        <v>0.784620669905197</v>
      </c>
      <c r="M316" s="489">
        <f>(1+INDEX($AD$21:$AD$97,B316))*(1+INDEX($AD$21:$AD$97,C316))*(1+INDEX($AD$21:$AD$97,D316))*(1+INDEX($AD$21:$AD$97,E316))*(1+INDEX($AD$21:$AD$97,F316))-1</f>
        <v>0.747638146427376</v>
      </c>
      <c r="N316" s="489">
        <f>(1+INDEX($AE$21:$AE$97,B316))*(1+INDEX($AE$21:$AE$97,C316))*(1+INDEX($AE$21:$AE$97,D316))*(1+INDEX($AE$21:$AE$97,E316))*(1+INDEX($AE$21:$AE$97,F316))-1</f>
        <v>0.815122721631835</v>
      </c>
      <c r="O316" s="489">
        <f>(1+INDEX($AF$21:$AF$97,B316))*(1+INDEX($AF$21:$AF$97,C316))*(1+INDEX($AF$21:$AF$97,D316))*(1+INDEX($AF$21:$AF$97,E316))*(1+INDEX($AF$21:$AF$97,F316))-1</f>
        <v>0.710038031881284</v>
      </c>
      <c r="P316" s="489">
        <f>LN((1+L316)/(1+H316))</f>
        <v>0.0377354871602539</v>
      </c>
      <c r="Q316" s="489">
        <f>LN((1+M316)/(1+H316))</f>
        <v>0.0167948501199198</v>
      </c>
      <c r="R316" s="489">
        <f>LN((1+N316)/(1+H316))</f>
        <v>0.0546826850242626</v>
      </c>
      <c r="S316" s="542">
        <f>LN((1+O316)/(1+H316))</f>
        <v>-0.00495478449740466</v>
      </c>
    </row>
    <row r="317">
      <c r="A317" s="320" t="n">
        <v>216</v>
      </c>
      <c r="B317" s="174" t="n">
        <v>22</v>
      </c>
      <c r="C317" s="174" t="n">
        <v>40</v>
      </c>
      <c r="D317" s="174" t="n">
        <v>76</v>
      </c>
      <c r="E317" s="174" t="n">
        <v>9</v>
      </c>
      <c r="F317" s="174" t="n">
        <v>73</v>
      </c>
      <c r="G317" s="68">
        <f>(1+INDEX($Z$21:$Z$97,B317))*(1+INDEX($Z$21:$Z$97,C317))*(1+INDEX($Z$21:$Z$97,D317))*(1+INDEX($Z$21:$Z$97,E317))*(1+INDEX($Z$21:$Z$97,F317))-1</f>
        <v>0.021304393418905</v>
      </c>
      <c r="H317" s="68">
        <f>(1+INDEX($AA$21:$AA$97,B317))*(1+INDEX($AA$21:$AA$97,C317))*(1+INDEX($AA$21:$AA$97,D317))*(1+INDEX($AA$21:$AA$97,E317))*(1+INDEX($AA$21:$AA$97,F317))-1</f>
        <v>0.0586775970787119</v>
      </c>
      <c r="I317" s="68">
        <f>(1+INDEX($AB$21:$AB$97,B317))*(1+INDEX($AB$21:$AB$97,C317))*(1+INDEX($AB$21:$AB$97,D317))*(1+INDEX($AB$21:$AB$97,E317))*(1+INDEX($AB$21:$AB$97,F317))-1</f>
        <v>0.0503686063589615</v>
      </c>
      <c r="J317" s="489">
        <f>LN((1+G317)/(1+H317))</f>
        <v>-0.0359399519765712</v>
      </c>
      <c r="K317" s="489">
        <f>LN((1+I317)/(1+H317))</f>
        <v>-0.0078794231202873</v>
      </c>
      <c r="L317" s="489">
        <f>(1+INDEX($AC$21:$AC$97,B317))*(1+INDEX($AC$21:$AC$97,C317))*(1+INDEX($AC$21:$AC$97,D317))*(1+INDEX($AC$21:$AC$97,E317))*(1+INDEX($AC$21:$AC$97,F317))-1</f>
        <v>0.032241885803844</v>
      </c>
      <c r="M317" s="489">
        <f>(1+INDEX($AD$21:$AD$97,B317))*(1+INDEX($AD$21:$AD$97,C317))*(1+INDEX($AD$21:$AD$97,D317))*(1+INDEX($AD$21:$AD$97,E317))*(1+INDEX($AD$21:$AD$97,F317))-1</f>
        <v>0.0649372120198299</v>
      </c>
      <c r="N317" s="489">
        <f>(1+INDEX($AE$21:$AE$97,B317))*(1+INDEX($AE$21:$AE$97,C317))*(1+INDEX($AE$21:$AE$97,D317))*(1+INDEX($AE$21:$AE$97,E317))*(1+INDEX($AE$21:$AE$97,F317))-1</f>
        <v>0.013660577180632</v>
      </c>
      <c r="O317" s="489">
        <f>(1+INDEX($AF$21:$AF$97,B317))*(1+INDEX($AF$21:$AF$97,C317))*(1+INDEX($AF$21:$AF$97,D317))*(1+INDEX($AF$21:$AF$97,E317))*(1+INDEX($AF$21:$AF$97,F317))-1</f>
        <v>0.0845092520193511</v>
      </c>
      <c r="P317" s="489">
        <f>LN((1+L317)/(1+H317))</f>
        <v>-0.0252875542957672</v>
      </c>
      <c r="Q317" s="489">
        <f>LN((1+M317)/(1+H317))</f>
        <v>0.00589526221350246</v>
      </c>
      <c r="R317" s="489">
        <f>LN((1+N317)/(1+H317))</f>
        <v>-0.043452466736028</v>
      </c>
      <c r="S317" s="542">
        <f>LN((1+O317)/(1+H317))</f>
        <v>0.0241070030265809</v>
      </c>
    </row>
    <row r="318">
      <c r="A318" s="320" t="n">
        <v>217</v>
      </c>
      <c r="B318" s="174" t="n">
        <v>29</v>
      </c>
      <c r="C318" s="174" t="n">
        <v>69</v>
      </c>
      <c r="D318" s="174" t="n">
        <v>76</v>
      </c>
      <c r="E318" s="174" t="n">
        <v>42</v>
      </c>
      <c r="F318" s="174" t="n">
        <v>42</v>
      </c>
      <c r="G318" s="68">
        <f>(1+INDEX($Z$21:$Z$97,B318))*(1+INDEX($Z$21:$Z$97,C318))*(1+INDEX($Z$21:$Z$97,D318))*(1+INDEX($Z$21:$Z$97,E318))*(1+INDEX($Z$21:$Z$97,F318))-1</f>
        <v>0.614371506628217</v>
      </c>
      <c r="H318" s="68">
        <f>(1+INDEX($AA$21:$AA$97,B318))*(1+INDEX($AA$21:$AA$97,C318))*(1+INDEX($AA$21:$AA$97,D318))*(1+INDEX($AA$21:$AA$97,E318))*(1+INDEX($AA$21:$AA$97,F318))-1</f>
        <v>0.620235866191335</v>
      </c>
      <c r="I318" s="68">
        <f>(1+INDEX($AB$21:$AB$97,B318))*(1+INDEX($AB$21:$AB$97,C318))*(1+INDEX($AB$21:$AB$97,D318))*(1+INDEX($AB$21:$AB$97,E318))*(1+INDEX($AB$21:$AB$97,F318))-1</f>
        <v>0.679103662764123</v>
      </c>
      <c r="J318" s="489">
        <f>LN((1+G318)/(1+H318))</f>
        <v>-0.00362601411087365</v>
      </c>
      <c r="K318" s="489">
        <f>LN((1+I318)/(1+H318))</f>
        <v>0.0356883819056783</v>
      </c>
      <c r="L318" s="489">
        <f>(1+INDEX($AC$21:$AC$97,B318))*(1+INDEX($AC$21:$AC$97,C318))*(1+INDEX($AC$21:$AC$97,D318))*(1+INDEX($AC$21:$AC$97,E318))*(1+INDEX($AC$21:$AC$97,F318))-1</f>
        <v>0.69205299599967</v>
      </c>
      <c r="M318" s="489">
        <f>(1+INDEX($AD$21:$AD$97,B318))*(1+INDEX($AD$21:$AD$97,C318))*(1+INDEX($AD$21:$AD$97,D318))*(1+INDEX($AD$21:$AD$97,E318))*(1+INDEX($AD$21:$AD$97,F318))-1</f>
        <v>0.671858580195928</v>
      </c>
      <c r="N318" s="489">
        <f>(1+INDEX($AE$21:$AE$97,B318))*(1+INDEX($AE$21:$AE$97,C318))*(1+INDEX($AE$21:$AE$97,D318))*(1+INDEX($AE$21:$AE$97,E318))*(1+INDEX($AE$21:$AE$97,F318))-1</f>
        <v>0.68590826800047</v>
      </c>
      <c r="O318" s="489">
        <f>(1+INDEX($AF$21:$AF$97,B318))*(1+INDEX($AF$21:$AF$97,C318))*(1+INDEX($AF$21:$AF$97,D318))*(1+INDEX($AF$21:$AF$97,E318))*(1+INDEX($AF$21:$AF$97,F318))-1</f>
        <v>0.650604768492261</v>
      </c>
      <c r="P318" s="489">
        <f>LN((1+L318)/(1+H318))</f>
        <v>0.0433708471457623</v>
      </c>
      <c r="Q318" s="489">
        <f>LN((1+M318)/(1+H318))</f>
        <v>0.0313641948022174</v>
      </c>
      <c r="R318" s="489">
        <f>LN((1+N318)/(1+H318))</f>
        <v>0.0397327149727726</v>
      </c>
      <c r="S318" s="542">
        <f>LN((1+O318)/(1+H318))</f>
        <v>0.01857001205649</v>
      </c>
    </row>
    <row r="319">
      <c r="A319" s="320" t="n">
        <v>218</v>
      </c>
      <c r="B319" s="174" t="n">
        <v>77</v>
      </c>
      <c r="C319" s="174" t="n">
        <v>14</v>
      </c>
      <c r="D319" s="174" t="n">
        <v>56</v>
      </c>
      <c r="E319" s="174" t="n">
        <v>61</v>
      </c>
      <c r="F319" s="174" t="n">
        <v>66</v>
      </c>
      <c r="G319" s="68">
        <f>(1+INDEX($Z$21:$Z$97,B319))*(1+INDEX($Z$21:$Z$97,C319))*(1+INDEX($Z$21:$Z$97,D319))*(1+INDEX($Z$21:$Z$97,E319))*(1+INDEX($Z$21:$Z$97,F319))-1</f>
        <v>0.455323498779453</v>
      </c>
      <c r="H319" s="68">
        <f>(1+INDEX($AA$21:$AA$97,B319))*(1+INDEX($AA$21:$AA$97,C319))*(1+INDEX($AA$21:$AA$97,D319))*(1+INDEX($AA$21:$AA$97,E319))*(1+INDEX($AA$21:$AA$97,F319))-1</f>
        <v>0.409023538740625</v>
      </c>
      <c r="I319" s="68">
        <f>(1+INDEX($AB$21:$AB$97,B319))*(1+INDEX($AB$21:$AB$97,C319))*(1+INDEX($AB$21:$AB$97,D319))*(1+INDEX($AB$21:$AB$97,E319))*(1+INDEX($AB$21:$AB$97,F319))-1</f>
        <v>0.44191060807353</v>
      </c>
      <c r="J319" s="489">
        <f>LN((1+G319)/(1+H319))</f>
        <v>0.0323312730738744</v>
      </c>
      <c r="K319" s="489">
        <f>LN((1+I319)/(1+H319))</f>
        <v>0.0230721065464569</v>
      </c>
      <c r="L319" s="489">
        <f>(1+INDEX($AC$21:$AC$97,B319))*(1+INDEX($AC$21:$AC$97,C319))*(1+INDEX($AC$21:$AC$97,D319))*(1+INDEX($AC$21:$AC$97,E319))*(1+INDEX($AC$21:$AC$97,F319))-1</f>
        <v>0.456033917163184</v>
      </c>
      <c r="M319" s="489">
        <f>(1+INDEX($AD$21:$AD$97,B319))*(1+INDEX($AD$21:$AD$97,C319))*(1+INDEX($AD$21:$AD$97,D319))*(1+INDEX($AD$21:$AD$97,E319))*(1+INDEX($AD$21:$AD$97,F319))-1</f>
        <v>0.421946521134779</v>
      </c>
      <c r="N319" s="489">
        <f>(1+INDEX($AE$21:$AE$97,B319))*(1+INDEX($AE$21:$AE$97,C319))*(1+INDEX($AE$21:$AE$97,D319))*(1+INDEX($AE$21:$AE$97,E319))*(1+INDEX($AE$21:$AE$97,F319))-1</f>
        <v>0.445730798509971</v>
      </c>
      <c r="O319" s="489">
        <f>(1+INDEX($AF$21:$AF$97,B319))*(1+INDEX($AF$21:$AF$97,C319))*(1+INDEX($AF$21:$AF$97,D319))*(1+INDEX($AF$21:$AF$97,E319))*(1+INDEX($AF$21:$AF$97,F319))-1</f>
        <v>0.410636942820815</v>
      </c>
      <c r="P319" s="489">
        <f>LN((1+L319)/(1+H319))</f>
        <v>0.032819305490603</v>
      </c>
      <c r="Q319" s="489">
        <f>LN((1+M319)/(1+H319))</f>
        <v>0.00912978370294552</v>
      </c>
      <c r="R319" s="489">
        <f>LN((1+N319)/(1+H319))</f>
        <v>0.0257179978655186</v>
      </c>
      <c r="S319" s="542">
        <f>LN((1+O319)/(1+H319))</f>
        <v>0.00114439611919403</v>
      </c>
    </row>
    <row r="320">
      <c r="A320" s="320" t="n">
        <v>219</v>
      </c>
      <c r="B320" s="174" t="n">
        <v>17</v>
      </c>
      <c r="C320" s="174" t="n">
        <v>15</v>
      </c>
      <c r="D320" s="174" t="n">
        <v>75</v>
      </c>
      <c r="E320" s="174" t="n">
        <v>46</v>
      </c>
      <c r="F320" s="174" t="n">
        <v>57</v>
      </c>
      <c r="G320" s="68">
        <f>(1+INDEX($Z$21:$Z$97,B320))*(1+INDEX($Z$21:$Z$97,C320))*(1+INDEX($Z$21:$Z$97,D320))*(1+INDEX($Z$21:$Z$97,E320))*(1+INDEX($Z$21:$Z$97,F320))-1</f>
        <v>0.552180147396456</v>
      </c>
      <c r="H320" s="68">
        <f>(1+INDEX($AA$21:$AA$97,B320))*(1+INDEX($AA$21:$AA$97,C320))*(1+INDEX($AA$21:$AA$97,D320))*(1+INDEX($AA$21:$AA$97,E320))*(1+INDEX($AA$21:$AA$97,F320))-1</f>
        <v>0.485145281457024</v>
      </c>
      <c r="I320" s="68">
        <f>(1+INDEX($AB$21:$AB$97,B320))*(1+INDEX($AB$21:$AB$97,C320))*(1+INDEX($AB$21:$AB$97,D320))*(1+INDEX($AB$21:$AB$97,E320))*(1+INDEX($AB$21:$AB$97,F320))-1</f>
        <v>0.549582386178147</v>
      </c>
      <c r="J320" s="489">
        <f>LN((1+G320)/(1+H320))</f>
        <v>0.0441478892779511</v>
      </c>
      <c r="K320" s="489">
        <f>LN((1+I320)/(1+H320))</f>
        <v>0.0424728662563184</v>
      </c>
      <c r="L320" s="489">
        <f>(1+INDEX($AC$21:$AC$97,B320))*(1+INDEX($AC$21:$AC$97,C320))*(1+INDEX($AC$21:$AC$97,D320))*(1+INDEX($AC$21:$AC$97,E320))*(1+INDEX($AC$21:$AC$97,F320))-1</f>
        <v>0.531369199561544</v>
      </c>
      <c r="M320" s="489">
        <f>(1+INDEX($AD$21:$AD$97,B320))*(1+INDEX($AD$21:$AD$97,C320))*(1+INDEX($AD$21:$AD$97,D320))*(1+INDEX($AD$21:$AD$97,E320))*(1+INDEX($AD$21:$AD$97,F320))-1</f>
        <v>0.523756294394504</v>
      </c>
      <c r="N320" s="489">
        <f>(1+INDEX($AE$21:$AE$97,B320))*(1+INDEX($AE$21:$AE$97,C320))*(1+INDEX($AE$21:$AE$97,D320))*(1+INDEX($AE$21:$AE$97,E320))*(1+INDEX($AE$21:$AE$97,F320))-1</f>
        <v>0.51182461610926</v>
      </c>
      <c r="O320" s="489">
        <f>(1+INDEX($AF$21:$AF$97,B320))*(1+INDEX($AF$21:$AF$97,C320))*(1+INDEX($AF$21:$AF$97,D320))*(1+INDEX($AF$21:$AF$97,E320))*(1+INDEX($AF$21:$AF$97,F320))-1</f>
        <v>0.500984242994777</v>
      </c>
      <c r="P320" s="489">
        <f>LN((1+L320)/(1+H320))</f>
        <v>0.03064963679243</v>
      </c>
      <c r="Q320" s="489">
        <f>LN((1+M320)/(1+H320))</f>
        <v>0.0256659325622114</v>
      </c>
      <c r="R320" s="489">
        <f>LN((1+N320)/(1+H320))</f>
        <v>0.0178046762923547</v>
      </c>
      <c r="S320" s="542">
        <f>LN((1+O320)/(1+H320))</f>
        <v>0.0106084548241677</v>
      </c>
    </row>
    <row r="321">
      <c r="A321" s="320" t="n">
        <v>220</v>
      </c>
      <c r="B321" s="174" t="n">
        <v>17</v>
      </c>
      <c r="C321" s="174" t="n">
        <v>20</v>
      </c>
      <c r="D321" s="174" t="n">
        <v>48</v>
      </c>
      <c r="E321" s="174" t="n">
        <v>53</v>
      </c>
      <c r="F321" s="174" t="n">
        <v>53</v>
      </c>
      <c r="G321" s="68">
        <f>(1+INDEX($Z$21:$Z$97,B321))*(1+INDEX($Z$21:$Z$97,C321))*(1+INDEX($Z$21:$Z$97,D321))*(1+INDEX($Z$21:$Z$97,E321))*(1+INDEX($Z$21:$Z$97,F321))-1</f>
        <v>-0.0761376100605957</v>
      </c>
      <c r="H321" s="68">
        <f>(1+INDEX($AA$21:$AA$97,B321))*(1+INDEX($AA$21:$AA$97,C321))*(1+INDEX($AA$21:$AA$97,D321))*(1+INDEX($AA$21:$AA$97,E321))*(1+INDEX($AA$21:$AA$97,F321))-1</f>
        <v>-0.0167338431127712</v>
      </c>
      <c r="I321" s="68">
        <f>(1+INDEX($AB$21:$AB$97,B321))*(1+INDEX($AB$21:$AB$97,C321))*(1+INDEX($AB$21:$AB$97,D321))*(1+INDEX($AB$21:$AB$97,E321))*(1+INDEX($AB$21:$AB$97,F321))-1</f>
        <v>-0.0531265646854044</v>
      </c>
      <c r="J321" s="489">
        <f>LN((1+G321)/(1+H321))</f>
        <v>-0.0623167113885359</v>
      </c>
      <c r="K321" s="489">
        <f>LN((1+I321)/(1+H321))</f>
        <v>-0.0377144070789069</v>
      </c>
      <c r="L321" s="489">
        <f>(1+INDEX($AC$21:$AC$97,B321))*(1+INDEX($AC$21:$AC$97,C321))*(1+INDEX($AC$21:$AC$97,D321))*(1+INDEX($AC$21:$AC$97,E321))*(1+INDEX($AC$21:$AC$97,F321))-1</f>
        <v>-0.069303499466569</v>
      </c>
      <c r="M321" s="489">
        <f>(1+INDEX($AD$21:$AD$97,B321))*(1+INDEX($AD$21:$AD$97,C321))*(1+INDEX($AD$21:$AD$97,D321))*(1+INDEX($AD$21:$AD$97,E321))*(1+INDEX($AD$21:$AD$97,F321))-1</f>
        <v>-0.0344776180907433</v>
      </c>
      <c r="N321" s="489">
        <f>(1+INDEX($AE$21:$AE$97,B321))*(1+INDEX($AE$21:$AE$97,C321))*(1+INDEX($AE$21:$AE$97,D321))*(1+INDEX($AE$21:$AE$97,E321))*(1+INDEX($AE$21:$AE$97,F321))-1</f>
        <v>-0.0632487819446174</v>
      </c>
      <c r="O321" s="489">
        <f>(1+INDEX($AF$21:$AF$97,B321))*(1+INDEX($AF$21:$AF$97,C321))*(1+INDEX($AF$21:$AF$97,D321))*(1+INDEX($AF$21:$AF$97,E321))*(1+INDEX($AF$21:$AF$97,F321))-1</f>
        <v>-0.0104018219662209</v>
      </c>
      <c r="P321" s="489">
        <f>LN((1+L321)/(1+H321))</f>
        <v>-0.0549466121547882</v>
      </c>
      <c r="Q321" s="489">
        <f>LN((1+M321)/(1+H321))</f>
        <v>-0.0182105600252457</v>
      </c>
      <c r="R321" s="489">
        <f>LN((1+N321)/(1+H321))</f>
        <v>-0.0484621053299755</v>
      </c>
      <c r="S321" s="542">
        <f>LN((1+O321)/(1+H321))</f>
        <v>0.00641913666053765</v>
      </c>
    </row>
    <row r="322">
      <c r="A322" s="320" t="n">
        <v>221</v>
      </c>
      <c r="B322" s="174" t="n">
        <v>24</v>
      </c>
      <c r="C322" s="174" t="n">
        <v>73</v>
      </c>
      <c r="D322" s="174" t="n">
        <v>67</v>
      </c>
      <c r="E322" s="174" t="n">
        <v>48</v>
      </c>
      <c r="F322" s="174" t="n">
        <v>50</v>
      </c>
      <c r="G322" s="68">
        <f>(1+INDEX($Z$21:$Z$97,B322))*(1+INDEX($Z$21:$Z$97,C322))*(1+INDEX($Z$21:$Z$97,D322))*(1+INDEX($Z$21:$Z$97,E322))*(1+INDEX($Z$21:$Z$97,F322))-1</f>
        <v>0.465458328745356</v>
      </c>
      <c r="H322" s="68">
        <f>(1+INDEX($AA$21:$AA$97,B322))*(1+INDEX($AA$21:$AA$97,C322))*(1+INDEX($AA$21:$AA$97,D322))*(1+INDEX($AA$21:$AA$97,E322))*(1+INDEX($AA$21:$AA$97,F322))-1</f>
        <v>0.417364636444341</v>
      </c>
      <c r="I322" s="68">
        <f>(1+INDEX($AB$21:$AB$97,B322))*(1+INDEX($AB$21:$AB$97,C322))*(1+INDEX($AB$21:$AB$97,D322))*(1+INDEX($AB$21:$AB$97,E322))*(1+INDEX($AB$21:$AB$97,F322))-1</f>
        <v>0.47936459145828</v>
      </c>
      <c r="J322" s="489">
        <f>LN((1+G322)/(1+H322))</f>
        <v>0.0333687884388564</v>
      </c>
      <c r="K322" s="489">
        <f>LN((1+I322)/(1+H322))</f>
        <v>0.0428134080037343</v>
      </c>
      <c r="L322" s="489">
        <f>(1+INDEX($AC$21:$AC$97,B322))*(1+INDEX($AC$21:$AC$97,C322))*(1+INDEX($AC$21:$AC$97,D322))*(1+INDEX($AC$21:$AC$97,E322))*(1+INDEX($AC$21:$AC$97,F322))-1</f>
        <v>0.460103279311709</v>
      </c>
      <c r="M322" s="489">
        <f>(1+INDEX($AD$21:$AD$97,B322))*(1+INDEX($AD$21:$AD$97,C322))*(1+INDEX($AD$21:$AD$97,D322))*(1+INDEX($AD$21:$AD$97,E322))*(1+INDEX($AD$21:$AD$97,F322))-1</f>
        <v>0.473270490471923</v>
      </c>
      <c r="N322" s="489">
        <f>(1+INDEX($AE$21:$AE$97,B322))*(1+INDEX($AE$21:$AE$97,C322))*(1+INDEX($AE$21:$AE$97,D322))*(1+INDEX($AE$21:$AE$97,E322))*(1+INDEX($AE$21:$AE$97,F322))-1</f>
        <v>0.447465127599756</v>
      </c>
      <c r="O322" s="489">
        <f>(1+INDEX($AF$21:$AF$97,B322))*(1+INDEX($AF$21:$AF$97,C322))*(1+INDEX($AF$21:$AF$97,D322))*(1+INDEX($AF$21:$AF$97,E322))*(1+INDEX($AF$21:$AF$97,F322))-1</f>
        <v>0.434356418891041</v>
      </c>
      <c r="P322" s="489">
        <f>LN((1+L322)/(1+H322))</f>
        <v>0.0297079149849573</v>
      </c>
      <c r="Q322" s="489">
        <f>LN((1+M322)/(1+H322))</f>
        <v>0.0386854954979852</v>
      </c>
      <c r="R322" s="489">
        <f>LN((1+N322)/(1+H322))</f>
        <v>0.0210145812186121</v>
      </c>
      <c r="S322" s="542">
        <f>LN((1+O322)/(1+H322))</f>
        <v>0.0119170025448502</v>
      </c>
    </row>
    <row r="323">
      <c r="A323" s="320" t="n">
        <v>222</v>
      </c>
      <c r="B323" s="174" t="n">
        <v>46</v>
      </c>
      <c r="C323" s="174" t="n">
        <v>27</v>
      </c>
      <c r="D323" s="174" t="n">
        <v>67</v>
      </c>
      <c r="E323" s="174" t="n">
        <v>48</v>
      </c>
      <c r="F323" s="174" t="n">
        <v>48</v>
      </c>
      <c r="G323" s="68">
        <f>(1+INDEX($Z$21:$Z$97,B323))*(1+INDEX($Z$21:$Z$97,C323))*(1+INDEX($Z$21:$Z$97,D323))*(1+INDEX($Z$21:$Z$97,E323))*(1+INDEX($Z$21:$Z$97,F323))-1</f>
        <v>0.455288470732471</v>
      </c>
      <c r="H323" s="68">
        <f>(1+INDEX($AA$21:$AA$97,B323))*(1+INDEX($AA$21:$AA$97,C323))*(1+INDEX($AA$21:$AA$97,D323))*(1+INDEX($AA$21:$AA$97,E323))*(1+INDEX($AA$21:$AA$97,F323))-1</f>
        <v>0.432328913875684</v>
      </c>
      <c r="I323" s="68">
        <f>(1+INDEX($AB$21:$AB$97,B323))*(1+INDEX($AB$21:$AB$97,C323))*(1+INDEX($AB$21:$AB$97,D323))*(1+INDEX($AB$21:$AB$97,E323))*(1+INDEX($AB$21:$AB$97,F323))-1</f>
        <v>0.486835316643575</v>
      </c>
      <c r="J323" s="489">
        <f>LN((1+G323)/(1+H323))</f>
        <v>0.0159024120192384</v>
      </c>
      <c r="K323" s="489">
        <f>LN((1+I323)/(1+H323))</f>
        <v>0.037348181993574</v>
      </c>
      <c r="L323" s="489">
        <f>(1+INDEX($AC$21:$AC$97,B323))*(1+INDEX($AC$21:$AC$97,C323))*(1+INDEX($AC$21:$AC$97,D323))*(1+INDEX($AC$21:$AC$97,E323))*(1+INDEX($AC$21:$AC$97,F323))-1</f>
        <v>0.477511406781413</v>
      </c>
      <c r="M323" s="489">
        <f>(1+INDEX($AD$21:$AD$97,B323))*(1+INDEX($AD$21:$AD$97,C323))*(1+INDEX($AD$21:$AD$97,D323))*(1+INDEX($AD$21:$AD$97,E323))*(1+INDEX($AD$21:$AD$97,F323))-1</f>
        <v>0.464385487221485</v>
      </c>
      <c r="N323" s="489">
        <f>(1+INDEX($AE$21:$AE$97,B323))*(1+INDEX($AE$21:$AE$97,C323))*(1+INDEX($AE$21:$AE$97,D323))*(1+INDEX($AE$21:$AE$97,E323))*(1+INDEX($AE$21:$AE$97,F323))-1</f>
        <v>0.480228532076773</v>
      </c>
      <c r="O323" s="489">
        <f>(1+INDEX($AF$21:$AF$97,B323))*(1+INDEX($AF$21:$AF$97,C323))*(1+INDEX($AF$21:$AF$97,D323))*(1+INDEX($AF$21:$AF$97,E323))*(1+INDEX($AF$21:$AF$97,F323))-1</f>
        <v>0.437866286384506</v>
      </c>
      <c r="P323" s="489">
        <f>LN((1+L323)/(1+H323))</f>
        <v>0.0310574599693731</v>
      </c>
      <c r="Q323" s="489">
        <f>LN((1+M323)/(1+H323))</f>
        <v>0.0221339611977441</v>
      </c>
      <c r="R323" s="489">
        <f>LN((1+N323)/(1+H323))</f>
        <v>0.0328947587960926</v>
      </c>
      <c r="S323" s="542">
        <f>LN((1+O323)/(1+H323))</f>
        <v>0.00385853852622989</v>
      </c>
    </row>
    <row r="324">
      <c r="A324" s="320" t="n">
        <v>223</v>
      </c>
      <c r="B324" s="174" t="n">
        <v>38</v>
      </c>
      <c r="C324" s="174" t="n">
        <v>40</v>
      </c>
      <c r="D324" s="174" t="n">
        <v>47</v>
      </c>
      <c r="E324" s="174" t="n">
        <v>74</v>
      </c>
      <c r="F324" s="174" t="n">
        <v>49</v>
      </c>
      <c r="G324" s="68">
        <f>(1+INDEX($Z$21:$Z$97,B324))*(1+INDEX($Z$21:$Z$97,C324))*(1+INDEX($Z$21:$Z$97,D324))*(1+INDEX($Z$21:$Z$97,E324))*(1+INDEX($Z$21:$Z$97,F324))-1</f>
        <v>0.573488953724754</v>
      </c>
      <c r="H324" s="68">
        <f>(1+INDEX($AA$21:$AA$97,B324))*(1+INDEX($AA$21:$AA$97,C324))*(1+INDEX($AA$21:$AA$97,D324))*(1+INDEX($AA$21:$AA$97,E324))*(1+INDEX($AA$21:$AA$97,F324))-1</f>
        <v>0.49332150359825</v>
      </c>
      <c r="I324" s="68">
        <f>(1+INDEX($AB$21:$AB$97,B324))*(1+INDEX($AB$21:$AB$97,C324))*(1+INDEX($AB$21:$AB$97,D324))*(1+INDEX($AB$21:$AB$97,E324))*(1+INDEX($AB$21:$AB$97,F324))-1</f>
        <v>0.563458512023997</v>
      </c>
      <c r="J324" s="489">
        <f>LN((1+G324)/(1+H324))</f>
        <v>0.0522925812738841</v>
      </c>
      <c r="K324" s="489">
        <f>LN((1+I324)/(1+H324))</f>
        <v>0.0458975262118483</v>
      </c>
      <c r="L324" s="489">
        <f>(1+INDEX($AC$21:$AC$97,B324))*(1+INDEX($AC$21:$AC$97,C324))*(1+INDEX($AC$21:$AC$97,D324))*(1+INDEX($AC$21:$AC$97,E324))*(1+INDEX($AC$21:$AC$97,F324))-1</f>
        <v>0.542948206598608</v>
      </c>
      <c r="M324" s="489">
        <f>(1+INDEX($AD$21:$AD$97,B324))*(1+INDEX($AD$21:$AD$97,C324))*(1+INDEX($AD$21:$AD$97,D324))*(1+INDEX($AD$21:$AD$97,E324))*(1+INDEX($AD$21:$AD$97,F324))-1</f>
        <v>0.550407680934649</v>
      </c>
      <c r="N324" s="489">
        <f>(1+INDEX($AE$21:$AE$97,B324))*(1+INDEX($AE$21:$AE$97,C324))*(1+INDEX($AE$21:$AE$97,D324))*(1+INDEX($AE$21:$AE$97,E324))*(1+INDEX($AE$21:$AE$97,F324))-1</f>
        <v>0.53717660857348</v>
      </c>
      <c r="O324" s="489">
        <f>(1+INDEX($AF$21:$AF$97,B324))*(1+INDEX($AF$21:$AF$97,C324))*(1+INDEX($AF$21:$AF$97,D324))*(1+INDEX($AF$21:$AF$97,E324))*(1+INDEX($AF$21:$AF$97,F324))-1</f>
        <v>0.504703470616321</v>
      </c>
      <c r="P324" s="489">
        <f>LN((1+L324)/(1+H324))</f>
        <v>0.0326921700986711</v>
      </c>
      <c r="Q324" s="489">
        <f>LN((1+M324)/(1+H324))</f>
        <v>0.0375150802755013</v>
      </c>
      <c r="R324" s="489">
        <f>LN((1+N324)/(1+H324))</f>
        <v>0.0289445266578663</v>
      </c>
      <c r="S324" s="542">
        <f>LN((1+O324)/(1+H324))</f>
        <v>0.00759301326735514</v>
      </c>
    </row>
    <row r="325">
      <c r="A325" s="320" t="n">
        <v>224</v>
      </c>
      <c r="B325" s="174" t="n">
        <v>22</v>
      </c>
      <c r="C325" s="174" t="n">
        <v>69</v>
      </c>
      <c r="D325" s="174" t="n">
        <v>55</v>
      </c>
      <c r="E325" s="174" t="n">
        <v>18</v>
      </c>
      <c r="F325" s="174" t="n">
        <v>61</v>
      </c>
      <c r="G325" s="68">
        <f>(1+INDEX($Z$21:$Z$97,B325))*(1+INDEX($Z$21:$Z$97,C325))*(1+INDEX($Z$21:$Z$97,D325))*(1+INDEX($Z$21:$Z$97,E325))*(1+INDEX($Z$21:$Z$97,F325))-1</f>
        <v>0.275585523892137</v>
      </c>
      <c r="H325" s="68">
        <f>(1+INDEX($AA$21:$AA$97,B325))*(1+INDEX($AA$21:$AA$97,C325))*(1+INDEX($AA$21:$AA$97,D325))*(1+INDEX($AA$21:$AA$97,E325))*(1+INDEX($AA$21:$AA$97,F325))-1</f>
        <v>0.28686318255911</v>
      </c>
      <c r="I325" s="68">
        <f>(1+INDEX($AB$21:$AB$97,B325))*(1+INDEX($AB$21:$AB$97,C325))*(1+INDEX($AB$21:$AB$97,D325))*(1+INDEX($AB$21:$AB$97,E325))*(1+INDEX($AB$21:$AB$97,F325))-1</f>
        <v>0.271651584405433</v>
      </c>
      <c r="J325" s="489">
        <f>LN((1+G325)/(1+H325))</f>
        <v>-0.00880230808535542</v>
      </c>
      <c r="K325" s="489">
        <f>LN((1+I325)/(1+H325))</f>
        <v>-0.011891099938755</v>
      </c>
      <c r="L325" s="489">
        <f>(1+INDEX($AC$21:$AC$97,B325))*(1+INDEX($AC$21:$AC$97,C325))*(1+INDEX($AC$21:$AC$97,D325))*(1+INDEX($AC$21:$AC$97,E325))*(1+INDEX($AC$21:$AC$97,F325))-1</f>
        <v>0.27337668477677</v>
      </c>
      <c r="M325" s="489">
        <f>(1+INDEX($AD$21:$AD$97,B325))*(1+INDEX($AD$21:$AD$97,C325))*(1+INDEX($AD$21:$AD$97,D325))*(1+INDEX($AD$21:$AD$97,E325))*(1+INDEX($AD$21:$AD$97,F325))-1</f>
        <v>0.259528857841877</v>
      </c>
      <c r="N325" s="489">
        <f>(1+INDEX($AE$21:$AE$97,B325))*(1+INDEX($AE$21:$AE$97,C325))*(1+INDEX($AE$21:$AE$97,D325))*(1+INDEX($AE$21:$AE$97,E325))*(1+INDEX($AE$21:$AE$97,F325))-1</f>
        <v>0.292990843173606</v>
      </c>
      <c r="O325" s="489">
        <f>(1+INDEX($AF$21:$AF$97,B325))*(1+INDEX($AF$21:$AF$97,C325))*(1+INDEX($AF$21:$AF$97,D325))*(1+INDEX($AF$21:$AF$97,E325))*(1+INDEX($AF$21:$AF$97,F325))-1</f>
        <v>0.281767308307445</v>
      </c>
      <c r="P325" s="489">
        <f>LN((1+L325)/(1+H325))</f>
        <v>-0.0105354366980525</v>
      </c>
      <c r="Q325" s="489">
        <f>LN((1+M325)/(1+H325))</f>
        <v>-0.0214698870158172</v>
      </c>
      <c r="R325" s="489">
        <f>LN((1+N325)/(1+H325))</f>
        <v>0.00475040221392436</v>
      </c>
      <c r="S325" s="542">
        <f>LN((1+O325)/(1+H325))</f>
        <v>-0.00396778046142921</v>
      </c>
    </row>
    <row r="326">
      <c r="A326" s="320" t="n">
        <v>225</v>
      </c>
      <c r="B326" s="174" t="n">
        <v>25</v>
      </c>
      <c r="C326" s="174" t="n">
        <v>12</v>
      </c>
      <c r="D326" s="174" t="n">
        <v>64</v>
      </c>
      <c r="E326" s="174" t="n">
        <v>5</v>
      </c>
      <c r="F326" s="174" t="n">
        <v>56</v>
      </c>
      <c r="G326" s="68">
        <f>(1+INDEX($Z$21:$Z$97,B326))*(1+INDEX($Z$21:$Z$97,C326))*(1+INDEX($Z$21:$Z$97,D326))*(1+INDEX($Z$21:$Z$97,E326))*(1+INDEX($Z$21:$Z$97,F326))-1</f>
        <v>0.133478220930473</v>
      </c>
      <c r="H326" s="68">
        <f>(1+INDEX($AA$21:$AA$97,B326))*(1+INDEX($AA$21:$AA$97,C326))*(1+INDEX($AA$21:$AA$97,D326))*(1+INDEX($AA$21:$AA$97,E326))*(1+INDEX($AA$21:$AA$97,F326))-1</f>
        <v>0.0907556299668029</v>
      </c>
      <c r="I326" s="68">
        <f>(1+INDEX($AB$21:$AB$97,B326))*(1+INDEX($AB$21:$AB$97,C326))*(1+INDEX($AB$21:$AB$97,D326))*(1+INDEX($AB$21:$AB$97,E326))*(1+INDEX($AB$21:$AB$97,F326))-1</f>
        <v>0.0760283011030485</v>
      </c>
      <c r="J326" s="489">
        <f>LN((1+G326)/(1+H326))</f>
        <v>0.0384202822164996</v>
      </c>
      <c r="K326" s="489">
        <f>LN((1+I326)/(1+H326))</f>
        <v>-0.0135939310298136</v>
      </c>
      <c r="L326" s="489">
        <f>(1+INDEX($AC$21:$AC$97,B326))*(1+INDEX($AC$21:$AC$97,C326))*(1+INDEX($AC$21:$AC$97,D326))*(1+INDEX($AC$21:$AC$97,E326))*(1+INDEX($AC$21:$AC$97,F326))-1</f>
        <v>0.076346618610275</v>
      </c>
      <c r="M326" s="489">
        <f>(1+INDEX($AD$21:$AD$97,B326))*(1+INDEX($AD$21:$AD$97,C326))*(1+INDEX($AD$21:$AD$97,D326))*(1+INDEX($AD$21:$AD$97,E326))*(1+INDEX($AD$21:$AD$97,F326))-1</f>
        <v>0.0742241651034052</v>
      </c>
      <c r="N326" s="489">
        <f>(1+INDEX($AE$21:$AE$97,B326))*(1+INDEX($AE$21:$AE$97,C326))*(1+INDEX($AE$21:$AE$97,D326))*(1+INDEX($AE$21:$AE$97,E326))*(1+INDEX($AE$21:$AE$97,F326))-1</f>
        <v>0.0593440774905427</v>
      </c>
      <c r="O326" s="489">
        <f>(1+INDEX($AF$21:$AF$97,B326))*(1+INDEX($AF$21:$AF$97,C326))*(1+INDEX($AF$21:$AF$97,D326))*(1+INDEX($AF$21:$AF$97,E326))*(1+INDEX($AF$21:$AF$97,F326))-1</f>
        <v>0.1221475906935</v>
      </c>
      <c r="P326" s="489">
        <f>LN((1+L326)/(1+H326))</f>
        <v>-0.0132981484441387</v>
      </c>
      <c r="Q326" s="489">
        <f>LN((1+M326)/(1+H326))</f>
        <v>-0.0152720004205993</v>
      </c>
      <c r="R326" s="489">
        <f>LN((1+N326)/(1+H326))</f>
        <v>-0.0292207727926894</v>
      </c>
      <c r="S326" s="542">
        <f>LN((1+O326)/(1+H326))</f>
        <v>0.0283736463932325</v>
      </c>
    </row>
    <row r="327">
      <c r="A327" s="320" t="n">
        <v>226</v>
      </c>
      <c r="B327" s="174" t="n">
        <v>29</v>
      </c>
      <c r="C327" s="174" t="n">
        <v>10</v>
      </c>
      <c r="D327" s="174" t="n">
        <v>26</v>
      </c>
      <c r="E327" s="174" t="n">
        <v>58</v>
      </c>
      <c r="F327" s="174" t="n">
        <v>55</v>
      </c>
      <c r="G327" s="68">
        <f>(1+INDEX($Z$21:$Z$97,B327))*(1+INDEX($Z$21:$Z$97,C327))*(1+INDEX($Z$21:$Z$97,D327))*(1+INDEX($Z$21:$Z$97,E327))*(1+INDEX($Z$21:$Z$97,F327))-1</f>
        <v>0.365231474023836</v>
      </c>
      <c r="H327" s="68">
        <f>(1+INDEX($AA$21:$AA$97,B327))*(1+INDEX($AA$21:$AA$97,C327))*(1+INDEX($AA$21:$AA$97,D327))*(1+INDEX($AA$21:$AA$97,E327))*(1+INDEX($AA$21:$AA$97,F327))-1</f>
        <v>0.424148285268241</v>
      </c>
      <c r="I327" s="68">
        <f>(1+INDEX($AB$21:$AB$97,B327))*(1+INDEX($AB$21:$AB$97,C327))*(1+INDEX($AB$21:$AB$97,D327))*(1+INDEX($AB$21:$AB$97,E327))*(1+INDEX($AB$21:$AB$97,F327))-1</f>
        <v>0.429514856661531</v>
      </c>
      <c r="J327" s="489">
        <f>LN((1+G327)/(1+H327))</f>
        <v>-0.0422499481817865</v>
      </c>
      <c r="K327" s="489">
        <f>LN((1+I327)/(1+H327))</f>
        <v>0.00376118515248562</v>
      </c>
      <c r="L327" s="489">
        <f>(1+INDEX($AC$21:$AC$97,B327))*(1+INDEX($AC$21:$AC$97,C327))*(1+INDEX($AC$21:$AC$97,D327))*(1+INDEX($AC$21:$AC$97,E327))*(1+INDEX($AC$21:$AC$97,F327))-1</f>
        <v>0.44130201681511</v>
      </c>
      <c r="M327" s="489">
        <f>(1+INDEX($AD$21:$AD$97,B327))*(1+INDEX($AD$21:$AD$97,C327))*(1+INDEX($AD$21:$AD$97,D327))*(1+INDEX($AD$21:$AD$97,E327))*(1+INDEX($AD$21:$AD$97,F327))-1</f>
        <v>0.440447363951576</v>
      </c>
      <c r="N327" s="489">
        <f>(1+INDEX($AE$21:$AE$97,B327))*(1+INDEX($AE$21:$AE$97,C327))*(1+INDEX($AE$21:$AE$97,D327))*(1+INDEX($AE$21:$AE$97,E327))*(1+INDEX($AE$21:$AE$97,F327))-1</f>
        <v>0.433499483166061</v>
      </c>
      <c r="O327" s="489">
        <f>(1+INDEX($AF$21:$AF$97,B327))*(1+INDEX($AF$21:$AF$97,C327))*(1+INDEX($AF$21:$AF$97,D327))*(1+INDEX($AF$21:$AF$97,E327))*(1+INDEX($AF$21:$AF$97,F327))-1</f>
        <v>0.449538159599529</v>
      </c>
      <c r="P327" s="489">
        <f>LN((1+L327)/(1+H327))</f>
        <v>0.0119729429273108</v>
      </c>
      <c r="Q327" s="489">
        <f>LN((1+M327)/(1+H327))</f>
        <v>0.0113797942695576</v>
      </c>
      <c r="R327" s="489">
        <f>LN((1+N327)/(1+H327))</f>
        <v>0.00654470531990888</v>
      </c>
      <c r="S327" s="542">
        <f>LN((1+O327)/(1+H327))</f>
        <v>0.0176710545947681</v>
      </c>
    </row>
    <row r="328">
      <c r="A328" s="320" t="n">
        <v>227</v>
      </c>
      <c r="B328" s="174" t="n">
        <v>29</v>
      </c>
      <c r="C328" s="174" t="n">
        <v>15</v>
      </c>
      <c r="D328" s="174" t="n">
        <v>43</v>
      </c>
      <c r="E328" s="174" t="n">
        <v>22</v>
      </c>
      <c r="F328" s="174" t="n">
        <v>1</v>
      </c>
      <c r="G328" s="68">
        <f>(1+INDEX($Z$21:$Z$97,B328))*(1+INDEX($Z$21:$Z$97,C328))*(1+INDEX($Z$21:$Z$97,D328))*(1+INDEX($Z$21:$Z$97,E328))*(1+INDEX($Z$21:$Z$97,F328))-1</f>
        <v>0.40820636581424</v>
      </c>
      <c r="H328" s="68">
        <f>(1+INDEX($AA$21:$AA$97,B328))*(1+INDEX($AA$21:$AA$97,C328))*(1+INDEX($AA$21:$AA$97,D328))*(1+INDEX($AA$21:$AA$97,E328))*(1+INDEX($AA$21:$AA$97,F328))-1</f>
        <v>0.381450792874756</v>
      </c>
      <c r="I328" s="68">
        <f>(1+INDEX($AB$21:$AB$97,B328))*(1+INDEX($AB$21:$AB$97,C328))*(1+INDEX($AB$21:$AB$97,D328))*(1+INDEX($AB$21:$AB$97,E328))*(1+INDEX($AB$21:$AB$97,F328))-1</f>
        <v>0.402445546163598</v>
      </c>
      <c r="J328" s="489">
        <f>LN((1+G328)/(1+H328))</f>
        <v>0.019182567499708</v>
      </c>
      <c r="K328" s="489">
        <f>LN((1+I328)/(1+H328))</f>
        <v>0.0150832852704062</v>
      </c>
      <c r="L328" s="489">
        <f>(1+INDEX($AC$21:$AC$97,B328))*(1+INDEX($AC$21:$AC$97,C328))*(1+INDEX($AC$21:$AC$97,D328))*(1+INDEX($AC$21:$AC$97,E328))*(1+INDEX($AC$21:$AC$97,F328))-1</f>
        <v>0.389517848455902</v>
      </c>
      <c r="M328" s="489">
        <f>(1+INDEX($AD$21:$AD$97,B328))*(1+INDEX($AD$21:$AD$97,C328))*(1+INDEX($AD$21:$AD$97,D328))*(1+INDEX($AD$21:$AD$97,E328))*(1+INDEX($AD$21:$AD$97,F328))-1</f>
        <v>0.411909112643647</v>
      </c>
      <c r="N328" s="489">
        <f>(1+INDEX($AE$21:$AE$97,B328))*(1+INDEX($AE$21:$AE$97,C328))*(1+INDEX($AE$21:$AE$97,D328))*(1+INDEX($AE$21:$AE$97,E328))*(1+INDEX($AE$21:$AE$97,F328))-1</f>
        <v>0.384870983539062</v>
      </c>
      <c r="O328" s="489">
        <f>(1+INDEX($AF$21:$AF$97,B328))*(1+INDEX($AF$21:$AF$97,C328))*(1+INDEX($AF$21:$AF$97,D328))*(1+INDEX($AF$21:$AF$97,E328))*(1+INDEX($AF$21:$AF$97,F328))-1</f>
        <v>0.392043284619293</v>
      </c>
      <c r="P328" s="489">
        <f>LN((1+L328)/(1+H328))</f>
        <v>0.00582256922853231</v>
      </c>
      <c r="Q328" s="489">
        <f>LN((1+M328)/(1+H328))</f>
        <v>0.0218085230575046</v>
      </c>
      <c r="R328" s="489">
        <f>LN((1+N328)/(1+H328))</f>
        <v>0.00247273649520889</v>
      </c>
      <c r="S328" s="542">
        <f>LN((1+O328)/(1+H328))</f>
        <v>0.00763841057552514</v>
      </c>
    </row>
    <row r="329">
      <c r="A329" s="320" t="n">
        <v>228</v>
      </c>
      <c r="B329" s="174" t="n">
        <v>13</v>
      </c>
      <c r="C329" s="174" t="n">
        <v>56</v>
      </c>
      <c r="D329" s="174" t="n">
        <v>76</v>
      </c>
      <c r="E329" s="174" t="n">
        <v>26</v>
      </c>
      <c r="F329" s="174" t="n">
        <v>1</v>
      </c>
      <c r="G329" s="68">
        <f>(1+INDEX($Z$21:$Z$97,B329))*(1+INDEX($Z$21:$Z$97,C329))*(1+INDEX($Z$21:$Z$97,D329))*(1+INDEX($Z$21:$Z$97,E329))*(1+INDEX($Z$21:$Z$97,F329))-1</f>
        <v>0.777692767011633</v>
      </c>
      <c r="H329" s="68">
        <f>(1+INDEX($AA$21:$AA$97,B329))*(1+INDEX($AA$21:$AA$97,C329))*(1+INDEX($AA$21:$AA$97,D329))*(1+INDEX($AA$21:$AA$97,E329))*(1+INDEX($AA$21:$AA$97,F329))-1</f>
        <v>0.635570980636736</v>
      </c>
      <c r="I329" s="68">
        <f>(1+INDEX($AB$21:$AB$97,B329))*(1+INDEX($AB$21:$AB$97,C329))*(1+INDEX($AB$21:$AB$97,D329))*(1+INDEX($AB$21:$AB$97,E329))*(1+INDEX($AB$21:$AB$97,F329))-1</f>
        <v>0.692146461253943</v>
      </c>
      <c r="J329" s="489">
        <f>LN((1+G329)/(1+H329))</f>
        <v>0.0833243581883932</v>
      </c>
      <c r="K329" s="489">
        <f>LN((1+I329)/(1+H329))</f>
        <v>0.0340058514467624</v>
      </c>
      <c r="L329" s="489">
        <f>(1+INDEX($AC$21:$AC$97,B329))*(1+INDEX($AC$21:$AC$97,C329))*(1+INDEX($AC$21:$AC$97,D329))*(1+INDEX($AC$21:$AC$97,E329))*(1+INDEX($AC$21:$AC$97,F329))-1</f>
        <v>0.692329514053844</v>
      </c>
      <c r="M329" s="489">
        <f>(1+INDEX($AD$21:$AD$97,B329))*(1+INDEX($AD$21:$AD$97,C329))*(1+INDEX($AD$21:$AD$97,D329))*(1+INDEX($AD$21:$AD$97,E329))*(1+INDEX($AD$21:$AD$97,F329))-1</f>
        <v>0.710650692541774</v>
      </c>
      <c r="N329" s="489">
        <f>(1+INDEX($AE$21:$AE$97,B329))*(1+INDEX($AE$21:$AE$97,C329))*(1+INDEX($AE$21:$AE$97,D329))*(1+INDEX($AE$21:$AE$97,E329))*(1+INDEX($AE$21:$AE$97,F329))-1</f>
        <v>0.680685153966434</v>
      </c>
      <c r="O329" s="489">
        <f>(1+INDEX($AF$21:$AF$97,B329))*(1+INDEX($AF$21:$AF$97,C329))*(1+INDEX($AF$21:$AF$97,D329))*(1+INDEX($AF$21:$AF$97,E329))*(1+INDEX($AF$21:$AF$97,F329))-1</f>
        <v>0.683732697239832</v>
      </c>
      <c r="P329" s="489">
        <f>LN((1+L329)/(1+H329))</f>
        <v>0.0341140234659554</v>
      </c>
      <c r="Q329" s="489">
        <f>LN((1+M329)/(1+H329))</f>
        <v>0.0448818530728354</v>
      </c>
      <c r="R329" s="489">
        <f>LN((1+N329)/(1+H329))</f>
        <v>0.0272095730012786</v>
      </c>
      <c r="S329" s="542">
        <f>LN((1+O329)/(1+H329))</f>
        <v>0.0290212053499838</v>
      </c>
    </row>
    <row r="330">
      <c r="A330" s="320" t="n">
        <v>229</v>
      </c>
      <c r="B330" s="174" t="n">
        <v>53</v>
      </c>
      <c r="C330" s="174" t="n">
        <v>73</v>
      </c>
      <c r="D330" s="174" t="n">
        <v>46</v>
      </c>
      <c r="E330" s="174" t="n">
        <v>12</v>
      </c>
      <c r="F330" s="174" t="n">
        <v>23</v>
      </c>
      <c r="G330" s="68">
        <f>(1+INDEX($Z$21:$Z$97,B330))*(1+INDEX($Z$21:$Z$97,C330))*(1+INDEX($Z$21:$Z$97,D330))*(1+INDEX($Z$21:$Z$97,E330))*(1+INDEX($Z$21:$Z$97,F330))-1</f>
        <v>0.439955837808585</v>
      </c>
      <c r="H330" s="68">
        <f>(1+INDEX($AA$21:$AA$97,B330))*(1+INDEX($AA$21:$AA$97,C330))*(1+INDEX($AA$21:$AA$97,D330))*(1+INDEX($AA$21:$AA$97,E330))*(1+INDEX($AA$21:$AA$97,F330))-1</f>
        <v>0.412533628706339</v>
      </c>
      <c r="I330" s="68">
        <f>(1+INDEX($AB$21:$AB$97,B330))*(1+INDEX($AB$21:$AB$97,C330))*(1+INDEX($AB$21:$AB$97,D330))*(1+INDEX($AB$21:$AB$97,E330))*(1+INDEX($AB$21:$AB$97,F330))-1</f>
        <v>0.44505745090354</v>
      </c>
      <c r="J330" s="489">
        <f>LN((1+G330)/(1+H330))</f>
        <v>0.0192274532404018</v>
      </c>
      <c r="K330" s="489">
        <f>LN((1+I330)/(1+H330))</f>
        <v>0.0227640874960591</v>
      </c>
      <c r="L330" s="489">
        <f>(1+INDEX($AC$21:$AC$97,B330))*(1+INDEX($AC$21:$AC$97,C330))*(1+INDEX($AC$21:$AC$97,D330))*(1+INDEX($AC$21:$AC$97,E330))*(1+INDEX($AC$21:$AC$97,F330))-1</f>
        <v>0.440281080735708</v>
      </c>
      <c r="M330" s="489">
        <f>(1+INDEX($AD$21:$AD$97,B330))*(1+INDEX($AD$21:$AD$97,C330))*(1+INDEX($AD$21:$AD$97,D330))*(1+INDEX($AD$21:$AD$97,E330))*(1+INDEX($AD$21:$AD$97,F330))-1</f>
        <v>0.447727413533474</v>
      </c>
      <c r="N330" s="489">
        <f>(1+INDEX($AE$21:$AE$97,B330))*(1+INDEX($AE$21:$AE$97,C330))*(1+INDEX($AE$21:$AE$97,D330))*(1+INDEX($AE$21:$AE$97,E330))*(1+INDEX($AE$21:$AE$97,F330))-1</f>
        <v>0.416716851008686</v>
      </c>
      <c r="O330" s="489">
        <f>(1+INDEX($AF$21:$AF$97,B330))*(1+INDEX($AF$21:$AF$97,C330))*(1+INDEX($AF$21:$AF$97,D330))*(1+INDEX($AF$21:$AF$97,E330))*(1+INDEX($AF$21:$AF$97,F330))-1</f>
        <v>0.428783346539201</v>
      </c>
      <c r="P330" s="489">
        <f>LN((1+L330)/(1+H330))</f>
        <v>0.0194532978064592</v>
      </c>
      <c r="Q330" s="489">
        <f>LN((1+M330)/(1+H330))</f>
        <v>0.0246100342312762</v>
      </c>
      <c r="R330" s="489">
        <f>LN((1+N330)/(1+H330))</f>
        <v>0.00295712619347157</v>
      </c>
      <c r="S330" s="542">
        <f>LN((1+O330)/(1+H330))</f>
        <v>0.0114382838257551</v>
      </c>
    </row>
    <row r="331">
      <c r="A331" s="320" t="n">
        <v>230</v>
      </c>
      <c r="B331" s="174" t="n">
        <v>38</v>
      </c>
      <c r="C331" s="174" t="n">
        <v>53</v>
      </c>
      <c r="D331" s="174" t="n">
        <v>72</v>
      </c>
      <c r="E331" s="174" t="n">
        <v>13</v>
      </c>
      <c r="F331" s="174" t="n">
        <v>14</v>
      </c>
      <c r="G331" s="68">
        <f>(1+INDEX($Z$21:$Z$97,B331))*(1+INDEX($Z$21:$Z$97,C331))*(1+INDEX($Z$21:$Z$97,D331))*(1+INDEX($Z$21:$Z$97,E331))*(1+INDEX($Z$21:$Z$97,F331))-1</f>
        <v>0.582730537094497</v>
      </c>
      <c r="H331" s="68">
        <f>(1+INDEX($AA$21:$AA$97,B331))*(1+INDEX($AA$21:$AA$97,C331))*(1+INDEX($AA$21:$AA$97,D331))*(1+INDEX($AA$21:$AA$97,E331))*(1+INDEX($AA$21:$AA$97,F331))-1</f>
        <v>0.522558617910552</v>
      </c>
      <c r="I331" s="68">
        <f>(1+INDEX($AB$21:$AB$97,B331))*(1+INDEX($AB$21:$AB$97,C331))*(1+INDEX($AB$21:$AB$97,D331))*(1+INDEX($AB$21:$AB$97,E331))*(1+INDEX($AB$21:$AB$97,F331))-1</f>
        <v>0.562228167233621</v>
      </c>
      <c r="J331" s="489">
        <f>LN((1+G331)/(1+H331))</f>
        <v>0.0387593225232454</v>
      </c>
      <c r="K331" s="489">
        <f>LN((1+I331)/(1+H331))</f>
        <v>0.0257208935714426</v>
      </c>
      <c r="L331" s="489">
        <f>(1+INDEX($AC$21:$AC$97,B331))*(1+INDEX($AC$21:$AC$97,C331))*(1+INDEX($AC$21:$AC$97,D331))*(1+INDEX($AC$21:$AC$97,E331))*(1+INDEX($AC$21:$AC$97,F331))-1</f>
        <v>0.560338472702961</v>
      </c>
      <c r="M331" s="489">
        <f>(1+INDEX($AD$21:$AD$97,B331))*(1+INDEX($AD$21:$AD$97,C331))*(1+INDEX($AD$21:$AD$97,D331))*(1+INDEX($AD$21:$AD$97,E331))*(1+INDEX($AD$21:$AD$97,F331))-1</f>
        <v>0.583593950051687</v>
      </c>
      <c r="N331" s="489">
        <f>(1+INDEX($AE$21:$AE$97,B331))*(1+INDEX($AE$21:$AE$97,C331))*(1+INDEX($AE$21:$AE$97,D331))*(1+INDEX($AE$21:$AE$97,E331))*(1+INDEX($AE$21:$AE$97,F331))-1</f>
        <v>0.549846029768238</v>
      </c>
      <c r="O331" s="489">
        <f>(1+INDEX($AF$21:$AF$97,B331))*(1+INDEX($AF$21:$AF$97,C331))*(1+INDEX($AF$21:$AF$97,D331))*(1+INDEX($AF$21:$AF$97,E331))*(1+INDEX($AF$21:$AF$97,F331))-1</f>
        <v>0.517420116881388</v>
      </c>
      <c r="P331" s="489">
        <f>LN((1+L331)/(1+H331))</f>
        <v>0.0245105464568722</v>
      </c>
      <c r="Q331" s="489">
        <f>LN((1+M331)/(1+H331))</f>
        <v>0.0393046949145439</v>
      </c>
      <c r="R331" s="489">
        <f>LN((1+N331)/(1+H331))</f>
        <v>0.0177633694122084</v>
      </c>
      <c r="S331" s="542">
        <f>LN((1+O331)/(1+H331))</f>
        <v>-0.00338061964984922</v>
      </c>
    </row>
    <row r="332">
      <c r="A332" s="320" t="n">
        <v>231</v>
      </c>
      <c r="B332" s="174" t="n">
        <v>77</v>
      </c>
      <c r="C332" s="174" t="n">
        <v>29</v>
      </c>
      <c r="D332" s="174" t="n">
        <v>47</v>
      </c>
      <c r="E332" s="174" t="n">
        <v>58</v>
      </c>
      <c r="F332" s="174" t="n">
        <v>24</v>
      </c>
      <c r="G332" s="68">
        <f>(1+INDEX($Z$21:$Z$97,B332))*(1+INDEX($Z$21:$Z$97,C332))*(1+INDEX($Z$21:$Z$97,D332))*(1+INDEX($Z$21:$Z$97,E332))*(1+INDEX($Z$21:$Z$97,F332))-1</f>
        <v>0.85141565078403</v>
      </c>
      <c r="H332" s="68">
        <f>(1+INDEX($AA$21:$AA$97,B332))*(1+INDEX($AA$21:$AA$97,C332))*(1+INDEX($AA$21:$AA$97,D332))*(1+INDEX($AA$21:$AA$97,E332))*(1+INDEX($AA$21:$AA$97,F332))-1</f>
        <v>0.809945836785862</v>
      </c>
      <c r="I332" s="68">
        <f>(1+INDEX($AB$21:$AB$97,B332))*(1+INDEX($AB$21:$AB$97,C332))*(1+INDEX($AB$21:$AB$97,D332))*(1+INDEX($AB$21:$AB$97,E332))*(1+INDEX($AB$21:$AB$97,F332))-1</f>
        <v>0.910866777300193</v>
      </c>
      <c r="J332" s="489">
        <f>LN((1+G332)/(1+H332))</f>
        <v>0.022653642698981</v>
      </c>
      <c r="K332" s="489">
        <f>LN((1+I332)/(1+H332))</f>
        <v>0.0542600288203994</v>
      </c>
      <c r="L332" s="489">
        <f>(1+INDEX($AC$21:$AC$97,B332))*(1+INDEX($AC$21:$AC$97,C332))*(1+INDEX($AC$21:$AC$97,D332))*(1+INDEX($AC$21:$AC$97,E332))*(1+INDEX($AC$21:$AC$97,F332))-1</f>
        <v>0.939868988855767</v>
      </c>
      <c r="M332" s="489">
        <f>(1+INDEX($AD$21:$AD$97,B332))*(1+INDEX($AD$21:$AD$97,C332))*(1+INDEX($AD$21:$AD$97,D332))*(1+INDEX($AD$21:$AD$97,E332))*(1+INDEX($AD$21:$AD$97,F332))-1</f>
        <v>0.853606493488975</v>
      </c>
      <c r="N332" s="489">
        <f>(1+INDEX($AE$21:$AE$97,B332))*(1+INDEX($AE$21:$AE$97,C332))*(1+INDEX($AE$21:$AE$97,D332))*(1+INDEX($AE$21:$AE$97,E332))*(1+INDEX($AE$21:$AE$97,F332))-1</f>
        <v>0.908046020261905</v>
      </c>
      <c r="O332" s="489">
        <f>(1+INDEX($AF$21:$AF$97,B332))*(1+INDEX($AF$21:$AF$97,C332))*(1+INDEX($AF$21:$AF$97,D332))*(1+INDEX($AF$21:$AF$97,E332))*(1+INDEX($AF$21:$AF$97,F332))-1</f>
        <v>0.786499813270741</v>
      </c>
      <c r="P332" s="489">
        <f>LN((1+L332)/(1+H332))</f>
        <v>0.0693235188749461</v>
      </c>
      <c r="Q332" s="489">
        <f>LN((1+M332)/(1+H332))</f>
        <v>0.0238362769046515</v>
      </c>
      <c r="R332" s="489">
        <f>LN((1+N332)/(1+H332))</f>
        <v>0.052782771967054</v>
      </c>
      <c r="S332" s="542">
        <f>LN((1+O332)/(1+H332))</f>
        <v>-0.0130386264433627</v>
      </c>
    </row>
    <row r="333">
      <c r="A333" s="320" t="n">
        <v>232</v>
      </c>
      <c r="B333" s="174" t="n">
        <v>65</v>
      </c>
      <c r="C333" s="174" t="n">
        <v>14</v>
      </c>
      <c r="D333" s="174" t="n">
        <v>5</v>
      </c>
      <c r="E333" s="174" t="n">
        <v>21</v>
      </c>
      <c r="F333" s="174" t="n">
        <v>10</v>
      </c>
      <c r="G333" s="68">
        <f>(1+INDEX($Z$21:$Z$97,B333))*(1+INDEX($Z$21:$Z$97,C333))*(1+INDEX($Z$21:$Z$97,D333))*(1+INDEX($Z$21:$Z$97,E333))*(1+INDEX($Z$21:$Z$97,F333))-1</f>
        <v>-0.0842826519092033</v>
      </c>
      <c r="H333" s="68">
        <f>(1+INDEX($AA$21:$AA$97,B333))*(1+INDEX($AA$21:$AA$97,C333))*(1+INDEX($AA$21:$AA$97,D333))*(1+INDEX($AA$21:$AA$97,E333))*(1+INDEX($AA$21:$AA$97,F333))-1</f>
        <v>-0.0479392388000549</v>
      </c>
      <c r="I333" s="68">
        <f>(1+INDEX($AB$21:$AB$97,B333))*(1+INDEX($AB$21:$AB$97,C333))*(1+INDEX($AB$21:$AB$97,D333))*(1+INDEX($AB$21:$AB$97,E333))*(1+INDEX($AB$21:$AB$97,F333))-1</f>
        <v>-0.0818547960192643</v>
      </c>
      <c r="J333" s="489">
        <f>LN((1+G333)/(1+H333))</f>
        <v>-0.038921112441778</v>
      </c>
      <c r="K333" s="489">
        <f>LN((1+I333)/(1+H333))</f>
        <v>-0.036273305161295</v>
      </c>
      <c r="L333" s="489">
        <f>(1+INDEX($AC$21:$AC$97,B333))*(1+INDEX($AC$21:$AC$97,C333))*(1+INDEX($AC$21:$AC$97,D333))*(1+INDEX($AC$21:$AC$97,E333))*(1+INDEX($AC$21:$AC$97,F333))-1</f>
        <v>-0.094921006074817</v>
      </c>
      <c r="M333" s="489">
        <f>(1+INDEX($AD$21:$AD$97,B333))*(1+INDEX($AD$21:$AD$97,C333))*(1+INDEX($AD$21:$AD$97,D333))*(1+INDEX($AD$21:$AD$97,E333))*(1+INDEX($AD$21:$AD$97,F333))-1</f>
        <v>-0.0643500577629258</v>
      </c>
      <c r="N333" s="489">
        <f>(1+INDEX($AE$21:$AE$97,B333))*(1+INDEX($AE$21:$AE$97,C333))*(1+INDEX($AE$21:$AE$97,D333))*(1+INDEX($AE$21:$AE$97,E333))*(1+INDEX($AE$21:$AE$97,F333))-1</f>
        <v>-0.108483191928533</v>
      </c>
      <c r="O333" s="489">
        <f>(1+INDEX($AF$21:$AF$97,B333))*(1+INDEX($AF$21:$AF$97,C333))*(1+INDEX($AF$21:$AF$97,D333))*(1+INDEX($AF$21:$AF$97,E333))*(1+INDEX($AF$21:$AF$97,F333))-1</f>
        <v>-0.0333704204353438</v>
      </c>
      <c r="P333" s="489">
        <f>LN((1+L333)/(1+H333))</f>
        <v>-0.0506066315486181</v>
      </c>
      <c r="Q333" s="489">
        <f>LN((1+M333)/(1+H333))</f>
        <v>-0.0173874443563252</v>
      </c>
      <c r="R333" s="489">
        <f>LN((1+N333)/(1+H333))</f>
        <v>-0.0657045667213781</v>
      </c>
      <c r="S333" s="542">
        <f>LN((1+O333)/(1+H333))</f>
        <v>0.0151865030583578</v>
      </c>
    </row>
    <row r="334">
      <c r="A334" s="320" t="n">
        <v>233</v>
      </c>
      <c r="B334" s="174" t="n">
        <v>31</v>
      </c>
      <c r="C334" s="174" t="n">
        <v>20</v>
      </c>
      <c r="D334" s="174" t="n">
        <v>18</v>
      </c>
      <c r="E334" s="174" t="n">
        <v>37</v>
      </c>
      <c r="F334" s="174" t="n">
        <v>49</v>
      </c>
      <c r="G334" s="68">
        <f>(1+INDEX($Z$21:$Z$97,B334))*(1+INDEX($Z$21:$Z$97,C334))*(1+INDEX($Z$21:$Z$97,D334))*(1+INDEX($Z$21:$Z$97,E334))*(1+INDEX($Z$21:$Z$97,F334))-1</f>
        <v>0.224766687380235</v>
      </c>
      <c r="H334" s="68">
        <f>(1+INDEX($AA$21:$AA$97,B334))*(1+INDEX($AA$21:$AA$97,C334))*(1+INDEX($AA$21:$AA$97,D334))*(1+INDEX($AA$21:$AA$97,E334))*(1+INDEX($AA$21:$AA$97,F334))-1</f>
        <v>0.199410249859693</v>
      </c>
      <c r="I334" s="68">
        <f>(1+INDEX($AB$21:$AB$97,B334))*(1+INDEX($AB$21:$AB$97,C334))*(1+INDEX($AB$21:$AB$97,D334))*(1+INDEX($AB$21:$AB$97,E334))*(1+INDEX($AB$21:$AB$97,F334))-1</f>
        <v>0.198223342907332</v>
      </c>
      <c r="J334" s="489">
        <f>LN((1+G334)/(1+H334))</f>
        <v>0.0209203890371652</v>
      </c>
      <c r="K334" s="489">
        <f>LN((1+I334)/(1+H334))</f>
        <v>-0.000990065415245396</v>
      </c>
      <c r="L334" s="489">
        <f>(1+INDEX($AC$21:$AC$97,B334))*(1+INDEX($AC$21:$AC$97,C334))*(1+INDEX($AC$21:$AC$97,D334))*(1+INDEX($AC$21:$AC$97,E334))*(1+INDEX($AC$21:$AC$97,F334))-1</f>
        <v>0.170207210709876</v>
      </c>
      <c r="M334" s="489">
        <f>(1+INDEX($AD$21:$AD$97,B334))*(1+INDEX($AD$21:$AD$97,C334))*(1+INDEX($AD$21:$AD$97,D334))*(1+INDEX($AD$21:$AD$97,E334))*(1+INDEX($AD$21:$AD$97,F334))-1</f>
        <v>0.20892361766575</v>
      </c>
      <c r="N334" s="489">
        <f>(1+INDEX($AE$21:$AE$97,B334))*(1+INDEX($AE$21:$AE$97,C334))*(1+INDEX($AE$21:$AE$97,D334))*(1+INDEX($AE$21:$AE$97,E334))*(1+INDEX($AE$21:$AE$97,F334))-1</f>
        <v>0.185996350513838</v>
      </c>
      <c r="O334" s="489">
        <f>(1+INDEX($AF$21:$AF$97,B334))*(1+INDEX($AF$21:$AF$97,C334))*(1+INDEX($AF$21:$AF$97,D334))*(1+INDEX($AF$21:$AF$97,E334))*(1+INDEX($AF$21:$AF$97,F334))-1</f>
        <v>0.211455356917947</v>
      </c>
      <c r="P334" s="489">
        <f>LN((1+L334)/(1+H334))</f>
        <v>-0.0246491412388287</v>
      </c>
      <c r="Q334" s="489">
        <f>LN((1+M334)/(1+H334))</f>
        <v>0.00790041398903471</v>
      </c>
      <c r="R334" s="489">
        <f>LN((1+N334)/(1+H334))</f>
        <v>-0.0112467541060294</v>
      </c>
      <c r="S334" s="542">
        <f>LN((1+O334)/(1+H334))</f>
        <v>0.00999243362904856</v>
      </c>
    </row>
    <row r="335">
      <c r="A335" s="320" t="n">
        <v>234</v>
      </c>
      <c r="B335" s="174" t="n">
        <v>32</v>
      </c>
      <c r="C335" s="174" t="n">
        <v>1</v>
      </c>
      <c r="D335" s="174" t="n">
        <v>20</v>
      </c>
      <c r="E335" s="174" t="n">
        <v>13</v>
      </c>
      <c r="F335" s="174" t="n">
        <v>25</v>
      </c>
      <c r="G335" s="68">
        <f>(1+INDEX($Z$21:$Z$97,B335))*(1+INDEX($Z$21:$Z$97,C335))*(1+INDEX($Z$21:$Z$97,D335))*(1+INDEX($Z$21:$Z$97,E335))*(1+INDEX($Z$21:$Z$97,F335))-1</f>
        <v>0.709403020194324</v>
      </c>
      <c r="H335" s="68">
        <f>(1+INDEX($AA$21:$AA$97,B335))*(1+INDEX($AA$21:$AA$97,C335))*(1+INDEX($AA$21:$AA$97,D335))*(1+INDEX($AA$21:$AA$97,E335))*(1+INDEX($AA$21:$AA$97,F335))-1</f>
        <v>0.559152374634383</v>
      </c>
      <c r="I335" s="68">
        <f>(1+INDEX($AB$21:$AB$97,B335))*(1+INDEX($AB$21:$AB$97,C335))*(1+INDEX($AB$21:$AB$97,D335))*(1+INDEX($AB$21:$AB$97,E335))*(1+INDEX($AB$21:$AB$97,F335))-1</f>
        <v>0.591930817415435</v>
      </c>
      <c r="J335" s="489">
        <f>LN((1+G335)/(1+H335))</f>
        <v>0.0920018745634471</v>
      </c>
      <c r="K335" s="489">
        <f>LN((1+I335)/(1+H335))</f>
        <v>0.0208053060803763</v>
      </c>
      <c r="L335" s="489">
        <f>(1+INDEX($AC$21:$AC$97,B335))*(1+INDEX($AC$21:$AC$97,C335))*(1+INDEX($AC$21:$AC$97,D335))*(1+INDEX($AC$21:$AC$97,E335))*(1+INDEX($AC$21:$AC$97,F335))-1</f>
        <v>0.575773275504393</v>
      </c>
      <c r="M335" s="489">
        <f>(1+INDEX($AD$21:$AD$97,B335))*(1+INDEX($AD$21:$AD$97,C335))*(1+INDEX($AD$21:$AD$97,D335))*(1+INDEX($AD$21:$AD$97,E335))*(1+INDEX($AD$21:$AD$97,F335))-1</f>
        <v>0.616959437049088</v>
      </c>
      <c r="N335" s="489">
        <f>(1+INDEX($AE$21:$AE$97,B335))*(1+INDEX($AE$21:$AE$97,C335))*(1+INDEX($AE$21:$AE$97,D335))*(1+INDEX($AE$21:$AE$97,E335))*(1+INDEX($AE$21:$AE$97,F335))-1</f>
        <v>0.583659778260072</v>
      </c>
      <c r="O335" s="489">
        <f>(1+INDEX($AF$21:$AF$97,B335))*(1+INDEX($AF$21:$AF$97,C335))*(1+INDEX($AF$21:$AF$97,D335))*(1+INDEX($AF$21:$AF$97,E335))*(1+INDEX($AF$21:$AF$97,F335))-1</f>
        <v>0.571442197545304</v>
      </c>
      <c r="P335" s="489">
        <f>LN((1+L335)/(1+H335))</f>
        <v>0.0106037963659601</v>
      </c>
      <c r="Q335" s="489">
        <f>LN((1+M335)/(1+H335))</f>
        <v>0.0364051709672382</v>
      </c>
      <c r="R335" s="489">
        <f>LN((1+N335)/(1+H335))</f>
        <v>0.0155961598701271</v>
      </c>
      <c r="S335" s="542">
        <f>LN((1+O335)/(1+H335))</f>
        <v>0.00785147087043732</v>
      </c>
    </row>
    <row r="336">
      <c r="A336" s="320" t="n">
        <v>235</v>
      </c>
      <c r="B336" s="174" t="n">
        <v>43</v>
      </c>
      <c r="C336" s="174" t="n">
        <v>2</v>
      </c>
      <c r="D336" s="174" t="n">
        <v>2</v>
      </c>
      <c r="E336" s="174" t="n">
        <v>11</v>
      </c>
      <c r="F336" s="174" t="n">
        <v>66</v>
      </c>
      <c r="G336" s="68">
        <f>(1+INDEX($Z$21:$Z$97,B336))*(1+INDEX($Z$21:$Z$97,C336))*(1+INDEX($Z$21:$Z$97,D336))*(1+INDEX($Z$21:$Z$97,E336))*(1+INDEX($Z$21:$Z$97,F336))-1</f>
        <v>0.537356043898914</v>
      </c>
      <c r="H336" s="68">
        <f>(1+INDEX($AA$21:$AA$97,B336))*(1+INDEX($AA$21:$AA$97,C336))*(1+INDEX($AA$21:$AA$97,D336))*(1+INDEX($AA$21:$AA$97,E336))*(1+INDEX($AA$21:$AA$97,F336))-1</f>
        <v>0.433725888302585</v>
      </c>
      <c r="I336" s="68">
        <f>(1+INDEX($AB$21:$AB$97,B336))*(1+INDEX($AB$21:$AB$97,C336))*(1+INDEX($AB$21:$AB$97,D336))*(1+INDEX($AB$21:$AB$97,E336))*(1+INDEX($AB$21:$AB$97,F336))-1</f>
        <v>0.4360736784229</v>
      </c>
      <c r="J336" s="489">
        <f>LN((1+G336)/(1+H336))</f>
        <v>0.069787514236244</v>
      </c>
      <c r="K336" s="489">
        <f>LN((1+I336)/(1+H336))</f>
        <v>0.00163620530947385</v>
      </c>
      <c r="L336" s="489">
        <f>(1+INDEX($AC$21:$AC$97,B336))*(1+INDEX($AC$21:$AC$97,C336))*(1+INDEX($AC$21:$AC$97,D336))*(1+INDEX($AC$21:$AC$97,E336))*(1+INDEX($AC$21:$AC$97,F336))-1</f>
        <v>0.430423012442761</v>
      </c>
      <c r="M336" s="489">
        <f>(1+INDEX($AD$21:$AD$97,B336))*(1+INDEX($AD$21:$AD$97,C336))*(1+INDEX($AD$21:$AD$97,D336))*(1+INDEX($AD$21:$AD$97,E336))*(1+INDEX($AD$21:$AD$97,F336))-1</f>
        <v>0.478838710686829</v>
      </c>
      <c r="N336" s="489">
        <f>(1+INDEX($AE$21:$AE$97,B336))*(1+INDEX($AE$21:$AE$97,C336))*(1+INDEX($AE$21:$AE$97,D336))*(1+INDEX($AE$21:$AE$97,E336))*(1+INDEX($AE$21:$AE$97,F336))-1</f>
        <v>0.435228637886607</v>
      </c>
      <c r="O336" s="489">
        <f>(1+INDEX($AF$21:$AF$97,B336))*(1+INDEX($AF$21:$AF$97,C336))*(1+INDEX($AF$21:$AF$97,D336))*(1+INDEX($AF$21:$AF$97,E336))*(1+INDEX($AF$21:$AF$97,F336))-1</f>
        <v>0.521513565241948</v>
      </c>
      <c r="P336" s="489">
        <f>LN((1+L336)/(1+H336))</f>
        <v>-0.00230635866944166</v>
      </c>
      <c r="Q336" s="489">
        <f>LN((1+M336)/(1+H336))</f>
        <v>0.0309805527375906</v>
      </c>
      <c r="R336" s="489">
        <f>LN((1+N336)/(1+H336))</f>
        <v>0.00104759396340199</v>
      </c>
      <c r="S336" s="542">
        <f>LN((1+O336)/(1+H336))</f>
        <v>0.0594290339237495</v>
      </c>
    </row>
    <row r="337">
      <c r="A337" s="320" t="n">
        <v>236</v>
      </c>
      <c r="B337" s="174" t="n">
        <v>28</v>
      </c>
      <c r="C337" s="174" t="n">
        <v>67</v>
      </c>
      <c r="D337" s="174" t="n">
        <v>26</v>
      </c>
      <c r="E337" s="174" t="n">
        <v>9</v>
      </c>
      <c r="F337" s="174" t="n">
        <v>29</v>
      </c>
      <c r="G337" s="68">
        <f>(1+INDEX($Z$21:$Z$97,B337))*(1+INDEX($Z$21:$Z$97,C337))*(1+INDEX($Z$21:$Z$97,D337))*(1+INDEX($Z$21:$Z$97,E337))*(1+INDEX($Z$21:$Z$97,F337))-1</f>
        <v>0.486210334785616</v>
      </c>
      <c r="H337" s="68">
        <f>(1+INDEX($AA$21:$AA$97,B337))*(1+INDEX($AA$21:$AA$97,C337))*(1+INDEX($AA$21:$AA$97,D337))*(1+INDEX($AA$21:$AA$97,E337))*(1+INDEX($AA$21:$AA$97,F337))-1</f>
        <v>0.548139743491462</v>
      </c>
      <c r="I337" s="68">
        <f>(1+INDEX($AB$21:$AB$97,B337))*(1+INDEX($AB$21:$AB$97,C337))*(1+INDEX($AB$21:$AB$97,D337))*(1+INDEX($AB$21:$AB$97,E337))*(1+INDEX($AB$21:$AB$97,F337))-1</f>
        <v>0.574875888080389</v>
      </c>
      <c r="J337" s="489">
        <f>LN((1+G337)/(1+H337))</f>
        <v>-0.0408245641170281</v>
      </c>
      <c r="K337" s="489">
        <f>LN((1+I337)/(1+H337))</f>
        <v>0.0171224232873996</v>
      </c>
      <c r="L337" s="489">
        <f>(1+INDEX($AC$21:$AC$97,B337))*(1+INDEX($AC$21:$AC$97,C337))*(1+INDEX($AC$21:$AC$97,D337))*(1+INDEX($AC$21:$AC$97,E337))*(1+INDEX($AC$21:$AC$97,F337))-1</f>
        <v>0.578163630458495</v>
      </c>
      <c r="M337" s="489">
        <f>(1+INDEX($AD$21:$AD$97,B337))*(1+INDEX($AD$21:$AD$97,C337))*(1+INDEX($AD$21:$AD$97,D337))*(1+INDEX($AD$21:$AD$97,E337))*(1+INDEX($AD$21:$AD$97,F337))-1</f>
        <v>0.573683415930867</v>
      </c>
      <c r="N337" s="489">
        <f>(1+INDEX($AE$21:$AE$97,B337))*(1+INDEX($AE$21:$AE$97,C337))*(1+INDEX($AE$21:$AE$97,D337))*(1+INDEX($AE$21:$AE$97,E337))*(1+INDEX($AE$21:$AE$97,F337))-1</f>
        <v>0.583721875242688</v>
      </c>
      <c r="O337" s="489">
        <f>(1+INDEX($AF$21:$AF$97,B337))*(1+INDEX($AF$21:$AF$97,C337))*(1+INDEX($AF$21:$AF$97,D337))*(1+INDEX($AF$21:$AF$97,E337))*(1+INDEX($AF$21:$AF$97,F337))-1</f>
        <v>0.602564280421989</v>
      </c>
      <c r="P337" s="489">
        <f>LN((1+L337)/(1+H337))</f>
        <v>0.0192078672219446</v>
      </c>
      <c r="Q337" s="489">
        <f>LN((1+M337)/(1+H337))</f>
        <v>0.0163649516367815</v>
      </c>
      <c r="R337" s="489">
        <f>LN((1+N337)/(1+H337))</f>
        <v>0.0227236494977405</v>
      </c>
      <c r="S337" s="542">
        <f>LN((1+O337)/(1+H337))</f>
        <v>0.034550976929607</v>
      </c>
    </row>
    <row r="338">
      <c r="A338" s="320" t="n">
        <v>237</v>
      </c>
      <c r="B338" s="174" t="n">
        <v>72</v>
      </c>
      <c r="C338" s="174" t="n">
        <v>62</v>
      </c>
      <c r="D338" s="174" t="n">
        <v>4</v>
      </c>
      <c r="E338" s="174" t="n">
        <v>2</v>
      </c>
      <c r="F338" s="174" t="n">
        <v>71</v>
      </c>
      <c r="G338" s="68">
        <f>(1+INDEX($Z$21:$Z$97,B338))*(1+INDEX($Z$21:$Z$97,C338))*(1+INDEX($Z$21:$Z$97,D338))*(1+INDEX($Z$21:$Z$97,E338))*(1+INDEX($Z$21:$Z$97,F338))-1</f>
        <v>0.502675884872476</v>
      </c>
      <c r="H338" s="68">
        <f>(1+INDEX($AA$21:$AA$97,B338))*(1+INDEX($AA$21:$AA$97,C338))*(1+INDEX($AA$21:$AA$97,D338))*(1+INDEX($AA$21:$AA$97,E338))*(1+INDEX($AA$21:$AA$97,F338))-1</f>
        <v>0.466318990248995</v>
      </c>
      <c r="I338" s="68">
        <f>(1+INDEX($AB$21:$AB$97,B338))*(1+INDEX($AB$21:$AB$97,C338))*(1+INDEX($AB$21:$AB$97,D338))*(1+INDEX($AB$21:$AB$97,E338))*(1+INDEX($AB$21:$AB$97,F338))-1</f>
        <v>0.492440281469326</v>
      </c>
      <c r="J338" s="489">
        <f>LN((1+G338)/(1+H338))</f>
        <v>0.0244922700033936</v>
      </c>
      <c r="K338" s="489">
        <f>LN((1+I338)/(1+H338))</f>
        <v>0.0176573810163829</v>
      </c>
      <c r="L338" s="489">
        <f>(1+INDEX($AC$21:$AC$97,B338))*(1+INDEX($AC$21:$AC$97,C338))*(1+INDEX($AC$21:$AC$97,D338))*(1+INDEX($AC$21:$AC$97,E338))*(1+INDEX($AC$21:$AC$97,F338))-1</f>
        <v>0.50119751192452</v>
      </c>
      <c r="M338" s="489">
        <f>(1+INDEX($AD$21:$AD$97,B338))*(1+INDEX($AD$21:$AD$97,C338))*(1+INDEX($AD$21:$AD$97,D338))*(1+INDEX($AD$21:$AD$97,E338))*(1+INDEX($AD$21:$AD$97,F338))-1</f>
        <v>0.464931184650999</v>
      </c>
      <c r="N338" s="489">
        <f>(1+INDEX($AE$21:$AE$97,B338))*(1+INDEX($AE$21:$AE$97,C338))*(1+INDEX($AE$21:$AE$97,D338))*(1+INDEX($AE$21:$AE$97,E338))*(1+INDEX($AE$21:$AE$97,F338))-1</f>
        <v>0.498827755615534</v>
      </c>
      <c r="O338" s="489">
        <f>(1+INDEX($AF$21:$AF$97,B338))*(1+INDEX($AF$21:$AF$97,C338))*(1+INDEX($AF$21:$AF$97,D338))*(1+INDEX($AF$21:$AF$97,E338))*(1+INDEX($AF$21:$AF$97,F338))-1</f>
        <v>0.450383302135555</v>
      </c>
      <c r="P338" s="489">
        <f>LN((1+L338)/(1+H338))</f>
        <v>0.0235079588344246</v>
      </c>
      <c r="Q338" s="489">
        <f>LN((1+M338)/(1+H338))</f>
        <v>-0.000946903620561011</v>
      </c>
      <c r="R338" s="489">
        <f>LN((1+N338)/(1+H338))</f>
        <v>0.0219281342726077</v>
      </c>
      <c r="S338" s="542">
        <f>LN((1+O338)/(1+H338))</f>
        <v>-0.0109273042523185</v>
      </c>
    </row>
    <row r="339">
      <c r="A339" s="320" t="n">
        <v>238</v>
      </c>
      <c r="B339" s="174" t="n">
        <v>57</v>
      </c>
      <c r="C339" s="174" t="n">
        <v>44</v>
      </c>
      <c r="D339" s="174" t="n">
        <v>66</v>
      </c>
      <c r="E339" s="174" t="n">
        <v>49</v>
      </c>
      <c r="F339" s="174" t="n">
        <v>18</v>
      </c>
      <c r="G339" s="68">
        <f>(1+INDEX($Z$21:$Z$97,B339))*(1+INDEX($Z$21:$Z$97,C339))*(1+INDEX($Z$21:$Z$97,D339))*(1+INDEX($Z$21:$Z$97,E339))*(1+INDEX($Z$21:$Z$97,F339))-1</f>
        <v>0.691846502698087</v>
      </c>
      <c r="H339" s="68">
        <f>(1+INDEX($AA$21:$AA$97,B339))*(1+INDEX($AA$21:$AA$97,C339))*(1+INDEX($AA$21:$AA$97,D339))*(1+INDEX($AA$21:$AA$97,E339))*(1+INDEX($AA$21:$AA$97,F339))-1</f>
        <v>0.553261314615419</v>
      </c>
      <c r="I339" s="68">
        <f>(1+INDEX($AB$21:$AB$97,B339))*(1+INDEX($AB$21:$AB$97,C339))*(1+INDEX($AB$21:$AB$97,D339))*(1+INDEX($AB$21:$AB$97,E339))*(1+INDEX($AB$21:$AB$97,F339))-1</f>
        <v>0.622314088399204</v>
      </c>
      <c r="J339" s="489">
        <f>LN((1+G339)/(1+H339))</f>
        <v>0.085463743210086</v>
      </c>
      <c r="K339" s="489">
        <f>LN((1+I339)/(1+H339))</f>
        <v>0.0434967851966761</v>
      </c>
      <c r="L339" s="489">
        <f>(1+INDEX($AC$21:$AC$97,B339))*(1+INDEX($AC$21:$AC$97,C339))*(1+INDEX($AC$21:$AC$97,D339))*(1+INDEX($AC$21:$AC$97,E339))*(1+INDEX($AC$21:$AC$97,F339))-1</f>
        <v>0.599117294112763</v>
      </c>
      <c r="M339" s="489">
        <f>(1+INDEX($AD$21:$AD$97,B339))*(1+INDEX($AD$21:$AD$97,C339))*(1+INDEX($AD$21:$AD$97,D339))*(1+INDEX($AD$21:$AD$97,E339))*(1+INDEX($AD$21:$AD$97,F339))-1</f>
        <v>0.613746199859285</v>
      </c>
      <c r="N339" s="489">
        <f>(1+INDEX($AE$21:$AE$97,B339))*(1+INDEX($AE$21:$AE$97,C339))*(1+INDEX($AE$21:$AE$97,D339))*(1+INDEX($AE$21:$AE$97,E339))*(1+INDEX($AE$21:$AE$97,F339))-1</f>
        <v>0.609142770462468</v>
      </c>
      <c r="O339" s="489">
        <f>(1+INDEX($AF$21:$AF$97,B339))*(1+INDEX($AF$21:$AF$97,C339))*(1+INDEX($AF$21:$AF$97,D339))*(1+INDEX($AF$21:$AF$97,E339))*(1+INDEX($AF$21:$AF$97,F339))-1</f>
        <v>0.621942414779935</v>
      </c>
      <c r="P339" s="489">
        <f>LN((1+L339)/(1+H339))</f>
        <v>0.0290949914155266</v>
      </c>
      <c r="Q339" s="489">
        <f>LN((1+M339)/(1+H339))</f>
        <v>0.0382015139118837</v>
      </c>
      <c r="R339" s="489">
        <f>LN((1+N339)/(1+H339))</f>
        <v>0.0353448020798303</v>
      </c>
      <c r="S339" s="542">
        <f>LN((1+O339)/(1+H339))</f>
        <v>0.0432676580481102</v>
      </c>
    </row>
    <row r="340">
      <c r="A340" s="320" t="n">
        <v>239</v>
      </c>
      <c r="B340" s="174" t="n">
        <v>74</v>
      </c>
      <c r="C340" s="174" t="n">
        <v>67</v>
      </c>
      <c r="D340" s="174" t="n">
        <v>17</v>
      </c>
      <c r="E340" s="174" t="n">
        <v>37</v>
      </c>
      <c r="F340" s="174" t="n">
        <v>1</v>
      </c>
      <c r="G340" s="68">
        <f>(1+INDEX($Z$21:$Z$97,B340))*(1+INDEX($Z$21:$Z$97,C340))*(1+INDEX($Z$21:$Z$97,D340))*(1+INDEX($Z$21:$Z$97,E340))*(1+INDEX($Z$21:$Z$97,F340))-1</f>
        <v>0.34938307079993</v>
      </c>
      <c r="H340" s="68">
        <f>(1+INDEX($AA$21:$AA$97,B340))*(1+INDEX($AA$21:$AA$97,C340))*(1+INDEX($AA$21:$AA$97,D340))*(1+INDEX($AA$21:$AA$97,E340))*(1+INDEX($AA$21:$AA$97,F340))-1</f>
        <v>0.304043958295922</v>
      </c>
      <c r="I340" s="68">
        <f>(1+INDEX($AB$21:$AB$97,B340))*(1+INDEX($AB$21:$AB$97,C340))*(1+INDEX($AB$21:$AB$97,D340))*(1+INDEX($AB$21:$AB$97,E340))*(1+INDEX($AB$21:$AB$97,F340))-1</f>
        <v>0.290560153680304</v>
      </c>
      <c r="J340" s="489">
        <f>LN((1+G340)/(1+H340))</f>
        <v>0.0341773301224986</v>
      </c>
      <c r="K340" s="489">
        <f>LN((1+I340)/(1+H340))</f>
        <v>-0.0103938215027302</v>
      </c>
      <c r="L340" s="489">
        <f>(1+INDEX($AC$21:$AC$97,B340))*(1+INDEX($AC$21:$AC$97,C340))*(1+INDEX($AC$21:$AC$97,D340))*(1+INDEX($AC$21:$AC$97,E340))*(1+INDEX($AC$21:$AC$97,F340))-1</f>
        <v>0.286991737256269</v>
      </c>
      <c r="M340" s="489">
        <f>(1+INDEX($AD$21:$AD$97,B340))*(1+INDEX($AD$21:$AD$97,C340))*(1+INDEX($AD$21:$AD$97,D340))*(1+INDEX($AD$21:$AD$97,E340))*(1+INDEX($AD$21:$AD$97,F340))-1</f>
        <v>0.29885142255409</v>
      </c>
      <c r="N340" s="489">
        <f>(1+INDEX($AE$21:$AE$97,B340))*(1+INDEX($AE$21:$AE$97,C340))*(1+INDEX($AE$21:$AE$97,D340))*(1+INDEX($AE$21:$AE$97,E340))*(1+INDEX($AE$21:$AE$97,F340))-1</f>
        <v>0.307522241399407</v>
      </c>
      <c r="O340" s="489">
        <f>(1+INDEX($AF$21:$AF$97,B340))*(1+INDEX($AF$21:$AF$97,C340))*(1+INDEX($AF$21:$AF$97,D340))*(1+INDEX($AF$21:$AF$97,E340))*(1+INDEX($AF$21:$AF$97,F340))-1</f>
        <v>0.298359779830125</v>
      </c>
      <c r="P340" s="489">
        <f>LN((1+L340)/(1+H340))</f>
        <v>-0.0131626648508326</v>
      </c>
      <c r="Q340" s="489">
        <f>LN((1+M340)/(1+H340))</f>
        <v>-0.00398982046548642</v>
      </c>
      <c r="R340" s="489">
        <f>LN((1+N340)/(1+H340))</f>
        <v>0.00266375415686954</v>
      </c>
      <c r="S340" s="542">
        <f>LN((1+O340)/(1+H340))</f>
        <v>-0.00436841326486022</v>
      </c>
    </row>
    <row r="341">
      <c r="A341" s="320" t="n">
        <v>240</v>
      </c>
      <c r="B341" s="174" t="n">
        <v>4</v>
      </c>
      <c r="C341" s="174" t="n">
        <v>58</v>
      </c>
      <c r="D341" s="174" t="n">
        <v>41</v>
      </c>
      <c r="E341" s="174" t="n">
        <v>44</v>
      </c>
      <c r="F341" s="174" t="n">
        <v>16</v>
      </c>
      <c r="G341" s="68">
        <f>(1+INDEX($Z$21:$Z$97,B341))*(1+INDEX($Z$21:$Z$97,C341))*(1+INDEX($Z$21:$Z$97,D341))*(1+INDEX($Z$21:$Z$97,E341))*(1+INDEX($Z$21:$Z$97,F341))-1</f>
        <v>0.546160840422844</v>
      </c>
      <c r="H341" s="68">
        <f>(1+INDEX($AA$21:$AA$97,B341))*(1+INDEX($AA$21:$AA$97,C341))*(1+INDEX($AA$21:$AA$97,D341))*(1+INDEX($AA$21:$AA$97,E341))*(1+INDEX($AA$21:$AA$97,F341))-1</f>
        <v>0.510224898916476</v>
      </c>
      <c r="I341" s="68">
        <f>(1+INDEX($AB$21:$AB$97,B341))*(1+INDEX($AB$21:$AB$97,C341))*(1+INDEX($AB$21:$AB$97,D341))*(1+INDEX($AB$21:$AB$97,E341))*(1+INDEX($AB$21:$AB$97,F341))-1</f>
        <v>0.529082935185335</v>
      </c>
      <c r="J341" s="489">
        <f>LN((1+G341)/(1+H341))</f>
        <v>0.0235164018336222</v>
      </c>
      <c r="K341" s="489">
        <f>LN((1+I341)/(1+H341))</f>
        <v>0.0124095875151241</v>
      </c>
      <c r="L341" s="489">
        <f>(1+INDEX($AC$21:$AC$97,B341))*(1+INDEX($AC$21:$AC$97,C341))*(1+INDEX($AC$21:$AC$97,D341))*(1+INDEX($AC$21:$AC$97,E341))*(1+INDEX($AC$21:$AC$97,F341))-1</f>
        <v>0.545952765500666</v>
      </c>
      <c r="M341" s="489">
        <f>(1+INDEX($AD$21:$AD$97,B341))*(1+INDEX($AD$21:$AD$97,C341))*(1+INDEX($AD$21:$AD$97,D341))*(1+INDEX($AD$21:$AD$97,E341))*(1+INDEX($AD$21:$AD$97,F341))-1</f>
        <v>0.509706712178627</v>
      </c>
      <c r="N341" s="489">
        <f>(1+INDEX($AE$21:$AE$97,B341))*(1+INDEX($AE$21:$AE$97,C341))*(1+INDEX($AE$21:$AE$97,D341))*(1+INDEX($AE$21:$AE$97,E341))*(1+INDEX($AE$21:$AE$97,F341))-1</f>
        <v>0.525353941099226</v>
      </c>
      <c r="O341" s="489">
        <f>(1+INDEX($AF$21:$AF$97,B341))*(1+INDEX($AF$21:$AF$97,C341))*(1+INDEX($AF$21:$AF$97,D341))*(1+INDEX($AF$21:$AF$97,E341))*(1+INDEX($AF$21:$AF$97,F341))-1</f>
        <v>0.511436951792788</v>
      </c>
      <c r="P341" s="489">
        <f>LN((1+L341)/(1+H341))</f>
        <v>0.0233818175660237</v>
      </c>
      <c r="Q341" s="489">
        <f>LN((1+M341)/(1+H341))</f>
        <v>-0.00034317779980887</v>
      </c>
      <c r="R341" s="489">
        <f>LN((1+N341)/(1+H341))</f>
        <v>0.00996789623794926</v>
      </c>
      <c r="S341" s="542">
        <f>LN((1+O341)/(1+H341))</f>
        <v>0.000802242607678514</v>
      </c>
    </row>
    <row r="342">
      <c r="A342" s="320" t="n">
        <v>241</v>
      </c>
      <c r="B342" s="174" t="n">
        <v>54</v>
      </c>
      <c r="C342" s="174" t="n">
        <v>5</v>
      </c>
      <c r="D342" s="174" t="n">
        <v>17</v>
      </c>
      <c r="E342" s="174" t="n">
        <v>14</v>
      </c>
      <c r="F342" s="174" t="n">
        <v>11</v>
      </c>
      <c r="G342" s="68">
        <f>(1+INDEX($Z$21:$Z$97,B342))*(1+INDEX($Z$21:$Z$97,C342))*(1+INDEX($Z$21:$Z$97,D342))*(1+INDEX($Z$21:$Z$97,E342))*(1+INDEX($Z$21:$Z$97,F342))-1</f>
        <v>0.0353804071075714</v>
      </c>
      <c r="H342" s="68">
        <f>(1+INDEX($AA$21:$AA$97,B342))*(1+INDEX($AA$21:$AA$97,C342))*(1+INDEX($AA$21:$AA$97,D342))*(1+INDEX($AA$21:$AA$97,E342))*(1+INDEX($AA$21:$AA$97,F342))-1</f>
        <v>0.0364753575662815</v>
      </c>
      <c r="I342" s="68">
        <f>(1+INDEX($AB$21:$AB$97,B342))*(1+INDEX($AB$21:$AB$97,C342))*(1+INDEX($AB$21:$AB$97,D342))*(1+INDEX($AB$21:$AB$97,E342))*(1+INDEX($AB$21:$AB$97,F342))-1</f>
        <v>0.000285937258932112</v>
      </c>
      <c r="J342" s="489">
        <f>LN((1+G342)/(1+H342))</f>
        <v>-0.00105697566338279</v>
      </c>
      <c r="K342" s="489">
        <f>LN((1+I342)/(1+H342))</f>
        <v>-0.0355399815657336</v>
      </c>
      <c r="L342" s="489">
        <f>(1+INDEX($AC$21:$AC$97,B342))*(1+INDEX($AC$21:$AC$97,C342))*(1+INDEX($AC$21:$AC$97,D342))*(1+INDEX($AC$21:$AC$97,E342))*(1+INDEX($AC$21:$AC$97,F342))-1</f>
        <v>-0.0106908673324021</v>
      </c>
      <c r="M342" s="489">
        <f>(1+INDEX($AD$21:$AD$97,B342))*(1+INDEX($AD$21:$AD$97,C342))*(1+INDEX($AD$21:$AD$97,D342))*(1+INDEX($AD$21:$AD$97,E342))*(1+INDEX($AD$21:$AD$97,F342))-1</f>
        <v>0.0258876784641413</v>
      </c>
      <c r="N342" s="489">
        <f>(1+INDEX($AE$21:$AE$97,B342))*(1+INDEX($AE$21:$AE$97,C342))*(1+INDEX($AE$21:$AE$97,D342))*(1+INDEX($AE$21:$AE$97,E342))*(1+INDEX($AE$21:$AE$97,F342))-1</f>
        <v>-0.0276767170039628</v>
      </c>
      <c r="O342" s="489">
        <f>(1+INDEX($AF$21:$AF$97,B342))*(1+INDEX($AF$21:$AF$97,C342))*(1+INDEX($AF$21:$AF$97,D342))*(1+INDEX($AF$21:$AF$97,E342))*(1+INDEX($AF$21:$AF$97,F342))-1</f>
        <v>0.0701922610879293</v>
      </c>
      <c r="P342" s="489">
        <f>LN((1+L342)/(1+H342))</f>
        <v>-0.0465743032039192</v>
      </c>
      <c r="Q342" s="489">
        <f>LN((1+M342)/(1+H342))</f>
        <v>-0.0102676123778148</v>
      </c>
      <c r="R342" s="489">
        <f>LN((1+N342)/(1+H342))</f>
        <v>-0.063892812096842</v>
      </c>
      <c r="S342" s="542">
        <f>LN((1+O342)/(1+H342))</f>
        <v>0.0320124376400597</v>
      </c>
    </row>
    <row r="343">
      <c r="A343" s="320" t="n">
        <v>242</v>
      </c>
      <c r="B343" s="174" t="n">
        <v>32</v>
      </c>
      <c r="C343" s="174" t="n">
        <v>75</v>
      </c>
      <c r="D343" s="174" t="n">
        <v>14</v>
      </c>
      <c r="E343" s="174" t="n">
        <v>7</v>
      </c>
      <c r="F343" s="174" t="n">
        <v>23</v>
      </c>
      <c r="G343" s="68">
        <f>(1+INDEX($Z$21:$Z$97,B343))*(1+INDEX($Z$21:$Z$97,C343))*(1+INDEX($Z$21:$Z$97,D343))*(1+INDEX($Z$21:$Z$97,E343))*(1+INDEX($Z$21:$Z$97,F343))-1</f>
        <v>0.34593368389258</v>
      </c>
      <c r="H343" s="68">
        <f>(1+INDEX($AA$21:$AA$97,B343))*(1+INDEX($AA$21:$AA$97,C343))*(1+INDEX($AA$21:$AA$97,D343))*(1+INDEX($AA$21:$AA$97,E343))*(1+INDEX($AA$21:$AA$97,F343))-1</f>
        <v>0.347010004632152</v>
      </c>
      <c r="I343" s="68">
        <f>(1+INDEX($AB$21:$AB$97,B343))*(1+INDEX($AB$21:$AB$97,C343))*(1+INDEX($AB$21:$AB$97,D343))*(1+INDEX($AB$21:$AB$97,E343))*(1+INDEX($AB$21:$AB$97,F343))-1</f>
        <v>0.38054295253876</v>
      </c>
      <c r="J343" s="489">
        <f>LN((1+G343)/(1+H343))</f>
        <v>-0.000799363760535057</v>
      </c>
      <c r="K343" s="489">
        <f>LN((1+I343)/(1+H343))</f>
        <v>0.0245895409145525</v>
      </c>
      <c r="L343" s="489">
        <f>(1+INDEX($AC$21:$AC$97,B343))*(1+INDEX($AC$21:$AC$97,C343))*(1+INDEX($AC$21:$AC$97,D343))*(1+INDEX($AC$21:$AC$97,E343))*(1+INDEX($AC$21:$AC$97,F343))-1</f>
        <v>0.358095288271409</v>
      </c>
      <c r="M343" s="489">
        <f>(1+INDEX($AD$21:$AD$97,B343))*(1+INDEX($AD$21:$AD$97,C343))*(1+INDEX($AD$21:$AD$97,D343))*(1+INDEX($AD$21:$AD$97,E343))*(1+INDEX($AD$21:$AD$97,F343))-1</f>
        <v>0.37791468904206</v>
      </c>
      <c r="N343" s="489">
        <f>(1+INDEX($AE$21:$AE$97,B343))*(1+INDEX($AE$21:$AE$97,C343))*(1+INDEX($AE$21:$AE$97,D343))*(1+INDEX($AE$21:$AE$97,E343))*(1+INDEX($AE$21:$AE$97,F343))-1</f>
        <v>0.340493401646171</v>
      </c>
      <c r="O343" s="489">
        <f>(1+INDEX($AF$21:$AF$97,B343))*(1+INDEX($AF$21:$AF$97,C343))*(1+INDEX($AF$21:$AF$97,D343))*(1+INDEX($AF$21:$AF$97,E343))*(1+INDEX($AF$21:$AF$97,F343))-1</f>
        <v>0.329412434564099</v>
      </c>
      <c r="P343" s="489">
        <f>LN((1+L343)/(1+H343))</f>
        <v>0.00819587002417617</v>
      </c>
      <c r="Q343" s="489">
        <f>LN((1+M343)/(1+H343))</f>
        <v>0.0226839366722234</v>
      </c>
      <c r="R343" s="489">
        <f>LN((1+N343)/(1+H343))</f>
        <v>-0.00484956837068801</v>
      </c>
      <c r="S343" s="542">
        <f>LN((1+O343)/(1+H343))</f>
        <v>-0.0131502586469373</v>
      </c>
    </row>
    <row r="344">
      <c r="A344" s="320" t="n">
        <v>243</v>
      </c>
      <c r="B344" s="174" t="n">
        <v>45</v>
      </c>
      <c r="C344" s="174" t="n">
        <v>6</v>
      </c>
      <c r="D344" s="174" t="n">
        <v>68</v>
      </c>
      <c r="E344" s="174" t="n">
        <v>38</v>
      </c>
      <c r="F344" s="174" t="n">
        <v>52</v>
      </c>
      <c r="G344" s="68">
        <f>(1+INDEX($Z$21:$Z$97,B344))*(1+INDEX($Z$21:$Z$97,C344))*(1+INDEX($Z$21:$Z$97,D344))*(1+INDEX($Z$21:$Z$97,E344))*(1+INDEX($Z$21:$Z$97,F344))-1</f>
        <v>0.27915464800205</v>
      </c>
      <c r="H344" s="68">
        <f>(1+INDEX($AA$21:$AA$97,B344))*(1+INDEX($AA$21:$AA$97,C344))*(1+INDEX($AA$21:$AA$97,D344))*(1+INDEX($AA$21:$AA$97,E344))*(1+INDEX($AA$21:$AA$97,F344))-1</f>
        <v>0.287331083160812</v>
      </c>
      <c r="I344" s="68">
        <f>(1+INDEX($AB$21:$AB$97,B344))*(1+INDEX($AB$21:$AB$97,C344))*(1+INDEX($AB$21:$AB$97,D344))*(1+INDEX($AB$21:$AB$97,E344))*(1+INDEX($AB$21:$AB$97,F344))-1</f>
        <v>0.29561608762695</v>
      </c>
      <c r="J344" s="489">
        <f>LN((1+G344)/(1+H344))</f>
        <v>-0.00637171890126042</v>
      </c>
      <c r="K344" s="489">
        <f>LN((1+I344)/(1+H344))</f>
        <v>0.00641517795918802</v>
      </c>
      <c r="L344" s="489">
        <f>(1+INDEX($AC$21:$AC$97,B344))*(1+INDEX($AC$21:$AC$97,C344))*(1+INDEX($AC$21:$AC$97,D344))*(1+INDEX($AC$21:$AC$97,E344))*(1+INDEX($AC$21:$AC$97,F344))-1</f>
        <v>0.284721111432461</v>
      </c>
      <c r="M344" s="489">
        <f>(1+INDEX($AD$21:$AD$97,B344))*(1+INDEX($AD$21:$AD$97,C344))*(1+INDEX($AD$21:$AD$97,D344))*(1+INDEX($AD$21:$AD$97,E344))*(1+INDEX($AD$21:$AD$97,F344))-1</f>
        <v>0.280107560224461</v>
      </c>
      <c r="N344" s="489">
        <f>(1+INDEX($AE$21:$AE$97,B344))*(1+INDEX($AE$21:$AE$97,C344))*(1+INDEX($AE$21:$AE$97,D344))*(1+INDEX($AE$21:$AE$97,E344))*(1+INDEX($AE$21:$AE$97,F344))-1</f>
        <v>0.268648755414939</v>
      </c>
      <c r="O344" s="489">
        <f>(1+INDEX($AF$21:$AF$97,B344))*(1+INDEX($AF$21:$AF$97,C344))*(1+INDEX($AF$21:$AF$97,D344))*(1+INDEX($AF$21:$AF$97,E344))*(1+INDEX($AF$21:$AF$97,F344))-1</f>
        <v>0.294363939188149</v>
      </c>
      <c r="P344" s="489">
        <f>LN((1+L344)/(1+H344))</f>
        <v>-0.00202948651638585</v>
      </c>
      <c r="Q344" s="489">
        <f>LN((1+M344)/(1+H344))</f>
        <v>-0.0056270415771599</v>
      </c>
      <c r="R344" s="489">
        <f>LN((1+N344)/(1+H344))</f>
        <v>-0.0146187854674602</v>
      </c>
      <c r="S344" s="542">
        <f>LN((1+O344)/(1+H344))</f>
        <v>0.00544826043596902</v>
      </c>
    </row>
    <row r="345">
      <c r="A345" s="320" t="n">
        <v>244</v>
      </c>
      <c r="B345" s="174" t="n">
        <v>2</v>
      </c>
      <c r="C345" s="174" t="n">
        <v>47</v>
      </c>
      <c r="D345" s="174" t="n">
        <v>45</v>
      </c>
      <c r="E345" s="174" t="n">
        <v>41</v>
      </c>
      <c r="F345" s="174" t="n">
        <v>76</v>
      </c>
      <c r="G345" s="68">
        <f>(1+INDEX($Z$21:$Z$97,B345))*(1+INDEX($Z$21:$Z$97,C345))*(1+INDEX($Z$21:$Z$97,D345))*(1+INDEX($Z$21:$Z$97,E345))*(1+INDEX($Z$21:$Z$97,F345))-1</f>
        <v>0.602276968906835</v>
      </c>
      <c r="H345" s="68">
        <f>(1+INDEX($AA$21:$AA$97,B345))*(1+INDEX($AA$21:$AA$97,C345))*(1+INDEX($AA$21:$AA$97,D345))*(1+INDEX($AA$21:$AA$97,E345))*(1+INDEX($AA$21:$AA$97,F345))-1</f>
        <v>0.551063407889517</v>
      </c>
      <c r="I345" s="68">
        <f>(1+INDEX($AB$21:$AB$97,B345))*(1+INDEX($AB$21:$AB$97,C345))*(1+INDEX($AB$21:$AB$97,D345))*(1+INDEX($AB$21:$AB$97,E345))*(1+INDEX($AB$21:$AB$97,F345))-1</f>
        <v>0.613774121631382</v>
      </c>
      <c r="J345" s="489">
        <f>LN((1+G345)/(1+H345))</f>
        <v>0.0324849578583311</v>
      </c>
      <c r="K345" s="489">
        <f>LN((1+I345)/(1+H345))</f>
        <v>0.039634845331857</v>
      </c>
      <c r="L345" s="489">
        <f>(1+INDEX($AC$21:$AC$97,B345))*(1+INDEX($AC$21:$AC$97,C345))*(1+INDEX($AC$21:$AC$97,D345))*(1+INDEX($AC$21:$AC$97,E345))*(1+INDEX($AC$21:$AC$97,F345))-1</f>
        <v>0.608980143280786</v>
      </c>
      <c r="M345" s="489">
        <f>(1+INDEX($AD$21:$AD$97,B345))*(1+INDEX($AD$21:$AD$97,C345))*(1+INDEX($AD$21:$AD$97,D345))*(1+INDEX($AD$21:$AD$97,E345))*(1+INDEX($AD$21:$AD$97,F345))-1</f>
        <v>0.600760666741612</v>
      </c>
      <c r="N345" s="489">
        <f>(1+INDEX($AE$21:$AE$97,B345))*(1+INDEX($AE$21:$AE$97,C345))*(1+INDEX($AE$21:$AE$97,D345))*(1+INDEX($AE$21:$AE$97,E345))*(1+INDEX($AE$21:$AE$97,F345))-1</f>
        <v>0.588876675861007</v>
      </c>
      <c r="O345" s="489">
        <f>(1+INDEX($AF$21:$AF$97,B345))*(1+INDEX($AF$21:$AF$97,C345))*(1+INDEX($AF$21:$AF$97,D345))*(1+INDEX($AF$21:$AF$97,E345))*(1+INDEX($AF$21:$AF$97,F345))-1</f>
        <v>0.577528152380575</v>
      </c>
      <c r="P345" s="489">
        <f>LN((1+L345)/(1+H345))</f>
        <v>0.0366597616037564</v>
      </c>
      <c r="Q345" s="489">
        <f>LN((1+M345)/(1+H345))</f>
        <v>0.0315381676853924</v>
      </c>
      <c r="R345" s="489">
        <f>LN((1+N345)/(1+H345))</f>
        <v>0.0240865080799258</v>
      </c>
      <c r="S345" s="542">
        <f>LN((1+O345)/(1+H345))</f>
        <v>0.0169183961749066</v>
      </c>
    </row>
    <row r="346">
      <c r="A346" s="320" t="n">
        <v>245</v>
      </c>
      <c r="B346" s="174" t="n">
        <v>69</v>
      </c>
      <c r="C346" s="174" t="n">
        <v>45</v>
      </c>
      <c r="D346" s="174" t="n">
        <v>25</v>
      </c>
      <c r="E346" s="174" t="n">
        <v>70</v>
      </c>
      <c r="F346" s="174" t="n">
        <v>3</v>
      </c>
      <c r="G346" s="68">
        <f>(1+INDEX($Z$21:$Z$97,B346))*(1+INDEX($Z$21:$Z$97,C346))*(1+INDEX($Z$21:$Z$97,D346))*(1+INDEX($Z$21:$Z$97,E346))*(1+INDEX($Z$21:$Z$97,F346))-1</f>
        <v>0.673583896306829</v>
      </c>
      <c r="H346" s="68">
        <f>(1+INDEX($AA$21:$AA$97,B346))*(1+INDEX($AA$21:$AA$97,C346))*(1+INDEX($AA$21:$AA$97,D346))*(1+INDEX($AA$21:$AA$97,E346))*(1+INDEX($AA$21:$AA$97,F346))-1</f>
        <v>0.614825453777027</v>
      </c>
      <c r="I346" s="68">
        <f>(1+INDEX($AB$21:$AB$97,B346))*(1+INDEX($AB$21:$AB$97,C346))*(1+INDEX($AB$21:$AB$97,D346))*(1+INDEX($AB$21:$AB$97,E346))*(1+INDEX($AB$21:$AB$97,F346))-1</f>
        <v>0.667598335663253</v>
      </c>
      <c r="J346" s="489">
        <f>LN((1+G346)/(1+H346))</f>
        <v>0.0357404999774558</v>
      </c>
      <c r="K346" s="489">
        <f>LN((1+I346)/(1+H346))</f>
        <v>0.0321575963037475</v>
      </c>
      <c r="L346" s="489">
        <f>(1+INDEX($AC$21:$AC$97,B346))*(1+INDEX($AC$21:$AC$97,C346))*(1+INDEX($AC$21:$AC$97,D346))*(1+INDEX($AC$21:$AC$97,E346))*(1+INDEX($AC$21:$AC$97,F346))-1</f>
        <v>0.659350702186029</v>
      </c>
      <c r="M346" s="489">
        <f>(1+INDEX($AD$21:$AD$97,B346))*(1+INDEX($AD$21:$AD$97,C346))*(1+INDEX($AD$21:$AD$97,D346))*(1+INDEX($AD$21:$AD$97,E346))*(1+INDEX($AD$21:$AD$97,F346))-1</f>
        <v>0.654445467137911</v>
      </c>
      <c r="N346" s="489">
        <f>(1+INDEX($AE$21:$AE$97,B346))*(1+INDEX($AE$21:$AE$97,C346))*(1+INDEX($AE$21:$AE$97,D346))*(1+INDEX($AE$21:$AE$97,E346))*(1+INDEX($AE$21:$AE$97,F346))-1</f>
        <v>0.658847734366971</v>
      </c>
      <c r="O346" s="489">
        <f>(1+INDEX($AF$21:$AF$97,B346))*(1+INDEX($AF$21:$AF$97,C346))*(1+INDEX($AF$21:$AF$97,D346))*(1+INDEX($AF$21:$AF$97,E346))*(1+INDEX($AF$21:$AF$97,F346))-1</f>
        <v>0.64002147936264</v>
      </c>
      <c r="P346" s="489">
        <f>LN((1+L346)/(1+H346))</f>
        <v>0.02719950991343</v>
      </c>
      <c r="Q346" s="489">
        <f>LN((1+M346)/(1+H346))</f>
        <v>0.0242390148315657</v>
      </c>
      <c r="R346" s="489">
        <f>LN((1+N346)/(1+H346))</f>
        <v>0.0268963527439429</v>
      </c>
      <c r="S346" s="542">
        <f>LN((1+O346)/(1+H346))</f>
        <v>0.0154824662455662</v>
      </c>
    </row>
    <row r="347">
      <c r="A347" s="320" t="n">
        <v>246</v>
      </c>
      <c r="B347" s="174" t="n">
        <v>18</v>
      </c>
      <c r="C347" s="174" t="n">
        <v>25</v>
      </c>
      <c r="D347" s="174" t="n">
        <v>43</v>
      </c>
      <c r="E347" s="174" t="n">
        <v>21</v>
      </c>
      <c r="F347" s="174" t="n">
        <v>20</v>
      </c>
      <c r="G347" s="68">
        <f>(1+INDEX($Z$21:$Z$97,B347))*(1+INDEX($Z$21:$Z$97,C347))*(1+INDEX($Z$21:$Z$97,D347))*(1+INDEX($Z$21:$Z$97,E347))*(1+INDEX($Z$21:$Z$97,F347))-1</f>
        <v>0.250839206019169</v>
      </c>
      <c r="H347" s="68">
        <f>(1+INDEX($AA$21:$AA$97,B347))*(1+INDEX($AA$21:$AA$97,C347))*(1+INDEX($AA$21:$AA$97,D347))*(1+INDEX($AA$21:$AA$97,E347))*(1+INDEX($AA$21:$AA$97,F347))-1</f>
        <v>0.220387349312742</v>
      </c>
      <c r="I347" s="68">
        <f>(1+INDEX($AB$21:$AB$97,B347))*(1+INDEX($AB$21:$AB$97,C347))*(1+INDEX($AB$21:$AB$97,D347))*(1+INDEX($AB$21:$AB$97,E347))*(1+INDEX($AB$21:$AB$97,F347))-1</f>
        <v>0.219388252211005</v>
      </c>
      <c r="J347" s="489">
        <f>LN((1+G347)/(1+H347))</f>
        <v>0.0246463830754453</v>
      </c>
      <c r="K347" s="489">
        <f>LN((1+I347)/(1+H347))</f>
        <v>-0.000819007417699122</v>
      </c>
      <c r="L347" s="489">
        <f>(1+INDEX($AC$21:$AC$97,B347))*(1+INDEX($AC$21:$AC$97,C347))*(1+INDEX($AC$21:$AC$97,D347))*(1+INDEX($AC$21:$AC$97,E347))*(1+INDEX($AC$21:$AC$97,F347))-1</f>
        <v>0.191168689114586</v>
      </c>
      <c r="M347" s="489">
        <f>(1+INDEX($AD$21:$AD$97,B347))*(1+INDEX($AD$21:$AD$97,C347))*(1+INDEX($AD$21:$AD$97,D347))*(1+INDEX($AD$21:$AD$97,E347))*(1+INDEX($AD$21:$AD$97,F347))-1</f>
        <v>0.228654082355485</v>
      </c>
      <c r="N347" s="489">
        <f>(1+INDEX($AE$21:$AE$97,B347))*(1+INDEX($AE$21:$AE$97,C347))*(1+INDEX($AE$21:$AE$97,D347))*(1+INDEX($AE$21:$AE$97,E347))*(1+INDEX($AE$21:$AE$97,F347))-1</f>
        <v>0.198331383063634</v>
      </c>
      <c r="O347" s="489">
        <f>(1+INDEX($AF$21:$AF$97,B347))*(1+INDEX($AF$21:$AF$97,C347))*(1+INDEX($AF$21:$AF$97,D347))*(1+INDEX($AF$21:$AF$97,E347))*(1+INDEX($AF$21:$AF$97,F347))-1</f>
        <v>0.256151750341023</v>
      </c>
      <c r="P347" s="489">
        <f>LN((1+L347)/(1+H347))</f>
        <v>-0.024233390909727</v>
      </c>
      <c r="Q347" s="489">
        <f>LN((1+M347)/(1+H347))</f>
        <v>0.00675102048749861</v>
      </c>
      <c r="R347" s="489">
        <f>LN((1+N347)/(1+H347))</f>
        <v>-0.0182382327711289</v>
      </c>
      <c r="S347" s="542">
        <f>LN((1+O347)/(1+H347))</f>
        <v>0.0288845732934681</v>
      </c>
    </row>
    <row r="348">
      <c r="A348" s="320" t="n">
        <v>247</v>
      </c>
      <c r="B348" s="174" t="n">
        <v>16</v>
      </c>
      <c r="C348" s="174" t="n">
        <v>38</v>
      </c>
      <c r="D348" s="174" t="n">
        <v>45</v>
      </c>
      <c r="E348" s="174" t="n">
        <v>59</v>
      </c>
      <c r="F348" s="174" t="n">
        <v>13</v>
      </c>
      <c r="G348" s="68">
        <f>(1+INDEX($Z$21:$Z$97,B348))*(1+INDEX($Z$21:$Z$97,C348))*(1+INDEX($Z$21:$Z$97,D348))*(1+INDEX($Z$21:$Z$97,E348))*(1+INDEX($Z$21:$Z$97,F348))-1</f>
        <v>0.677315679023616</v>
      </c>
      <c r="H348" s="68">
        <f>(1+INDEX($AA$21:$AA$97,B348))*(1+INDEX($AA$21:$AA$97,C348))*(1+INDEX($AA$21:$AA$97,D348))*(1+INDEX($AA$21:$AA$97,E348))*(1+INDEX($AA$21:$AA$97,F348))-1</f>
        <v>0.572055472970941</v>
      </c>
      <c r="I348" s="68">
        <f>(1+INDEX($AB$21:$AB$97,B348))*(1+INDEX($AB$21:$AB$97,C348))*(1+INDEX($AB$21:$AB$97,D348))*(1+INDEX($AB$21:$AB$97,E348))*(1+INDEX($AB$21:$AB$97,F348))-1</f>
        <v>0.616750593963781</v>
      </c>
      <c r="J348" s="489">
        <f>LN((1+G348)/(1+H348))</f>
        <v>0.0648107239163885</v>
      </c>
      <c r="K348" s="489">
        <f>LN((1+I348)/(1+H348))</f>
        <v>0.0280343471919811</v>
      </c>
      <c r="L348" s="489">
        <f>(1+INDEX($AC$21:$AC$97,B348))*(1+INDEX($AC$21:$AC$97,C348))*(1+INDEX($AC$21:$AC$97,D348))*(1+INDEX($AC$21:$AC$97,E348))*(1+INDEX($AC$21:$AC$97,F348))-1</f>
        <v>0.623303363010289</v>
      </c>
      <c r="M348" s="489">
        <f>(1+INDEX($AD$21:$AD$97,B348))*(1+INDEX($AD$21:$AD$97,C348))*(1+INDEX($AD$21:$AD$97,D348))*(1+INDEX($AD$21:$AD$97,E348))*(1+INDEX($AD$21:$AD$97,F348))-1</f>
        <v>0.604585156169313</v>
      </c>
      <c r="N348" s="489">
        <f>(1+INDEX($AE$21:$AE$97,B348))*(1+INDEX($AE$21:$AE$97,C348))*(1+INDEX($AE$21:$AE$97,D348))*(1+INDEX($AE$21:$AE$97,E348))*(1+INDEX($AE$21:$AE$97,F348))-1</f>
        <v>0.614349700229567</v>
      </c>
      <c r="O348" s="489">
        <f>(1+INDEX($AF$21:$AF$97,B348))*(1+INDEX($AF$21:$AF$97,C348))*(1+INDEX($AF$21:$AF$97,D348))*(1+INDEX($AF$21:$AF$97,E348))*(1+INDEX($AF$21:$AF$97,F348))-1</f>
        <v>0.544696149321355</v>
      </c>
      <c r="P348" s="489">
        <f>LN((1+L348)/(1+H348))</f>
        <v>0.0320792045107827</v>
      </c>
      <c r="Q348" s="489">
        <f>LN((1+M348)/(1+H348))</f>
        <v>0.0204812719626385</v>
      </c>
      <c r="R348" s="489">
        <f>LN((1+N348)/(1+H348))</f>
        <v>0.0265482316539392</v>
      </c>
      <c r="S348" s="542">
        <f>LN((1+O348)/(1+H348))</f>
        <v>-0.0175567576315775</v>
      </c>
    </row>
    <row r="349">
      <c r="A349" s="320" t="n">
        <v>248</v>
      </c>
      <c r="B349" s="174" t="n">
        <v>55</v>
      </c>
      <c r="C349" s="174" t="n">
        <v>65</v>
      </c>
      <c r="D349" s="174" t="n">
        <v>28</v>
      </c>
      <c r="E349" s="174" t="n">
        <v>70</v>
      </c>
      <c r="F349" s="174" t="n">
        <v>57</v>
      </c>
      <c r="G349" s="68">
        <f>(1+INDEX($Z$21:$Z$97,B349))*(1+INDEX($Z$21:$Z$97,C349))*(1+INDEX($Z$21:$Z$97,D349))*(1+INDEX($Z$21:$Z$97,E349))*(1+INDEX($Z$21:$Z$97,F349))-1</f>
        <v>0.521622700659405</v>
      </c>
      <c r="H349" s="68">
        <f>(1+INDEX($AA$21:$AA$97,B349))*(1+INDEX($AA$21:$AA$97,C349))*(1+INDEX($AA$21:$AA$97,D349))*(1+INDEX($AA$21:$AA$97,E349))*(1+INDEX($AA$21:$AA$97,F349))-1</f>
        <v>0.514747686386759</v>
      </c>
      <c r="I349" s="68">
        <f>(1+INDEX($AB$21:$AB$97,B349))*(1+INDEX($AB$21:$AB$97,C349))*(1+INDEX($AB$21:$AB$97,D349))*(1+INDEX($AB$21:$AB$97,E349))*(1+INDEX($AB$21:$AB$97,F349))-1</f>
        <v>0.570665705635431</v>
      </c>
      <c r="J349" s="489">
        <f>LN((1+G349)/(1+H349))</f>
        <v>0.00452845018560305</v>
      </c>
      <c r="K349" s="489">
        <f>LN((1+I349)/(1+H349))</f>
        <v>0.0362506643666989</v>
      </c>
      <c r="L349" s="489">
        <f>(1+INDEX($AC$21:$AC$97,B349))*(1+INDEX($AC$21:$AC$97,C349))*(1+INDEX($AC$21:$AC$97,D349))*(1+INDEX($AC$21:$AC$97,E349))*(1+INDEX($AC$21:$AC$97,F349))-1</f>
        <v>0.565579895294168</v>
      </c>
      <c r="M349" s="489">
        <f>(1+INDEX($AD$21:$AD$97,B349))*(1+INDEX($AD$21:$AD$97,C349))*(1+INDEX($AD$21:$AD$97,D349))*(1+INDEX($AD$21:$AD$97,E349))*(1+INDEX($AD$21:$AD$97,F349))-1</f>
        <v>0.558020264485116</v>
      </c>
      <c r="N349" s="489">
        <f>(1+INDEX($AE$21:$AE$97,B349))*(1+INDEX($AE$21:$AE$97,C349))*(1+INDEX($AE$21:$AE$97,D349))*(1+INDEX($AE$21:$AE$97,E349))*(1+INDEX($AE$21:$AE$97,F349))-1</f>
        <v>0.571570340785122</v>
      </c>
      <c r="O349" s="489">
        <f>(1+INDEX($AF$21:$AF$97,B349))*(1+INDEX($AF$21:$AF$97,C349))*(1+INDEX($AF$21:$AF$97,D349))*(1+INDEX($AF$21:$AF$97,E349))*(1+INDEX($AF$21:$AF$97,F349))-1</f>
        <v>0.570581589224682</v>
      </c>
      <c r="P349" s="489">
        <f>LN((1+L349)/(1+H349))</f>
        <v>0.0330074140308499</v>
      </c>
      <c r="Q349" s="489">
        <f>LN((1+M349)/(1+H349))</f>
        <v>0.0281670726415282</v>
      </c>
      <c r="R349" s="489">
        <f>LN((1+N349)/(1+H349))</f>
        <v>0.0368264550847225</v>
      </c>
      <c r="S349" s="542">
        <f>LN((1+O349)/(1+H349))</f>
        <v>0.0361971083089465</v>
      </c>
    </row>
    <row r="350">
      <c r="A350" s="320" t="n">
        <v>249</v>
      </c>
      <c r="B350" s="174" t="n">
        <v>63</v>
      </c>
      <c r="C350" s="174" t="n">
        <v>23</v>
      </c>
      <c r="D350" s="174" t="n">
        <v>39</v>
      </c>
      <c r="E350" s="174" t="n">
        <v>36</v>
      </c>
      <c r="F350" s="174" t="n">
        <v>38</v>
      </c>
      <c r="G350" s="68">
        <f>(1+INDEX($Z$21:$Z$97,B350))*(1+INDEX($Z$21:$Z$97,C350))*(1+INDEX($Z$21:$Z$97,D350))*(1+INDEX($Z$21:$Z$97,E350))*(1+INDEX($Z$21:$Z$97,F350))-1</f>
        <v>0.244739026973908</v>
      </c>
      <c r="H350" s="68">
        <f>(1+INDEX($AA$21:$AA$97,B350))*(1+INDEX($AA$21:$AA$97,C350))*(1+INDEX($AA$21:$AA$97,D350))*(1+INDEX($AA$21:$AA$97,E350))*(1+INDEX($AA$21:$AA$97,F350))-1</f>
        <v>0.184676017376222</v>
      </c>
      <c r="I350" s="68">
        <f>(1+INDEX($AB$21:$AB$97,B350))*(1+INDEX($AB$21:$AB$97,C350))*(1+INDEX($AB$21:$AB$97,D350))*(1+INDEX($AB$21:$AB$97,E350))*(1+INDEX($AB$21:$AB$97,F350))-1</f>
        <v>0.208738433317707</v>
      </c>
      <c r="J350" s="489">
        <f>LN((1+G350)/(1+H350))</f>
        <v>0.0494565569079293</v>
      </c>
      <c r="K350" s="489">
        <f>LN((1+I350)/(1+H350))</f>
        <v>0.0201078644649327</v>
      </c>
      <c r="L350" s="489">
        <f>(1+INDEX($AC$21:$AC$97,B350))*(1+INDEX($AC$21:$AC$97,C350))*(1+INDEX($AC$21:$AC$97,D350))*(1+INDEX($AC$21:$AC$97,E350))*(1+INDEX($AC$21:$AC$97,F350))-1</f>
        <v>0.196179326843308</v>
      </c>
      <c r="M350" s="489">
        <f>(1+INDEX($AD$21:$AD$97,B350))*(1+INDEX($AD$21:$AD$97,C350))*(1+INDEX($AD$21:$AD$97,D350))*(1+INDEX($AD$21:$AD$97,E350))*(1+INDEX($AD$21:$AD$97,F350))-1</f>
        <v>0.208954524946238</v>
      </c>
      <c r="N350" s="489">
        <f>(1+INDEX($AE$21:$AE$97,B350))*(1+INDEX($AE$21:$AE$97,C350))*(1+INDEX($AE$21:$AE$97,D350))*(1+INDEX($AE$21:$AE$97,E350))*(1+INDEX($AE$21:$AE$97,F350))-1</f>
        <v>0.197605314853656</v>
      </c>
      <c r="O350" s="489">
        <f>(1+INDEX($AF$21:$AF$97,B350))*(1+INDEX($AF$21:$AF$97,C350))*(1+INDEX($AF$21:$AF$97,D350))*(1+INDEX($AF$21:$AF$97,E350))*(1+INDEX($AF$21:$AF$97,F350))-1</f>
        <v>0.186531988804057</v>
      </c>
      <c r="P350" s="489">
        <f>LN((1+L350)/(1+H350))</f>
        <v>0.00966324897331023</v>
      </c>
      <c r="Q350" s="489">
        <f>LN((1+M350)/(1+H350))</f>
        <v>0.0202866230027922</v>
      </c>
      <c r="R350" s="489">
        <f>LN((1+N350)/(1+H350))</f>
        <v>0.0108546578863645</v>
      </c>
      <c r="S350" s="542">
        <f>LN((1+O350)/(1+H350))</f>
        <v>0.00156542302658407</v>
      </c>
    </row>
    <row r="351">
      <c r="A351" s="320" t="n">
        <v>250</v>
      </c>
      <c r="B351" s="174" t="n">
        <v>31</v>
      </c>
      <c r="C351" s="174" t="n">
        <v>41</v>
      </c>
      <c r="D351" s="174" t="n">
        <v>8</v>
      </c>
      <c r="E351" s="174" t="n">
        <v>22</v>
      </c>
      <c r="F351" s="174" t="n">
        <v>46</v>
      </c>
      <c r="G351" s="68">
        <f>(1+INDEX($Z$21:$Z$97,B351))*(1+INDEX($Z$21:$Z$97,C351))*(1+INDEX($Z$21:$Z$97,D351))*(1+INDEX($Z$21:$Z$97,E351))*(1+INDEX($Z$21:$Z$97,F351))-1</f>
        <v>0.107062912883094</v>
      </c>
      <c r="H351" s="68">
        <f>(1+INDEX($AA$21:$AA$97,B351))*(1+INDEX($AA$21:$AA$97,C351))*(1+INDEX($AA$21:$AA$97,D351))*(1+INDEX($AA$21:$AA$97,E351))*(1+INDEX($AA$21:$AA$97,F351))-1</f>
        <v>0.150350886560484</v>
      </c>
      <c r="I351" s="68">
        <f>(1+INDEX($AB$21:$AB$97,B351))*(1+INDEX($AB$21:$AB$97,C351))*(1+INDEX($AB$21:$AB$97,D351))*(1+INDEX($AB$21:$AB$97,E351))*(1+INDEX($AB$21:$AB$97,F351))-1</f>
        <v>0.141027648361326</v>
      </c>
      <c r="J351" s="489">
        <f>LN((1+G351)/(1+H351))</f>
        <v>-0.0383565305998027</v>
      </c>
      <c r="K351" s="489">
        <f>LN((1+I351)/(1+H351))</f>
        <v>-0.00813771230513003</v>
      </c>
      <c r="L351" s="489">
        <f>(1+INDEX($AC$21:$AC$97,B351))*(1+INDEX($AC$21:$AC$97,C351))*(1+INDEX($AC$21:$AC$97,D351))*(1+INDEX($AC$21:$AC$97,E351))*(1+INDEX($AC$21:$AC$97,F351))-1</f>
        <v>0.118434659005183</v>
      </c>
      <c r="M351" s="489">
        <f>(1+INDEX($AD$21:$AD$97,B351))*(1+INDEX($AD$21:$AD$97,C351))*(1+INDEX($AD$21:$AD$97,D351))*(1+INDEX($AD$21:$AD$97,E351))*(1+INDEX($AD$21:$AD$97,F351))-1</f>
        <v>0.147315261270528</v>
      </c>
      <c r="N351" s="489">
        <f>(1+INDEX($AE$21:$AE$97,B351))*(1+INDEX($AE$21:$AE$97,C351))*(1+INDEX($AE$21:$AE$97,D351))*(1+INDEX($AE$21:$AE$97,E351))*(1+INDEX($AE$21:$AE$97,F351))-1</f>
        <v>0.114625836696721</v>
      </c>
      <c r="O351" s="489">
        <f>(1+INDEX($AF$21:$AF$97,B351))*(1+INDEX($AF$21:$AF$97,C351))*(1+INDEX($AF$21:$AF$97,D351))*(1+INDEX($AF$21:$AF$97,E351))*(1+INDEX($AF$21:$AF$97,F351))-1</f>
        <v>0.171940770313434</v>
      </c>
      <c r="P351" s="489">
        <f>LN((1+L351)/(1+H351))</f>
        <v>-0.028136932755411</v>
      </c>
      <c r="Q351" s="489">
        <f>LN((1+M351)/(1+H351))</f>
        <v>-0.00264235694908206</v>
      </c>
      <c r="R351" s="489">
        <f>LN((1+N351)/(1+H351))</f>
        <v>-0.031548238458413</v>
      </c>
      <c r="S351" s="542">
        <f>LN((1+O351)/(1+H351))</f>
        <v>0.0185941380183966</v>
      </c>
    </row>
    <row r="352">
      <c r="A352" s="320" t="n">
        <v>251</v>
      </c>
      <c r="B352" s="174" t="n">
        <v>8</v>
      </c>
      <c r="C352" s="174" t="n">
        <v>13</v>
      </c>
      <c r="D352" s="174" t="n">
        <v>39</v>
      </c>
      <c r="E352" s="174" t="n">
        <v>61</v>
      </c>
      <c r="F352" s="174" t="n">
        <v>49</v>
      </c>
      <c r="G352" s="68">
        <f>(1+INDEX($Z$21:$Z$97,B352))*(1+INDEX($Z$21:$Z$97,C352))*(1+INDEX($Z$21:$Z$97,D352))*(1+INDEX($Z$21:$Z$97,E352))*(1+INDEX($Z$21:$Z$97,F352))-1</f>
        <v>0.310974982104892</v>
      </c>
      <c r="H352" s="68">
        <f>(1+INDEX($AA$21:$AA$97,B352))*(1+INDEX($AA$21:$AA$97,C352))*(1+INDEX($AA$21:$AA$97,D352))*(1+INDEX($AA$21:$AA$97,E352))*(1+INDEX($AA$21:$AA$97,F352))-1</f>
        <v>0.245395829344346</v>
      </c>
      <c r="I352" s="68">
        <f>(1+INDEX($AB$21:$AB$97,B352))*(1+INDEX($AB$21:$AB$97,C352))*(1+INDEX($AB$21:$AB$97,D352))*(1+INDEX($AB$21:$AB$97,E352))*(1+INDEX($AB$21:$AB$97,F352))-1</f>
        <v>0.241559761363769</v>
      </c>
      <c r="J352" s="489">
        <f>LN((1+G352)/(1+H352))</f>
        <v>0.0513177069345261</v>
      </c>
      <c r="K352" s="489">
        <f>LN((1+I352)/(1+H352))</f>
        <v>-0.00308495337609654</v>
      </c>
      <c r="L352" s="489">
        <f>(1+INDEX($AC$21:$AC$97,B352))*(1+INDEX($AC$21:$AC$97,C352))*(1+INDEX($AC$21:$AC$97,D352))*(1+INDEX($AC$21:$AC$97,E352))*(1+INDEX($AC$21:$AC$97,F352))-1</f>
        <v>0.234840843155745</v>
      </c>
      <c r="M352" s="489">
        <f>(1+INDEX($AD$21:$AD$97,B352))*(1+INDEX($AD$21:$AD$97,C352))*(1+INDEX($AD$21:$AD$97,D352))*(1+INDEX($AD$21:$AD$97,E352))*(1+INDEX($AD$21:$AD$97,F352))-1</f>
        <v>0.240565996721806</v>
      </c>
      <c r="N352" s="489">
        <f>(1+INDEX($AE$21:$AE$97,B352))*(1+INDEX($AE$21:$AE$97,C352))*(1+INDEX($AE$21:$AE$97,D352))*(1+INDEX($AE$21:$AE$97,E352))*(1+INDEX($AE$21:$AE$97,F352))-1</f>
        <v>0.237996823827086</v>
      </c>
      <c r="O352" s="489">
        <f>(1+INDEX($AF$21:$AF$97,B352))*(1+INDEX($AF$21:$AF$97,C352))*(1+INDEX($AF$21:$AF$97,D352))*(1+INDEX($AF$21:$AF$97,E352))*(1+INDEX($AF$21:$AF$97,F352))-1</f>
        <v>0.254769128979623</v>
      </c>
      <c r="P352" s="489">
        <f>LN((1+L352)/(1+H352))</f>
        <v>-0.0085113247657517</v>
      </c>
      <c r="Q352" s="489">
        <f>LN((1+M352)/(1+H352))</f>
        <v>-0.00388569015732059</v>
      </c>
      <c r="R352" s="489">
        <f>LN((1+N352)/(1+H352))</f>
        <v>-0.00595880591099118</v>
      </c>
      <c r="S352" s="542">
        <f>LN((1+O352)/(1+H352))</f>
        <v>0.00749818008611751</v>
      </c>
    </row>
    <row r="353">
      <c r="A353" s="320" t="n">
        <v>252</v>
      </c>
      <c r="B353" s="174" t="n">
        <v>50</v>
      </c>
      <c r="C353" s="174" t="n">
        <v>11</v>
      </c>
      <c r="D353" s="174" t="n">
        <v>23</v>
      </c>
      <c r="E353" s="174" t="n">
        <v>47</v>
      </c>
      <c r="F353" s="174" t="n">
        <v>47</v>
      </c>
      <c r="G353" s="68">
        <f>(1+INDEX($Z$21:$Z$97,B353))*(1+INDEX($Z$21:$Z$97,C353))*(1+INDEX($Z$21:$Z$97,D353))*(1+INDEX($Z$21:$Z$97,E353))*(1+INDEX($Z$21:$Z$97,F353))-1</f>
        <v>0.547354614013526</v>
      </c>
      <c r="H353" s="68">
        <f>(1+INDEX($AA$21:$AA$97,B353))*(1+INDEX($AA$21:$AA$97,C353))*(1+INDEX($AA$21:$AA$97,D353))*(1+INDEX($AA$21:$AA$97,E353))*(1+INDEX($AA$21:$AA$97,F353))-1</f>
        <v>0.467293828638138</v>
      </c>
      <c r="I353" s="68">
        <f>(1+INDEX($AB$21:$AB$97,B353))*(1+INDEX($AB$21:$AB$97,C353))*(1+INDEX($AB$21:$AB$97,D353))*(1+INDEX($AB$21:$AB$97,E353))*(1+INDEX($AB$21:$AB$97,F353))-1</f>
        <v>0.520949531781895</v>
      </c>
      <c r="J353" s="489">
        <f>LN((1+G353)/(1+H353))</f>
        <v>0.0531270009300453</v>
      </c>
      <c r="K353" s="489">
        <f>LN((1+I353)/(1+H353))</f>
        <v>0.0359150604892444</v>
      </c>
      <c r="L353" s="489">
        <f>(1+INDEX($AC$21:$AC$97,B353))*(1+INDEX($AC$21:$AC$97,C353))*(1+INDEX($AC$21:$AC$97,D353))*(1+INDEX($AC$21:$AC$97,E353))*(1+INDEX($AC$21:$AC$97,F353))-1</f>
        <v>0.495192725237087</v>
      </c>
      <c r="M353" s="489">
        <f>(1+INDEX($AD$21:$AD$97,B353))*(1+INDEX($AD$21:$AD$97,C353))*(1+INDEX($AD$21:$AD$97,D353))*(1+INDEX($AD$21:$AD$97,E353))*(1+INDEX($AD$21:$AD$97,F353))-1</f>
        <v>0.521998735289088</v>
      </c>
      <c r="N353" s="489">
        <f>(1+INDEX($AE$21:$AE$97,B353))*(1+INDEX($AE$21:$AE$97,C353))*(1+INDEX($AE$21:$AE$97,D353))*(1+INDEX($AE$21:$AE$97,E353))*(1+INDEX($AE$21:$AE$97,F353))-1</f>
        <v>0.479850537822493</v>
      </c>
      <c r="O353" s="489">
        <f>(1+INDEX($AF$21:$AF$97,B353))*(1+INDEX($AF$21:$AF$97,C353))*(1+INDEX($AF$21:$AF$97,D353))*(1+INDEX($AF$21:$AF$97,E353))*(1+INDEX($AF$21:$AF$97,F353))-1</f>
        <v>0.536310448033431</v>
      </c>
      <c r="P353" s="489">
        <f>LN((1+L353)/(1+H353))</f>
        <v>0.0188353404442097</v>
      </c>
      <c r="Q353" s="489">
        <f>LN((1+M353)/(1+H353))</f>
        <v>0.0366046571939438</v>
      </c>
      <c r="R353" s="489">
        <f>LN((1+N353)/(1+H353))</f>
        <v>0.00852132342670914</v>
      </c>
      <c r="S353" s="542">
        <f>LN((1+O353)/(1+H353))</f>
        <v>0.0459639576162614</v>
      </c>
    </row>
    <row r="354">
      <c r="A354" s="320" t="n">
        <v>253</v>
      </c>
      <c r="B354" s="174" t="n">
        <v>55</v>
      </c>
      <c r="C354" s="174" t="n">
        <v>61</v>
      </c>
      <c r="D354" s="174" t="n">
        <v>62</v>
      </c>
      <c r="E354" s="174" t="n">
        <v>18</v>
      </c>
      <c r="F354" s="174" t="n">
        <v>23</v>
      </c>
      <c r="G354" s="68">
        <f>(1+INDEX($Z$21:$Z$97,B354))*(1+INDEX($Z$21:$Z$97,C354))*(1+INDEX($Z$21:$Z$97,D354))*(1+INDEX($Z$21:$Z$97,E354))*(1+INDEX($Z$21:$Z$97,F354))-1</f>
        <v>0.163605361253467</v>
      </c>
      <c r="H354" s="68">
        <f>(1+INDEX($AA$21:$AA$97,B354))*(1+INDEX($AA$21:$AA$97,C354))*(1+INDEX($AA$21:$AA$97,D354))*(1+INDEX($AA$21:$AA$97,E354))*(1+INDEX($AA$21:$AA$97,F354))-1</f>
        <v>0.162607160307096</v>
      </c>
      <c r="I354" s="68">
        <f>(1+INDEX($AB$21:$AB$97,B354))*(1+INDEX($AB$21:$AB$97,C354))*(1+INDEX($AB$21:$AB$97,D354))*(1+INDEX($AB$21:$AB$97,E354))*(1+INDEX($AB$21:$AB$97,F354))-1</f>
        <v>0.152178653190107</v>
      </c>
      <c r="J354" s="489">
        <f>LN((1+G354)/(1+H354))</f>
        <v>0.00085821995917208</v>
      </c>
      <c r="K354" s="489">
        <f>LN((1+I354)/(1+H354))</f>
        <v>-0.00901040399621402</v>
      </c>
      <c r="L354" s="489">
        <f>(1+INDEX($AC$21:$AC$97,B354))*(1+INDEX($AC$21:$AC$97,C354))*(1+INDEX($AC$21:$AC$97,D354))*(1+INDEX($AC$21:$AC$97,E354))*(1+INDEX($AC$21:$AC$97,F354))-1</f>
        <v>0.16419178192043</v>
      </c>
      <c r="M354" s="489">
        <f>(1+INDEX($AD$21:$AD$97,B354))*(1+INDEX($AD$21:$AD$97,C354))*(1+INDEX($AD$21:$AD$97,D354))*(1+INDEX($AD$21:$AD$97,E354))*(1+INDEX($AD$21:$AD$97,F354))-1</f>
        <v>0.12009423843643</v>
      </c>
      <c r="N354" s="489">
        <f>(1+INDEX($AE$21:$AE$97,B354))*(1+INDEX($AE$21:$AE$97,C354))*(1+INDEX($AE$21:$AE$97,D354))*(1+INDEX($AE$21:$AE$97,E354))*(1+INDEX($AE$21:$AE$97,F354))-1</f>
        <v>0.172211557166819</v>
      </c>
      <c r="O354" s="489">
        <f>(1+INDEX($AF$21:$AF$97,B354))*(1+INDEX($AF$21:$AF$97,C354))*(1+INDEX($AF$21:$AF$97,D354))*(1+INDEX($AF$21:$AF$97,E354))*(1+INDEX($AF$21:$AF$97,F354))-1</f>
        <v>0.133720257742751</v>
      </c>
      <c r="P354" s="489">
        <f>LN((1+L354)/(1+H354))</f>
        <v>0.00136206169734783</v>
      </c>
      <c r="Q354" s="489">
        <f>LN((1+M354)/(1+H354))</f>
        <v>-0.0372522119118974</v>
      </c>
      <c r="R354" s="489">
        <f>LN((1+N354)/(1+H354))</f>
        <v>0.00822714925263364</v>
      </c>
      <c r="S354" s="542">
        <f>LN((1+O354)/(1+H354))</f>
        <v>-0.0251605465606835</v>
      </c>
    </row>
    <row r="355">
      <c r="A355" s="320" t="n">
        <v>254</v>
      </c>
      <c r="B355" s="174" t="n">
        <v>56</v>
      </c>
      <c r="C355" s="174" t="n">
        <v>11</v>
      </c>
      <c r="D355" s="174" t="n">
        <v>31</v>
      </c>
      <c r="E355" s="174" t="n">
        <v>42</v>
      </c>
      <c r="F355" s="174" t="n">
        <v>58</v>
      </c>
      <c r="G355" s="68">
        <f>(1+INDEX($Z$21:$Z$97,B355))*(1+INDEX($Z$21:$Z$97,C355))*(1+INDEX($Z$21:$Z$97,D355))*(1+INDEX($Z$21:$Z$97,E355))*(1+INDEX($Z$21:$Z$97,F355))-1</f>
        <v>0.425223212243054</v>
      </c>
      <c r="H355" s="68">
        <f>(1+INDEX($AA$21:$AA$97,B355))*(1+INDEX($AA$21:$AA$97,C355))*(1+INDEX($AA$21:$AA$97,D355))*(1+INDEX($AA$21:$AA$97,E355))*(1+INDEX($AA$21:$AA$97,F355))-1</f>
        <v>0.422959575583859</v>
      </c>
      <c r="I355" s="68">
        <f>(1+INDEX($AB$21:$AB$97,B355))*(1+INDEX($AB$21:$AB$97,C355))*(1+INDEX($AB$21:$AB$97,D355))*(1+INDEX($AB$21:$AB$97,E355))*(1+INDEX($AB$21:$AB$97,F355))-1</f>
        <v>0.416384854777755</v>
      </c>
      <c r="J355" s="489">
        <f>LN((1+G355)/(1+H355))</f>
        <v>0.00158953080222201</v>
      </c>
      <c r="K355" s="489">
        <f>LN((1+I355)/(1+H355))</f>
        <v>-0.00463116238158969</v>
      </c>
      <c r="L355" s="489">
        <f>(1+INDEX($AC$21:$AC$97,B355))*(1+INDEX($AC$21:$AC$97,C355))*(1+INDEX($AC$21:$AC$97,D355))*(1+INDEX($AC$21:$AC$97,E355))*(1+INDEX($AC$21:$AC$97,F355))-1</f>
        <v>0.428954422326146</v>
      </c>
      <c r="M355" s="489">
        <f>(1+INDEX($AD$21:$AD$97,B355))*(1+INDEX($AD$21:$AD$97,C355))*(1+INDEX($AD$21:$AD$97,D355))*(1+INDEX($AD$21:$AD$97,E355))*(1+INDEX($AD$21:$AD$97,F355))-1</f>
        <v>0.439956192757246</v>
      </c>
      <c r="N355" s="489">
        <f>(1+INDEX($AE$21:$AE$97,B355))*(1+INDEX($AE$21:$AE$97,C355))*(1+INDEX($AE$21:$AE$97,D355))*(1+INDEX($AE$21:$AE$97,E355))*(1+INDEX($AE$21:$AE$97,F355))-1</f>
        <v>0.423997227800735</v>
      </c>
      <c r="O355" s="489">
        <f>(1+INDEX($AF$21:$AF$97,B355))*(1+INDEX($AF$21:$AF$97,C355))*(1+INDEX($AF$21:$AF$97,D355))*(1+INDEX($AF$21:$AF$97,E355))*(1+INDEX($AF$21:$AF$97,F355))-1</f>
        <v>0.461914311416456</v>
      </c>
      <c r="P355" s="489">
        <f>LN((1+L355)/(1+H355))</f>
        <v>0.00420409281365835</v>
      </c>
      <c r="Q355" s="489">
        <f>LN((1+M355)/(1+H355))</f>
        <v>0.0118737806066378</v>
      </c>
      <c r="R355" s="489">
        <f>LN((1+N355)/(1+H355))</f>
        <v>0.000728955396577223</v>
      </c>
      <c r="S355" s="542">
        <f>LN((1+O355)/(1+H355))</f>
        <v>0.0270078382654977</v>
      </c>
    </row>
    <row r="356">
      <c r="A356" s="320" t="n">
        <v>255</v>
      </c>
      <c r="B356" s="174" t="n">
        <v>38</v>
      </c>
      <c r="C356" s="174" t="n">
        <v>18</v>
      </c>
      <c r="D356" s="174" t="n">
        <v>58</v>
      </c>
      <c r="E356" s="174" t="n">
        <v>34</v>
      </c>
      <c r="F356" s="174" t="n">
        <v>17</v>
      </c>
      <c r="G356" s="68">
        <f>(1+INDEX($Z$21:$Z$97,B356))*(1+INDEX($Z$21:$Z$97,C356))*(1+INDEX($Z$21:$Z$97,D356))*(1+INDEX($Z$21:$Z$97,E356))*(1+INDEX($Z$21:$Z$97,F356))-1</f>
        <v>0.546343129248987</v>
      </c>
      <c r="H356" s="68">
        <f>(1+INDEX($AA$21:$AA$97,B356))*(1+INDEX($AA$21:$AA$97,C356))*(1+INDEX($AA$21:$AA$97,D356))*(1+INDEX($AA$21:$AA$97,E356))*(1+INDEX($AA$21:$AA$97,F356))-1</f>
        <v>0.501033995930074</v>
      </c>
      <c r="I356" s="68">
        <f>(1+INDEX($AB$21:$AB$97,B356))*(1+INDEX($AB$21:$AB$97,C356))*(1+INDEX($AB$21:$AB$97,D356))*(1+INDEX($AB$21:$AB$97,E356))*(1+INDEX($AB$21:$AB$97,F356))-1</f>
        <v>0.515919459511026</v>
      </c>
      <c r="J356" s="489">
        <f>LN((1+G356)/(1+H356))</f>
        <v>0.0297386707638836</v>
      </c>
      <c r="K356" s="489">
        <f>LN((1+I356)/(1+H356))</f>
        <v>0.00986795758828316</v>
      </c>
      <c r="L356" s="489">
        <f>(1+INDEX($AC$21:$AC$97,B356))*(1+INDEX($AC$21:$AC$97,C356))*(1+INDEX($AC$21:$AC$97,D356))*(1+INDEX($AC$21:$AC$97,E356))*(1+INDEX($AC$21:$AC$97,F356))-1</f>
        <v>0.513486395708174</v>
      </c>
      <c r="M356" s="489">
        <f>(1+INDEX($AD$21:$AD$97,B356))*(1+INDEX($AD$21:$AD$97,C356))*(1+INDEX($AD$21:$AD$97,D356))*(1+INDEX($AD$21:$AD$97,E356))*(1+INDEX($AD$21:$AD$97,F356))-1</f>
        <v>0.513351497904014</v>
      </c>
      <c r="N356" s="489">
        <f>(1+INDEX($AE$21:$AE$97,B356))*(1+INDEX($AE$21:$AE$97,C356))*(1+INDEX($AE$21:$AE$97,D356))*(1+INDEX($AE$21:$AE$97,E356))*(1+INDEX($AE$21:$AE$97,F356))-1</f>
        <v>0.532023486624696</v>
      </c>
      <c r="O356" s="489">
        <f>(1+INDEX($AF$21:$AF$97,B356))*(1+INDEX($AF$21:$AF$97,C356))*(1+INDEX($AF$21:$AF$97,D356))*(1+INDEX($AF$21:$AF$97,E356))*(1+INDEX($AF$21:$AF$97,F356))-1</f>
        <v>0.464102001884379</v>
      </c>
      <c r="P356" s="489">
        <f>LN((1+L356)/(1+H356))</f>
        <v>0.00826165956003577</v>
      </c>
      <c r="Q356" s="489">
        <f>LN((1+M356)/(1+H356))</f>
        <v>0.00817252508439437</v>
      </c>
      <c r="R356" s="489">
        <f>LN((1+N356)/(1+H356))</f>
        <v>0.020435200646867</v>
      </c>
      <c r="S356" s="542">
        <f>LN((1+O356)/(1+H356))</f>
        <v>-0.0249121147186588</v>
      </c>
    </row>
    <row r="357">
      <c r="A357" s="320" t="n">
        <v>256</v>
      </c>
      <c r="B357" s="174" t="n">
        <v>69</v>
      </c>
      <c r="C357" s="174" t="n">
        <v>21</v>
      </c>
      <c r="D357" s="174" t="n">
        <v>54</v>
      </c>
      <c r="E357" s="174" t="n">
        <v>39</v>
      </c>
      <c r="F357" s="174" t="n">
        <v>73</v>
      </c>
      <c r="G357" s="68">
        <f>(1+INDEX($Z$21:$Z$97,B357))*(1+INDEX($Z$21:$Z$97,C357))*(1+INDEX($Z$21:$Z$97,D357))*(1+INDEX($Z$21:$Z$97,E357))*(1+INDEX($Z$21:$Z$97,F357))-1</f>
        <v>0.27400848114327</v>
      </c>
      <c r="H357" s="68">
        <f>(1+INDEX($AA$21:$AA$97,B357))*(1+INDEX($AA$21:$AA$97,C357))*(1+INDEX($AA$21:$AA$97,D357))*(1+INDEX($AA$21:$AA$97,E357))*(1+INDEX($AA$21:$AA$97,F357))-1</f>
        <v>0.278253460829468</v>
      </c>
      <c r="I357" s="68">
        <f>(1+INDEX($AB$21:$AB$97,B357))*(1+INDEX($AB$21:$AB$97,C357))*(1+INDEX($AB$21:$AB$97,D357))*(1+INDEX($AB$21:$AB$97,E357))*(1+INDEX($AB$21:$AB$97,F357))-1</f>
        <v>0.295375982538229</v>
      </c>
      <c r="J357" s="489">
        <f>LN((1+G357)/(1+H357))</f>
        <v>-0.00332644822281281</v>
      </c>
      <c r="K357" s="489">
        <f>LN((1+I357)/(1+H357))</f>
        <v>0.0133063245701399</v>
      </c>
      <c r="L357" s="489">
        <f>(1+INDEX($AC$21:$AC$97,B357))*(1+INDEX($AC$21:$AC$97,C357))*(1+INDEX($AC$21:$AC$97,D357))*(1+INDEX($AC$21:$AC$97,E357))*(1+INDEX($AC$21:$AC$97,F357))-1</f>
        <v>0.276282122504546</v>
      </c>
      <c r="M357" s="489">
        <f>(1+INDEX($AD$21:$AD$97,B357))*(1+INDEX($AD$21:$AD$97,C357))*(1+INDEX($AD$21:$AD$97,D357))*(1+INDEX($AD$21:$AD$97,E357))*(1+INDEX($AD$21:$AD$97,F357))-1</f>
        <v>0.309371777736778</v>
      </c>
      <c r="N357" s="489">
        <f>(1+INDEX($AE$21:$AE$97,B357))*(1+INDEX($AE$21:$AE$97,C357))*(1+INDEX($AE$21:$AE$97,D357))*(1+INDEX($AE$21:$AE$97,E357))*(1+INDEX($AE$21:$AE$97,F357))-1</f>
        <v>0.273130646444765</v>
      </c>
      <c r="O357" s="489">
        <f>(1+INDEX($AF$21:$AF$97,B357))*(1+INDEX($AF$21:$AF$97,C357))*(1+INDEX($AF$21:$AF$97,D357))*(1+INDEX($AF$21:$AF$97,E357))*(1+INDEX($AF$21:$AF$97,F357))-1</f>
        <v>0.311243443813732</v>
      </c>
      <c r="P357" s="489">
        <f>LN((1+L357)/(1+H357))</f>
        <v>-0.00154340282367502</v>
      </c>
      <c r="Q357" s="489">
        <f>LN((1+M357)/(1+H357))</f>
        <v>0.024052800759364</v>
      </c>
      <c r="R357" s="489">
        <f>LN((1+N357)/(1+H357))</f>
        <v>-0.00401571935351134</v>
      </c>
      <c r="S357" s="542">
        <f>LN((1+O357)/(1+H357))</f>
        <v>0.02548121831552</v>
      </c>
    </row>
    <row r="358">
      <c r="A358" s="320" t="n">
        <v>257</v>
      </c>
      <c r="B358" s="174" t="n">
        <v>56</v>
      </c>
      <c r="C358" s="174" t="n">
        <v>6</v>
      </c>
      <c r="D358" s="174" t="n">
        <v>22</v>
      </c>
      <c r="E358" s="174" t="n">
        <v>44</v>
      </c>
      <c r="F358" s="174" t="n">
        <v>54</v>
      </c>
      <c r="G358" s="68">
        <f>(1+INDEX($Z$21:$Z$97,B358))*(1+INDEX($Z$21:$Z$97,C358))*(1+INDEX($Z$21:$Z$97,D358))*(1+INDEX($Z$21:$Z$97,E358))*(1+INDEX($Z$21:$Z$97,F358))-1</f>
        <v>-0.044004309428173</v>
      </c>
      <c r="H358" s="68">
        <f>(1+INDEX($AA$21:$AA$97,B358))*(1+INDEX($AA$21:$AA$97,C358))*(1+INDEX($AA$21:$AA$97,D358))*(1+INDEX($AA$21:$AA$97,E358))*(1+INDEX($AA$21:$AA$97,F358))-1</f>
        <v>-0.0089004115419139</v>
      </c>
      <c r="I358" s="68">
        <f>(1+INDEX($AB$21:$AB$97,B358))*(1+INDEX($AB$21:$AB$97,C358))*(1+INDEX($AB$21:$AB$97,D358))*(1+INDEX($AB$21:$AB$97,E358))*(1+INDEX($AB$21:$AB$97,F358))-1</f>
        <v>-0.0271791848937952</v>
      </c>
      <c r="J358" s="489">
        <f>LN((1+G358)/(1+H358))</f>
        <v>-0.0360616169038628</v>
      </c>
      <c r="K358" s="489">
        <f>LN((1+I358)/(1+H358))</f>
        <v>-0.0186151140845313</v>
      </c>
      <c r="L358" s="489">
        <f>(1+INDEX($AC$21:$AC$97,B358))*(1+INDEX($AC$21:$AC$97,C358))*(1+INDEX($AC$21:$AC$97,D358))*(1+INDEX($AC$21:$AC$97,E358))*(1+INDEX($AC$21:$AC$97,F358))-1</f>
        <v>-0.0496854154747516</v>
      </c>
      <c r="M358" s="489">
        <f>(1+INDEX($AD$21:$AD$97,B358))*(1+INDEX($AD$21:$AD$97,C358))*(1+INDEX($AD$21:$AD$97,D358))*(1+INDEX($AD$21:$AD$97,E358))*(1+INDEX($AD$21:$AD$97,F358))-1</f>
        <v>-0.0174928103438455</v>
      </c>
      <c r="N358" s="489">
        <f>(1+INDEX($AE$21:$AE$97,B358))*(1+INDEX($AE$21:$AE$97,C358))*(1+INDEX($AE$21:$AE$97,D358))*(1+INDEX($AE$21:$AE$97,E358))*(1+INDEX($AE$21:$AE$97,F358))-1</f>
        <v>-0.0663798474293201</v>
      </c>
      <c r="O358" s="489">
        <f>(1+INDEX($AF$21:$AF$97,B358))*(1+INDEX($AF$21:$AF$97,C358))*(1+INDEX($AF$21:$AF$97,D358))*(1+INDEX($AF$21:$AF$97,E358))*(1+INDEX($AF$21:$AF$97,F358))-1</f>
        <v>0.0360398184662381</v>
      </c>
      <c r="P358" s="489">
        <f>LN((1+L358)/(1+H358))</f>
        <v>-0.0420219507902183</v>
      </c>
      <c r="Q358" s="489">
        <f>LN((1+M358)/(1+H358))</f>
        <v>-0.00870736074221893</v>
      </c>
      <c r="R358" s="489">
        <f>LN((1+N358)/(1+H358))</f>
        <v>-0.059745355563052</v>
      </c>
      <c r="S358" s="542">
        <f>LN((1+O358)/(1+H358))</f>
        <v>0.0443458347187522</v>
      </c>
    </row>
    <row r="359">
      <c r="A359" s="320" t="n">
        <v>258</v>
      </c>
      <c r="B359" s="174" t="n">
        <v>29</v>
      </c>
      <c r="C359" s="174" t="n">
        <v>5</v>
      </c>
      <c r="D359" s="174" t="n">
        <v>43</v>
      </c>
      <c r="E359" s="174" t="n">
        <v>40</v>
      </c>
      <c r="F359" s="174" t="n">
        <v>16</v>
      </c>
      <c r="G359" s="68">
        <f>(1+INDEX($Z$21:$Z$97,B359))*(1+INDEX($Z$21:$Z$97,C359))*(1+INDEX($Z$21:$Z$97,D359))*(1+INDEX($Z$21:$Z$97,E359))*(1+INDEX($Z$21:$Z$97,F359))-1</f>
        <v>0.23969156831757</v>
      </c>
      <c r="H359" s="68">
        <f>(1+INDEX($AA$21:$AA$97,B359))*(1+INDEX($AA$21:$AA$97,C359))*(1+INDEX($AA$21:$AA$97,D359))*(1+INDEX($AA$21:$AA$97,E359))*(1+INDEX($AA$21:$AA$97,F359))-1</f>
        <v>0.262459942197568</v>
      </c>
      <c r="I359" s="68">
        <f>(1+INDEX($AB$21:$AB$97,B359))*(1+INDEX($AB$21:$AB$97,C359))*(1+INDEX($AB$21:$AB$97,D359))*(1+INDEX($AB$21:$AB$97,E359))*(1+INDEX($AB$21:$AB$97,F359))-1</f>
        <v>0.264632121826514</v>
      </c>
      <c r="J359" s="489">
        <f>LN((1+G359)/(1+H359))</f>
        <v>-0.0181995392621403</v>
      </c>
      <c r="K359" s="489">
        <f>LN((1+I359)/(1+H359))</f>
        <v>0.0017191143882989</v>
      </c>
      <c r="L359" s="489">
        <f>(1+INDEX($AC$21:$AC$97,B359))*(1+INDEX($AC$21:$AC$97,C359))*(1+INDEX($AC$21:$AC$97,D359))*(1+INDEX($AC$21:$AC$97,E359))*(1+INDEX($AC$21:$AC$97,F359))-1</f>
        <v>0.265906981431963</v>
      </c>
      <c r="M359" s="489">
        <f>(1+INDEX($AD$21:$AD$97,B359))*(1+INDEX($AD$21:$AD$97,C359))*(1+INDEX($AD$21:$AD$97,D359))*(1+INDEX($AD$21:$AD$97,E359))*(1+INDEX($AD$21:$AD$97,F359))-1</f>
        <v>0.255796800498985</v>
      </c>
      <c r="N359" s="489">
        <f>(1+INDEX($AE$21:$AE$97,B359))*(1+INDEX($AE$21:$AE$97,C359))*(1+INDEX($AE$21:$AE$97,D359))*(1+INDEX($AE$21:$AE$97,E359))*(1+INDEX($AE$21:$AE$97,F359))-1</f>
        <v>0.243961168862077</v>
      </c>
      <c r="O359" s="489">
        <f>(1+INDEX($AF$21:$AF$97,B359))*(1+INDEX($AF$21:$AF$97,C359))*(1+INDEX($AF$21:$AF$97,D359))*(1+INDEX($AF$21:$AF$97,E359))*(1+INDEX($AF$21:$AF$97,F359))-1</f>
        <v>0.271849292603791</v>
      </c>
      <c r="P359" s="489">
        <f>LN((1+L359)/(1+H359))</f>
        <v>0.00272669392869205</v>
      </c>
      <c r="Q359" s="489">
        <f>LN((1+M359)/(1+H359))</f>
        <v>-0.00529188079607302</v>
      </c>
      <c r="R359" s="489">
        <f>LN((1+N359)/(1+H359))</f>
        <v>-0.0147613736228806</v>
      </c>
      <c r="S359" s="542">
        <f>LN((1+O359)/(1+H359))</f>
        <v>0.00740982452956339</v>
      </c>
    </row>
    <row r="360">
      <c r="A360" s="320" t="n">
        <v>259</v>
      </c>
      <c r="B360" s="174" t="n">
        <v>3</v>
      </c>
      <c r="C360" s="174" t="n">
        <v>41</v>
      </c>
      <c r="D360" s="174" t="n">
        <v>32</v>
      </c>
      <c r="E360" s="174" t="n">
        <v>12</v>
      </c>
      <c r="F360" s="174" t="n">
        <v>48</v>
      </c>
      <c r="G360" s="68">
        <f>(1+INDEX($Z$21:$Z$97,B360))*(1+INDEX($Z$21:$Z$97,C360))*(1+INDEX($Z$21:$Z$97,D360))*(1+INDEX($Z$21:$Z$97,E360))*(1+INDEX($Z$21:$Z$97,F360))-1</f>
        <v>0.660483999702513</v>
      </c>
      <c r="H360" s="68">
        <f>(1+INDEX($AA$21:$AA$97,B360))*(1+INDEX($AA$21:$AA$97,C360))*(1+INDEX($AA$21:$AA$97,D360))*(1+INDEX($AA$21:$AA$97,E360))*(1+INDEX($AA$21:$AA$97,F360))-1</f>
        <v>0.538345390057859</v>
      </c>
      <c r="I360" s="68">
        <f>(1+INDEX($AB$21:$AB$97,B360))*(1+INDEX($AB$21:$AB$97,C360))*(1+INDEX($AB$21:$AB$97,D360))*(1+INDEX($AB$21:$AB$97,E360))*(1+INDEX($AB$21:$AB$97,F360))-1</f>
        <v>0.576380699975768</v>
      </c>
      <c r="J360" s="489">
        <f>LN((1+G360)/(1+H360))</f>
        <v>0.0764017091771114</v>
      </c>
      <c r="K360" s="489">
        <f>LN((1+I360)/(1+H360))</f>
        <v>0.0244241063828199</v>
      </c>
      <c r="L360" s="489">
        <f>(1+INDEX($AC$21:$AC$97,B360))*(1+INDEX($AC$21:$AC$97,C360))*(1+INDEX($AC$21:$AC$97,D360))*(1+INDEX($AC$21:$AC$97,E360))*(1+INDEX($AC$21:$AC$97,F360))-1</f>
        <v>0.575641807834772</v>
      </c>
      <c r="M360" s="489">
        <f>(1+INDEX($AD$21:$AD$97,B360))*(1+INDEX($AD$21:$AD$97,C360))*(1+INDEX($AD$21:$AD$97,D360))*(1+INDEX($AD$21:$AD$97,E360))*(1+INDEX($AD$21:$AD$97,F360))-1</f>
        <v>0.592146846591507</v>
      </c>
      <c r="N360" s="489">
        <f>(1+INDEX($AE$21:$AE$97,B360))*(1+INDEX($AE$21:$AE$97,C360))*(1+INDEX($AE$21:$AE$97,D360))*(1+INDEX($AE$21:$AE$97,E360))*(1+INDEX($AE$21:$AE$97,F360))-1</f>
        <v>0.561453537748561</v>
      </c>
      <c r="O360" s="489">
        <f>(1+INDEX($AF$21:$AF$97,B360))*(1+INDEX($AF$21:$AF$97,C360))*(1+INDEX($AF$21:$AF$97,D360))*(1+INDEX($AF$21:$AF$97,E360))*(1+INDEX($AF$21:$AF$97,F360))-1</f>
        <v>0.563729180199626</v>
      </c>
      <c r="P360" s="489">
        <f>LN((1+L360)/(1+H360))</f>
        <v>0.0239552695311164</v>
      </c>
      <c r="Q360" s="489">
        <f>LN((1+M360)/(1+H360))</f>
        <v>0.0343759067095516</v>
      </c>
      <c r="R360" s="489">
        <f>LN((1+N360)/(1+H360))</f>
        <v>0.0149097256342032</v>
      </c>
      <c r="S360" s="542">
        <f>LN((1+O360)/(1+H360))</f>
        <v>0.016366051909268</v>
      </c>
    </row>
    <row r="361">
      <c r="A361" s="320" t="n">
        <v>260</v>
      </c>
      <c r="B361" s="174" t="n">
        <v>60</v>
      </c>
      <c r="C361" s="174" t="n">
        <v>7</v>
      </c>
      <c r="D361" s="174" t="n">
        <v>40</v>
      </c>
      <c r="E361" s="174" t="n">
        <v>65</v>
      </c>
      <c r="F361" s="174" t="n">
        <v>60</v>
      </c>
      <c r="G361" s="68">
        <f>(1+INDEX($Z$21:$Z$97,B361))*(1+INDEX($Z$21:$Z$97,C361))*(1+INDEX($Z$21:$Z$97,D361))*(1+INDEX($Z$21:$Z$97,E361))*(1+INDEX($Z$21:$Z$97,F361))-1</f>
        <v>0.274468249339843</v>
      </c>
      <c r="H361" s="68">
        <f>(1+INDEX($AA$21:$AA$97,B361))*(1+INDEX($AA$21:$AA$97,C361))*(1+INDEX($AA$21:$AA$97,D361))*(1+INDEX($AA$21:$AA$97,E361))*(1+INDEX($AA$21:$AA$97,F361))-1</f>
        <v>0.331543443202727</v>
      </c>
      <c r="I361" s="68">
        <f>(1+INDEX($AB$21:$AB$97,B361))*(1+INDEX($AB$21:$AB$97,C361))*(1+INDEX($AB$21:$AB$97,D361))*(1+INDEX($AB$21:$AB$97,E361))*(1+INDEX($AB$21:$AB$97,F361))-1</f>
        <v>0.323049505245207</v>
      </c>
      <c r="J361" s="489">
        <f>LN((1+G361)/(1+H361))</f>
        <v>-0.0438097207284721</v>
      </c>
      <c r="K361" s="489">
        <f>LN((1+I361)/(1+H361))</f>
        <v>-0.00639944964076045</v>
      </c>
      <c r="L361" s="489">
        <f>(1+INDEX($AC$21:$AC$97,B361))*(1+INDEX($AC$21:$AC$97,C361))*(1+INDEX($AC$21:$AC$97,D361))*(1+INDEX($AC$21:$AC$97,E361))*(1+INDEX($AC$21:$AC$97,F361))-1</f>
        <v>0.358132183934101</v>
      </c>
      <c r="M361" s="489">
        <f>(1+INDEX($AD$21:$AD$97,B361))*(1+INDEX($AD$21:$AD$97,C361))*(1+INDEX($AD$21:$AD$97,D361))*(1+INDEX($AD$21:$AD$97,E361))*(1+INDEX($AD$21:$AD$97,F361))-1</f>
        <v>0.272551410008649</v>
      </c>
      <c r="N361" s="489">
        <f>(1+INDEX($AE$21:$AE$97,B361))*(1+INDEX($AE$21:$AE$97,C361))*(1+INDEX($AE$21:$AE$97,D361))*(1+INDEX($AE$21:$AE$97,E361))*(1+INDEX($AE$21:$AE$97,F361))-1</f>
        <v>0.368161834498372</v>
      </c>
      <c r="O361" s="489">
        <f>(1+INDEX($AF$21:$AF$97,B361))*(1+INDEX($AF$21:$AF$97,C361))*(1+INDEX($AF$21:$AF$97,D361))*(1+INDEX($AF$21:$AF$97,E361))*(1+INDEX($AF$21:$AF$97,F361))-1</f>
        <v>0.240332350613093</v>
      </c>
      <c r="P361" s="489">
        <f>LN((1+L361)/(1+H361))</f>
        <v>0.0197716086075705</v>
      </c>
      <c r="Q361" s="489">
        <f>LN((1+M361)/(1+H361))</f>
        <v>-0.0453148835850234</v>
      </c>
      <c r="R361" s="489">
        <f>LN((1+N361)/(1+H361))</f>
        <v>0.0271293592712404</v>
      </c>
      <c r="S361" s="542">
        <f>LN((1+O361)/(1+H361))</f>
        <v>-0.0709593846114025</v>
      </c>
    </row>
    <row r="362">
      <c r="A362" s="320" t="n">
        <v>261</v>
      </c>
      <c r="B362" s="174" t="n">
        <v>56</v>
      </c>
      <c r="C362" s="174" t="n">
        <v>19</v>
      </c>
      <c r="D362" s="174" t="n">
        <v>30</v>
      </c>
      <c r="E362" s="174" t="n">
        <v>33</v>
      </c>
      <c r="F362" s="174" t="n">
        <v>77</v>
      </c>
      <c r="G362" s="68">
        <f>(1+INDEX($Z$21:$Z$97,B362))*(1+INDEX($Z$21:$Z$97,C362))*(1+INDEX($Z$21:$Z$97,D362))*(1+INDEX($Z$21:$Z$97,E362))*(1+INDEX($Z$21:$Z$97,F362))-1</f>
        <v>0.428273811313893</v>
      </c>
      <c r="H362" s="68">
        <f>(1+INDEX($AA$21:$AA$97,B362))*(1+INDEX($AA$21:$AA$97,C362))*(1+INDEX($AA$21:$AA$97,D362))*(1+INDEX($AA$21:$AA$97,E362))*(1+INDEX($AA$21:$AA$97,F362))-1</f>
        <v>0.415914624041403</v>
      </c>
      <c r="I362" s="68">
        <f>(1+INDEX($AB$21:$AB$97,B362))*(1+INDEX($AB$21:$AB$97,C362))*(1+INDEX($AB$21:$AB$97,D362))*(1+INDEX($AB$21:$AB$97,E362))*(1+INDEX($AB$21:$AB$97,F362))-1</f>
        <v>0.45436992458106</v>
      </c>
      <c r="J362" s="489">
        <f>LN((1+G362)/(1+H362))</f>
        <v>0.00869089045660042</v>
      </c>
      <c r="K362" s="489">
        <f>LN((1+I362)/(1+H362))</f>
        <v>0.0267970656111376</v>
      </c>
      <c r="L362" s="489">
        <f>(1+INDEX($AC$21:$AC$97,B362))*(1+INDEX($AC$21:$AC$97,C362))*(1+INDEX($AC$21:$AC$97,D362))*(1+INDEX($AC$21:$AC$97,E362))*(1+INDEX($AC$21:$AC$97,F362))-1</f>
        <v>0.434622619891105</v>
      </c>
      <c r="M362" s="489">
        <f>(1+INDEX($AD$21:$AD$97,B362))*(1+INDEX($AD$21:$AD$97,C362))*(1+INDEX($AD$21:$AD$97,D362))*(1+INDEX($AD$21:$AD$97,E362))*(1+INDEX($AD$21:$AD$97,F362))-1</f>
        <v>0.462662564878122</v>
      </c>
      <c r="N362" s="489">
        <f>(1+INDEX($AE$21:$AE$97,B362))*(1+INDEX($AE$21:$AE$97,C362))*(1+INDEX($AE$21:$AE$97,D362))*(1+INDEX($AE$21:$AE$97,E362))*(1+INDEX($AE$21:$AE$97,F362))-1</f>
        <v>0.420792252743815</v>
      </c>
      <c r="O362" s="489">
        <f>(1+INDEX($AF$21:$AF$97,B362))*(1+INDEX($AF$21:$AF$97,C362))*(1+INDEX($AF$21:$AF$97,D362))*(1+INDEX($AF$21:$AF$97,E362))*(1+INDEX($AF$21:$AF$97,F362))-1</f>
        <v>0.449840256671104</v>
      </c>
      <c r="P362" s="489">
        <f>LN((1+L362)/(1+H362))</f>
        <v>0.013126132273585</v>
      </c>
      <c r="Q362" s="489">
        <f>LN((1+M362)/(1+H362))</f>
        <v>0.0324827497210683</v>
      </c>
      <c r="R362" s="489">
        <f>LN((1+N362)/(1+H362))</f>
        <v>0.00343894080094015</v>
      </c>
      <c r="S362" s="542">
        <f>LN((1+O362)/(1+H362))</f>
        <v>0.0236776828528174</v>
      </c>
    </row>
    <row r="363">
      <c r="A363" s="320" t="n">
        <v>262</v>
      </c>
      <c r="B363" s="174" t="n">
        <v>70</v>
      </c>
      <c r="C363" s="174" t="n">
        <v>63</v>
      </c>
      <c r="D363" s="174" t="n">
        <v>16</v>
      </c>
      <c r="E363" s="174" t="n">
        <v>61</v>
      </c>
      <c r="F363" s="174" t="n">
        <v>8</v>
      </c>
      <c r="G363" s="68">
        <f>(1+INDEX($Z$21:$Z$97,B363))*(1+INDEX($Z$21:$Z$97,C363))*(1+INDEX($Z$21:$Z$97,D363))*(1+INDEX($Z$21:$Z$97,E363))*(1+INDEX($Z$21:$Z$97,F363))-1</f>
        <v>-0.0858938530772488</v>
      </c>
      <c r="H363" s="68">
        <f>(1+INDEX($AA$21:$AA$97,B363))*(1+INDEX($AA$21:$AA$97,C363))*(1+INDEX($AA$21:$AA$97,D363))*(1+INDEX($AA$21:$AA$97,E363))*(1+INDEX($AA$21:$AA$97,F363))-1</f>
        <v>-0.0587731201309383</v>
      </c>
      <c r="I363" s="68">
        <f>(1+INDEX($AB$21:$AB$97,B363))*(1+INDEX($AB$21:$AB$97,C363))*(1+INDEX($AB$21:$AB$97,D363))*(1+INDEX($AB$21:$AB$97,E363))*(1+INDEX($AB$21:$AB$97,F363))-1</f>
        <v>-0.0834877785907953</v>
      </c>
      <c r="J363" s="489">
        <f>LN((1+G363)/(1+H363))</f>
        <v>-0.029237516392453</v>
      </c>
      <c r="K363" s="489">
        <f>LN((1+I363)/(1+H363))</f>
        <v>-0.0266088135305239</v>
      </c>
      <c r="L363" s="489">
        <f>(1+INDEX($AC$21:$AC$97,B363))*(1+INDEX($AC$21:$AC$97,C363))*(1+INDEX($AC$21:$AC$97,D363))*(1+INDEX($AC$21:$AC$97,E363))*(1+INDEX($AC$21:$AC$97,F363))-1</f>
        <v>-0.0865550619176153</v>
      </c>
      <c r="M363" s="489">
        <f>(1+INDEX($AD$21:$AD$97,B363))*(1+INDEX($AD$21:$AD$97,C363))*(1+INDEX($AD$21:$AD$97,D363))*(1+INDEX($AD$21:$AD$97,E363))*(1+INDEX($AD$21:$AD$97,F363))-1</f>
        <v>-0.104143949150936</v>
      </c>
      <c r="N363" s="489">
        <f>(1+INDEX($AE$21:$AE$97,B363))*(1+INDEX($AE$21:$AE$97,C363))*(1+INDEX($AE$21:$AE$97,D363))*(1+INDEX($AE$21:$AE$97,E363))*(1+INDEX($AE$21:$AE$97,F363))-1</f>
        <v>-0.0806977372435257</v>
      </c>
      <c r="O363" s="489">
        <f>(1+INDEX($AF$21:$AF$97,B363))*(1+INDEX($AF$21:$AF$97,C363))*(1+INDEX($AF$21:$AF$97,D363))*(1+INDEX($AF$21:$AF$97,E363))*(1+INDEX($AF$21:$AF$97,F363))-1</f>
        <v>-0.0783590246412198</v>
      </c>
      <c r="P363" s="489">
        <f>LN((1+L363)/(1+H363))</f>
        <v>-0.0299611173627813</v>
      </c>
      <c r="Q363" s="489">
        <f>LN((1+M363)/(1+H363))</f>
        <v>-0.0494044730587029</v>
      </c>
      <c r="R363" s="489">
        <f>LN((1+N363)/(1+H363))</f>
        <v>-0.0235692433349183</v>
      </c>
      <c r="S363" s="542">
        <f>LN((1+O363)/(1+H363))</f>
        <v>-0.0210284655292536</v>
      </c>
    </row>
    <row r="364">
      <c r="A364" s="320" t="n">
        <v>263</v>
      </c>
      <c r="B364" s="174" t="n">
        <v>28</v>
      </c>
      <c r="C364" s="174" t="n">
        <v>71</v>
      </c>
      <c r="D364" s="174" t="n">
        <v>10</v>
      </c>
      <c r="E364" s="174" t="n">
        <v>45</v>
      </c>
      <c r="F364" s="174" t="n">
        <v>31</v>
      </c>
      <c r="G364" s="68">
        <f>(1+INDEX($Z$21:$Z$97,B364))*(1+INDEX($Z$21:$Z$97,C364))*(1+INDEX($Z$21:$Z$97,D364))*(1+INDEX($Z$21:$Z$97,E364))*(1+INDEX($Z$21:$Z$97,F364))-1</f>
        <v>0.431813427018924</v>
      </c>
      <c r="H364" s="68">
        <f>(1+INDEX($AA$21:$AA$97,B364))*(1+INDEX($AA$21:$AA$97,C364))*(1+INDEX($AA$21:$AA$97,D364))*(1+INDEX($AA$21:$AA$97,E364))*(1+INDEX($AA$21:$AA$97,F364))-1</f>
        <v>0.475050458072249</v>
      </c>
      <c r="I364" s="68">
        <f>(1+INDEX($AB$21:$AB$97,B364))*(1+INDEX($AB$21:$AB$97,C364))*(1+INDEX($AB$21:$AB$97,D364))*(1+INDEX($AB$21:$AB$97,E364))*(1+INDEX($AB$21:$AB$97,F364))-1</f>
        <v>0.506872779387677</v>
      </c>
      <c r="J364" s="489">
        <f>LN((1+G364)/(1+H364))</f>
        <v>-0.0297504264136372</v>
      </c>
      <c r="K364" s="489">
        <f>LN((1+I364)/(1+H364))</f>
        <v>0.0213442982290301</v>
      </c>
      <c r="L364" s="489">
        <f>(1+INDEX($AC$21:$AC$97,B364))*(1+INDEX($AC$21:$AC$97,C364))*(1+INDEX($AC$21:$AC$97,D364))*(1+INDEX($AC$21:$AC$97,E364))*(1+INDEX($AC$21:$AC$97,F364))-1</f>
        <v>0.485495898062153</v>
      </c>
      <c r="M364" s="489">
        <f>(1+INDEX($AD$21:$AD$97,B364))*(1+INDEX($AD$21:$AD$97,C364))*(1+INDEX($AD$21:$AD$97,D364))*(1+INDEX($AD$21:$AD$97,E364))*(1+INDEX($AD$21:$AD$97,F364))-1</f>
        <v>0.527067619407065</v>
      </c>
      <c r="N364" s="489">
        <f>(1+INDEX($AE$21:$AE$97,B364))*(1+INDEX($AE$21:$AE$97,C364))*(1+INDEX($AE$21:$AE$97,D364))*(1+INDEX($AE$21:$AE$97,E364))*(1+INDEX($AE$21:$AE$97,F364))-1</f>
        <v>0.483642822104785</v>
      </c>
      <c r="O364" s="489">
        <f>(1+INDEX($AF$21:$AF$97,B364))*(1+INDEX($AF$21:$AF$97,C364))*(1+INDEX($AF$21:$AF$97,D364))*(1+INDEX($AF$21:$AF$97,E364))*(1+INDEX($AF$21:$AF$97,F364))-1</f>
        <v>0.516174277446579</v>
      </c>
      <c r="P364" s="489">
        <f>LN((1+L364)/(1+H364))</f>
        <v>0.00705645652952643</v>
      </c>
      <c r="Q364" s="489">
        <f>LN((1+M364)/(1+H364))</f>
        <v>0.0346571097062006</v>
      </c>
      <c r="R364" s="489">
        <f>LN((1+N364)/(1+H364))</f>
        <v>0.00580823179325317</v>
      </c>
      <c r="S364" s="542">
        <f>LN((1+O364)/(1+H364))</f>
        <v>0.0274980412815645</v>
      </c>
    </row>
    <row r="365">
      <c r="A365" s="320" t="n">
        <v>264</v>
      </c>
      <c r="B365" s="174" t="n">
        <v>4</v>
      </c>
      <c r="C365" s="174" t="n">
        <v>63</v>
      </c>
      <c r="D365" s="174" t="n">
        <v>52</v>
      </c>
      <c r="E365" s="174" t="n">
        <v>60</v>
      </c>
      <c r="F365" s="174" t="n">
        <v>11</v>
      </c>
      <c r="G365" s="68">
        <f>(1+INDEX($Z$21:$Z$97,B365))*(1+INDEX($Z$21:$Z$97,C365))*(1+INDEX($Z$21:$Z$97,D365))*(1+INDEX($Z$21:$Z$97,E365))*(1+INDEX($Z$21:$Z$97,F365))-1</f>
        <v>0.330219574330635</v>
      </c>
      <c r="H365" s="68">
        <f>(1+INDEX($AA$21:$AA$97,B365))*(1+INDEX($AA$21:$AA$97,C365))*(1+INDEX($AA$21:$AA$97,D365))*(1+INDEX($AA$21:$AA$97,E365))*(1+INDEX($AA$21:$AA$97,F365))-1</f>
        <v>0.314299903381435</v>
      </c>
      <c r="I365" s="68">
        <f>(1+INDEX($AB$21:$AB$97,B365))*(1+INDEX($AB$21:$AB$97,C365))*(1+INDEX($AB$21:$AB$97,D365))*(1+INDEX($AB$21:$AB$97,E365))*(1+INDEX($AB$21:$AB$97,F365))-1</f>
        <v>0.307542028845611</v>
      </c>
      <c r="J365" s="489">
        <f>LN((1+G365)/(1+H365))</f>
        <v>0.0120398910964175</v>
      </c>
      <c r="K365" s="489">
        <f>LN((1+I365)/(1+H365))</f>
        <v>-0.00515507011958677</v>
      </c>
      <c r="L365" s="489">
        <f>(1+INDEX($AC$21:$AC$97,B365))*(1+INDEX($AC$21:$AC$97,C365))*(1+INDEX($AC$21:$AC$97,D365))*(1+INDEX($AC$21:$AC$97,E365))*(1+INDEX($AC$21:$AC$97,F365))-1</f>
        <v>0.338370454834101</v>
      </c>
      <c r="M365" s="489">
        <f>(1+INDEX($AD$21:$AD$97,B365))*(1+INDEX($AD$21:$AD$97,C365))*(1+INDEX($AD$21:$AD$97,D365))*(1+INDEX($AD$21:$AD$97,E365))*(1+INDEX($AD$21:$AD$97,F365))-1</f>
        <v>0.283790397850897</v>
      </c>
      <c r="N365" s="489">
        <f>(1+INDEX($AE$21:$AE$97,B365))*(1+INDEX($AE$21:$AE$97,C365))*(1+INDEX($AE$21:$AE$97,D365))*(1+INDEX($AE$21:$AE$97,E365))*(1+INDEX($AE$21:$AE$97,F365))-1</f>
        <v>0.325026801261718</v>
      </c>
      <c r="O365" s="489">
        <f>(1+INDEX($AF$21:$AF$97,B365))*(1+INDEX($AF$21:$AF$97,C365))*(1+INDEX($AF$21:$AF$97,D365))*(1+INDEX($AF$21:$AF$97,E365))*(1+INDEX($AF$21:$AF$97,F365))-1</f>
        <v>0.295297913516359</v>
      </c>
      <c r="P365" s="489">
        <f>LN((1+L365)/(1+H365))</f>
        <v>0.0181486644648602</v>
      </c>
      <c r="Q365" s="489">
        <f>LN((1+M365)/(1+H365))</f>
        <v>-0.023487180599224</v>
      </c>
      <c r="R365" s="489">
        <f>LN((1+N365)/(1+H365))</f>
        <v>0.00812855560845315</v>
      </c>
      <c r="S365" s="542">
        <f>LN((1+O365)/(1+H365))</f>
        <v>-0.0145634132508385</v>
      </c>
    </row>
    <row r="366">
      <c r="A366" s="320" t="n">
        <v>265</v>
      </c>
      <c r="B366" s="174" t="n">
        <v>15</v>
      </c>
      <c r="C366" s="174" t="n">
        <v>73</v>
      </c>
      <c r="D366" s="174" t="n">
        <v>3</v>
      </c>
      <c r="E366" s="174" t="n">
        <v>32</v>
      </c>
      <c r="F366" s="174" t="n">
        <v>17</v>
      </c>
      <c r="G366" s="68">
        <f>(1+INDEX($Z$21:$Z$97,B366))*(1+INDEX($Z$21:$Z$97,C366))*(1+INDEX($Z$21:$Z$97,D366))*(1+INDEX($Z$21:$Z$97,E366))*(1+INDEX($Z$21:$Z$97,F366))-1</f>
        <v>0.421014804908642</v>
      </c>
      <c r="H366" s="68">
        <f>(1+INDEX($AA$21:$AA$97,B366))*(1+INDEX($AA$21:$AA$97,C366))*(1+INDEX($AA$21:$AA$97,D366))*(1+INDEX($AA$21:$AA$97,E366))*(1+INDEX($AA$21:$AA$97,F366))-1</f>
        <v>0.358031772484162</v>
      </c>
      <c r="I366" s="68">
        <f>(1+INDEX($AB$21:$AB$97,B366))*(1+INDEX($AB$21:$AB$97,C366))*(1+INDEX($AB$21:$AB$97,D366))*(1+INDEX($AB$21:$AB$97,E366))*(1+INDEX($AB$21:$AB$97,F366))-1</f>
        <v>0.391999532427173</v>
      </c>
      <c r="J366" s="489">
        <f>LN((1+G366)/(1+H366))</f>
        <v>0.045334842325435</v>
      </c>
      <c r="K366" s="489">
        <f>LN((1+I366)/(1+H366))</f>
        <v>0.0247048006219764</v>
      </c>
      <c r="L366" s="489">
        <f>(1+INDEX($AC$21:$AC$97,B366))*(1+INDEX($AC$21:$AC$97,C366))*(1+INDEX($AC$21:$AC$97,D366))*(1+INDEX($AC$21:$AC$97,E366))*(1+INDEX($AC$21:$AC$97,F366))-1</f>
        <v>0.364780474216584</v>
      </c>
      <c r="M366" s="489">
        <f>(1+INDEX($AD$21:$AD$97,B366))*(1+INDEX($AD$21:$AD$97,C366))*(1+INDEX($AD$21:$AD$97,D366))*(1+INDEX($AD$21:$AD$97,E366))*(1+INDEX($AD$21:$AD$97,F366))-1</f>
        <v>0.401934560786826</v>
      </c>
      <c r="N366" s="489">
        <f>(1+INDEX($AE$21:$AE$97,B366))*(1+INDEX($AE$21:$AE$97,C366))*(1+INDEX($AE$21:$AE$97,D366))*(1+INDEX($AE$21:$AE$97,E366))*(1+INDEX($AE$21:$AE$97,F366))-1</f>
        <v>0.350963795753733</v>
      </c>
      <c r="O366" s="489">
        <f>(1+INDEX($AF$21:$AF$97,B366))*(1+INDEX($AF$21:$AF$97,C366))*(1+INDEX($AF$21:$AF$97,D366))*(1+INDEX($AF$21:$AF$97,E366))*(1+INDEX($AF$21:$AF$97,F366))-1</f>
        <v>0.356685637577334</v>
      </c>
      <c r="P366" s="489">
        <f>LN((1+L366)/(1+H366))</f>
        <v>0.00495716556330567</v>
      </c>
      <c r="Q366" s="489">
        <f>LN((1+M366)/(1+H366))</f>
        <v>0.0318166865172095</v>
      </c>
      <c r="R366" s="489">
        <f>LN((1+N366)/(1+H366))</f>
        <v>-0.00521816488093511</v>
      </c>
      <c r="S366" s="542">
        <f>LN((1+O366)/(1+H366))</f>
        <v>-0.000991731229312856</v>
      </c>
    </row>
    <row r="367">
      <c r="A367" s="320" t="n">
        <v>266</v>
      </c>
      <c r="B367" s="174" t="n">
        <v>4</v>
      </c>
      <c r="C367" s="174" t="n">
        <v>40</v>
      </c>
      <c r="D367" s="174" t="n">
        <v>6</v>
      </c>
      <c r="E367" s="174" t="n">
        <v>26</v>
      </c>
      <c r="F367" s="174" t="n">
        <v>56</v>
      </c>
      <c r="G367" s="68">
        <f>(1+INDEX($Z$21:$Z$97,B367))*(1+INDEX($Z$21:$Z$97,C367))*(1+INDEX($Z$21:$Z$97,D367))*(1+INDEX($Z$21:$Z$97,E367))*(1+INDEX($Z$21:$Z$97,F367))-1</f>
        <v>0.207731575112996</v>
      </c>
      <c r="H367" s="68">
        <f>(1+INDEX($AA$21:$AA$97,B367))*(1+INDEX($AA$21:$AA$97,C367))*(1+INDEX($AA$21:$AA$97,D367))*(1+INDEX($AA$21:$AA$97,E367))*(1+INDEX($AA$21:$AA$97,F367))-1</f>
        <v>0.219851770091918</v>
      </c>
      <c r="I367" s="68">
        <f>(1+INDEX($AB$21:$AB$97,B367))*(1+INDEX($AB$21:$AB$97,C367))*(1+INDEX($AB$21:$AB$97,D367))*(1+INDEX($AB$21:$AB$97,E367))*(1+INDEX($AB$21:$AB$97,F367))-1</f>
        <v>0.212514977849831</v>
      </c>
      <c r="J367" s="489">
        <f>LN((1+G367)/(1+H367))</f>
        <v>-0.00998548264987676</v>
      </c>
      <c r="K367" s="489">
        <f>LN((1+I367)/(1+H367))</f>
        <v>-0.00603265481974869</v>
      </c>
      <c r="L367" s="489">
        <f>(1+INDEX($AC$21:$AC$97,B367))*(1+INDEX($AC$21:$AC$97,C367))*(1+INDEX($AC$21:$AC$97,D367))*(1+INDEX($AC$21:$AC$97,E367))*(1+INDEX($AC$21:$AC$97,F367))-1</f>
        <v>0.211989491507275</v>
      </c>
      <c r="M367" s="489">
        <f>(1+INDEX($AD$21:$AD$97,B367))*(1+INDEX($AD$21:$AD$97,C367))*(1+INDEX($AD$21:$AD$97,D367))*(1+INDEX($AD$21:$AD$97,E367))*(1+INDEX($AD$21:$AD$97,F367))-1</f>
        <v>0.198085053684907</v>
      </c>
      <c r="N367" s="489">
        <f>(1+INDEX($AE$21:$AE$97,B367))*(1+INDEX($AE$21:$AE$97,C367))*(1+INDEX($AE$21:$AE$97,D367))*(1+INDEX($AE$21:$AE$97,E367))*(1+INDEX($AE$21:$AE$97,F367))-1</f>
        <v>0.182044523229496</v>
      </c>
      <c r="O367" s="489">
        <f>(1+INDEX($AF$21:$AF$97,B367))*(1+INDEX($AF$21:$AF$97,C367))*(1+INDEX($AF$21:$AF$97,D367))*(1+INDEX($AF$21:$AF$97,E367))*(1+INDEX($AF$21:$AF$97,F367))-1</f>
        <v>0.252690937972919</v>
      </c>
      <c r="P367" s="489">
        <f>LN((1+L367)/(1+H367))</f>
        <v>-0.00646613420279468</v>
      </c>
      <c r="Q367" s="489">
        <f>LN((1+M367)/(1+H367))</f>
        <v>-0.0180048578675751</v>
      </c>
      <c r="R367" s="489">
        <f>LN((1+N367)/(1+H367))</f>
        <v>-0.0314837654574485</v>
      </c>
      <c r="S367" s="542">
        <f>LN((1+O367)/(1+H367))</f>
        <v>0.0265646364068166</v>
      </c>
    </row>
    <row r="368">
      <c r="A368" s="320" t="n">
        <v>267</v>
      </c>
      <c r="B368" s="174" t="n">
        <v>28</v>
      </c>
      <c r="C368" s="174" t="n">
        <v>47</v>
      </c>
      <c r="D368" s="174" t="n">
        <v>73</v>
      </c>
      <c r="E368" s="174" t="n">
        <v>20</v>
      </c>
      <c r="F368" s="174" t="n">
        <v>77</v>
      </c>
      <c r="G368" s="68">
        <f>(1+INDEX($Z$21:$Z$97,B368))*(1+INDEX($Z$21:$Z$97,C368))*(1+INDEX($Z$21:$Z$97,D368))*(1+INDEX($Z$21:$Z$97,E368))*(1+INDEX($Z$21:$Z$97,F368))-1</f>
        <v>0.462924534910491</v>
      </c>
      <c r="H368" s="68">
        <f>(1+INDEX($AA$21:$AA$97,B368))*(1+INDEX($AA$21:$AA$97,C368))*(1+INDEX($AA$21:$AA$97,D368))*(1+INDEX($AA$21:$AA$97,E368))*(1+INDEX($AA$21:$AA$97,F368))-1</f>
        <v>0.468886824635471</v>
      </c>
      <c r="I368" s="68">
        <f>(1+INDEX($AB$21:$AB$97,B368))*(1+INDEX($AB$21:$AB$97,C368))*(1+INDEX($AB$21:$AB$97,D368))*(1+INDEX($AB$21:$AB$97,E368))*(1+INDEX($AB$21:$AB$97,F368))-1</f>
        <v>0.538322013254135</v>
      </c>
      <c r="J368" s="489">
        <f>LN((1+G368)/(1+H368))</f>
        <v>-0.00406731348870514</v>
      </c>
      <c r="K368" s="489">
        <f>LN((1+I368)/(1+H368))</f>
        <v>0.0461873688248416</v>
      </c>
      <c r="L368" s="489">
        <f>(1+INDEX($AC$21:$AC$97,B368))*(1+INDEX($AC$21:$AC$97,C368))*(1+INDEX($AC$21:$AC$97,D368))*(1+INDEX($AC$21:$AC$97,E368))*(1+INDEX($AC$21:$AC$97,F368))-1</f>
        <v>0.526104725627565</v>
      </c>
      <c r="M368" s="489">
        <f>(1+INDEX($AD$21:$AD$97,B368))*(1+INDEX($AD$21:$AD$97,C368))*(1+INDEX($AD$21:$AD$97,D368))*(1+INDEX($AD$21:$AD$97,E368))*(1+INDEX($AD$21:$AD$97,F368))-1</f>
        <v>0.505743775146734</v>
      </c>
      <c r="N368" s="489">
        <f>(1+INDEX($AE$21:$AE$97,B368))*(1+INDEX($AE$21:$AE$97,C368))*(1+INDEX($AE$21:$AE$97,D368))*(1+INDEX($AE$21:$AE$97,E368))*(1+INDEX($AE$21:$AE$97,F368))-1</f>
        <v>0.503620911892413</v>
      </c>
      <c r="O368" s="489">
        <f>(1+INDEX($AF$21:$AF$97,B368))*(1+INDEX($AF$21:$AF$97,C368))*(1+INDEX($AF$21:$AF$97,D368))*(1+INDEX($AF$21:$AF$97,E368))*(1+INDEX($AF$21:$AF$97,F368))-1</f>
        <v>0.479396380563184</v>
      </c>
      <c r="P368" s="489">
        <f>LN((1+L368)/(1+H368))</f>
        <v>0.0382137062784143</v>
      </c>
      <c r="Q368" s="489">
        <f>LN((1+M368)/(1+H368))</f>
        <v>0.0247821271080936</v>
      </c>
      <c r="R368" s="489">
        <f>LN((1+N368)/(1+H368))</f>
        <v>0.0233712887237745</v>
      </c>
      <c r="S368" s="542">
        <f>LN((1+O368)/(1+H368))</f>
        <v>0.00712930184128569</v>
      </c>
    </row>
    <row r="369">
      <c r="A369" s="320" t="n">
        <v>268</v>
      </c>
      <c r="B369" s="174" t="n">
        <v>38</v>
      </c>
      <c r="C369" s="174" t="n">
        <v>54</v>
      </c>
      <c r="D369" s="174" t="n">
        <v>22</v>
      </c>
      <c r="E369" s="174" t="n">
        <v>64</v>
      </c>
      <c r="F369" s="174" t="n">
        <v>73</v>
      </c>
      <c r="G369" s="68">
        <f>(1+INDEX($Z$21:$Z$97,B369))*(1+INDEX($Z$21:$Z$97,C369))*(1+INDEX($Z$21:$Z$97,D369))*(1+INDEX($Z$21:$Z$97,E369))*(1+INDEX($Z$21:$Z$97,F369))-1</f>
        <v>0.0122909386102124</v>
      </c>
      <c r="H369" s="68">
        <f>(1+INDEX($AA$21:$AA$97,B369))*(1+INDEX($AA$21:$AA$97,C369))*(1+INDEX($AA$21:$AA$97,D369))*(1+INDEX($AA$21:$AA$97,E369))*(1+INDEX($AA$21:$AA$97,F369))-1</f>
        <v>0.0109630110001742</v>
      </c>
      <c r="I369" s="68">
        <f>(1+INDEX($AB$21:$AB$97,B369))*(1+INDEX($AB$21:$AB$97,C369))*(1+INDEX($AB$21:$AB$97,D369))*(1+INDEX($AB$21:$AB$97,E369))*(1+INDEX($AB$21:$AB$97,F369))-1</f>
        <v>0.0197186370288849</v>
      </c>
      <c r="J369" s="489">
        <f>LN((1+G369)/(1+H369))</f>
        <v>0.00131266547234195</v>
      </c>
      <c r="K369" s="489">
        <f>LN((1+I369)/(1+H369))</f>
        <v>0.00862339037231701</v>
      </c>
      <c r="L369" s="489">
        <f>(1+INDEX($AC$21:$AC$97,B369))*(1+INDEX($AC$21:$AC$97,C369))*(1+INDEX($AC$21:$AC$97,D369))*(1+INDEX($AC$21:$AC$97,E369))*(1+INDEX($AC$21:$AC$97,F369))-1</f>
        <v>0.00134897337994411</v>
      </c>
      <c r="M369" s="489">
        <f>(1+INDEX($AD$21:$AD$97,B369))*(1+INDEX($AD$21:$AD$97,C369))*(1+INDEX($AD$21:$AD$97,D369))*(1+INDEX($AD$21:$AD$97,E369))*(1+INDEX($AD$21:$AD$97,F369))-1</f>
        <v>0.021615524221495</v>
      </c>
      <c r="N369" s="489">
        <f>(1+INDEX($AE$21:$AE$97,B369))*(1+INDEX($AE$21:$AE$97,C369))*(1+INDEX($AE$21:$AE$97,D369))*(1+INDEX($AE$21:$AE$97,E369))*(1+INDEX($AE$21:$AE$97,F369))-1</f>
        <v>-0.00678600044055666</v>
      </c>
      <c r="O369" s="489">
        <f>(1+INDEX($AF$21:$AF$97,B369))*(1+INDEX($AF$21:$AF$97,C369))*(1+INDEX($AF$21:$AF$97,D369))*(1+INDEX($AF$21:$AF$97,E369))*(1+INDEX($AF$21:$AF$97,F369))-1</f>
        <v>0.0181843300333675</v>
      </c>
      <c r="P369" s="489">
        <f>LN((1+L369)/(1+H369))</f>
        <v>-0.00955528848844757</v>
      </c>
      <c r="Q369" s="489">
        <f>LN((1+M369)/(1+H369))</f>
        <v>0.0104818687876554</v>
      </c>
      <c r="R369" s="489">
        <f>LN((1+N369)/(1+H369))</f>
        <v>-0.0177124828604759</v>
      </c>
      <c r="S369" s="542">
        <f>LN((1+O369)/(1+H369))</f>
        <v>0.00711761967546232</v>
      </c>
    </row>
    <row r="370">
      <c r="A370" s="320" t="n">
        <v>269</v>
      </c>
      <c r="B370" s="174" t="n">
        <v>41</v>
      </c>
      <c r="C370" s="174" t="n">
        <v>47</v>
      </c>
      <c r="D370" s="174" t="n">
        <v>42</v>
      </c>
      <c r="E370" s="174" t="n">
        <v>30</v>
      </c>
      <c r="F370" s="174" t="n">
        <v>66</v>
      </c>
      <c r="G370" s="68">
        <f>(1+INDEX($Z$21:$Z$97,B370))*(1+INDEX($Z$21:$Z$97,C370))*(1+INDEX($Z$21:$Z$97,D370))*(1+INDEX($Z$21:$Z$97,E370))*(1+INDEX($Z$21:$Z$97,F370))-1</f>
        <v>0.696311891984645</v>
      </c>
      <c r="H370" s="68">
        <f>(1+INDEX($AA$21:$AA$97,B370))*(1+INDEX($AA$21:$AA$97,C370))*(1+INDEX($AA$21:$AA$97,D370))*(1+INDEX($AA$21:$AA$97,E370))*(1+INDEX($AA$21:$AA$97,F370))-1</f>
        <v>0.638853843497948</v>
      </c>
      <c r="I370" s="68">
        <f>(1+INDEX($AB$21:$AB$97,B370))*(1+INDEX($AB$21:$AB$97,C370))*(1+INDEX($AB$21:$AB$97,D370))*(1+INDEX($AB$21:$AB$97,E370))*(1+INDEX($AB$21:$AB$97,F370))-1</f>
        <v>0.707975679923798</v>
      </c>
      <c r="J370" s="489">
        <f>LN((1+G370)/(1+H370))</f>
        <v>0.0344592974456868</v>
      </c>
      <c r="K370" s="489">
        <f>LN((1+I370)/(1+H370))</f>
        <v>0.041311734751905</v>
      </c>
      <c r="L370" s="489">
        <f>(1+INDEX($AC$21:$AC$97,B370))*(1+INDEX($AC$21:$AC$97,C370))*(1+INDEX($AC$21:$AC$97,D370))*(1+INDEX($AC$21:$AC$97,E370))*(1+INDEX($AC$21:$AC$97,F370))-1</f>
        <v>0.712597186451051</v>
      </c>
      <c r="M370" s="489">
        <f>(1+INDEX($AD$21:$AD$97,B370))*(1+INDEX($AD$21:$AD$97,C370))*(1+INDEX($AD$21:$AD$97,D370))*(1+INDEX($AD$21:$AD$97,E370))*(1+INDEX($AD$21:$AD$97,F370))-1</f>
        <v>0.691381670879168</v>
      </c>
      <c r="N370" s="489">
        <f>(1+INDEX($AE$21:$AE$97,B370))*(1+INDEX($AE$21:$AE$97,C370))*(1+INDEX($AE$21:$AE$97,D370))*(1+INDEX($AE$21:$AE$97,E370))*(1+INDEX($AE$21:$AE$97,F370))-1</f>
        <v>0.712000414514268</v>
      </c>
      <c r="O370" s="489">
        <f>(1+INDEX($AF$21:$AF$97,B370))*(1+INDEX($AF$21:$AF$97,C370))*(1+INDEX($AF$21:$AF$97,D370))*(1+INDEX($AF$21:$AF$97,E370))*(1+INDEX($AF$21:$AF$97,F370))-1</f>
        <v>0.699997361507472</v>
      </c>
      <c r="P370" s="489">
        <f>LN((1+L370)/(1+H370))</f>
        <v>0.0440139191636406</v>
      </c>
      <c r="Q370" s="489">
        <f>LN((1+M370)/(1+H370))</f>
        <v>0.0315486300581453</v>
      </c>
      <c r="R370" s="489">
        <f>LN((1+N370)/(1+H370))</f>
        <v>0.0436653982497354</v>
      </c>
      <c r="S370" s="542">
        <f>LN((1+O370)/(1+H370))</f>
        <v>0.0366295774139318</v>
      </c>
    </row>
    <row r="371">
      <c r="A371" s="320" t="n">
        <v>270</v>
      </c>
      <c r="B371" s="174" t="n">
        <v>67</v>
      </c>
      <c r="C371" s="174" t="n">
        <v>46</v>
      </c>
      <c r="D371" s="174" t="n">
        <v>27</v>
      </c>
      <c r="E371" s="174" t="n">
        <v>23</v>
      </c>
      <c r="F371" s="174" t="n">
        <v>62</v>
      </c>
      <c r="G371" s="68">
        <f>(1+INDEX($Z$21:$Z$97,B371))*(1+INDEX($Z$21:$Z$97,C371))*(1+INDEX($Z$21:$Z$97,D371))*(1+INDEX($Z$21:$Z$97,E371))*(1+INDEX($Z$21:$Z$97,F371))-1</f>
        <v>0.516237811543755</v>
      </c>
      <c r="H371" s="68">
        <f>(1+INDEX($AA$21:$AA$97,B371))*(1+INDEX($AA$21:$AA$97,C371))*(1+INDEX($AA$21:$AA$97,D371))*(1+INDEX($AA$21:$AA$97,E371))*(1+INDEX($AA$21:$AA$97,F371))-1</f>
        <v>0.501692033188618</v>
      </c>
      <c r="I371" s="68">
        <f>(1+INDEX($AB$21:$AB$97,B371))*(1+INDEX($AB$21:$AB$97,C371))*(1+INDEX($AB$21:$AB$97,D371))*(1+INDEX($AB$21:$AB$97,E371))*(1+INDEX($AB$21:$AB$97,F371))-1</f>
        <v>0.555615880641635</v>
      </c>
      <c r="J371" s="489">
        <f>LN((1+G371)/(1+H371))</f>
        <v>0.0096396481956512</v>
      </c>
      <c r="K371" s="489">
        <f>LN((1+I371)/(1+H371))</f>
        <v>0.0352790374445863</v>
      </c>
      <c r="L371" s="489">
        <f>(1+INDEX($AC$21:$AC$97,B371))*(1+INDEX($AC$21:$AC$97,C371))*(1+INDEX($AC$21:$AC$97,D371))*(1+INDEX($AC$21:$AC$97,E371))*(1+INDEX($AC$21:$AC$97,F371))-1</f>
        <v>0.575708485241844</v>
      </c>
      <c r="M371" s="489">
        <f>(1+INDEX($AD$21:$AD$97,B371))*(1+INDEX($AD$21:$AD$97,C371))*(1+INDEX($AD$21:$AD$97,D371))*(1+INDEX($AD$21:$AD$97,E371))*(1+INDEX($AD$21:$AD$97,F371))-1</f>
        <v>0.501719573107579</v>
      </c>
      <c r="N371" s="489">
        <f>(1+INDEX($AE$21:$AE$97,B371))*(1+INDEX($AE$21:$AE$97,C371))*(1+INDEX($AE$21:$AE$97,D371))*(1+INDEX($AE$21:$AE$97,E371))*(1+INDEX($AE$21:$AE$97,F371))-1</f>
        <v>0.570153172942908</v>
      </c>
      <c r="O371" s="489">
        <f>(1+INDEX($AF$21:$AF$97,B371))*(1+INDEX($AF$21:$AF$97,C371))*(1+INDEX($AF$21:$AF$97,D371))*(1+INDEX($AF$21:$AF$97,E371))*(1+INDEX($AF$21:$AF$97,F371))-1</f>
        <v>0.47141532248114</v>
      </c>
      <c r="P371" s="489">
        <f>LN((1+L371)/(1+H371))</f>
        <v>0.04811250853815</v>
      </c>
      <c r="Q371" s="489">
        <f>LN((1+M371)/(1+H371))</f>
        <v>1.83390907224621e-05</v>
      </c>
      <c r="R371" s="489">
        <f>LN((1+N371)/(1+H371))</f>
        <v>0.0445806824903428</v>
      </c>
      <c r="S371" s="542">
        <f>LN((1+O371)/(1+H371))</f>
        <v>-0.0203677524942832</v>
      </c>
    </row>
    <row r="372">
      <c r="A372" s="320" t="n">
        <v>271</v>
      </c>
      <c r="B372" s="174" t="n">
        <v>3</v>
      </c>
      <c r="C372" s="174" t="n">
        <v>65</v>
      </c>
      <c r="D372" s="174" t="n">
        <v>53</v>
      </c>
      <c r="E372" s="174" t="n">
        <v>54</v>
      </c>
      <c r="F372" s="174" t="n">
        <v>62</v>
      </c>
      <c r="G372" s="68">
        <f>(1+INDEX($Z$21:$Z$97,B372))*(1+INDEX($Z$21:$Z$97,C372))*(1+INDEX($Z$21:$Z$97,D372))*(1+INDEX($Z$21:$Z$97,E372))*(1+INDEX($Z$21:$Z$97,F372))-1</f>
        <v>-0.013997969625512</v>
      </c>
      <c r="H372" s="68">
        <f>(1+INDEX($AA$21:$AA$97,B372))*(1+INDEX($AA$21:$AA$97,C372))*(1+INDEX($AA$21:$AA$97,D372))*(1+INDEX($AA$21:$AA$97,E372))*(1+INDEX($AA$21:$AA$97,F372))-1</f>
        <v>0.0159722499166006</v>
      </c>
      <c r="I372" s="68">
        <f>(1+INDEX($AB$21:$AB$97,B372))*(1+INDEX($AB$21:$AB$97,C372))*(1+INDEX($AB$21:$AB$97,D372))*(1+INDEX($AB$21:$AB$97,E372))*(1+INDEX($AB$21:$AB$97,F372))-1</f>
        <v>-0.000549751765461792</v>
      </c>
      <c r="J372" s="489">
        <f>LN((1+G372)/(1+H372))</f>
        <v>-0.0299429008873565</v>
      </c>
      <c r="K372" s="489">
        <f>LN((1+I372)/(1+H372))</f>
        <v>-0.0163959386434391</v>
      </c>
      <c r="L372" s="489">
        <f>(1+INDEX($AC$21:$AC$97,B372))*(1+INDEX($AC$21:$AC$97,C372))*(1+INDEX($AC$21:$AC$97,D372))*(1+INDEX($AC$21:$AC$97,E372))*(1+INDEX($AC$21:$AC$97,F372))-1</f>
        <v>0.00257265470848123</v>
      </c>
      <c r="M372" s="489">
        <f>(1+INDEX($AD$21:$AD$97,B372))*(1+INDEX($AD$21:$AD$97,C372))*(1+INDEX($AD$21:$AD$97,D372))*(1+INDEX($AD$21:$AD$97,E372))*(1+INDEX($AD$21:$AD$97,F372))-1</f>
        <v>-0.00189671564011706</v>
      </c>
      <c r="N372" s="489">
        <f>(1+INDEX($AE$21:$AE$97,B372))*(1+INDEX($AE$21:$AE$97,C372))*(1+INDEX($AE$21:$AE$97,D372))*(1+INDEX($AE$21:$AE$97,E372))*(1+INDEX($AE$21:$AE$97,F372))-1</f>
        <v>-0.00181326799665948</v>
      </c>
      <c r="O372" s="489">
        <f>(1+INDEX($AF$21:$AF$97,B372))*(1+INDEX($AF$21:$AF$97,C372))*(1+INDEX($AF$21:$AF$97,D372))*(1+INDEX($AF$21:$AF$97,E372))*(1+INDEX($AF$21:$AF$97,F372))-1</f>
        <v>0.0199722912390052</v>
      </c>
      <c r="P372" s="489">
        <f>LN((1+L372)/(1+H372))</f>
        <v>-0.0132766846118916</v>
      </c>
      <c r="Q372" s="489">
        <f>LN((1+M372)/(1+H372))</f>
        <v>-0.0177445523920339</v>
      </c>
      <c r="R372" s="489">
        <f>LN((1+N372)/(1+H372))</f>
        <v>-0.0176609496661553</v>
      </c>
      <c r="S372" s="542">
        <f>LN((1+O372)/(1+H372))</f>
        <v>0.00392942576616708</v>
      </c>
    </row>
    <row r="373">
      <c r="A373" s="320" t="n">
        <v>272</v>
      </c>
      <c r="B373" s="174" t="n">
        <v>68</v>
      </c>
      <c r="C373" s="174" t="n">
        <v>40</v>
      </c>
      <c r="D373" s="174" t="n">
        <v>8</v>
      </c>
      <c r="E373" s="174" t="n">
        <v>5</v>
      </c>
      <c r="F373" s="174" t="n">
        <v>57</v>
      </c>
      <c r="G373" s="68">
        <f>(1+INDEX($Z$21:$Z$97,B373))*(1+INDEX($Z$21:$Z$97,C373))*(1+INDEX($Z$21:$Z$97,D373))*(1+INDEX($Z$21:$Z$97,E373))*(1+INDEX($Z$21:$Z$97,F373))-1</f>
        <v>0.0725154898963827</v>
      </c>
      <c r="H373" s="68">
        <f>(1+INDEX($AA$21:$AA$97,B373))*(1+INDEX($AA$21:$AA$97,C373))*(1+INDEX($AA$21:$AA$97,D373))*(1+INDEX($AA$21:$AA$97,E373))*(1+INDEX($AA$21:$AA$97,F373))-1</f>
        <v>0.102590027879897</v>
      </c>
      <c r="I373" s="68">
        <f>(1+INDEX($AB$21:$AB$97,B373))*(1+INDEX($AB$21:$AB$97,C373))*(1+INDEX($AB$21:$AB$97,D373))*(1+INDEX($AB$21:$AB$97,E373))*(1+INDEX($AB$21:$AB$97,F373))-1</f>
        <v>0.0623967706098727</v>
      </c>
      <c r="J373" s="489">
        <f>LN((1+G373)/(1+H373))</f>
        <v>-0.0276551684364166</v>
      </c>
      <c r="K373" s="489">
        <f>LN((1+I373)/(1+H373))</f>
        <v>-0.0371345229226659</v>
      </c>
      <c r="L373" s="489">
        <f>(1+INDEX($AC$21:$AC$97,B373))*(1+INDEX($AC$21:$AC$97,C373))*(1+INDEX($AC$21:$AC$97,D373))*(1+INDEX($AC$21:$AC$97,E373))*(1+INDEX($AC$21:$AC$97,F373))-1</f>
        <v>0.0621830602867035</v>
      </c>
      <c r="M373" s="489">
        <f>(1+INDEX($AD$21:$AD$97,B373))*(1+INDEX($AD$21:$AD$97,C373))*(1+INDEX($AD$21:$AD$97,D373))*(1+INDEX($AD$21:$AD$97,E373))*(1+INDEX($AD$21:$AD$97,F373))-1</f>
        <v>0.0655397790687038</v>
      </c>
      <c r="N373" s="489">
        <f>(1+INDEX($AE$21:$AE$97,B373))*(1+INDEX($AE$21:$AE$97,C373))*(1+INDEX($AE$21:$AE$97,D373))*(1+INDEX($AE$21:$AE$97,E373))*(1+INDEX($AE$21:$AE$97,F373))-1</f>
        <v>0.0540812873952226</v>
      </c>
      <c r="O373" s="489">
        <f>(1+INDEX($AF$21:$AF$97,B373))*(1+INDEX($AF$21:$AF$97,C373))*(1+INDEX($AF$21:$AF$97,D373))*(1+INDEX($AF$21:$AF$97,E373))*(1+INDEX($AF$21:$AF$97,F373))-1</f>
        <v>0.129131456612147</v>
      </c>
      <c r="P373" s="489">
        <f>LN((1+L373)/(1+H373))</f>
        <v>-0.0373357018294615</v>
      </c>
      <c r="Q373" s="489">
        <f>LN((1+M373)/(1+H373))</f>
        <v>-0.0341804773756806</v>
      </c>
      <c r="R373" s="489">
        <f>LN((1+N373)/(1+H373))</f>
        <v>-0.0449924130347568</v>
      </c>
      <c r="S373" s="542">
        <f>LN((1+O373)/(1+H373))</f>
        <v>0.0237867317694387</v>
      </c>
    </row>
    <row r="374">
      <c r="A374" s="320" t="n">
        <v>273</v>
      </c>
      <c r="B374" s="174" t="n">
        <v>58</v>
      </c>
      <c r="C374" s="174" t="n">
        <v>55</v>
      </c>
      <c r="D374" s="174" t="n">
        <v>38</v>
      </c>
      <c r="E374" s="174" t="n">
        <v>43</v>
      </c>
      <c r="F374" s="174" t="n">
        <v>20</v>
      </c>
      <c r="G374" s="68">
        <f>(1+INDEX($Z$21:$Z$97,B374))*(1+INDEX($Z$21:$Z$97,C374))*(1+INDEX($Z$21:$Z$97,D374))*(1+INDEX($Z$21:$Z$97,E374))*(1+INDEX($Z$21:$Z$97,F374))-1</f>
        <v>0.220562270481734</v>
      </c>
      <c r="H374" s="68">
        <f>(1+INDEX($AA$21:$AA$97,B374))*(1+INDEX($AA$21:$AA$97,C374))*(1+INDEX($AA$21:$AA$97,D374))*(1+INDEX($AA$21:$AA$97,E374))*(1+INDEX($AA$21:$AA$97,F374))-1</f>
        <v>0.24285695822078</v>
      </c>
      <c r="I374" s="68">
        <f>(1+INDEX($AB$21:$AB$97,B374))*(1+INDEX($AB$21:$AB$97,C374))*(1+INDEX($AB$21:$AB$97,D374))*(1+INDEX($AB$21:$AB$97,E374))*(1+INDEX($AB$21:$AB$97,F374))-1</f>
        <v>0.233861615408537</v>
      </c>
      <c r="J374" s="489">
        <f>LN((1+G374)/(1+H374))</f>
        <v>-0.0181010980294009</v>
      </c>
      <c r="K374" s="489">
        <f>LN((1+I374)/(1+H374))</f>
        <v>-0.00726395195744605</v>
      </c>
      <c r="L374" s="489">
        <f>(1+INDEX($AC$21:$AC$97,B374))*(1+INDEX($AC$21:$AC$97,C374))*(1+INDEX($AC$21:$AC$97,D374))*(1+INDEX($AC$21:$AC$97,E374))*(1+INDEX($AC$21:$AC$97,F374))-1</f>
        <v>0.231218280915831</v>
      </c>
      <c r="M374" s="489">
        <f>(1+INDEX($AD$21:$AD$97,B374))*(1+INDEX($AD$21:$AD$97,C374))*(1+INDEX($AD$21:$AD$97,D374))*(1+INDEX($AD$21:$AD$97,E374))*(1+INDEX($AD$21:$AD$97,F374))-1</f>
        <v>0.240726448859446</v>
      </c>
      <c r="N374" s="489">
        <f>(1+INDEX($AE$21:$AE$97,B374))*(1+INDEX($AE$21:$AE$97,C374))*(1+INDEX($AE$21:$AE$97,D374))*(1+INDEX($AE$21:$AE$97,E374))*(1+INDEX($AE$21:$AE$97,F374))-1</f>
        <v>0.234745518506174</v>
      </c>
      <c r="O374" s="489">
        <f>(1+INDEX($AF$21:$AF$97,B374))*(1+INDEX($AF$21:$AF$97,C374))*(1+INDEX($AF$21:$AF$97,D374))*(1+INDEX($AF$21:$AF$97,E374))*(1+INDEX($AF$21:$AF$97,F374))-1</f>
        <v>0.243634870563565</v>
      </c>
      <c r="P374" s="489">
        <f>LN((1+L374)/(1+H374))</f>
        <v>-0.00940857656762381</v>
      </c>
      <c r="Q374" s="489">
        <f>LN((1+M374)/(1+H374))</f>
        <v>-0.00171567411657192</v>
      </c>
      <c r="R374" s="489">
        <f>LN((1+N374)/(1+H374))</f>
        <v>-0.00654783708986215</v>
      </c>
      <c r="S374" s="542">
        <f>LN((1+O374)/(1+H374))</f>
        <v>0.00062571077785905</v>
      </c>
    </row>
    <row r="375">
      <c r="A375" s="320" t="n">
        <v>274</v>
      </c>
      <c r="B375" s="174" t="n">
        <v>29</v>
      </c>
      <c r="C375" s="174" t="n">
        <v>50</v>
      </c>
      <c r="D375" s="174" t="n">
        <v>76</v>
      </c>
      <c r="E375" s="174" t="n">
        <v>61</v>
      </c>
      <c r="F375" s="174" t="n">
        <v>34</v>
      </c>
      <c r="G375" s="68">
        <f>(1+INDEX($Z$21:$Z$97,B375))*(1+INDEX($Z$21:$Z$97,C375))*(1+INDEX($Z$21:$Z$97,D375))*(1+INDEX($Z$21:$Z$97,E375))*(1+INDEX($Z$21:$Z$97,F375))-1</f>
        <v>0.675360083797214</v>
      </c>
      <c r="H375" s="68">
        <f>(1+INDEX($AA$21:$AA$97,B375))*(1+INDEX($AA$21:$AA$97,C375))*(1+INDEX($AA$21:$AA$97,D375))*(1+INDEX($AA$21:$AA$97,E375))*(1+INDEX($AA$21:$AA$97,F375))-1</f>
        <v>0.671707462507798</v>
      </c>
      <c r="I375" s="68">
        <f>(1+INDEX($AB$21:$AB$97,B375))*(1+INDEX($AB$21:$AB$97,C375))*(1+INDEX($AB$21:$AB$97,D375))*(1+INDEX($AB$21:$AB$97,E375))*(1+INDEX($AB$21:$AB$97,F375))-1</f>
        <v>0.743131145560992</v>
      </c>
      <c r="J375" s="489">
        <f>LN((1+G375)/(1+H375))</f>
        <v>0.00218258083463847</v>
      </c>
      <c r="K375" s="489">
        <f>LN((1+I375)/(1+H375))</f>
        <v>0.0418374682532969</v>
      </c>
      <c r="L375" s="489">
        <f>(1+INDEX($AC$21:$AC$97,B375))*(1+INDEX($AC$21:$AC$97,C375))*(1+INDEX($AC$21:$AC$97,D375))*(1+INDEX($AC$21:$AC$97,E375))*(1+INDEX($AC$21:$AC$97,F375))-1</f>
        <v>0.761933227688572</v>
      </c>
      <c r="M375" s="489">
        <f>(1+INDEX($AD$21:$AD$97,B375))*(1+INDEX($AD$21:$AD$97,C375))*(1+INDEX($AD$21:$AD$97,D375))*(1+INDEX($AD$21:$AD$97,E375))*(1+INDEX($AD$21:$AD$97,F375))-1</f>
        <v>0.71349858112507</v>
      </c>
      <c r="N375" s="489">
        <f>(1+INDEX($AE$21:$AE$97,B375))*(1+INDEX($AE$21:$AE$97,C375))*(1+INDEX($AE$21:$AE$97,D375))*(1+INDEX($AE$21:$AE$97,E375))*(1+INDEX($AE$21:$AE$97,F375))-1</f>
        <v>0.756723506004442</v>
      </c>
      <c r="O375" s="489">
        <f>(1+INDEX($AF$21:$AF$97,B375))*(1+INDEX($AF$21:$AF$97,C375))*(1+INDEX($AF$21:$AF$97,D375))*(1+INDEX($AF$21:$AF$97,E375))*(1+INDEX($AF$21:$AF$97,F375))-1</f>
        <v>0.63539113421194</v>
      </c>
      <c r="P375" s="489">
        <f>LN((1+L375)/(1+H375))</f>
        <v>0.0525660943061538</v>
      </c>
      <c r="Q375" s="489">
        <f>LN((1+M375)/(1+H375))</f>
        <v>0.0246916975358026</v>
      </c>
      <c r="R375" s="489">
        <f>LN((1+N375)/(1+H375))</f>
        <v>0.0496048929811576</v>
      </c>
      <c r="S375" s="542">
        <f>LN((1+O375)/(1+H375))</f>
        <v>-0.0219635351828288</v>
      </c>
    </row>
    <row r="376">
      <c r="A376" s="320" t="n">
        <v>275</v>
      </c>
      <c r="B376" s="174" t="n">
        <v>34</v>
      </c>
      <c r="C376" s="174" t="n">
        <v>16</v>
      </c>
      <c r="D376" s="174" t="n">
        <v>17</v>
      </c>
      <c r="E376" s="174" t="n">
        <v>12</v>
      </c>
      <c r="F376" s="174" t="n">
        <v>68</v>
      </c>
      <c r="G376" s="68">
        <f>(1+INDEX($Z$21:$Z$97,B376))*(1+INDEX($Z$21:$Z$97,C376))*(1+INDEX($Z$21:$Z$97,D376))*(1+INDEX($Z$21:$Z$97,E376))*(1+INDEX($Z$21:$Z$97,F376))-1</f>
        <v>0.568586823036209</v>
      </c>
      <c r="H376" s="68">
        <f>(1+INDEX($AA$21:$AA$97,B376))*(1+INDEX($AA$21:$AA$97,C376))*(1+INDEX($AA$21:$AA$97,D376))*(1+INDEX($AA$21:$AA$97,E376))*(1+INDEX($AA$21:$AA$97,F376))-1</f>
        <v>0.502572635310622</v>
      </c>
      <c r="I376" s="68">
        <f>(1+INDEX($AB$21:$AB$97,B376))*(1+INDEX($AB$21:$AB$97,C376))*(1+INDEX($AB$21:$AB$97,D376))*(1+INDEX($AB$21:$AB$97,E376))*(1+INDEX($AB$21:$AB$97,F376))-1</f>
        <v>0.529465157930534</v>
      </c>
      <c r="J376" s="489">
        <f>LN((1+G376)/(1+H376))</f>
        <v>0.0429963720721778</v>
      </c>
      <c r="K376" s="489">
        <f>LN((1+I376)/(1+H376))</f>
        <v>0.0177393750829303</v>
      </c>
      <c r="L376" s="489">
        <f>(1+INDEX($AC$21:$AC$97,B376))*(1+INDEX($AC$21:$AC$97,C376))*(1+INDEX($AC$21:$AC$97,D376))*(1+INDEX($AC$21:$AC$97,E376))*(1+INDEX($AC$21:$AC$97,F376))-1</f>
        <v>0.520700456280853</v>
      </c>
      <c r="M376" s="489">
        <f>(1+INDEX($AD$21:$AD$97,B376))*(1+INDEX($AD$21:$AD$97,C376))*(1+INDEX($AD$21:$AD$97,D376))*(1+INDEX($AD$21:$AD$97,E376))*(1+INDEX($AD$21:$AD$97,F376))-1</f>
        <v>0.54484743147593</v>
      </c>
      <c r="N376" s="489">
        <f>(1+INDEX($AE$21:$AE$97,B376))*(1+INDEX($AE$21:$AE$97,C376))*(1+INDEX($AE$21:$AE$97,D376))*(1+INDEX($AE$21:$AE$97,E376))*(1+INDEX($AE$21:$AE$97,F376))-1</f>
        <v>0.516217756263823</v>
      </c>
      <c r="O376" s="489">
        <f>(1+INDEX($AF$21:$AF$97,B376))*(1+INDEX($AF$21:$AF$97,C376))*(1+INDEX($AF$21:$AF$97,D376))*(1+INDEX($AF$21:$AF$97,E376))*(1+INDEX($AF$21:$AF$97,F376))-1</f>
        <v>0.514428676085837</v>
      </c>
      <c r="P376" s="489">
        <f>LN((1+L376)/(1+H376))</f>
        <v>0.0119923259832814</v>
      </c>
      <c r="Q376" s="489">
        <f>LN((1+M376)/(1+H376))</f>
        <v>0.0277464263923118</v>
      </c>
      <c r="R376" s="489">
        <f>LN((1+N376)/(1+H376))</f>
        <v>0.00904018637404088</v>
      </c>
      <c r="S376" s="542">
        <f>LN((1+O376)/(1+H376))</f>
        <v>0.00785952711487148</v>
      </c>
    </row>
    <row r="377">
      <c r="A377" s="320" t="n">
        <v>276</v>
      </c>
      <c r="B377" s="174" t="n">
        <v>7</v>
      </c>
      <c r="C377" s="174" t="n">
        <v>59</v>
      </c>
      <c r="D377" s="174" t="n">
        <v>52</v>
      </c>
      <c r="E377" s="174" t="n">
        <v>11</v>
      </c>
      <c r="F377" s="174" t="n">
        <v>76</v>
      </c>
      <c r="G377" s="68">
        <f>(1+INDEX($Z$21:$Z$97,B377))*(1+INDEX($Z$21:$Z$97,C377))*(1+INDEX($Z$21:$Z$97,D377))*(1+INDEX($Z$21:$Z$97,E377))*(1+INDEX($Z$21:$Z$97,F377))-1</f>
        <v>0.323489226740148</v>
      </c>
      <c r="H377" s="68">
        <f>(1+INDEX($AA$21:$AA$97,B377))*(1+INDEX($AA$21:$AA$97,C377))*(1+INDEX($AA$21:$AA$97,D377))*(1+INDEX($AA$21:$AA$97,E377))*(1+INDEX($AA$21:$AA$97,F377))-1</f>
        <v>0.334527214212292</v>
      </c>
      <c r="I377" s="68">
        <f>(1+INDEX($AB$21:$AB$97,B377))*(1+INDEX($AB$21:$AB$97,C377))*(1+INDEX($AB$21:$AB$97,D377))*(1+INDEX($AB$21:$AB$97,E377))*(1+INDEX($AB$21:$AB$97,F377))-1</f>
        <v>0.318317348631637</v>
      </c>
      <c r="J377" s="489">
        <f>LN((1+G377)/(1+H377))</f>
        <v>-0.00830547979534861</v>
      </c>
      <c r="K377" s="489">
        <f>LN((1+I377)/(1+H377))</f>
        <v>-0.0122208949237715</v>
      </c>
      <c r="L377" s="489">
        <f>(1+INDEX($AC$21:$AC$97,B377))*(1+INDEX($AC$21:$AC$97,C377))*(1+INDEX($AC$21:$AC$97,D377))*(1+INDEX($AC$21:$AC$97,E377))*(1+INDEX($AC$21:$AC$97,F377))-1</f>
        <v>0.332439205616314</v>
      </c>
      <c r="M377" s="489">
        <f>(1+INDEX($AD$21:$AD$97,B377))*(1+INDEX($AD$21:$AD$97,C377))*(1+INDEX($AD$21:$AD$97,D377))*(1+INDEX($AD$21:$AD$97,E377))*(1+INDEX($AD$21:$AD$97,F377))-1</f>
        <v>0.309117344486558</v>
      </c>
      <c r="N377" s="489">
        <f>(1+INDEX($AE$21:$AE$97,B377))*(1+INDEX($AE$21:$AE$97,C377))*(1+INDEX($AE$21:$AE$97,D377))*(1+INDEX($AE$21:$AE$97,E377))*(1+INDEX($AE$21:$AE$97,F377))-1</f>
        <v>0.317316781890864</v>
      </c>
      <c r="O377" s="489">
        <f>(1+INDEX($AF$21:$AF$97,B377))*(1+INDEX($AF$21:$AF$97,C377))*(1+INDEX($AF$21:$AF$97,D377))*(1+INDEX($AF$21:$AF$97,E377))*(1+INDEX($AF$21:$AF$97,F377))-1</f>
        <v>0.332082210186575</v>
      </c>
      <c r="P377" s="489">
        <f>LN((1+L377)/(1+H377))</f>
        <v>-0.00156583075592841</v>
      </c>
      <c r="Q377" s="489">
        <f>LN((1+M377)/(1+H377))</f>
        <v>-0.0192239551853133</v>
      </c>
      <c r="R377" s="489">
        <f>LN((1+N377)/(1+H377))</f>
        <v>-0.0129801556855389</v>
      </c>
      <c r="S377" s="542">
        <f>LN((1+O377)/(1+H377))</f>
        <v>-0.00183379289709</v>
      </c>
    </row>
    <row r="378">
      <c r="A378" s="320" t="n">
        <v>277</v>
      </c>
      <c r="B378" s="174" t="n">
        <v>34</v>
      </c>
      <c r="C378" s="174" t="n">
        <v>41</v>
      </c>
      <c r="D378" s="174" t="n">
        <v>35</v>
      </c>
      <c r="E378" s="174" t="n">
        <v>35</v>
      </c>
      <c r="F378" s="174" t="n">
        <v>35</v>
      </c>
      <c r="G378" s="68">
        <f>(1+INDEX($Z$21:$Z$97,B378))*(1+INDEX($Z$21:$Z$97,C378))*(1+INDEX($Z$21:$Z$97,D378))*(1+INDEX($Z$21:$Z$97,E378))*(1+INDEX($Z$21:$Z$97,F378))-1</f>
        <v>0.683350441741076</v>
      </c>
      <c r="H378" s="68">
        <f>(1+INDEX($AA$21:$AA$97,B378))*(1+INDEX($AA$21:$AA$97,C378))*(1+INDEX($AA$21:$AA$97,D378))*(1+INDEX($AA$21:$AA$97,E378))*(1+INDEX($AA$21:$AA$97,F378))-1</f>
        <v>0.72346845866187</v>
      </c>
      <c r="I378" s="68">
        <f>(1+INDEX($AB$21:$AB$97,B378))*(1+INDEX($AB$21:$AB$97,C378))*(1+INDEX($AB$21:$AB$97,D378))*(1+INDEX($AB$21:$AB$97,E378))*(1+INDEX($AB$21:$AB$97,F378))-1</f>
        <v>0.801522718277017</v>
      </c>
      <c r="J378" s="489">
        <f>LN((1+G378)/(1+H378))</f>
        <v>-0.0235526880818787</v>
      </c>
      <c r="K378" s="489">
        <f>LN((1+I378)/(1+H378))</f>
        <v>0.0442934558226116</v>
      </c>
      <c r="L378" s="489">
        <f>(1+INDEX($AC$21:$AC$97,B378))*(1+INDEX($AC$21:$AC$97,C378))*(1+INDEX($AC$21:$AC$97,D378))*(1+INDEX($AC$21:$AC$97,E378))*(1+INDEX($AC$21:$AC$97,F378))-1</f>
        <v>0.813655536554317</v>
      </c>
      <c r="M378" s="489">
        <f>(1+INDEX($AD$21:$AD$97,B378))*(1+INDEX($AD$21:$AD$97,C378))*(1+INDEX($AD$21:$AD$97,D378))*(1+INDEX($AD$21:$AD$97,E378))*(1+INDEX($AD$21:$AD$97,F378))-1</f>
        <v>0.829295752922909</v>
      </c>
      <c r="N378" s="489">
        <f>(1+INDEX($AE$21:$AE$97,B378))*(1+INDEX($AE$21:$AE$97,C378))*(1+INDEX($AE$21:$AE$97,D378))*(1+INDEX($AE$21:$AE$97,E378))*(1+INDEX($AE$21:$AE$97,F378))-1</f>
        <v>0.818043967557287</v>
      </c>
      <c r="O378" s="489">
        <f>(1+INDEX($AF$21:$AF$97,B378))*(1+INDEX($AF$21:$AF$97,C378))*(1+INDEX($AF$21:$AF$97,D378))*(1+INDEX($AF$21:$AF$97,E378))*(1+INDEX($AF$21:$AF$97,F378))-1</f>
        <v>0.646754302916837</v>
      </c>
      <c r="P378" s="489">
        <f>LN((1+L378)/(1+H378))</f>
        <v>0.0510056359554019</v>
      </c>
      <c r="Q378" s="489">
        <f>LN((1+M378)/(1+H378))</f>
        <v>0.0595922522572558</v>
      </c>
      <c r="R378" s="489">
        <f>LN((1+N378)/(1+H378))</f>
        <v>0.0534223739778796</v>
      </c>
      <c r="S378" s="542">
        <f>LN((1+O378)/(1+H378))</f>
        <v>-0.045532544549524</v>
      </c>
    </row>
    <row r="379">
      <c r="A379" s="320" t="n">
        <v>278</v>
      </c>
      <c r="B379" s="174" t="n">
        <v>21</v>
      </c>
      <c r="C379" s="174" t="n">
        <v>54</v>
      </c>
      <c r="D379" s="174" t="n">
        <v>10</v>
      </c>
      <c r="E379" s="174" t="n">
        <v>4</v>
      </c>
      <c r="F379" s="174" t="n">
        <v>7</v>
      </c>
      <c r="G379" s="68">
        <f>(1+INDEX($Z$21:$Z$97,B379))*(1+INDEX($Z$21:$Z$97,C379))*(1+INDEX($Z$21:$Z$97,D379))*(1+INDEX($Z$21:$Z$97,E379))*(1+INDEX($Z$21:$Z$97,F379))-1</f>
        <v>-0.202455564656901</v>
      </c>
      <c r="H379" s="68">
        <f>(1+INDEX($AA$21:$AA$97,B379))*(1+INDEX($AA$21:$AA$97,C379))*(1+INDEX($AA$21:$AA$97,D379))*(1+INDEX($AA$21:$AA$97,E379))*(1+INDEX($AA$21:$AA$97,F379))-1</f>
        <v>-0.138742144016329</v>
      </c>
      <c r="I379" s="68">
        <f>(1+INDEX($AB$21:$AB$97,B379))*(1+INDEX($AB$21:$AB$97,C379))*(1+INDEX($AB$21:$AB$97,D379))*(1+INDEX($AB$21:$AB$97,E379))*(1+INDEX($AB$21:$AB$97,F379))-1</f>
        <v>-0.18800041929635</v>
      </c>
      <c r="J379" s="489">
        <f>LN((1+G379)/(1+H379))</f>
        <v>-0.0768563924875013</v>
      </c>
      <c r="K379" s="489">
        <f>LN((1+I379)/(1+H379))</f>
        <v>-0.0588941201061219</v>
      </c>
      <c r="L379" s="489">
        <f>(1+INDEX($AC$21:$AC$97,B379))*(1+INDEX($AC$21:$AC$97,C379))*(1+INDEX($AC$21:$AC$97,D379))*(1+INDEX($AC$21:$AC$97,E379))*(1+INDEX($AC$21:$AC$97,F379))-1</f>
        <v>-0.202735522669209</v>
      </c>
      <c r="M379" s="489">
        <f>(1+INDEX($AD$21:$AD$97,B379))*(1+INDEX($AD$21:$AD$97,C379))*(1+INDEX($AD$21:$AD$97,D379))*(1+INDEX($AD$21:$AD$97,E379))*(1+INDEX($AD$21:$AD$97,F379))-1</f>
        <v>-0.169268898461485</v>
      </c>
      <c r="N379" s="489">
        <f>(1+INDEX($AE$21:$AE$97,B379))*(1+INDEX($AE$21:$AE$97,C379))*(1+INDEX($AE$21:$AE$97,D379))*(1+INDEX($AE$21:$AE$97,E379))*(1+INDEX($AE$21:$AE$97,F379))-1</f>
        <v>-0.213968696781137</v>
      </c>
      <c r="O379" s="489">
        <f>(1+INDEX($AF$21:$AF$97,B379))*(1+INDEX($AF$21:$AF$97,C379))*(1+INDEX($AF$21:$AF$97,D379))*(1+INDEX($AF$21:$AF$97,E379))*(1+INDEX($AF$21:$AF$97,F379))-1</f>
        <v>-0.108257404551257</v>
      </c>
      <c r="P379" s="489">
        <f>LN((1+L379)/(1+H379))</f>
        <v>-0.077207479082214</v>
      </c>
      <c r="Q379" s="489">
        <f>LN((1+M379)/(1+H379))</f>
        <v>-0.0360877855915759</v>
      </c>
      <c r="R379" s="489">
        <f>LN((1+N379)/(1+H379))</f>
        <v>-0.091397326278481</v>
      </c>
      <c r="S379" s="542">
        <f>LN((1+O379)/(1+H379))</f>
        <v>0.0347835769180603</v>
      </c>
    </row>
    <row r="380">
      <c r="A380" s="320" t="n">
        <v>279</v>
      </c>
      <c r="B380" s="174" t="n">
        <v>50</v>
      </c>
      <c r="C380" s="174" t="n">
        <v>2</v>
      </c>
      <c r="D380" s="174" t="n">
        <v>67</v>
      </c>
      <c r="E380" s="174" t="n">
        <v>62</v>
      </c>
      <c r="F380" s="174" t="n">
        <v>41</v>
      </c>
      <c r="G380" s="68">
        <f>(1+INDEX($Z$21:$Z$97,B380))*(1+INDEX($Z$21:$Z$97,C380))*(1+INDEX($Z$21:$Z$97,D380))*(1+INDEX($Z$21:$Z$97,E380))*(1+INDEX($Z$21:$Z$97,F380))-1</f>
        <v>0.464277724894567</v>
      </c>
      <c r="H380" s="68">
        <f>(1+INDEX($AA$21:$AA$97,B380))*(1+INDEX($AA$21:$AA$97,C380))*(1+INDEX($AA$21:$AA$97,D380))*(1+INDEX($AA$21:$AA$97,E380))*(1+INDEX($AA$21:$AA$97,F380))-1</f>
        <v>0.41833272224849</v>
      </c>
      <c r="I380" s="68">
        <f>(1+INDEX($AB$21:$AB$97,B380))*(1+INDEX($AB$21:$AB$97,C380))*(1+INDEX($AB$21:$AB$97,D380))*(1+INDEX($AB$21:$AB$97,E380))*(1+INDEX($AB$21:$AB$97,F380))-1</f>
        <v>0.442926159947752</v>
      </c>
      <c r="J380" s="489">
        <f>LN((1+G380)/(1+H380))</f>
        <v>0.0318800578346479</v>
      </c>
      <c r="K380" s="489">
        <f>LN((1+I380)/(1+H380))</f>
        <v>0.0171910647650567</v>
      </c>
      <c r="L380" s="489">
        <f>(1+INDEX($AC$21:$AC$97,B380))*(1+INDEX($AC$21:$AC$97,C380))*(1+INDEX($AC$21:$AC$97,D380))*(1+INDEX($AC$21:$AC$97,E380))*(1+INDEX($AC$21:$AC$97,F380))-1</f>
        <v>0.462092892563987</v>
      </c>
      <c r="M380" s="489">
        <f>(1+INDEX($AD$21:$AD$97,B380))*(1+INDEX($AD$21:$AD$97,C380))*(1+INDEX($AD$21:$AD$97,D380))*(1+INDEX($AD$21:$AD$97,E380))*(1+INDEX($AD$21:$AD$97,F380))-1</f>
        <v>0.416756605856119</v>
      </c>
      <c r="N380" s="489">
        <f>(1+INDEX($AE$21:$AE$97,B380))*(1+INDEX($AE$21:$AE$97,C380))*(1+INDEX($AE$21:$AE$97,D380))*(1+INDEX($AE$21:$AE$97,E380))*(1+INDEX($AE$21:$AE$97,F380))-1</f>
        <v>0.462506465864184</v>
      </c>
      <c r="O380" s="489">
        <f>(1+INDEX($AF$21:$AF$97,B380))*(1+INDEX($AF$21:$AF$97,C380))*(1+INDEX($AF$21:$AF$97,D380))*(1+INDEX($AF$21:$AF$97,E380))*(1+INDEX($AF$21:$AF$97,F380))-1</f>
        <v>0.409649765179385</v>
      </c>
      <c r="P380" s="489">
        <f>LN((1+L380)/(1+H380))</f>
        <v>0.0303868548045889</v>
      </c>
      <c r="Q380" s="489">
        <f>LN((1+M380)/(1+H380))</f>
        <v>-0.00111186377030065</v>
      </c>
      <c r="R380" s="489">
        <f>LN((1+N380)/(1+H380))</f>
        <v>0.0306696787078097</v>
      </c>
      <c r="S380" s="542">
        <f>LN((1+O380)/(1+H380))</f>
        <v>-0.00614076246450033</v>
      </c>
    </row>
    <row r="381">
      <c r="A381" s="320" t="n">
        <v>280</v>
      </c>
      <c r="B381" s="174" t="n">
        <v>12</v>
      </c>
      <c r="C381" s="174" t="n">
        <v>5</v>
      </c>
      <c r="D381" s="174" t="n">
        <v>73</v>
      </c>
      <c r="E381" s="174" t="n">
        <v>1</v>
      </c>
      <c r="F381" s="174" t="n">
        <v>76</v>
      </c>
      <c r="G381" s="68">
        <f>(1+INDEX($Z$21:$Z$97,B381))*(1+INDEX($Z$21:$Z$97,C381))*(1+INDEX($Z$21:$Z$97,D381))*(1+INDEX($Z$21:$Z$97,E381))*(1+INDEX($Z$21:$Z$97,F381))-1</f>
        <v>0.330556445919437</v>
      </c>
      <c r="H381" s="68">
        <f>(1+INDEX($AA$21:$AA$97,B381))*(1+INDEX($AA$21:$AA$97,C381))*(1+INDEX($AA$21:$AA$97,D381))*(1+INDEX($AA$21:$AA$97,E381))*(1+INDEX($AA$21:$AA$97,F381))-1</f>
        <v>0.282240062056983</v>
      </c>
      <c r="I381" s="68">
        <f>(1+INDEX($AB$21:$AB$97,B381))*(1+INDEX($AB$21:$AB$97,C381))*(1+INDEX($AB$21:$AB$97,D381))*(1+INDEX($AB$21:$AB$97,E381))*(1+INDEX($AB$21:$AB$97,F381))-1</f>
        <v>0.272736422089567</v>
      </c>
      <c r="J381" s="489">
        <f>LN((1+G381)/(1+H381))</f>
        <v>0.0369886382645807</v>
      </c>
      <c r="K381" s="489">
        <f>LN((1+I381)/(1+H381))</f>
        <v>-0.00743935128725588</v>
      </c>
      <c r="L381" s="489">
        <f>(1+INDEX($AC$21:$AC$97,B381))*(1+INDEX($AC$21:$AC$97,C381))*(1+INDEX($AC$21:$AC$97,D381))*(1+INDEX($AC$21:$AC$97,E381))*(1+INDEX($AC$21:$AC$97,F381))-1</f>
        <v>0.27962788051054</v>
      </c>
      <c r="M381" s="489">
        <f>(1+INDEX($AD$21:$AD$97,B381))*(1+INDEX($AD$21:$AD$97,C381))*(1+INDEX($AD$21:$AD$97,D381))*(1+INDEX($AD$21:$AD$97,E381))*(1+INDEX($AD$21:$AD$97,F381))-1</f>
        <v>0.278189952181055</v>
      </c>
      <c r="N381" s="489">
        <f>(1+INDEX($AE$21:$AE$97,B381))*(1+INDEX($AE$21:$AE$97,C381))*(1+INDEX($AE$21:$AE$97,D381))*(1+INDEX($AE$21:$AE$97,E381))*(1+INDEX($AE$21:$AE$97,F381))-1</f>
        <v>0.254858077373868</v>
      </c>
      <c r="O381" s="489">
        <f>(1+INDEX($AF$21:$AF$97,B381))*(1+INDEX($AF$21:$AF$97,C381))*(1+INDEX($AF$21:$AF$97,D381))*(1+INDEX($AF$21:$AF$97,E381))*(1+INDEX($AF$21:$AF$97,F381))-1</f>
        <v>0.284408319849883</v>
      </c>
      <c r="P381" s="489">
        <f>LN((1+L381)/(1+H381))</f>
        <v>-0.00203927954935074</v>
      </c>
      <c r="Q381" s="489">
        <f>LN((1+M381)/(1+H381))</f>
        <v>-0.00316361957277661</v>
      </c>
      <c r="R381" s="489">
        <f>LN((1+N381)/(1+H381))</f>
        <v>-0.0215861164317673</v>
      </c>
      <c r="S381" s="542">
        <f>LN((1+O381)/(1+H381))</f>
        <v>0.00168956396519452</v>
      </c>
    </row>
    <row r="382">
      <c r="A382" s="320" t="n">
        <v>281</v>
      </c>
      <c r="B382" s="174" t="n">
        <v>6</v>
      </c>
      <c r="C382" s="174" t="n">
        <v>50</v>
      </c>
      <c r="D382" s="174" t="n">
        <v>27</v>
      </c>
      <c r="E382" s="174" t="n">
        <v>25</v>
      </c>
      <c r="F382" s="174" t="n">
        <v>58</v>
      </c>
      <c r="G382" s="68">
        <f>(1+INDEX($Z$21:$Z$97,B382))*(1+INDEX($Z$21:$Z$97,C382))*(1+INDEX($Z$21:$Z$97,D382))*(1+INDEX($Z$21:$Z$97,E382))*(1+INDEX($Z$21:$Z$97,F382))-1</f>
        <v>0.575061384223594</v>
      </c>
      <c r="H382" s="68">
        <f>(1+INDEX($AA$21:$AA$97,B382))*(1+INDEX($AA$21:$AA$97,C382))*(1+INDEX($AA$21:$AA$97,D382))*(1+INDEX($AA$21:$AA$97,E382))*(1+INDEX($AA$21:$AA$97,F382))-1</f>
        <v>0.531842343169361</v>
      </c>
      <c r="I382" s="68">
        <f>(1+INDEX($AB$21:$AB$97,B382))*(1+INDEX($AB$21:$AB$97,C382))*(1+INDEX($AB$21:$AB$97,D382))*(1+INDEX($AB$21:$AB$97,E382))*(1+INDEX($AB$21:$AB$97,F382))-1</f>
        <v>0.569174601656035</v>
      </c>
      <c r="J382" s="489">
        <f>LN((1+G382)/(1+H382))</f>
        <v>0.0278230887638357</v>
      </c>
      <c r="K382" s="489">
        <f>LN((1+I382)/(1+H382))</f>
        <v>0.0240785928212081</v>
      </c>
      <c r="L382" s="489">
        <f>(1+INDEX($AC$21:$AC$97,B382))*(1+INDEX($AC$21:$AC$97,C382))*(1+INDEX($AC$21:$AC$97,D382))*(1+INDEX($AC$21:$AC$97,E382))*(1+INDEX($AC$21:$AC$97,F382))-1</f>
        <v>0.57493510279314</v>
      </c>
      <c r="M382" s="489">
        <f>(1+INDEX($AD$21:$AD$97,B382))*(1+INDEX($AD$21:$AD$97,C382))*(1+INDEX($AD$21:$AD$97,D382))*(1+INDEX($AD$21:$AD$97,E382))*(1+INDEX($AD$21:$AD$97,F382))-1</f>
        <v>0.533572087429459</v>
      </c>
      <c r="N382" s="489">
        <f>(1+INDEX($AE$21:$AE$97,B382))*(1+INDEX($AE$21:$AE$97,C382))*(1+INDEX($AE$21:$AE$97,D382))*(1+INDEX($AE$21:$AE$97,E382))*(1+INDEX($AE$21:$AE$97,F382))-1</f>
        <v>0.556681428409703</v>
      </c>
      <c r="O382" s="489">
        <f>(1+INDEX($AF$21:$AF$97,B382))*(1+INDEX($AF$21:$AF$97,C382))*(1+INDEX($AF$21:$AF$97,D382))*(1+INDEX($AF$21:$AF$97,E382))*(1+INDEX($AF$21:$AF$97,F382))-1</f>
        <v>0.537546310044805</v>
      </c>
      <c r="P382" s="489">
        <f>LN((1+L382)/(1+H382))</f>
        <v>0.027742909988372</v>
      </c>
      <c r="Q382" s="489">
        <f>LN((1+M382)/(1+H382))</f>
        <v>0.00112855503413862</v>
      </c>
      <c r="R382" s="489">
        <f>LN((1+N382)/(1+H382))</f>
        <v>0.0160851090216642</v>
      </c>
      <c r="S382" s="542">
        <f>LN((1+O382)/(1+H382))</f>
        <v>0.00371668373476349</v>
      </c>
    </row>
    <row r="383">
      <c r="A383" s="320" t="n">
        <v>282</v>
      </c>
      <c r="B383" s="174" t="n">
        <v>14</v>
      </c>
      <c r="C383" s="174" t="n">
        <v>38</v>
      </c>
      <c r="D383" s="174" t="n">
        <v>28</v>
      </c>
      <c r="E383" s="174" t="n">
        <v>69</v>
      </c>
      <c r="F383" s="174" t="n">
        <v>64</v>
      </c>
      <c r="G383" s="68">
        <f>(1+INDEX($Z$21:$Z$97,B383))*(1+INDEX($Z$21:$Z$97,C383))*(1+INDEX($Z$21:$Z$97,D383))*(1+INDEX($Z$21:$Z$97,E383))*(1+INDEX($Z$21:$Z$97,F383))-1</f>
        <v>0.482694097168148</v>
      </c>
      <c r="H383" s="68">
        <f>(1+INDEX($AA$21:$AA$97,B383))*(1+INDEX($AA$21:$AA$97,C383))*(1+INDEX($AA$21:$AA$97,D383))*(1+INDEX($AA$21:$AA$97,E383))*(1+INDEX($AA$21:$AA$97,F383))-1</f>
        <v>0.441543632188404</v>
      </c>
      <c r="I383" s="68">
        <f>(1+INDEX($AB$21:$AB$97,B383))*(1+INDEX($AB$21:$AB$97,C383))*(1+INDEX($AB$21:$AB$97,D383))*(1+INDEX($AB$21:$AB$97,E383))*(1+INDEX($AB$21:$AB$97,F383))-1</f>
        <v>0.489253672794781</v>
      </c>
      <c r="J383" s="489">
        <f>LN((1+G383)/(1+H383))</f>
        <v>0.028146262657625</v>
      </c>
      <c r="K383" s="489">
        <f>LN((1+I383)/(1+H383))</f>
        <v>0.032560597488659</v>
      </c>
      <c r="L383" s="489">
        <f>(1+INDEX($AC$21:$AC$97,B383))*(1+INDEX($AC$21:$AC$97,C383))*(1+INDEX($AC$21:$AC$97,D383))*(1+INDEX($AC$21:$AC$97,E383))*(1+INDEX($AC$21:$AC$97,F383))-1</f>
        <v>0.491566276435856</v>
      </c>
      <c r="M383" s="489">
        <f>(1+INDEX($AD$21:$AD$97,B383))*(1+INDEX($AD$21:$AD$97,C383))*(1+INDEX($AD$21:$AD$97,D383))*(1+INDEX($AD$21:$AD$97,E383))*(1+INDEX($AD$21:$AD$97,F383))-1</f>
        <v>0.468316629053919</v>
      </c>
      <c r="N383" s="489">
        <f>(1+INDEX($AE$21:$AE$97,B383))*(1+INDEX($AE$21:$AE$97,C383))*(1+INDEX($AE$21:$AE$97,D383))*(1+INDEX($AE$21:$AE$97,E383))*(1+INDEX($AE$21:$AE$97,F383))-1</f>
        <v>0.497558763645171</v>
      </c>
      <c r="O383" s="489">
        <f>(1+INDEX($AF$21:$AF$97,B383))*(1+INDEX($AF$21:$AF$97,C383))*(1+INDEX($AF$21:$AF$97,D383))*(1+INDEX($AF$21:$AF$97,E383))*(1+INDEX($AF$21:$AF$97,F383))-1</f>
        <v>0.426879754975151</v>
      </c>
      <c r="P383" s="489">
        <f>LN((1+L383)/(1+H383))</f>
        <v>0.0341122538412437</v>
      </c>
      <c r="Q383" s="489">
        <f>LN((1+M383)/(1+H383))</f>
        <v>0.0184020880622996</v>
      </c>
      <c r="R383" s="489">
        <f>LN((1+N383)/(1+H383))</f>
        <v>0.0381217851636642</v>
      </c>
      <c r="S383" s="542">
        <f>LN((1+O383)/(1+H383))</f>
        <v>-0.01022443550303</v>
      </c>
    </row>
    <row r="384">
      <c r="A384" s="320" t="n">
        <v>283</v>
      </c>
      <c r="B384" s="174" t="n">
        <v>6</v>
      </c>
      <c r="C384" s="174" t="n">
        <v>62</v>
      </c>
      <c r="D384" s="174" t="n">
        <v>63</v>
      </c>
      <c r="E384" s="174" t="n">
        <v>44</v>
      </c>
      <c r="F384" s="174" t="n">
        <v>10</v>
      </c>
      <c r="G384" s="68">
        <f>(1+INDEX($Z$21:$Z$97,B384))*(1+INDEX($Z$21:$Z$97,C384))*(1+INDEX($Z$21:$Z$97,D384))*(1+INDEX($Z$21:$Z$97,E384))*(1+INDEX($Z$21:$Z$97,F384))-1</f>
        <v>-0.275852738394642</v>
      </c>
      <c r="H384" s="68">
        <f>(1+INDEX($AA$21:$AA$97,B384))*(1+INDEX($AA$21:$AA$97,C384))*(1+INDEX($AA$21:$AA$97,D384))*(1+INDEX($AA$21:$AA$97,E384))*(1+INDEX($AA$21:$AA$97,F384))-1</f>
        <v>-0.2301614904208</v>
      </c>
      <c r="I384" s="68">
        <f>(1+INDEX($AB$21:$AB$97,B384))*(1+INDEX($AB$21:$AB$97,C384))*(1+INDEX($AB$21:$AB$97,D384))*(1+INDEX($AB$21:$AB$97,E384))*(1+INDEX($AB$21:$AB$97,F384))-1</f>
        <v>-0.256860766677439</v>
      </c>
      <c r="J384" s="489">
        <f>LN((1+G384)/(1+H384))</f>
        <v>-0.0611859933224139</v>
      </c>
      <c r="K384" s="489">
        <f>LN((1+I384)/(1+H384))</f>
        <v>-0.0352973444352715</v>
      </c>
      <c r="L384" s="489">
        <f>(1+INDEX($AC$21:$AC$97,B384))*(1+INDEX($AC$21:$AC$97,C384))*(1+INDEX($AC$21:$AC$97,D384))*(1+INDEX($AC$21:$AC$97,E384))*(1+INDEX($AC$21:$AC$97,F384))-1</f>
        <v>-0.256239753182878</v>
      </c>
      <c r="M384" s="489">
        <f>(1+INDEX($AD$21:$AD$97,B384))*(1+INDEX($AD$21:$AD$97,C384))*(1+INDEX($AD$21:$AD$97,D384))*(1+INDEX($AD$21:$AD$97,E384))*(1+INDEX($AD$21:$AD$97,F384))-1</f>
        <v>-0.277495460305196</v>
      </c>
      <c r="N384" s="489">
        <f>(1+INDEX($AE$21:$AE$97,B384))*(1+INDEX($AE$21:$AE$97,C384))*(1+INDEX($AE$21:$AE$97,D384))*(1+INDEX($AE$21:$AE$97,E384))*(1+INDEX($AE$21:$AE$97,F384))-1</f>
        <v>-0.272659265026053</v>
      </c>
      <c r="O384" s="489">
        <f>(1+INDEX($AF$21:$AF$97,B384))*(1+INDEX($AF$21:$AF$97,C384))*(1+INDEX($AF$21:$AF$97,D384))*(1+INDEX($AF$21:$AF$97,E384))*(1+INDEX($AF$21:$AF$97,F384))-1</f>
        <v>-0.245369157073646</v>
      </c>
      <c r="P384" s="489">
        <f>LN((1+L384)/(1+H384))</f>
        <v>-0.0344620310345147</v>
      </c>
      <c r="Q384" s="489">
        <f>LN((1+M384)/(1+H384))</f>
        <v>-0.0634570617510983</v>
      </c>
      <c r="R384" s="489">
        <f>LN((1+N384)/(1+H384))</f>
        <v>-0.0567857109516168</v>
      </c>
      <c r="S384" s="542">
        <f>LN((1+O384)/(1+H384))</f>
        <v>-0.0199520851248638</v>
      </c>
    </row>
    <row r="385">
      <c r="A385" s="320" t="n">
        <v>284</v>
      </c>
      <c r="B385" s="174" t="n">
        <v>20</v>
      </c>
      <c r="C385" s="174" t="n">
        <v>26</v>
      </c>
      <c r="D385" s="174" t="n">
        <v>2</v>
      </c>
      <c r="E385" s="174" t="n">
        <v>48</v>
      </c>
      <c r="F385" s="174" t="n">
        <v>16</v>
      </c>
      <c r="G385" s="68">
        <f>(1+INDEX($Z$21:$Z$97,B385))*(1+INDEX($Z$21:$Z$97,C385))*(1+INDEX($Z$21:$Z$97,D385))*(1+INDEX($Z$21:$Z$97,E385))*(1+INDEX($Z$21:$Z$97,F385))-1</f>
        <v>0.377314580061438</v>
      </c>
      <c r="H385" s="68">
        <f>(1+INDEX($AA$21:$AA$97,B385))*(1+INDEX($AA$21:$AA$97,C385))*(1+INDEX($AA$21:$AA$97,D385))*(1+INDEX($AA$21:$AA$97,E385))*(1+INDEX($AA$21:$AA$97,F385))-1</f>
        <v>0.320650509367112</v>
      </c>
      <c r="I385" s="68">
        <f>(1+INDEX($AB$21:$AB$97,B385))*(1+INDEX($AB$21:$AB$97,C385))*(1+INDEX($AB$21:$AB$97,D385))*(1+INDEX($AB$21:$AB$97,E385))*(1+INDEX($AB$21:$AB$97,F385))-1</f>
        <v>0.344981000057723</v>
      </c>
      <c r="J385" s="489">
        <f>LN((1+G385)/(1+H385))</f>
        <v>0.0420112215248673</v>
      </c>
      <c r="K385" s="489">
        <f>LN((1+I385)/(1+H385))</f>
        <v>0.01825546126904</v>
      </c>
      <c r="L385" s="489">
        <f>(1+INDEX($AC$21:$AC$97,B385))*(1+INDEX($AC$21:$AC$97,C385))*(1+INDEX($AC$21:$AC$97,D385))*(1+INDEX($AC$21:$AC$97,E385))*(1+INDEX($AC$21:$AC$97,F385))-1</f>
        <v>0.317625127798556</v>
      </c>
      <c r="M385" s="489">
        <f>(1+INDEX($AD$21:$AD$97,B385))*(1+INDEX($AD$21:$AD$97,C385))*(1+INDEX($AD$21:$AD$97,D385))*(1+INDEX($AD$21:$AD$97,E385))*(1+INDEX($AD$21:$AD$97,F385))-1</f>
        <v>0.353702434887498</v>
      </c>
      <c r="N385" s="489">
        <f>(1+INDEX($AE$21:$AE$97,B385))*(1+INDEX($AE$21:$AE$97,C385))*(1+INDEX($AE$21:$AE$97,D385))*(1+INDEX($AE$21:$AE$97,E385))*(1+INDEX($AE$21:$AE$97,F385))-1</f>
        <v>0.318588815651303</v>
      </c>
      <c r="O385" s="489">
        <f>(1+INDEX($AF$21:$AF$97,B385))*(1+INDEX($AF$21:$AF$97,C385))*(1+INDEX($AF$21:$AF$97,D385))*(1+INDEX($AF$21:$AF$97,E385))*(1+INDEX($AF$21:$AF$97,F385))-1</f>
        <v>0.348601141035442</v>
      </c>
      <c r="P385" s="489">
        <f>LN((1+L385)/(1+H385))</f>
        <v>-0.00229345474903843</v>
      </c>
      <c r="Q385" s="489">
        <f>LN((1+M385)/(1+H385))</f>
        <v>0.0247189575647608</v>
      </c>
      <c r="R385" s="489">
        <f>LN((1+N385)/(1+H385))</f>
        <v>-0.00156233966024368</v>
      </c>
      <c r="S385" s="542">
        <f>LN((1+O385)/(1+H385))</f>
        <v>0.020943438073001</v>
      </c>
    </row>
    <row r="386">
      <c r="A386" s="320" t="n">
        <v>285</v>
      </c>
      <c r="B386" s="174" t="n">
        <v>52</v>
      </c>
      <c r="C386" s="174" t="n">
        <v>44</v>
      </c>
      <c r="D386" s="174" t="n">
        <v>28</v>
      </c>
      <c r="E386" s="174" t="n">
        <v>69</v>
      </c>
      <c r="F386" s="174" t="n">
        <v>72</v>
      </c>
      <c r="G386" s="68">
        <f>(1+INDEX($Z$21:$Z$97,B386))*(1+INDEX($Z$21:$Z$97,C386))*(1+INDEX($Z$21:$Z$97,D386))*(1+INDEX($Z$21:$Z$97,E386))*(1+INDEX($Z$21:$Z$97,F386))-1</f>
        <v>0.985207346582851</v>
      </c>
      <c r="H386" s="68">
        <f>(1+INDEX($AA$21:$AA$97,B386))*(1+INDEX($AA$21:$AA$97,C386))*(1+INDEX($AA$21:$AA$97,D386))*(1+INDEX($AA$21:$AA$97,E386))*(1+INDEX($AA$21:$AA$97,F386))-1</f>
        <v>0.983215936625594</v>
      </c>
      <c r="I386" s="68">
        <f>(1+INDEX($AB$21:$AB$97,B386))*(1+INDEX($AB$21:$AB$97,C386))*(1+INDEX($AB$21:$AB$97,D386))*(1+INDEX($AB$21:$AB$97,E386))*(1+INDEX($AB$21:$AB$97,F386))-1</f>
        <v>1.11356393472309</v>
      </c>
      <c r="J386" s="489">
        <f>LN((1+G386)/(1+H386))</f>
        <v>0.00100362788054397</v>
      </c>
      <c r="K386" s="489">
        <f>LN((1+I386)/(1+H386))</f>
        <v>0.0636558536848254</v>
      </c>
      <c r="L386" s="489">
        <f>(1+INDEX($AC$21:$AC$97,B386))*(1+INDEX($AC$21:$AC$97,C386))*(1+INDEX($AC$21:$AC$97,D386))*(1+INDEX($AC$21:$AC$97,E386))*(1+INDEX($AC$21:$AC$97,F386))-1</f>
        <v>1.11717584099857</v>
      </c>
      <c r="M386" s="489">
        <f>(1+INDEX($AD$21:$AD$97,B386))*(1+INDEX($AD$21:$AD$97,C386))*(1+INDEX($AD$21:$AD$97,D386))*(1+INDEX($AD$21:$AD$97,E386))*(1+INDEX($AD$21:$AD$97,F386))-1</f>
        <v>1.07529019988818</v>
      </c>
      <c r="N386" s="489">
        <f>(1+INDEX($AE$21:$AE$97,B386))*(1+INDEX($AE$21:$AE$97,C386))*(1+INDEX($AE$21:$AE$97,D386))*(1+INDEX($AE$21:$AE$97,E386))*(1+INDEX($AE$21:$AE$97,F386))-1</f>
        <v>1.11736589076491</v>
      </c>
      <c r="O386" s="489">
        <f>(1+INDEX($AF$21:$AF$97,B386))*(1+INDEX($AF$21:$AF$97,C386))*(1+INDEX($AF$21:$AF$97,D386))*(1+INDEX($AF$21:$AF$97,E386))*(1+INDEX($AF$21:$AF$97,F386))-1</f>
        <v>1.00963834106474</v>
      </c>
      <c r="P386" s="489">
        <f>LN((1+L386)/(1+H386))</f>
        <v>0.0653633125901093</v>
      </c>
      <c r="Q386" s="489">
        <f>LN((1+M386)/(1+H386))</f>
        <v>0.0453812617514215</v>
      </c>
      <c r="R386" s="489">
        <f>LN((1+N386)/(1+H386))</f>
        <v>0.0654530742590253</v>
      </c>
      <c r="S386" s="542">
        <f>LN((1+O386)/(1+H386))</f>
        <v>0.0132350385429459</v>
      </c>
    </row>
    <row r="387">
      <c r="A387" s="320" t="n">
        <v>286</v>
      </c>
      <c r="B387" s="174" t="n">
        <v>56</v>
      </c>
      <c r="C387" s="174" t="n">
        <v>37</v>
      </c>
      <c r="D387" s="174" t="n">
        <v>2</v>
      </c>
      <c r="E387" s="174" t="n">
        <v>59</v>
      </c>
      <c r="F387" s="174" t="n">
        <v>7</v>
      </c>
      <c r="G387" s="68">
        <f>(1+INDEX($Z$21:$Z$97,B387))*(1+INDEX($Z$21:$Z$97,C387))*(1+INDEX($Z$21:$Z$97,D387))*(1+INDEX($Z$21:$Z$97,E387))*(1+INDEX($Z$21:$Z$97,F387))-1</f>
        <v>0.178124575249199</v>
      </c>
      <c r="H387" s="68">
        <f>(1+INDEX($AA$21:$AA$97,B387))*(1+INDEX($AA$21:$AA$97,C387))*(1+INDEX($AA$21:$AA$97,D387))*(1+INDEX($AA$21:$AA$97,E387))*(1+INDEX($AA$21:$AA$97,F387))-1</f>
        <v>0.185034573315028</v>
      </c>
      <c r="I387" s="68">
        <f>(1+INDEX($AB$21:$AB$97,B387))*(1+INDEX($AB$21:$AB$97,C387))*(1+INDEX($AB$21:$AB$97,D387))*(1+INDEX($AB$21:$AB$97,E387))*(1+INDEX($AB$21:$AB$97,F387))-1</f>
        <v>0.152058132124684</v>
      </c>
      <c r="J387" s="489">
        <f>LN((1+G387)/(1+H387))</f>
        <v>-0.0058481188317716</v>
      </c>
      <c r="K387" s="489">
        <f>LN((1+I387)/(1+H387))</f>
        <v>-0.0282219270404332</v>
      </c>
      <c r="L387" s="489">
        <f>(1+INDEX($AC$21:$AC$97,B387))*(1+INDEX($AC$21:$AC$97,C387))*(1+INDEX($AC$21:$AC$97,D387))*(1+INDEX($AC$21:$AC$97,E387))*(1+INDEX($AC$21:$AC$97,F387))-1</f>
        <v>0.15653634174779</v>
      </c>
      <c r="M387" s="489">
        <f>(1+INDEX($AD$21:$AD$97,B387))*(1+INDEX($AD$21:$AD$97,C387))*(1+INDEX($AD$21:$AD$97,D387))*(1+INDEX($AD$21:$AD$97,E387))*(1+INDEX($AD$21:$AD$97,F387))-1</f>
        <v>0.154200594208968</v>
      </c>
      <c r="N387" s="489">
        <f>(1+INDEX($AE$21:$AE$97,B387))*(1+INDEX($AE$21:$AE$97,C387))*(1+INDEX($AE$21:$AE$97,D387))*(1+INDEX($AE$21:$AE$97,E387))*(1+INDEX($AE$21:$AE$97,F387))-1</f>
        <v>0.165080892396341</v>
      </c>
      <c r="O387" s="489">
        <f>(1+INDEX($AF$21:$AF$97,B387))*(1+INDEX($AF$21:$AF$97,C387))*(1+INDEX($AF$21:$AF$97,D387))*(1+INDEX($AF$21:$AF$97,E387))*(1+INDEX($AF$21:$AF$97,F387))-1</f>
        <v>0.17709280932328</v>
      </c>
      <c r="P387" s="489">
        <f>LN((1+L387)/(1+H387))</f>
        <v>-0.0243423238526922</v>
      </c>
      <c r="Q387" s="489">
        <f>LN((1+M387)/(1+H387))</f>
        <v>-0.0263639718369387</v>
      </c>
      <c r="R387" s="489">
        <f>LN((1+N387)/(1+H387))</f>
        <v>-0.0169814298142929</v>
      </c>
      <c r="S387" s="542">
        <f>LN((1+O387)/(1+H387))</f>
        <v>-0.00672427234412317</v>
      </c>
    </row>
    <row r="388">
      <c r="A388" s="320" t="n">
        <v>287</v>
      </c>
      <c r="B388" s="174" t="n">
        <v>38</v>
      </c>
      <c r="C388" s="174" t="n">
        <v>21</v>
      </c>
      <c r="D388" s="174" t="n">
        <v>3</v>
      </c>
      <c r="E388" s="174" t="n">
        <v>1</v>
      </c>
      <c r="F388" s="174" t="n">
        <v>19</v>
      </c>
      <c r="G388" s="68">
        <f>(1+INDEX($Z$21:$Z$97,B388))*(1+INDEX($Z$21:$Z$97,C388))*(1+INDEX($Z$21:$Z$97,D388))*(1+INDEX($Z$21:$Z$97,E388))*(1+INDEX($Z$21:$Z$97,F388))-1</f>
        <v>0.295192623478292</v>
      </c>
      <c r="H388" s="68">
        <f>(1+INDEX($AA$21:$AA$97,B388))*(1+INDEX($AA$21:$AA$97,C388))*(1+INDEX($AA$21:$AA$97,D388))*(1+INDEX($AA$21:$AA$97,E388))*(1+INDEX($AA$21:$AA$97,F388))-1</f>
        <v>0.223636296879978</v>
      </c>
      <c r="I388" s="68">
        <f>(1+INDEX($AB$21:$AB$97,B388))*(1+INDEX($AB$21:$AB$97,C388))*(1+INDEX($AB$21:$AB$97,D388))*(1+INDEX($AB$21:$AB$97,E388))*(1+INDEX($AB$21:$AB$97,F388))-1</f>
        <v>0.201122674543524</v>
      </c>
      <c r="J388" s="489">
        <f>LN((1+G388)/(1+H388))</f>
        <v>0.0568324312264194</v>
      </c>
      <c r="K388" s="489">
        <f>LN((1+I388)/(1+H388))</f>
        <v>-0.0185703153143859</v>
      </c>
      <c r="L388" s="489">
        <f>(1+INDEX($AC$21:$AC$97,B388))*(1+INDEX($AC$21:$AC$97,C388))*(1+INDEX($AC$21:$AC$97,D388))*(1+INDEX($AC$21:$AC$97,E388))*(1+INDEX($AC$21:$AC$97,F388))-1</f>
        <v>0.185103400791514</v>
      </c>
      <c r="M388" s="489">
        <f>(1+INDEX($AD$21:$AD$97,B388))*(1+INDEX($AD$21:$AD$97,C388))*(1+INDEX($AD$21:$AD$97,D388))*(1+INDEX($AD$21:$AD$97,E388))*(1+INDEX($AD$21:$AD$97,F388))-1</f>
        <v>0.222077445706346</v>
      </c>
      <c r="N388" s="489">
        <f>(1+INDEX($AE$21:$AE$97,B388))*(1+INDEX($AE$21:$AE$97,C388))*(1+INDEX($AE$21:$AE$97,D388))*(1+INDEX($AE$21:$AE$97,E388))*(1+INDEX($AE$21:$AE$97,F388))-1</f>
        <v>0.194408697599277</v>
      </c>
      <c r="O388" s="489">
        <f>(1+INDEX($AF$21:$AF$97,B388))*(1+INDEX($AF$21:$AF$97,C388))*(1+INDEX($AF$21:$AF$97,D388))*(1+INDEX($AF$21:$AF$97,E388))*(1+INDEX($AF$21:$AF$97,F388))-1</f>
        <v>0.239487870452878</v>
      </c>
      <c r="P388" s="489">
        <f>LN((1+L388)/(1+H388))</f>
        <v>-0.0319969680302277</v>
      </c>
      <c r="Q388" s="489">
        <f>LN((1+M388)/(1+H388))</f>
        <v>-0.00127476192948058</v>
      </c>
      <c r="R388" s="489">
        <f>LN((1+N388)/(1+H388))</f>
        <v>-0.0241757476641605</v>
      </c>
      <c r="S388" s="542">
        <f>LN((1+O388)/(1+H388))</f>
        <v>0.0128712897440127</v>
      </c>
    </row>
    <row r="389">
      <c r="A389" s="320" t="n">
        <v>288</v>
      </c>
      <c r="B389" s="174" t="n">
        <v>36</v>
      </c>
      <c r="C389" s="174" t="n">
        <v>14</v>
      </c>
      <c r="D389" s="174" t="n">
        <v>51</v>
      </c>
      <c r="E389" s="174" t="n">
        <v>72</v>
      </c>
      <c r="F389" s="174" t="n">
        <v>5</v>
      </c>
      <c r="G389" s="68">
        <f>(1+INDEX($Z$21:$Z$97,B389))*(1+INDEX($Z$21:$Z$97,C389))*(1+INDEX($Z$21:$Z$97,D389))*(1+INDEX($Z$21:$Z$97,E389))*(1+INDEX($Z$21:$Z$97,F389))-1</f>
        <v>0.394048950049177</v>
      </c>
      <c r="H389" s="68">
        <f>(1+INDEX($AA$21:$AA$97,B389))*(1+INDEX($AA$21:$AA$97,C389))*(1+INDEX($AA$21:$AA$97,D389))*(1+INDEX($AA$21:$AA$97,E389))*(1+INDEX($AA$21:$AA$97,F389))-1</f>
        <v>0.385087969224915</v>
      </c>
      <c r="I389" s="68">
        <f>(1+INDEX($AB$21:$AB$97,B389))*(1+INDEX($AB$21:$AB$97,C389))*(1+INDEX($AB$21:$AB$97,D389))*(1+INDEX($AB$21:$AB$97,E389))*(1+INDEX($AB$21:$AB$97,F389))-1</f>
        <v>0.406136977794402</v>
      </c>
      <c r="J389" s="489">
        <f>LN((1+G389)/(1+H389))</f>
        <v>0.00644877322659225</v>
      </c>
      <c r="K389" s="489">
        <f>LN((1+I389)/(1+H389))</f>
        <v>0.0150825590863153</v>
      </c>
      <c r="L389" s="489">
        <f>(1+INDEX($AC$21:$AC$97,B389))*(1+INDEX($AC$21:$AC$97,C389))*(1+INDEX($AC$21:$AC$97,D389))*(1+INDEX($AC$21:$AC$97,E389))*(1+INDEX($AC$21:$AC$97,F389))-1</f>
        <v>0.399896019182695</v>
      </c>
      <c r="M389" s="489">
        <f>(1+INDEX($AD$21:$AD$97,B389))*(1+INDEX($AD$21:$AD$97,C389))*(1+INDEX($AD$21:$AD$97,D389))*(1+INDEX($AD$21:$AD$97,E389))*(1+INDEX($AD$21:$AD$97,F389))-1</f>
        <v>0.408379450302131</v>
      </c>
      <c r="N389" s="489">
        <f>(1+INDEX($AE$21:$AE$97,B389))*(1+INDEX($AE$21:$AE$97,C389))*(1+INDEX($AE$21:$AE$97,D389))*(1+INDEX($AE$21:$AE$97,E389))*(1+INDEX($AE$21:$AE$97,F389))-1</f>
        <v>0.38526596409671</v>
      </c>
      <c r="O389" s="489">
        <f>(1+INDEX($AF$21:$AF$97,B389))*(1+INDEX($AF$21:$AF$97,C389))*(1+INDEX($AF$21:$AF$97,D389))*(1+INDEX($AF$21:$AF$97,E389))*(1+INDEX($AF$21:$AF$97,F389))-1</f>
        <v>0.371059290314801</v>
      </c>
      <c r="P389" s="489">
        <f>LN((1+L389)/(1+H389))</f>
        <v>0.0106343085424238</v>
      </c>
      <c r="Q389" s="489">
        <f>LN((1+M389)/(1+H389))</f>
        <v>0.0166760640734321</v>
      </c>
      <c r="R389" s="489">
        <f>LN((1+N389)/(1+H389))</f>
        <v>0.000128499734202739</v>
      </c>
      <c r="S389" s="542">
        <f>LN((1+O389)/(1+H389))</f>
        <v>-0.0101800076274356</v>
      </c>
    </row>
    <row r="390">
      <c r="A390" s="320" t="n">
        <v>289</v>
      </c>
      <c r="B390" s="174" t="n">
        <v>63</v>
      </c>
      <c r="C390" s="174" t="n">
        <v>32</v>
      </c>
      <c r="D390" s="174" t="n">
        <v>60</v>
      </c>
      <c r="E390" s="174" t="n">
        <v>58</v>
      </c>
      <c r="F390" s="174" t="n">
        <v>55</v>
      </c>
      <c r="G390" s="68">
        <f>(1+INDEX($Z$21:$Z$97,B390))*(1+INDEX($Z$21:$Z$97,C390))*(1+INDEX($Z$21:$Z$97,D390))*(1+INDEX($Z$21:$Z$97,E390))*(1+INDEX($Z$21:$Z$97,F390))-1</f>
        <v>0.362498975049702</v>
      </c>
      <c r="H390" s="68">
        <f>(1+INDEX($AA$21:$AA$97,B390))*(1+INDEX($AA$21:$AA$97,C390))*(1+INDEX($AA$21:$AA$97,D390))*(1+INDEX($AA$21:$AA$97,E390))*(1+INDEX($AA$21:$AA$97,F390))-1</f>
        <v>0.397396233524305</v>
      </c>
      <c r="I390" s="68">
        <f>(1+INDEX($AB$21:$AB$97,B390))*(1+INDEX($AB$21:$AB$97,C390))*(1+INDEX($AB$21:$AB$97,D390))*(1+INDEX($AB$21:$AB$97,E390))*(1+INDEX($AB$21:$AB$97,F390))-1</f>
        <v>0.412120981386231</v>
      </c>
      <c r="J390" s="489">
        <f>LN((1+G390)/(1+H390))</f>
        <v>-0.0252901764892773</v>
      </c>
      <c r="K390" s="489">
        <f>LN((1+I390)/(1+H390))</f>
        <v>0.0104821444819334</v>
      </c>
      <c r="L390" s="489">
        <f>(1+INDEX($AC$21:$AC$97,B390))*(1+INDEX($AC$21:$AC$97,C390))*(1+INDEX($AC$21:$AC$97,D390))*(1+INDEX($AC$21:$AC$97,E390))*(1+INDEX($AC$21:$AC$97,F390))-1</f>
        <v>0.448603710204572</v>
      </c>
      <c r="M390" s="489">
        <f>(1+INDEX($AD$21:$AD$97,B390))*(1+INDEX($AD$21:$AD$97,C390))*(1+INDEX($AD$21:$AD$97,D390))*(1+INDEX($AD$21:$AD$97,E390))*(1+INDEX($AD$21:$AD$97,F390))-1</f>
        <v>0.376130887440474</v>
      </c>
      <c r="N390" s="489">
        <f>(1+INDEX($AE$21:$AE$97,B390))*(1+INDEX($AE$21:$AE$97,C390))*(1+INDEX($AE$21:$AE$97,D390))*(1+INDEX($AE$21:$AE$97,E390))*(1+INDEX($AE$21:$AE$97,F390))-1</f>
        <v>0.45858468643724</v>
      </c>
      <c r="O390" s="489">
        <f>(1+INDEX($AF$21:$AF$97,B390))*(1+INDEX($AF$21:$AF$97,C390))*(1+INDEX($AF$21:$AF$97,D390))*(1+INDEX($AF$21:$AF$97,E390))*(1+INDEX($AF$21:$AF$97,F390))-1</f>
        <v>0.313588673559058</v>
      </c>
      <c r="P390" s="489">
        <f>LN((1+L390)/(1+H390))</f>
        <v>0.0359894622233421</v>
      </c>
      <c r="Q390" s="489">
        <f>LN((1+M390)/(1+H390))</f>
        <v>-0.015334815113395</v>
      </c>
      <c r="R390" s="489">
        <f>LN((1+N390)/(1+H390))</f>
        <v>0.0428559009167584</v>
      </c>
      <c r="S390" s="542">
        <f>LN((1+O390)/(1+H390))</f>
        <v>-0.0618478345511646</v>
      </c>
    </row>
    <row r="391">
      <c r="A391" s="320" t="n">
        <v>290</v>
      </c>
      <c r="B391" s="174" t="n">
        <v>67</v>
      </c>
      <c r="C391" s="174" t="n">
        <v>61</v>
      </c>
      <c r="D391" s="174" t="n">
        <v>41</v>
      </c>
      <c r="E391" s="174" t="n">
        <v>66</v>
      </c>
      <c r="F391" s="174" t="n">
        <v>64</v>
      </c>
      <c r="G391" s="68">
        <f>(1+INDEX($Z$21:$Z$97,B391))*(1+INDEX($Z$21:$Z$97,C391))*(1+INDEX($Z$21:$Z$97,D391))*(1+INDEX($Z$21:$Z$97,E391))*(1+INDEX($Z$21:$Z$97,F391))-1</f>
        <v>0.374019311223571</v>
      </c>
      <c r="H391" s="68">
        <f>(1+INDEX($AA$21:$AA$97,B391))*(1+INDEX($AA$21:$AA$97,C391))*(1+INDEX($AA$21:$AA$97,D391))*(1+INDEX($AA$21:$AA$97,E391))*(1+INDEX($AA$21:$AA$97,F391))-1</f>
        <v>0.350790743112698</v>
      </c>
      <c r="I391" s="68">
        <f>(1+INDEX($AB$21:$AB$97,B391))*(1+INDEX($AB$21:$AB$97,C391))*(1+INDEX($AB$21:$AB$97,D391))*(1+INDEX($AB$21:$AB$97,E391))*(1+INDEX($AB$21:$AB$97,F391))-1</f>
        <v>0.363692426210951</v>
      </c>
      <c r="J391" s="489">
        <f>LN((1+G391)/(1+H391))</f>
        <v>0.0170500918360488</v>
      </c>
      <c r="K391" s="489">
        <f>LN((1+I391)/(1+H391))</f>
        <v>0.00950588340022835</v>
      </c>
      <c r="L391" s="489">
        <f>(1+INDEX($AC$21:$AC$97,B391))*(1+INDEX($AC$21:$AC$97,C391))*(1+INDEX($AC$21:$AC$97,D391))*(1+INDEX($AC$21:$AC$97,E391))*(1+INDEX($AC$21:$AC$97,F391))-1</f>
        <v>0.4009208526274</v>
      </c>
      <c r="M391" s="489">
        <f>(1+INDEX($AD$21:$AD$97,B391))*(1+INDEX($AD$21:$AD$97,C391))*(1+INDEX($AD$21:$AD$97,D391))*(1+INDEX($AD$21:$AD$97,E391))*(1+INDEX($AD$21:$AD$97,F391))-1</f>
        <v>0.312561197675354</v>
      </c>
      <c r="N391" s="489">
        <f>(1+INDEX($AE$21:$AE$97,B391))*(1+INDEX($AE$21:$AE$97,C391))*(1+INDEX($AE$21:$AE$97,D391))*(1+INDEX($AE$21:$AE$97,E391))*(1+INDEX($AE$21:$AE$97,F391))-1</f>
        <v>0.415072977945967</v>
      </c>
      <c r="O391" s="489">
        <f>(1+INDEX($AF$21:$AF$97,B391))*(1+INDEX($AF$21:$AF$97,C391))*(1+INDEX($AF$21:$AF$97,D391))*(1+INDEX($AF$21:$AF$97,E391))*(1+INDEX($AF$21:$AF$97,F391))-1</f>
        <v>0.32488247124039</v>
      </c>
      <c r="P391" s="489">
        <f>LN((1+L391)/(1+H391))</f>
        <v>0.0364396156607603</v>
      </c>
      <c r="Q391" s="489">
        <f>LN((1+M391)/(1+H391))</f>
        <v>-0.0287098154162943</v>
      </c>
      <c r="R391" s="489">
        <f>LN((1+N391)/(1+H391))</f>
        <v>0.046490947672189</v>
      </c>
      <c r="S391" s="542">
        <f>LN((1+O391)/(1+H391))</f>
        <v>-0.0193664020598356</v>
      </c>
    </row>
    <row r="392">
      <c r="A392" s="320" t="n">
        <v>291</v>
      </c>
      <c r="B392" s="174" t="n">
        <v>36</v>
      </c>
      <c r="C392" s="174" t="n">
        <v>62</v>
      </c>
      <c r="D392" s="174" t="n">
        <v>58</v>
      </c>
      <c r="E392" s="174" t="n">
        <v>66</v>
      </c>
      <c r="F392" s="174" t="n">
        <v>32</v>
      </c>
      <c r="G392" s="68">
        <f>(1+INDEX($Z$21:$Z$97,B392))*(1+INDEX($Z$21:$Z$97,C392))*(1+INDEX($Z$21:$Z$97,D392))*(1+INDEX($Z$21:$Z$97,E392))*(1+INDEX($Z$21:$Z$97,F392))-1</f>
        <v>0.475066196610875</v>
      </c>
      <c r="H392" s="68">
        <f>(1+INDEX($AA$21:$AA$97,B392))*(1+INDEX($AA$21:$AA$97,C392))*(1+INDEX($AA$21:$AA$97,D392))*(1+INDEX($AA$21:$AA$97,E392))*(1+INDEX($AA$21:$AA$97,F392))-1</f>
        <v>0.473737216169628</v>
      </c>
      <c r="I392" s="68">
        <f>(1+INDEX($AB$21:$AB$97,B392))*(1+INDEX($AB$21:$AB$97,C392))*(1+INDEX($AB$21:$AB$97,D392))*(1+INDEX($AB$21:$AB$97,E392))*(1+INDEX($AB$21:$AB$97,F392))-1</f>
        <v>0.501317253268351</v>
      </c>
      <c r="J392" s="489">
        <f>LN((1+G392)/(1+H392))</f>
        <v>0.000901369365937738</v>
      </c>
      <c r="K392" s="489">
        <f>LN((1+I392)/(1+H392))</f>
        <v>0.0185413931120334</v>
      </c>
      <c r="L392" s="489">
        <f>(1+INDEX($AC$21:$AC$97,B392))*(1+INDEX($AC$21:$AC$97,C392))*(1+INDEX($AC$21:$AC$97,D392))*(1+INDEX($AC$21:$AC$97,E392))*(1+INDEX($AC$21:$AC$97,F392))-1</f>
        <v>0.531928102153221</v>
      </c>
      <c r="M392" s="489">
        <f>(1+INDEX($AD$21:$AD$97,B392))*(1+INDEX($AD$21:$AD$97,C392))*(1+INDEX($AD$21:$AD$97,D392))*(1+INDEX($AD$21:$AD$97,E392))*(1+INDEX($AD$21:$AD$97,F392))-1</f>
        <v>0.4715204825584</v>
      </c>
      <c r="N392" s="489">
        <f>(1+INDEX($AE$21:$AE$97,B392))*(1+INDEX($AE$21:$AE$97,C392))*(1+INDEX($AE$21:$AE$97,D392))*(1+INDEX($AE$21:$AE$97,E392))*(1+INDEX($AE$21:$AE$97,F392))-1</f>
        <v>0.549687175020033</v>
      </c>
      <c r="O392" s="489">
        <f>(1+INDEX($AF$21:$AF$97,B392))*(1+INDEX($AF$21:$AF$97,C392))*(1+INDEX($AF$21:$AF$97,D392))*(1+INDEX($AF$21:$AF$97,E392))*(1+INDEX($AF$21:$AF$97,F392))-1</f>
        <v>0.405284435637073</v>
      </c>
      <c r="P392" s="489">
        <f>LN((1+L392)/(1+H392))</f>
        <v>0.0387256410307026</v>
      </c>
      <c r="Q392" s="489">
        <f>LN((1+M392)/(1+H392))</f>
        <v>-0.00150529037289986</v>
      </c>
      <c r="R392" s="489">
        <f>LN((1+N392)/(1+H392))</f>
        <v>0.0502515895174886</v>
      </c>
      <c r="S392" s="542">
        <f>LN((1+O392)/(1+H392))</f>
        <v>-0.0475617708873144</v>
      </c>
    </row>
    <row r="393">
      <c r="A393" s="320" t="n">
        <v>292</v>
      </c>
      <c r="B393" s="174" t="n">
        <v>38</v>
      </c>
      <c r="C393" s="174" t="n">
        <v>11</v>
      </c>
      <c r="D393" s="174" t="n">
        <v>39</v>
      </c>
      <c r="E393" s="174" t="n">
        <v>49</v>
      </c>
      <c r="F393" s="174" t="n">
        <v>30</v>
      </c>
      <c r="G393" s="68">
        <f>(1+INDEX($Z$21:$Z$97,B393))*(1+INDEX($Z$21:$Z$97,C393))*(1+INDEX($Z$21:$Z$97,D393))*(1+INDEX($Z$21:$Z$97,E393))*(1+INDEX($Z$21:$Z$97,F393))-1</f>
        <v>0.417858588981847</v>
      </c>
      <c r="H393" s="68">
        <f>(1+INDEX($AA$21:$AA$97,B393))*(1+INDEX($AA$21:$AA$97,C393))*(1+INDEX($AA$21:$AA$97,D393))*(1+INDEX($AA$21:$AA$97,E393))*(1+INDEX($AA$21:$AA$97,F393))-1</f>
        <v>0.318882216246594</v>
      </c>
      <c r="I393" s="68">
        <f>(1+INDEX($AB$21:$AB$97,B393))*(1+INDEX($AB$21:$AB$97,C393))*(1+INDEX($AB$21:$AB$97,D393))*(1+INDEX($AB$21:$AB$97,E393))*(1+INDEX($AB$21:$AB$97,F393))-1</f>
        <v>0.331399616890564</v>
      </c>
      <c r="J393" s="489">
        <f>LN((1+G393)/(1+H393))</f>
        <v>0.0723631254723847</v>
      </c>
      <c r="K393" s="489">
        <f>LN((1+I393)/(1+H393))</f>
        <v>0.0094461604532562</v>
      </c>
      <c r="L393" s="489">
        <f>(1+INDEX($AC$21:$AC$97,B393))*(1+INDEX($AC$21:$AC$97,C393))*(1+INDEX($AC$21:$AC$97,D393))*(1+INDEX($AC$21:$AC$97,E393))*(1+INDEX($AC$21:$AC$97,F393))-1</f>
        <v>0.307401085239349</v>
      </c>
      <c r="M393" s="489">
        <f>(1+INDEX($AD$21:$AD$97,B393))*(1+INDEX($AD$21:$AD$97,C393))*(1+INDEX($AD$21:$AD$97,D393))*(1+INDEX($AD$21:$AD$97,E393))*(1+INDEX($AD$21:$AD$97,F393))-1</f>
        <v>0.365549018300379</v>
      </c>
      <c r="N393" s="489">
        <f>(1+INDEX($AE$21:$AE$97,B393))*(1+INDEX($AE$21:$AE$97,C393))*(1+INDEX($AE$21:$AE$97,D393))*(1+INDEX($AE$21:$AE$97,E393))*(1+INDEX($AE$21:$AE$97,F393))-1</f>
        <v>0.305531043681413</v>
      </c>
      <c r="O393" s="489">
        <f>(1+INDEX($AF$21:$AF$97,B393))*(1+INDEX($AF$21:$AF$97,C393))*(1+INDEX($AF$21:$AF$97,D393))*(1+INDEX($AF$21:$AF$97,E393))*(1+INDEX($AF$21:$AF$97,F393))-1</f>
        <v>0.385058146200985</v>
      </c>
      <c r="P393" s="489">
        <f>LN((1+L393)/(1+H393))</f>
        <v>-0.00874330971124742</v>
      </c>
      <c r="Q393" s="489">
        <f>LN((1+M393)/(1+H393))</f>
        <v>0.0347719869988912</v>
      </c>
      <c r="R393" s="489">
        <f>LN((1+N393)/(1+H393))</f>
        <v>-0.0101746839566944</v>
      </c>
      <c r="S393" s="542">
        <f>LN((1+O393)/(1+H393))</f>
        <v>0.0489575495927887</v>
      </c>
    </row>
    <row r="394">
      <c r="A394" s="320" t="n">
        <v>293</v>
      </c>
      <c r="B394" s="174" t="n">
        <v>42</v>
      </c>
      <c r="C394" s="174" t="n">
        <v>36</v>
      </c>
      <c r="D394" s="174" t="n">
        <v>17</v>
      </c>
      <c r="E394" s="174" t="n">
        <v>19</v>
      </c>
      <c r="F394" s="174" t="n">
        <v>18</v>
      </c>
      <c r="G394" s="68">
        <f>(1+INDEX($Z$21:$Z$97,B394))*(1+INDEX($Z$21:$Z$97,C394))*(1+INDEX($Z$21:$Z$97,D394))*(1+INDEX($Z$21:$Z$97,E394))*(1+INDEX($Z$21:$Z$97,F394))-1</f>
        <v>0.228920110300036</v>
      </c>
      <c r="H394" s="68">
        <f>(1+INDEX($AA$21:$AA$97,B394))*(1+INDEX($AA$21:$AA$97,C394))*(1+INDEX($AA$21:$AA$97,D394))*(1+INDEX($AA$21:$AA$97,E394))*(1+INDEX($AA$21:$AA$97,F394))-1</f>
        <v>0.195315076533282</v>
      </c>
      <c r="I394" s="68">
        <f>(1+INDEX($AB$21:$AB$97,B394))*(1+INDEX($AB$21:$AB$97,C394))*(1+INDEX($AB$21:$AB$97,D394))*(1+INDEX($AB$21:$AB$97,E394))*(1+INDEX($AB$21:$AB$97,F394))-1</f>
        <v>0.187114748959425</v>
      </c>
      <c r="J394" s="489">
        <f>LN((1+G394)/(1+H394))</f>
        <v>0.0277260116452333</v>
      </c>
      <c r="K394" s="489">
        <f>LN((1+I394)/(1+H394))</f>
        <v>-0.00688403064003083</v>
      </c>
      <c r="L394" s="489">
        <f>(1+INDEX($AC$21:$AC$97,B394))*(1+INDEX($AC$21:$AC$97,C394))*(1+INDEX($AC$21:$AC$97,D394))*(1+INDEX($AC$21:$AC$97,E394))*(1+INDEX($AC$21:$AC$97,F394))-1</f>
        <v>0.166621382142405</v>
      </c>
      <c r="M394" s="489">
        <f>(1+INDEX($AD$21:$AD$97,B394))*(1+INDEX($AD$21:$AD$97,C394))*(1+INDEX($AD$21:$AD$97,D394))*(1+INDEX($AD$21:$AD$97,E394))*(1+INDEX($AD$21:$AD$97,F394))-1</f>
        <v>0.195420424898586</v>
      </c>
      <c r="N394" s="489">
        <f>(1+INDEX($AE$21:$AE$97,B394))*(1+INDEX($AE$21:$AE$97,C394))*(1+INDEX($AE$21:$AE$97,D394))*(1+INDEX($AE$21:$AE$97,E394))*(1+INDEX($AE$21:$AE$97,F394))-1</f>
        <v>0.181469904313788</v>
      </c>
      <c r="O394" s="489">
        <f>(1+INDEX($AF$21:$AF$97,B394))*(1+INDEX($AF$21:$AF$97,C394))*(1+INDEX($AF$21:$AF$97,D394))*(1+INDEX($AF$21:$AF$97,E394))*(1+INDEX($AF$21:$AF$97,F394))-1</f>
        <v>0.217853741245353</v>
      </c>
      <c r="P394" s="489">
        <f>LN((1+L394)/(1+H394))</f>
        <v>-0.0242979492341918</v>
      </c>
      <c r="Q394" s="489">
        <f>LN((1+M394)/(1+H394))</f>
        <v>8.81305065408081e-05</v>
      </c>
      <c r="R394" s="489">
        <f>LN((1+N394)/(1+H394))</f>
        <v>-0.0116504681198143</v>
      </c>
      <c r="S394" s="542">
        <f>LN((1+O394)/(1+H394))</f>
        <v>0.0186802679964398</v>
      </c>
    </row>
    <row r="395">
      <c r="A395" s="320" t="n">
        <v>294</v>
      </c>
      <c r="B395" s="174" t="n">
        <v>3</v>
      </c>
      <c r="C395" s="174" t="n">
        <v>53</v>
      </c>
      <c r="D395" s="174" t="n">
        <v>28</v>
      </c>
      <c r="E395" s="174" t="n">
        <v>54</v>
      </c>
      <c r="F395" s="174" t="n">
        <v>60</v>
      </c>
      <c r="G395" s="68">
        <f>(1+INDEX($Z$21:$Z$97,B395))*(1+INDEX($Z$21:$Z$97,C395))*(1+INDEX($Z$21:$Z$97,D395))*(1+INDEX($Z$21:$Z$97,E395))*(1+INDEX($Z$21:$Z$97,F395))-1</f>
        <v>0.489505715928809</v>
      </c>
      <c r="H395" s="68">
        <f>(1+INDEX($AA$21:$AA$97,B395))*(1+INDEX($AA$21:$AA$97,C395))*(1+INDEX($AA$21:$AA$97,D395))*(1+INDEX($AA$21:$AA$97,E395))*(1+INDEX($AA$21:$AA$97,F395))-1</f>
        <v>0.530581258874218</v>
      </c>
      <c r="I395" s="68">
        <f>(1+INDEX($AB$21:$AB$97,B395))*(1+INDEX($AB$21:$AB$97,C395))*(1+INDEX($AB$21:$AB$97,D395))*(1+INDEX($AB$21:$AB$97,E395))*(1+INDEX($AB$21:$AB$97,F395))-1</f>
        <v>0.533314567856897</v>
      </c>
      <c r="J395" s="489">
        <f>LN((1+G395)/(1+H395))</f>
        <v>-0.0272032403731759</v>
      </c>
      <c r="K395" s="489">
        <f>LN((1+I395)/(1+H395))</f>
        <v>0.00178420537926318</v>
      </c>
      <c r="L395" s="489">
        <f>(1+INDEX($AC$21:$AC$97,B395))*(1+INDEX($AC$21:$AC$97,C395))*(1+INDEX($AC$21:$AC$97,D395))*(1+INDEX($AC$21:$AC$97,E395))*(1+INDEX($AC$21:$AC$97,F395))-1</f>
        <v>0.560003831888521</v>
      </c>
      <c r="M395" s="489">
        <f>(1+INDEX($AD$21:$AD$97,B395))*(1+INDEX($AD$21:$AD$97,C395))*(1+INDEX($AD$21:$AD$97,D395))*(1+INDEX($AD$21:$AD$97,E395))*(1+INDEX($AD$21:$AD$97,F395))-1</f>
        <v>0.536548145272498</v>
      </c>
      <c r="N395" s="489">
        <f>(1+INDEX($AE$21:$AE$97,B395))*(1+INDEX($AE$21:$AE$97,C395))*(1+INDEX($AE$21:$AE$97,D395))*(1+INDEX($AE$21:$AE$97,E395))*(1+INDEX($AE$21:$AE$97,F395))-1</f>
        <v>0.567770556707067</v>
      </c>
      <c r="O395" s="489">
        <f>(1+INDEX($AF$21:$AF$97,B395))*(1+INDEX($AF$21:$AF$97,C395))*(1+INDEX($AF$21:$AF$97,D395))*(1+INDEX($AF$21:$AF$97,E395))*(1+INDEX($AF$21:$AF$97,F395))-1</f>
        <v>0.530811391675302</v>
      </c>
      <c r="P395" s="489">
        <f>LN((1+L395)/(1+H395))</f>
        <v>0.0190407065786348</v>
      </c>
      <c r="Q395" s="489">
        <f>LN((1+M395)/(1+H395))</f>
        <v>0.00389086545735754</v>
      </c>
      <c r="R395" s="489">
        <f>LN((1+N395)/(1+H395))</f>
        <v>0.024007011571851</v>
      </c>
      <c r="S395" s="542">
        <f>LN((1+O395)/(1+H395))</f>
        <v>0.000150345171487016</v>
      </c>
    </row>
    <row r="396">
      <c r="A396" s="320" t="n">
        <v>295</v>
      </c>
      <c r="B396" s="174" t="n">
        <v>75</v>
      </c>
      <c r="C396" s="174" t="n">
        <v>72</v>
      </c>
      <c r="D396" s="174" t="n">
        <v>29</v>
      </c>
      <c r="E396" s="174" t="n">
        <v>61</v>
      </c>
      <c r="F396" s="174" t="n">
        <v>25</v>
      </c>
      <c r="G396" s="68">
        <f>(1+INDEX($Z$21:$Z$97,B396))*(1+INDEX($Z$21:$Z$97,C396))*(1+INDEX($Z$21:$Z$97,D396))*(1+INDEX($Z$21:$Z$97,E396))*(1+INDEX($Z$21:$Z$97,F396))-1</f>
        <v>0.774620544833498</v>
      </c>
      <c r="H396" s="68">
        <f>(1+INDEX($AA$21:$AA$97,B396))*(1+INDEX($AA$21:$AA$97,C396))*(1+INDEX($AA$21:$AA$97,D396))*(1+INDEX($AA$21:$AA$97,E396))*(1+INDEX($AA$21:$AA$97,F396))-1</f>
        <v>0.762174133886771</v>
      </c>
      <c r="I396" s="68">
        <f>(1+INDEX($AB$21:$AB$97,B396))*(1+INDEX($AB$21:$AB$97,C396))*(1+INDEX($AB$21:$AB$97,D396))*(1+INDEX($AB$21:$AB$97,E396))*(1+INDEX($AB$21:$AB$97,F396))-1</f>
        <v>0.852600538707298</v>
      </c>
      <c r="J396" s="489">
        <f>LN((1+G396)/(1+H396))</f>
        <v>0.00703827247970154</v>
      </c>
      <c r="K396" s="489">
        <f>LN((1+I396)/(1+H396))</f>
        <v>0.0500419985868062</v>
      </c>
      <c r="L396" s="489">
        <f>(1+INDEX($AC$21:$AC$97,B396))*(1+INDEX($AC$21:$AC$97,C396))*(1+INDEX($AC$21:$AC$97,D396))*(1+INDEX($AC$21:$AC$97,E396))*(1+INDEX($AC$21:$AC$97,F396))-1</f>
        <v>0.875296822271448</v>
      </c>
      <c r="M396" s="489">
        <f>(1+INDEX($AD$21:$AD$97,B396))*(1+INDEX($AD$21:$AD$97,C396))*(1+INDEX($AD$21:$AD$97,D396))*(1+INDEX($AD$21:$AD$97,E396))*(1+INDEX($AD$21:$AD$97,F396))-1</f>
        <v>0.795277866981323</v>
      </c>
      <c r="N396" s="489">
        <f>(1+INDEX($AE$21:$AE$97,B396))*(1+INDEX($AE$21:$AE$97,C396))*(1+INDEX($AE$21:$AE$97,D396))*(1+INDEX($AE$21:$AE$97,E396))*(1+INDEX($AE$21:$AE$97,F396))-1</f>
        <v>0.872491500441445</v>
      </c>
      <c r="O396" s="489">
        <f>(1+INDEX($AF$21:$AF$97,B396))*(1+INDEX($AF$21:$AF$97,C396))*(1+INDEX($AF$21:$AF$97,D396))*(1+INDEX($AF$21:$AF$97,E396))*(1+INDEX($AF$21:$AF$97,F396))-1</f>
        <v>0.732978031388097</v>
      </c>
      <c r="P396" s="489">
        <f>LN((1+L396)/(1+H396))</f>
        <v>0.06221860206946</v>
      </c>
      <c r="Q396" s="489">
        <f>LN((1+M396)/(1+H396))</f>
        <v>0.0186114604711667</v>
      </c>
      <c r="R396" s="489">
        <f>LN((1+N396)/(1+H396))</f>
        <v>0.0607215472134344</v>
      </c>
      <c r="S396" s="542">
        <f>LN((1+O396)/(1+H396))</f>
        <v>-0.0167070160192751</v>
      </c>
    </row>
    <row r="397">
      <c r="A397" s="320" t="n">
        <v>296</v>
      </c>
      <c r="B397" s="174" t="n">
        <v>48</v>
      </c>
      <c r="C397" s="174" t="n">
        <v>68</v>
      </c>
      <c r="D397" s="174" t="n">
        <v>41</v>
      </c>
      <c r="E397" s="174" t="n">
        <v>13</v>
      </c>
      <c r="F397" s="174" t="n">
        <v>1</v>
      </c>
      <c r="G397" s="68">
        <f>(1+INDEX($Z$21:$Z$97,B397))*(1+INDEX($Z$21:$Z$97,C397))*(1+INDEX($Z$21:$Z$97,D397))*(1+INDEX($Z$21:$Z$97,E397))*(1+INDEX($Z$21:$Z$97,F397))-1</f>
        <v>0.743145981534104</v>
      </c>
      <c r="H397" s="68">
        <f>(1+INDEX($AA$21:$AA$97,B397))*(1+INDEX($AA$21:$AA$97,C397))*(1+INDEX($AA$21:$AA$97,D397))*(1+INDEX($AA$21:$AA$97,E397))*(1+INDEX($AA$21:$AA$97,F397))-1</f>
        <v>0.603339459934526</v>
      </c>
      <c r="I397" s="68">
        <f>(1+INDEX($AB$21:$AB$97,B397))*(1+INDEX($AB$21:$AB$97,C397))*(1+INDEX($AB$21:$AB$97,D397))*(1+INDEX($AB$21:$AB$97,E397))*(1+INDEX($AB$21:$AB$97,F397))-1</f>
        <v>0.641619107045733</v>
      </c>
      <c r="J397" s="489">
        <f>LN((1+G397)/(1+H397))</f>
        <v>0.0836028994551645</v>
      </c>
      <c r="K397" s="489">
        <f>LN((1+I397)/(1+H397))</f>
        <v>0.0235943986015777</v>
      </c>
      <c r="L397" s="489">
        <f>(1+INDEX($AC$21:$AC$97,B397))*(1+INDEX($AC$21:$AC$97,C397))*(1+INDEX($AC$21:$AC$97,D397))*(1+INDEX($AC$21:$AC$97,E397))*(1+INDEX($AC$21:$AC$97,F397))-1</f>
        <v>0.649581156944936</v>
      </c>
      <c r="M397" s="489">
        <f>(1+INDEX($AD$21:$AD$97,B397))*(1+INDEX($AD$21:$AD$97,C397))*(1+INDEX($AD$21:$AD$97,D397))*(1+INDEX($AD$21:$AD$97,E397))*(1+INDEX($AD$21:$AD$97,F397))-1</f>
        <v>0.648701928542405</v>
      </c>
      <c r="N397" s="489">
        <f>(1+INDEX($AE$21:$AE$97,B397))*(1+INDEX($AE$21:$AE$97,C397))*(1+INDEX($AE$21:$AE$97,D397))*(1+INDEX($AE$21:$AE$97,E397))*(1+INDEX($AE$21:$AE$97,F397))-1</f>
        <v>0.654529124301791</v>
      </c>
      <c r="O397" s="489">
        <f>(1+INDEX($AF$21:$AF$97,B397))*(1+INDEX($AF$21:$AF$97,C397))*(1+INDEX($AF$21:$AF$97,D397))*(1+INDEX($AF$21:$AF$97,E397))*(1+INDEX($AF$21:$AF$97,F397))-1</f>
        <v>0.622833145177083</v>
      </c>
      <c r="P397" s="489">
        <f>LN((1+L397)/(1+H397))</f>
        <v>0.0284327948055363</v>
      </c>
      <c r="Q397" s="489">
        <f>LN((1+M397)/(1+H397))</f>
        <v>0.0278996517122549</v>
      </c>
      <c r="R397" s="489">
        <f>LN((1+N397)/(1+H397))</f>
        <v>0.0314278347009373</v>
      </c>
      <c r="S397" s="542">
        <f>LN((1+O397)/(1+H397))</f>
        <v>0.0120848602182601</v>
      </c>
    </row>
    <row r="398">
      <c r="A398" s="320" t="n">
        <v>297</v>
      </c>
      <c r="B398" s="174" t="n">
        <v>26</v>
      </c>
      <c r="C398" s="174" t="n">
        <v>42</v>
      </c>
      <c r="D398" s="174" t="n">
        <v>71</v>
      </c>
      <c r="E398" s="174" t="n">
        <v>27</v>
      </c>
      <c r="F398" s="174" t="n">
        <v>24</v>
      </c>
      <c r="G398" s="68">
        <f>(1+INDEX($Z$21:$Z$97,B398))*(1+INDEX($Z$21:$Z$97,C398))*(1+INDEX($Z$21:$Z$97,D398))*(1+INDEX($Z$21:$Z$97,E398))*(1+INDEX($Z$21:$Z$97,F398))-1</f>
        <v>1.05681627894054</v>
      </c>
      <c r="H398" s="68">
        <f>(1+INDEX($AA$21:$AA$97,B398))*(1+INDEX($AA$21:$AA$97,C398))*(1+INDEX($AA$21:$AA$97,D398))*(1+INDEX($AA$21:$AA$97,E398))*(1+INDEX($AA$21:$AA$97,F398))-1</f>
        <v>0.932255870894636</v>
      </c>
      <c r="I398" s="68">
        <f>(1+INDEX($AB$21:$AB$97,B398))*(1+INDEX($AB$21:$AB$97,C398))*(1+INDEX($AB$21:$AB$97,D398))*(1+INDEX($AB$21:$AB$97,E398))*(1+INDEX($AB$21:$AB$97,F398))-1</f>
        <v>1.07244048519017</v>
      </c>
      <c r="J398" s="489">
        <f>LN((1+G398)/(1+H398))</f>
        <v>0.0624711262588057</v>
      </c>
      <c r="K398" s="489">
        <f>LN((1+I398)/(1+H398))</f>
        <v>0.0700387258084103</v>
      </c>
      <c r="L398" s="489">
        <f>(1+INDEX($AC$21:$AC$97,B398))*(1+INDEX($AC$21:$AC$97,C398))*(1+INDEX($AC$21:$AC$97,D398))*(1+INDEX($AC$21:$AC$97,E398))*(1+INDEX($AC$21:$AC$97,F398))-1</f>
        <v>1.06185889554483</v>
      </c>
      <c r="M398" s="489">
        <f>(1+INDEX($AD$21:$AD$97,B398))*(1+INDEX($AD$21:$AD$97,C398))*(1+INDEX($AD$21:$AD$97,D398))*(1+INDEX($AD$21:$AD$97,E398))*(1+INDEX($AD$21:$AD$97,F398))-1</f>
        <v>1.06981757345419</v>
      </c>
      <c r="N398" s="489">
        <f>(1+INDEX($AE$21:$AE$97,B398))*(1+INDEX($AE$21:$AE$97,C398))*(1+INDEX($AE$21:$AE$97,D398))*(1+INDEX($AE$21:$AE$97,E398))*(1+INDEX($AE$21:$AE$97,F398))-1</f>
        <v>1.05009372005461</v>
      </c>
      <c r="O398" s="489">
        <f>(1+INDEX($AF$21:$AF$97,B398))*(1+INDEX($AF$21:$AF$97,C398))*(1+INDEX($AF$21:$AF$97,D398))*(1+INDEX($AF$21:$AF$97,E398))*(1+INDEX($AF$21:$AF$97,F398))-1</f>
        <v>1.00254883432549</v>
      </c>
      <c r="P398" s="489">
        <f>LN((1+L398)/(1+H398))</f>
        <v>0.0649197870102717</v>
      </c>
      <c r="Q398" s="489">
        <f>LN((1+M398)/(1+H398))</f>
        <v>0.0687723092552144</v>
      </c>
      <c r="R398" s="489">
        <f>LN((1+N398)/(1+H398))</f>
        <v>0.0591973438327271</v>
      </c>
      <c r="S398" s="542">
        <f>LN((1+O398)/(1+H398))</f>
        <v>0.0357326209700201</v>
      </c>
    </row>
    <row r="399">
      <c r="A399" s="320" t="n">
        <v>298</v>
      </c>
      <c r="B399" s="174" t="n">
        <v>60</v>
      </c>
      <c r="C399" s="174" t="n">
        <v>75</v>
      </c>
      <c r="D399" s="174" t="n">
        <v>14</v>
      </c>
      <c r="E399" s="174" t="n">
        <v>60</v>
      </c>
      <c r="F399" s="174" t="n">
        <v>39</v>
      </c>
      <c r="G399" s="68">
        <f>(1+INDEX($Z$21:$Z$97,B399))*(1+INDEX($Z$21:$Z$97,C399))*(1+INDEX($Z$21:$Z$97,D399))*(1+INDEX($Z$21:$Z$97,E399))*(1+INDEX($Z$21:$Z$97,F399))-1</f>
        <v>0.813259525631315</v>
      </c>
      <c r="H399" s="68">
        <f>(1+INDEX($AA$21:$AA$97,B399))*(1+INDEX($AA$21:$AA$97,C399))*(1+INDEX($AA$21:$AA$97,D399))*(1+INDEX($AA$21:$AA$97,E399))*(1+INDEX($AA$21:$AA$97,F399))-1</f>
        <v>0.77439904313047</v>
      </c>
      <c r="I399" s="68">
        <f>(1+INDEX($AB$21:$AB$97,B399))*(1+INDEX($AB$21:$AB$97,C399))*(1+INDEX($AB$21:$AB$97,D399))*(1+INDEX($AB$21:$AB$97,E399))*(1+INDEX($AB$21:$AB$97,F399))-1</f>
        <v>0.83052836649563</v>
      </c>
      <c r="J399" s="489">
        <f>LN((1+G399)/(1+H399))</f>
        <v>0.0216642702444044</v>
      </c>
      <c r="K399" s="489">
        <f>LN((1+I399)/(1+H399))</f>
        <v>0.0311428516912197</v>
      </c>
      <c r="L399" s="489">
        <f>(1+INDEX($AC$21:$AC$97,B399))*(1+INDEX($AC$21:$AC$97,C399))*(1+INDEX($AC$21:$AC$97,D399))*(1+INDEX($AC$21:$AC$97,E399))*(1+INDEX($AC$21:$AC$97,F399))-1</f>
        <v>0.879927172670652</v>
      </c>
      <c r="M399" s="489">
        <f>(1+INDEX($AD$21:$AD$97,B399))*(1+INDEX($AD$21:$AD$97,C399))*(1+INDEX($AD$21:$AD$97,D399))*(1+INDEX($AD$21:$AD$97,E399))*(1+INDEX($AD$21:$AD$97,F399))-1</f>
        <v>0.786999087981441</v>
      </c>
      <c r="N399" s="489">
        <f>(1+INDEX($AE$21:$AE$97,B399))*(1+INDEX($AE$21:$AE$97,C399))*(1+INDEX($AE$21:$AE$97,D399))*(1+INDEX($AE$21:$AE$97,E399))*(1+INDEX($AE$21:$AE$97,F399))-1</f>
        <v>0.885123747100051</v>
      </c>
      <c r="O399" s="489">
        <f>(1+INDEX($AF$21:$AF$97,B399))*(1+INDEX($AF$21:$AF$97,C399))*(1+INDEX($AF$21:$AF$97,D399))*(1+INDEX($AF$21:$AF$97,E399))*(1+INDEX($AF$21:$AF$97,F399))-1</f>
        <v>0.672369324198464</v>
      </c>
      <c r="P399" s="489">
        <f>LN((1+L399)/(1+H399))</f>
        <v>0.0577712398002733</v>
      </c>
      <c r="Q399" s="489">
        <f>LN((1+M399)/(1+H399))</f>
        <v>0.00707592746412085</v>
      </c>
      <c r="R399" s="489">
        <f>LN((1+N399)/(1+H399))</f>
        <v>0.0605316687240479</v>
      </c>
      <c r="S399" s="542">
        <f>LN((1+O399)/(1+H399))</f>
        <v>-0.0592204204011827</v>
      </c>
    </row>
    <row r="400">
      <c r="A400" s="320" t="n">
        <v>299</v>
      </c>
      <c r="B400" s="174" t="n">
        <v>54</v>
      </c>
      <c r="C400" s="174" t="n">
        <v>46</v>
      </c>
      <c r="D400" s="174" t="n">
        <v>13</v>
      </c>
      <c r="E400" s="174" t="n">
        <v>65</v>
      </c>
      <c r="F400" s="174" t="n">
        <v>67</v>
      </c>
      <c r="G400" s="68">
        <f>(1+INDEX($Z$21:$Z$97,B400))*(1+INDEX($Z$21:$Z$97,C400))*(1+INDEX($Z$21:$Z$97,D400))*(1+INDEX($Z$21:$Z$97,E400))*(1+INDEX($Z$21:$Z$97,F400))-1</f>
        <v>0.4561248794233</v>
      </c>
      <c r="H400" s="68">
        <f>(1+INDEX($AA$21:$AA$97,B400))*(1+INDEX($AA$21:$AA$97,C400))*(1+INDEX($AA$21:$AA$97,D400))*(1+INDEX($AA$21:$AA$97,E400))*(1+INDEX($AA$21:$AA$97,F400))-1</f>
        <v>0.409193762267709</v>
      </c>
      <c r="I400" s="68">
        <f>(1+INDEX($AB$21:$AB$97,B400))*(1+INDEX($AB$21:$AB$97,C400))*(1+INDEX($AB$21:$AB$97,D400))*(1+INDEX($AB$21:$AB$97,E400))*(1+INDEX($AB$21:$AB$97,F400))-1</f>
        <v>0.448622118296851</v>
      </c>
      <c r="J400" s="489">
        <f>LN((1+G400)/(1+H400))</f>
        <v>0.0327609738911562</v>
      </c>
      <c r="K400" s="489">
        <f>LN((1+I400)/(1+H400))</f>
        <v>0.0275951003624967</v>
      </c>
      <c r="L400" s="489">
        <f>(1+INDEX($AC$21:$AC$97,B400))*(1+INDEX($AC$21:$AC$97,C400))*(1+INDEX($AC$21:$AC$97,D400))*(1+INDEX($AC$21:$AC$97,E400))*(1+INDEX($AC$21:$AC$97,F400))-1</f>
        <v>0.447091978342608</v>
      </c>
      <c r="M400" s="489">
        <f>(1+INDEX($AD$21:$AD$97,B400))*(1+INDEX($AD$21:$AD$97,C400))*(1+INDEX($AD$21:$AD$97,D400))*(1+INDEX($AD$21:$AD$97,E400))*(1+INDEX($AD$21:$AD$97,F400))-1</f>
        <v>0.442063745312226</v>
      </c>
      <c r="N400" s="489">
        <f>(1+INDEX($AE$21:$AE$97,B400))*(1+INDEX($AE$21:$AE$97,C400))*(1+INDEX($AE$21:$AE$97,D400))*(1+INDEX($AE$21:$AE$97,E400))*(1+INDEX($AE$21:$AE$97,F400))-1</f>
        <v>0.441220986942289</v>
      </c>
      <c r="O400" s="489">
        <f>(1+INDEX($AF$21:$AF$97,B400))*(1+INDEX($AF$21:$AF$97,C400))*(1+INDEX($AF$21:$AF$97,D400))*(1+INDEX($AF$21:$AF$97,E400))*(1+INDEX($AF$21:$AF$97,F400))-1</f>
        <v>0.438628705061089</v>
      </c>
      <c r="P400" s="489">
        <f>LN((1+L400)/(1+H400))</f>
        <v>0.0265382694423201</v>
      </c>
      <c r="Q400" s="489">
        <f>LN((1+M400)/(1+H400))</f>
        <v>0.0230575030260687</v>
      </c>
      <c r="R400" s="489">
        <f>LN((1+N400)/(1+H400))</f>
        <v>0.0224729208760583</v>
      </c>
      <c r="S400" s="542">
        <f>LN((1+O400)/(1+H400))</f>
        <v>0.020672630681372</v>
      </c>
    </row>
    <row r="401">
      <c r="A401" s="320" t="n">
        <v>300</v>
      </c>
      <c r="B401" s="174" t="n">
        <v>48</v>
      </c>
      <c r="C401" s="174" t="n">
        <v>74</v>
      </c>
      <c r="D401" s="174" t="n">
        <v>27</v>
      </c>
      <c r="E401" s="174" t="n">
        <v>47</v>
      </c>
      <c r="F401" s="174" t="n">
        <v>29</v>
      </c>
      <c r="G401" s="68">
        <f>(1+INDEX($Z$21:$Z$97,B401))*(1+INDEX($Z$21:$Z$97,C401))*(1+INDEX($Z$21:$Z$97,D401))*(1+INDEX($Z$21:$Z$97,E401))*(1+INDEX($Z$21:$Z$97,F401))-1</f>
        <v>0.709987681897822</v>
      </c>
      <c r="H401" s="68">
        <f>(1+INDEX($AA$21:$AA$97,B401))*(1+INDEX($AA$21:$AA$97,C401))*(1+INDEX($AA$21:$AA$97,D401))*(1+INDEX($AA$21:$AA$97,E401))*(1+INDEX($AA$21:$AA$97,F401))-1</f>
        <v>0.672918514922901</v>
      </c>
      <c r="I401" s="68">
        <f>(1+INDEX($AB$21:$AB$97,B401))*(1+INDEX($AB$21:$AB$97,C401))*(1+INDEX($AB$21:$AB$97,D401))*(1+INDEX($AB$21:$AB$97,E401))*(1+INDEX($AB$21:$AB$97,F401))-1</f>
        <v>0.769471508003261</v>
      </c>
      <c r="J401" s="489">
        <f>LN((1+G401)/(1+H401))</f>
        <v>0.021916452065182</v>
      </c>
      <c r="K401" s="489">
        <f>LN((1+I401)/(1+H401))</f>
        <v>0.0561112040970235</v>
      </c>
      <c r="L401" s="489">
        <f>(1+INDEX($AC$21:$AC$97,B401))*(1+INDEX($AC$21:$AC$97,C401))*(1+INDEX($AC$21:$AC$97,D401))*(1+INDEX($AC$21:$AC$97,E401))*(1+INDEX($AC$21:$AC$97,F401))-1</f>
        <v>0.759538650091678</v>
      </c>
      <c r="M401" s="489">
        <f>(1+INDEX($AD$21:$AD$97,B401))*(1+INDEX($AD$21:$AD$97,C401))*(1+INDEX($AD$21:$AD$97,D401))*(1+INDEX($AD$21:$AD$97,E401))*(1+INDEX($AD$21:$AD$97,F401))-1</f>
        <v>0.740749440854921</v>
      </c>
      <c r="N401" s="489">
        <f>(1+INDEX($AE$21:$AE$97,B401))*(1+INDEX($AE$21:$AE$97,C401))*(1+INDEX($AE$21:$AE$97,D401))*(1+INDEX($AE$21:$AE$97,E401))*(1+INDEX($AE$21:$AE$97,F401))-1</f>
        <v>0.757963231510973</v>
      </c>
      <c r="O401" s="489">
        <f>(1+INDEX($AF$21:$AF$97,B401))*(1+INDEX($AF$21:$AF$97,C401))*(1+INDEX($AF$21:$AF$97,D401))*(1+INDEX($AF$21:$AF$97,E401))*(1+INDEX($AF$21:$AF$97,F401))-1</f>
        <v>0.694625538969467</v>
      </c>
      <c r="P401" s="489">
        <f>LN((1+L401)/(1+H401))</f>
        <v>0.0504819292031779</v>
      </c>
      <c r="Q401" s="489">
        <f>LN((1+M401)/(1+H401))</f>
        <v>0.0397460187762581</v>
      </c>
      <c r="R401" s="489">
        <f>LN((1+N401)/(1+H401))</f>
        <v>0.0495861692354087</v>
      </c>
      <c r="S401" s="542">
        <f>LN((1+O401)/(1+H401))</f>
        <v>0.0128920806089011</v>
      </c>
    </row>
    <row r="402">
      <c r="A402" s="320" t="n">
        <v>301</v>
      </c>
      <c r="B402" s="174" t="n">
        <v>68</v>
      </c>
      <c r="C402" s="174" t="n">
        <v>28</v>
      </c>
      <c r="D402" s="174" t="n">
        <v>37</v>
      </c>
      <c r="E402" s="174" t="n">
        <v>63</v>
      </c>
      <c r="F402" s="174" t="n">
        <v>53</v>
      </c>
      <c r="G402" s="68">
        <f>(1+INDEX($Z$21:$Z$97,B402))*(1+INDEX($Z$21:$Z$97,C402))*(1+INDEX($Z$21:$Z$97,D402))*(1+INDEX($Z$21:$Z$97,E402))*(1+INDEX($Z$21:$Z$97,F402))-1</f>
        <v>0.143380205378621</v>
      </c>
      <c r="H402" s="68">
        <f>(1+INDEX($AA$21:$AA$97,B402))*(1+INDEX($AA$21:$AA$97,C402))*(1+INDEX($AA$21:$AA$97,D402))*(1+INDEX($AA$21:$AA$97,E402))*(1+INDEX($AA$21:$AA$97,F402))-1</f>
        <v>0.189870305251848</v>
      </c>
      <c r="I402" s="68">
        <f>(1+INDEX($AB$21:$AB$97,B402))*(1+INDEX($AB$21:$AB$97,C402))*(1+INDEX($AB$21:$AB$97,D402))*(1+INDEX($AB$21:$AB$97,E402))*(1+INDEX($AB$21:$AB$97,F402))-1</f>
        <v>0.186299015538666</v>
      </c>
      <c r="J402" s="489">
        <f>LN((1+G402)/(1+H402))</f>
        <v>-0.0398553463731772</v>
      </c>
      <c r="K402" s="489">
        <f>LN((1+I402)/(1+H402))</f>
        <v>-0.00300592417467067</v>
      </c>
      <c r="L402" s="489">
        <f>(1+INDEX($AC$21:$AC$97,B402))*(1+INDEX($AC$21:$AC$97,C402))*(1+INDEX($AC$21:$AC$97,D402))*(1+INDEX($AC$21:$AC$97,E402))*(1+INDEX($AC$21:$AC$97,F402))-1</f>
        <v>0.196739744533742</v>
      </c>
      <c r="M402" s="489">
        <f>(1+INDEX($AD$21:$AD$97,B402))*(1+INDEX($AD$21:$AD$97,C402))*(1+INDEX($AD$21:$AD$97,D402))*(1+INDEX($AD$21:$AD$97,E402))*(1+INDEX($AD$21:$AD$97,F402))-1</f>
        <v>0.18289578869327</v>
      </c>
      <c r="N402" s="489">
        <f>(1+INDEX($AE$21:$AE$97,B402))*(1+INDEX($AE$21:$AE$97,C402))*(1+INDEX($AE$21:$AE$97,D402))*(1+INDEX($AE$21:$AE$97,E402))*(1+INDEX($AE$21:$AE$97,F402))-1</f>
        <v>0.206010509028977</v>
      </c>
      <c r="O402" s="489">
        <f>(1+INDEX($AF$21:$AF$97,B402))*(1+INDEX($AF$21:$AF$97,C402))*(1+INDEX($AF$21:$AF$97,D402))*(1+INDEX($AF$21:$AF$97,E402))*(1+INDEX($AF$21:$AF$97,F402))-1</f>
        <v>0.184462118712682</v>
      </c>
      <c r="P402" s="489">
        <f>LN((1+L402)/(1+H402))</f>
        <v>0.00575666582242462</v>
      </c>
      <c r="Q402" s="489">
        <f>LN((1+M402)/(1+H402))</f>
        <v>-0.00587882359184206</v>
      </c>
      <c r="R402" s="489">
        <f>LN((1+N402)/(1+H402))</f>
        <v>0.0134734982208207</v>
      </c>
      <c r="S402" s="542">
        <f>LN((1+O402)/(1+H402))</f>
        <v>-0.00455555072036597</v>
      </c>
    </row>
    <row r="403">
      <c r="A403" s="320" t="n">
        <v>302</v>
      </c>
      <c r="B403" s="174" t="n">
        <v>45</v>
      </c>
      <c r="C403" s="174" t="n">
        <v>77</v>
      </c>
      <c r="D403" s="174" t="n">
        <v>69</v>
      </c>
      <c r="E403" s="174" t="n">
        <v>25</v>
      </c>
      <c r="F403" s="174" t="n">
        <v>24</v>
      </c>
      <c r="G403" s="68">
        <f>(1+INDEX($Z$21:$Z$97,B403))*(1+INDEX($Z$21:$Z$97,C403))*(1+INDEX($Z$21:$Z$97,D403))*(1+INDEX($Z$21:$Z$97,E403))*(1+INDEX($Z$21:$Z$97,F403))-1</f>
        <v>0.624751370661667</v>
      </c>
      <c r="H403" s="68">
        <f>(1+INDEX($AA$21:$AA$97,B403))*(1+INDEX($AA$21:$AA$97,C403))*(1+INDEX($AA$21:$AA$97,D403))*(1+INDEX($AA$21:$AA$97,E403))*(1+INDEX($AA$21:$AA$97,F403))-1</f>
        <v>0.571940944945773</v>
      </c>
      <c r="I403" s="68">
        <f>(1+INDEX($AB$21:$AB$97,B403))*(1+INDEX($AB$21:$AB$97,C403))*(1+INDEX($AB$21:$AB$97,D403))*(1+INDEX($AB$21:$AB$97,E403))*(1+INDEX($AB$21:$AB$97,F403))-1</f>
        <v>0.654740215660424</v>
      </c>
      <c r="J403" s="489">
        <f>LN((1+G403)/(1+H403))</f>
        <v>0.0330436749328798</v>
      </c>
      <c r="K403" s="489">
        <f>LN((1+I403)/(1+H403))</f>
        <v>0.0513329006455951</v>
      </c>
      <c r="L403" s="489">
        <f>(1+INDEX($AC$21:$AC$97,B403))*(1+INDEX($AC$21:$AC$97,C403))*(1+INDEX($AC$21:$AC$97,D403))*(1+INDEX($AC$21:$AC$97,E403))*(1+INDEX($AC$21:$AC$97,F403))-1</f>
        <v>0.643312820233605</v>
      </c>
      <c r="M403" s="489">
        <f>(1+INDEX($AD$21:$AD$97,B403))*(1+INDEX($AD$21:$AD$97,C403))*(1+INDEX($AD$21:$AD$97,D403))*(1+INDEX($AD$21:$AD$97,E403))*(1+INDEX($AD$21:$AD$97,F403))-1</f>
        <v>0.63457388102637</v>
      </c>
      <c r="N403" s="489">
        <f>(1+INDEX($AE$21:$AE$97,B403))*(1+INDEX($AE$21:$AE$97,C403))*(1+INDEX($AE$21:$AE$97,D403))*(1+INDEX($AE$21:$AE$97,E403))*(1+INDEX($AE$21:$AE$97,F403))-1</f>
        <v>0.61449830107271</v>
      </c>
      <c r="O403" s="489">
        <f>(1+INDEX($AF$21:$AF$97,B403))*(1+INDEX($AF$21:$AF$97,C403))*(1+INDEX($AF$21:$AF$97,D403))*(1+INDEX($AF$21:$AF$97,E403))*(1+INDEX($AF$21:$AF$97,F403))-1</f>
        <v>0.596533080235661</v>
      </c>
      <c r="P403" s="489">
        <f>LN((1+L403)/(1+H403))</f>
        <v>0.0444030902191376</v>
      </c>
      <c r="Q403" s="489">
        <f>LN((1+M403)/(1+H403))</f>
        <v>0.0390710206826447</v>
      </c>
      <c r="R403" s="489">
        <f>LN((1+N403)/(1+H403))</f>
        <v>0.0267131324495148</v>
      </c>
      <c r="S403" s="542">
        <f>LN((1+O403)/(1+H403))</f>
        <v>0.0155233269583821</v>
      </c>
    </row>
    <row r="404">
      <c r="A404" s="320" t="n">
        <v>303</v>
      </c>
      <c r="B404" s="174" t="n">
        <v>60</v>
      </c>
      <c r="C404" s="174" t="n">
        <v>60</v>
      </c>
      <c r="D404" s="174" t="n">
        <v>60</v>
      </c>
      <c r="E404" s="174" t="n">
        <v>28</v>
      </c>
      <c r="F404" s="174" t="n">
        <v>10</v>
      </c>
      <c r="G404" s="68">
        <f>(1+INDEX($Z$21:$Z$97,B404))*(1+INDEX($Z$21:$Z$97,C404))*(1+INDEX($Z$21:$Z$97,D404))*(1+INDEX($Z$21:$Z$97,E404))*(1+INDEX($Z$21:$Z$97,F404))-1</f>
        <v>0.702978760199169</v>
      </c>
      <c r="H404" s="68">
        <f>(1+INDEX($AA$21:$AA$97,B404))*(1+INDEX($AA$21:$AA$97,C404))*(1+INDEX($AA$21:$AA$97,D404))*(1+INDEX($AA$21:$AA$97,E404))*(1+INDEX($AA$21:$AA$97,F404))-1</f>
        <v>0.793899095341265</v>
      </c>
      <c r="I404" s="68">
        <f>(1+INDEX($AB$21:$AB$97,B404))*(1+INDEX($AB$21:$AB$97,C404))*(1+INDEX($AB$21:$AB$97,D404))*(1+INDEX($AB$21:$AB$97,E404))*(1+INDEX($AB$21:$AB$97,F404))-1</f>
        <v>0.795296351419396</v>
      </c>
      <c r="J404" s="489">
        <f>LN((1+G404)/(1+H404))</f>
        <v>-0.0520125868139046</v>
      </c>
      <c r="K404" s="489">
        <f>LN((1+I404)/(1+H404))</f>
        <v>0.000778590171219029</v>
      </c>
      <c r="L404" s="489">
        <f>(1+INDEX($AC$21:$AC$97,B404))*(1+INDEX($AC$21:$AC$97,C404))*(1+INDEX($AC$21:$AC$97,D404))*(1+INDEX($AC$21:$AC$97,E404))*(1+INDEX($AC$21:$AC$97,F404))-1</f>
        <v>0.8812191130515</v>
      </c>
      <c r="M404" s="489">
        <f>(1+INDEX($AD$21:$AD$97,B404))*(1+INDEX($AD$21:$AD$97,C404))*(1+INDEX($AD$21:$AD$97,D404))*(1+INDEX($AD$21:$AD$97,E404))*(1+INDEX($AD$21:$AD$97,F404))-1</f>
        <v>0.744072749671219</v>
      </c>
      <c r="N404" s="489">
        <f>(1+INDEX($AE$21:$AE$97,B404))*(1+INDEX($AE$21:$AE$97,C404))*(1+INDEX($AE$21:$AE$97,D404))*(1+INDEX($AE$21:$AE$97,E404))*(1+INDEX($AE$21:$AE$97,F404))-1</f>
        <v>0.91684149935183</v>
      </c>
      <c r="O404" s="489">
        <f>(1+INDEX($AF$21:$AF$97,B404))*(1+INDEX($AF$21:$AF$97,C404))*(1+INDEX($AF$21:$AF$97,D404))*(1+INDEX($AF$21:$AF$97,E404))*(1+INDEX($AF$21:$AF$97,F404))-1</f>
        <v>0.660530195481007</v>
      </c>
      <c r="P404" s="489">
        <f>LN((1+L404)/(1+H404))</f>
        <v>0.0475285146431847</v>
      </c>
      <c r="Q404" s="489">
        <f>LN((1+M404)/(1+H404))</f>
        <v>-0.0281684775477947</v>
      </c>
      <c r="R404" s="489">
        <f>LN((1+N404)/(1+H404))</f>
        <v>0.0662872626086681</v>
      </c>
      <c r="S404" s="542">
        <f>LN((1+O404)/(1+H404))</f>
        <v>-0.0772545701847417</v>
      </c>
    </row>
    <row r="405">
      <c r="A405" s="320" t="n">
        <v>304</v>
      </c>
      <c r="B405" s="174" t="n">
        <v>46</v>
      </c>
      <c r="C405" s="174" t="n">
        <v>66</v>
      </c>
      <c r="D405" s="174" t="n">
        <v>30</v>
      </c>
      <c r="E405" s="174" t="n">
        <v>5</v>
      </c>
      <c r="F405" s="174" t="n">
        <v>31</v>
      </c>
      <c r="G405" s="68">
        <f>(1+INDEX($Z$21:$Z$97,B405))*(1+INDEX($Z$21:$Z$97,C405))*(1+INDEX($Z$21:$Z$97,D405))*(1+INDEX($Z$21:$Z$97,E405))*(1+INDEX($Z$21:$Z$97,F405))-1</f>
        <v>0.397776783821432</v>
      </c>
      <c r="H405" s="68">
        <f>(1+INDEX($AA$21:$AA$97,B405))*(1+INDEX($AA$21:$AA$97,C405))*(1+INDEX($AA$21:$AA$97,D405))*(1+INDEX($AA$21:$AA$97,E405))*(1+INDEX($AA$21:$AA$97,F405))-1</f>
        <v>0.411957418448843</v>
      </c>
      <c r="I405" s="68">
        <f>(1+INDEX($AB$21:$AB$97,B405))*(1+INDEX($AB$21:$AB$97,C405))*(1+INDEX($AB$21:$AB$97,D405))*(1+INDEX($AB$21:$AB$97,E405))*(1+INDEX($AB$21:$AB$97,F405))-1</f>
        <v>0.425978678942236</v>
      </c>
      <c r="J405" s="489">
        <f>LN((1+G405)/(1+H405))</f>
        <v>-0.0100940188721255</v>
      </c>
      <c r="K405" s="489">
        <f>LN((1+I405)/(1+H405))</f>
        <v>0.00988138851651286</v>
      </c>
      <c r="L405" s="489">
        <f>(1+INDEX($AC$21:$AC$97,B405))*(1+INDEX($AC$21:$AC$97,C405))*(1+INDEX($AC$21:$AC$97,D405))*(1+INDEX($AC$21:$AC$97,E405))*(1+INDEX($AC$21:$AC$97,F405))-1</f>
        <v>0.422987070628011</v>
      </c>
      <c r="M405" s="489">
        <f>(1+INDEX($AD$21:$AD$97,B405))*(1+INDEX($AD$21:$AD$97,C405))*(1+INDEX($AD$21:$AD$97,D405))*(1+INDEX($AD$21:$AD$97,E405))*(1+INDEX($AD$21:$AD$97,F405))-1</f>
        <v>0.410290499116607</v>
      </c>
      <c r="N405" s="489">
        <f>(1+INDEX($AE$21:$AE$97,B405))*(1+INDEX($AE$21:$AE$97,C405))*(1+INDEX($AE$21:$AE$97,D405))*(1+INDEX($AE$21:$AE$97,E405))*(1+INDEX($AE$21:$AE$97,F405))-1</f>
        <v>0.417116843317418</v>
      </c>
      <c r="O405" s="489">
        <f>(1+INDEX($AF$21:$AF$97,B405))*(1+INDEX($AF$21:$AF$97,C405))*(1+INDEX($AF$21:$AF$97,D405))*(1+INDEX($AF$21:$AF$97,E405))*(1+INDEX($AF$21:$AF$97,F405))-1</f>
        <v>0.428762970799546</v>
      </c>
      <c r="P405" s="489">
        <f>LN((1+L405)/(1+H405))</f>
        <v>0.00778125136025807</v>
      </c>
      <c r="Q405" s="489">
        <f>LN((1+M405)/(1+H405))</f>
        <v>-0.00118127079885279</v>
      </c>
      <c r="R405" s="489">
        <f>LN((1+N405)/(1+H405))</f>
        <v>0.0036474338325342</v>
      </c>
      <c r="S405" s="542">
        <f>LN((1+O405)/(1+H405))</f>
        <v>0.0118320328001509</v>
      </c>
    </row>
    <row r="406">
      <c r="A406" s="320" t="n">
        <v>305</v>
      </c>
      <c r="B406" s="174" t="n">
        <v>7</v>
      </c>
      <c r="C406" s="174" t="n">
        <v>6</v>
      </c>
      <c r="D406" s="174" t="n">
        <v>68</v>
      </c>
      <c r="E406" s="174" t="n">
        <v>76</v>
      </c>
      <c r="F406" s="174" t="n">
        <v>58</v>
      </c>
      <c r="G406" s="68">
        <f>(1+INDEX($Z$21:$Z$97,B406))*(1+INDEX($Z$21:$Z$97,C406))*(1+INDEX($Z$21:$Z$97,D406))*(1+INDEX($Z$21:$Z$97,E406))*(1+INDEX($Z$21:$Z$97,F406))-1</f>
        <v>0.091922198122945</v>
      </c>
      <c r="H406" s="68">
        <f>(1+INDEX($AA$21:$AA$97,B406))*(1+INDEX($AA$21:$AA$97,C406))*(1+INDEX($AA$21:$AA$97,D406))*(1+INDEX($AA$21:$AA$97,E406))*(1+INDEX($AA$21:$AA$97,F406))-1</f>
        <v>0.155600742099604</v>
      </c>
      <c r="I406" s="68">
        <f>(1+INDEX($AB$21:$AB$97,B406))*(1+INDEX($AB$21:$AB$97,C406))*(1+INDEX($AB$21:$AB$97,D406))*(1+INDEX($AB$21:$AB$97,E406))*(1+INDEX($AB$21:$AB$97,F406))-1</f>
        <v>0.122080697675945</v>
      </c>
      <c r="J406" s="489">
        <f>LN((1+G406)/(1+H406))</f>
        <v>-0.056680704142263</v>
      </c>
      <c r="K406" s="489">
        <f>LN((1+I406)/(1+H406))</f>
        <v>-0.0294356042101133</v>
      </c>
      <c r="L406" s="489">
        <f>(1+INDEX($AC$21:$AC$97,B406))*(1+INDEX($AC$21:$AC$97,C406))*(1+INDEX($AC$21:$AC$97,D406))*(1+INDEX($AC$21:$AC$97,E406))*(1+INDEX($AC$21:$AC$97,F406))-1</f>
        <v>0.132910704150538</v>
      </c>
      <c r="M406" s="489">
        <f>(1+INDEX($AD$21:$AD$97,B406))*(1+INDEX($AD$21:$AD$97,C406))*(1+INDEX($AD$21:$AD$97,D406))*(1+INDEX($AD$21:$AD$97,E406))*(1+INDEX($AD$21:$AD$97,F406))-1</f>
        <v>0.0908468312673749</v>
      </c>
      <c r="N406" s="489">
        <f>(1+INDEX($AE$21:$AE$97,B406))*(1+INDEX($AE$21:$AE$97,C406))*(1+INDEX($AE$21:$AE$97,D406))*(1+INDEX($AE$21:$AE$97,E406))*(1+INDEX($AE$21:$AE$97,F406))-1</f>
        <v>0.11866968579734</v>
      </c>
      <c r="O406" s="489">
        <f>(1+INDEX($AF$21:$AF$97,B406))*(1+INDEX($AF$21:$AF$97,C406))*(1+INDEX($AF$21:$AF$97,D406))*(1+INDEX($AF$21:$AF$97,E406))*(1+INDEX($AF$21:$AF$97,F406))-1</f>
        <v>0.123369003455668</v>
      </c>
      <c r="P406" s="489">
        <f>LN((1+L406)/(1+H406))</f>
        <v>-0.0198301664825954</v>
      </c>
      <c r="Q406" s="489">
        <f>LN((1+M406)/(1+H406))</f>
        <v>-0.0576660277638587</v>
      </c>
      <c r="R406" s="489">
        <f>LN((1+N406)/(1+H406))</f>
        <v>-0.0324801329880884</v>
      </c>
      <c r="S406" s="542">
        <f>LN((1+O406)/(1+H406))</f>
        <v>-0.0282881227764966</v>
      </c>
    </row>
    <row r="407">
      <c r="A407" s="320" t="n">
        <v>306</v>
      </c>
      <c r="B407" s="174" t="n">
        <v>54</v>
      </c>
      <c r="C407" s="174" t="n">
        <v>20</v>
      </c>
      <c r="D407" s="174" t="n">
        <v>19</v>
      </c>
      <c r="E407" s="174" t="n">
        <v>44</v>
      </c>
      <c r="F407" s="174" t="n">
        <v>39</v>
      </c>
      <c r="G407" s="68">
        <f>(1+INDEX($Z$21:$Z$97,B407))*(1+INDEX($Z$21:$Z$97,C407))*(1+INDEX($Z$21:$Z$97,D407))*(1+INDEX($Z$21:$Z$97,E407))*(1+INDEX($Z$21:$Z$97,F407))-1</f>
        <v>0.0739651440160125</v>
      </c>
      <c r="H407" s="68">
        <f>(1+INDEX($AA$21:$AA$97,B407))*(1+INDEX($AA$21:$AA$97,C407))*(1+INDEX($AA$21:$AA$97,D407))*(1+INDEX($AA$21:$AA$97,E407))*(1+INDEX($AA$21:$AA$97,F407))-1</f>
        <v>0.0724907817040414</v>
      </c>
      <c r="I407" s="68">
        <f>(1+INDEX($AB$21:$AB$97,B407))*(1+INDEX($AB$21:$AB$97,C407))*(1+INDEX($AB$21:$AB$97,D407))*(1+INDEX($AB$21:$AB$97,E407))*(1+INDEX($AB$21:$AB$97,F407))-1</f>
        <v>0.0611874413052085</v>
      </c>
      <c r="J407" s="489">
        <f>LN((1+G407)/(1+H407))</f>
        <v>0.00137376456341459</v>
      </c>
      <c r="K407" s="489">
        <f>LN((1+I407)/(1+H407))</f>
        <v>-0.010595267851739</v>
      </c>
      <c r="L407" s="489">
        <f>(1+INDEX($AC$21:$AC$97,B407))*(1+INDEX($AC$21:$AC$97,C407))*(1+INDEX($AC$21:$AC$97,D407))*(1+INDEX($AC$21:$AC$97,E407))*(1+INDEX($AC$21:$AC$97,F407))-1</f>
        <v>0.0345272874745752</v>
      </c>
      <c r="M407" s="489">
        <f>(1+INDEX($AD$21:$AD$97,B407))*(1+INDEX($AD$21:$AD$97,C407))*(1+INDEX($AD$21:$AD$97,D407))*(1+INDEX($AD$21:$AD$97,E407))*(1+INDEX($AD$21:$AD$97,F407))-1</f>
        <v>0.080545715009918</v>
      </c>
      <c r="N407" s="489">
        <f>(1+INDEX($AE$21:$AE$97,B407))*(1+INDEX($AE$21:$AE$97,C407))*(1+INDEX($AE$21:$AE$97,D407))*(1+INDEX($AE$21:$AE$97,E407))*(1+INDEX($AE$21:$AE$97,F407))-1</f>
        <v>0.0318690076884713</v>
      </c>
      <c r="O407" s="489">
        <f>(1+INDEX($AF$21:$AF$97,B407))*(1+INDEX($AF$21:$AF$97,C407))*(1+INDEX($AF$21:$AF$97,D407))*(1+INDEX($AF$21:$AF$97,E407))*(1+INDEX($AF$21:$AF$97,F407))-1</f>
        <v>0.119873036402934</v>
      </c>
      <c r="P407" s="489">
        <f>LN((1+L407)/(1+H407))</f>
        <v>-0.0360391813273027</v>
      </c>
      <c r="Q407" s="489">
        <f>LN((1+M407)/(1+H407))</f>
        <v>0.00748242855977724</v>
      </c>
      <c r="R407" s="489">
        <f>LN((1+N407)/(1+H407))</f>
        <v>-0.0386120481667676</v>
      </c>
      <c r="S407" s="542">
        <f>LN((1+O407)/(1+H407))</f>
        <v>0.0432315418913598</v>
      </c>
    </row>
    <row r="408">
      <c r="A408" s="320" t="n">
        <v>307</v>
      </c>
      <c r="B408" s="174" t="n">
        <v>76</v>
      </c>
      <c r="C408" s="174" t="n">
        <v>69</v>
      </c>
      <c r="D408" s="174" t="n">
        <v>74</v>
      </c>
      <c r="E408" s="174" t="n">
        <v>6</v>
      </c>
      <c r="F408" s="174" t="n">
        <v>6</v>
      </c>
      <c r="G408" s="68">
        <f>(1+INDEX($Z$21:$Z$97,B408))*(1+INDEX($Z$21:$Z$97,C408))*(1+INDEX($Z$21:$Z$97,D408))*(1+INDEX($Z$21:$Z$97,E408))*(1+INDEX($Z$21:$Z$97,F408))-1</f>
        <v>0.0513562762083128</v>
      </c>
      <c r="H408" s="68">
        <f>(1+INDEX($AA$21:$AA$97,B408))*(1+INDEX($AA$21:$AA$97,C408))*(1+INDEX($AA$21:$AA$97,D408))*(1+INDEX($AA$21:$AA$97,E408))*(1+INDEX($AA$21:$AA$97,F408))-1</f>
        <v>0.100015677873577</v>
      </c>
      <c r="I408" s="68">
        <f>(1+INDEX($AB$21:$AB$97,B408))*(1+INDEX($AB$21:$AB$97,C408))*(1+INDEX($AB$21:$AB$97,D408))*(1+INDEX($AB$21:$AB$97,E408))*(1+INDEX($AB$21:$AB$97,F408))-1</f>
        <v>0.0773537427730513</v>
      </c>
      <c r="J408" s="489">
        <f>LN((1+G408)/(1+H408))</f>
        <v>-0.0452434100346463</v>
      </c>
      <c r="K408" s="489">
        <f>LN((1+I408)/(1+H408))</f>
        <v>-0.0208166360981249</v>
      </c>
      <c r="L408" s="489">
        <f>(1+INDEX($AC$21:$AC$97,B408))*(1+INDEX($AC$21:$AC$97,C408))*(1+INDEX($AC$21:$AC$97,D408))*(1+INDEX($AC$21:$AC$97,E408))*(1+INDEX($AC$21:$AC$97,F408))-1</f>
        <v>0.0718017513954219</v>
      </c>
      <c r="M408" s="489">
        <f>(1+INDEX($AD$21:$AD$97,B408))*(1+INDEX($AD$21:$AD$97,C408))*(1+INDEX($AD$21:$AD$97,D408))*(1+INDEX($AD$21:$AD$97,E408))*(1+INDEX($AD$21:$AD$97,F408))-1</f>
        <v>0.0466745771268196</v>
      </c>
      <c r="N408" s="489">
        <f>(1+INDEX($AE$21:$AE$97,B408))*(1+INDEX($AE$21:$AE$97,C408))*(1+INDEX($AE$21:$AE$97,D408))*(1+INDEX($AE$21:$AE$97,E408))*(1+INDEX($AE$21:$AE$97,F408))-1</f>
        <v>0.0503379627090397</v>
      </c>
      <c r="O408" s="489">
        <f>(1+INDEX($AF$21:$AF$97,B408))*(1+INDEX($AF$21:$AF$97,C408))*(1+INDEX($AF$21:$AF$97,D408))*(1+INDEX($AF$21:$AF$97,E408))*(1+INDEX($AF$21:$AF$97,F408))-1</f>
        <v>0.0962597939339513</v>
      </c>
      <c r="P408" s="489">
        <f>LN((1+L408)/(1+H408))</f>
        <v>-0.0259833201685723</v>
      </c>
      <c r="Q408" s="489">
        <f>LN((1+M408)/(1+H408))</f>
        <v>-0.0497063633271301</v>
      </c>
      <c r="R408" s="489">
        <f>LN((1+N408)/(1+H408))</f>
        <v>-0.046212450687757</v>
      </c>
      <c r="S408" s="542">
        <f>LN((1+O408)/(1+H408))</f>
        <v>-0.00342023361750146</v>
      </c>
    </row>
    <row r="409">
      <c r="A409" s="320" t="n">
        <v>308</v>
      </c>
      <c r="B409" s="174" t="n">
        <v>34</v>
      </c>
      <c r="C409" s="174" t="n">
        <v>54</v>
      </c>
      <c r="D409" s="174" t="n">
        <v>51</v>
      </c>
      <c r="E409" s="174" t="n">
        <v>64</v>
      </c>
      <c r="F409" s="174" t="n">
        <v>53</v>
      </c>
      <c r="G409" s="68">
        <f>(1+INDEX($Z$21:$Z$97,B409))*(1+INDEX($Z$21:$Z$97,C409))*(1+INDEX($Z$21:$Z$97,D409))*(1+INDEX($Z$21:$Z$97,E409))*(1+INDEX($Z$21:$Z$97,F409))-1</f>
        <v>0.0937361458695902</v>
      </c>
      <c r="H409" s="68">
        <f>(1+INDEX($AA$21:$AA$97,B409))*(1+INDEX($AA$21:$AA$97,C409))*(1+INDEX($AA$21:$AA$97,D409))*(1+INDEX($AA$21:$AA$97,E409))*(1+INDEX($AA$21:$AA$97,F409))-1</f>
        <v>0.129418544053305</v>
      </c>
      <c r="I409" s="68">
        <f>(1+INDEX($AB$21:$AB$97,B409))*(1+INDEX($AB$21:$AB$97,C409))*(1+INDEX($AB$21:$AB$97,D409))*(1+INDEX($AB$21:$AB$97,E409))*(1+INDEX($AB$21:$AB$97,F409))-1</f>
        <v>0.134797538327293</v>
      </c>
      <c r="J409" s="489">
        <f>LN((1+G409)/(1+H409))</f>
        <v>-0.0321034455307549</v>
      </c>
      <c r="K409" s="489">
        <f>LN((1+I409)/(1+H409))</f>
        <v>0.00475131718662501</v>
      </c>
      <c r="L409" s="489">
        <f>(1+INDEX($AC$21:$AC$97,B409))*(1+INDEX($AC$21:$AC$97,C409))*(1+INDEX($AC$21:$AC$97,D409))*(1+INDEX($AC$21:$AC$97,E409))*(1+INDEX($AC$21:$AC$97,F409))-1</f>
        <v>0.127243844204189</v>
      </c>
      <c r="M409" s="489">
        <f>(1+INDEX($AD$21:$AD$97,B409))*(1+INDEX($AD$21:$AD$97,C409))*(1+INDEX($AD$21:$AD$97,D409))*(1+INDEX($AD$21:$AD$97,E409))*(1+INDEX($AD$21:$AD$97,F409))-1</f>
        <v>0.147633180576366</v>
      </c>
      <c r="N409" s="489">
        <f>(1+INDEX($AE$21:$AE$97,B409))*(1+INDEX($AE$21:$AE$97,C409))*(1+INDEX($AE$21:$AE$97,D409))*(1+INDEX($AE$21:$AE$97,E409))*(1+INDEX($AE$21:$AE$97,F409))-1</f>
        <v>0.122721369424281</v>
      </c>
      <c r="O409" s="489">
        <f>(1+INDEX($AF$21:$AF$97,B409))*(1+INDEX($AF$21:$AF$97,C409))*(1+INDEX($AF$21:$AF$97,D409))*(1+INDEX($AF$21:$AF$97,E409))*(1+INDEX($AF$21:$AF$97,F409))-1</f>
        <v>0.137217507802721</v>
      </c>
      <c r="P409" s="489">
        <f>LN((1+L409)/(1+H409))</f>
        <v>-0.00192736009926188</v>
      </c>
      <c r="Q409" s="489">
        <f>LN((1+M409)/(1+H409))</f>
        <v>0.0159987802157039</v>
      </c>
      <c r="R409" s="489">
        <f>LN((1+N409)/(1+H409))</f>
        <v>-0.00594740524757433</v>
      </c>
      <c r="S409" s="542">
        <f>LN((1+O409)/(1+H409))</f>
        <v>0.00688155870477628</v>
      </c>
    </row>
    <row r="410">
      <c r="A410" s="320" t="n">
        <v>309</v>
      </c>
      <c r="B410" s="174" t="n">
        <v>12</v>
      </c>
      <c r="C410" s="174" t="n">
        <v>3</v>
      </c>
      <c r="D410" s="174" t="n">
        <v>31</v>
      </c>
      <c r="E410" s="174" t="n">
        <v>56</v>
      </c>
      <c r="F410" s="174" t="n">
        <v>33</v>
      </c>
      <c r="G410" s="68">
        <f>(1+INDEX($Z$21:$Z$97,B410))*(1+INDEX($Z$21:$Z$97,C410))*(1+INDEX($Z$21:$Z$97,D410))*(1+INDEX($Z$21:$Z$97,E410))*(1+INDEX($Z$21:$Z$97,F410))-1</f>
        <v>0.773391591264608</v>
      </c>
      <c r="H410" s="68">
        <f>(1+INDEX($AA$21:$AA$97,B410))*(1+INDEX($AA$21:$AA$97,C410))*(1+INDEX($AA$21:$AA$97,D410))*(1+INDEX($AA$21:$AA$97,E410))*(1+INDEX($AA$21:$AA$97,F410))-1</f>
        <v>0.675353552152485</v>
      </c>
      <c r="I410" s="68">
        <f>(1+INDEX($AB$21:$AB$97,B410))*(1+INDEX($AB$21:$AB$97,C410))*(1+INDEX($AB$21:$AB$97,D410))*(1+INDEX($AB$21:$AB$97,E410))*(1+INDEX($AB$21:$AB$97,F410))-1</f>
        <v>0.723383814689823</v>
      </c>
      <c r="J410" s="489">
        <f>LN((1+G410)/(1+H410))</f>
        <v>0.05686964744713</v>
      </c>
      <c r="K410" s="489">
        <f>LN((1+I410)/(1+H410))</f>
        <v>0.0282654733643894</v>
      </c>
      <c r="L410" s="489">
        <f>(1+INDEX($AC$21:$AC$97,B410))*(1+INDEX($AC$21:$AC$97,C410))*(1+INDEX($AC$21:$AC$97,D410))*(1+INDEX($AC$21:$AC$97,E410))*(1+INDEX($AC$21:$AC$97,F410))-1</f>
        <v>0.716209689157865</v>
      </c>
      <c r="M410" s="489">
        <f>(1+INDEX($AD$21:$AD$97,B410))*(1+INDEX($AD$21:$AD$97,C410))*(1+INDEX($AD$21:$AD$97,D410))*(1+INDEX($AD$21:$AD$97,E410))*(1+INDEX($AD$21:$AD$97,F410))-1</f>
        <v>0.759270397589924</v>
      </c>
      <c r="N410" s="489">
        <f>(1+INDEX($AE$21:$AE$97,B410))*(1+INDEX($AE$21:$AE$97,C410))*(1+INDEX($AE$21:$AE$97,D410))*(1+INDEX($AE$21:$AE$97,E410))*(1+INDEX($AE$21:$AE$97,F410))-1</f>
        <v>0.702255569074362</v>
      </c>
      <c r="O410" s="489">
        <f>(1+INDEX($AF$21:$AF$97,B410))*(1+INDEX($AF$21:$AF$97,C410))*(1+INDEX($AF$21:$AF$97,D410))*(1+INDEX($AF$21:$AF$97,E410))*(1+INDEX($AF$21:$AF$97,F410))-1</f>
        <v>0.718454957469563</v>
      </c>
      <c r="P410" s="489">
        <f>LN((1+L410)/(1+H410))</f>
        <v>0.0240939711637561</v>
      </c>
      <c r="Q410" s="489">
        <f>LN((1+M410)/(1+H410))</f>
        <v>0.0488749573622902</v>
      </c>
      <c r="R410" s="489">
        <f>LN((1+N410)/(1+H410))</f>
        <v>0.015929958056054</v>
      </c>
      <c r="S410" s="542">
        <f>LN((1+O410)/(1+H410))</f>
        <v>0.0254013876730967</v>
      </c>
    </row>
    <row r="411">
      <c r="A411" s="320" t="n">
        <v>310</v>
      </c>
      <c r="B411" s="174" t="n">
        <v>66</v>
      </c>
      <c r="C411" s="174" t="n">
        <v>74</v>
      </c>
      <c r="D411" s="174" t="n">
        <v>39</v>
      </c>
      <c r="E411" s="174" t="n">
        <v>32</v>
      </c>
      <c r="F411" s="174" t="n">
        <v>39</v>
      </c>
      <c r="G411" s="68">
        <f>(1+INDEX($Z$21:$Z$97,B411))*(1+INDEX($Z$21:$Z$97,C411))*(1+INDEX($Z$21:$Z$97,D411))*(1+INDEX($Z$21:$Z$97,E411))*(1+INDEX($Z$21:$Z$97,F411))-1</f>
        <v>0.602992185760226</v>
      </c>
      <c r="H411" s="68">
        <f>(1+INDEX($AA$21:$AA$97,B411))*(1+INDEX($AA$21:$AA$97,C411))*(1+INDEX($AA$21:$AA$97,D411))*(1+INDEX($AA$21:$AA$97,E411))*(1+INDEX($AA$21:$AA$97,F411))-1</f>
        <v>0.499950642362306</v>
      </c>
      <c r="I411" s="68">
        <f>(1+INDEX($AB$21:$AB$97,B411))*(1+INDEX($AB$21:$AB$97,C411))*(1+INDEX($AB$21:$AB$97,D411))*(1+INDEX($AB$21:$AB$97,E411))*(1+INDEX($AB$21:$AB$97,F411))-1</f>
        <v>0.550410274295437</v>
      </c>
      <c r="J411" s="489">
        <f>LN((1+G411)/(1+H411))</f>
        <v>0.0664397963808664</v>
      </c>
      <c r="K411" s="489">
        <f>LN((1+I411)/(1+H411))</f>
        <v>0.0330873865249654</v>
      </c>
      <c r="L411" s="489">
        <f>(1+INDEX($AC$21:$AC$97,B411))*(1+INDEX($AC$21:$AC$97,C411))*(1+INDEX($AC$21:$AC$97,D411))*(1+INDEX($AC$21:$AC$97,E411))*(1+INDEX($AC$21:$AC$97,F411))-1</f>
        <v>0.524699119810837</v>
      </c>
      <c r="M411" s="489">
        <f>(1+INDEX($AD$21:$AD$97,B411))*(1+INDEX($AD$21:$AD$97,C411))*(1+INDEX($AD$21:$AD$97,D411))*(1+INDEX($AD$21:$AD$97,E411))*(1+INDEX($AD$21:$AD$97,F411))-1</f>
        <v>0.576172117808813</v>
      </c>
      <c r="N411" s="489">
        <f>(1+INDEX($AE$21:$AE$97,B411))*(1+INDEX($AE$21:$AE$97,C411))*(1+INDEX($AE$21:$AE$97,D411))*(1+INDEX($AE$21:$AE$97,E411))*(1+INDEX($AE$21:$AE$97,F411))-1</f>
        <v>0.534247631313911</v>
      </c>
      <c r="O411" s="489">
        <f>(1+INDEX($AF$21:$AF$97,B411))*(1+INDEX($AF$21:$AF$97,C411))*(1+INDEX($AF$21:$AF$97,D411))*(1+INDEX($AF$21:$AF$97,E411))*(1+INDEX($AF$21:$AF$97,F411))-1</f>
        <v>0.55244623660197</v>
      </c>
      <c r="P411" s="489">
        <f>LN((1+L411)/(1+H411))</f>
        <v>0.0163648896337874</v>
      </c>
      <c r="Q411" s="489">
        <f>LN((1+M411)/(1+H411))</f>
        <v>0.0495669948051509</v>
      </c>
      <c r="R411" s="489">
        <f>LN((1+N411)/(1+H411))</f>
        <v>0.0226079159385853</v>
      </c>
      <c r="S411" s="542">
        <f>LN((1+O411)/(1+H411))</f>
        <v>0.0343997015428027</v>
      </c>
    </row>
    <row r="412">
      <c r="A412" s="320" t="n">
        <v>311</v>
      </c>
      <c r="B412" s="174" t="n">
        <v>67</v>
      </c>
      <c r="C412" s="174" t="n">
        <v>37</v>
      </c>
      <c r="D412" s="174" t="n">
        <v>49</v>
      </c>
      <c r="E412" s="174" t="n">
        <v>12</v>
      </c>
      <c r="F412" s="174" t="n">
        <v>8</v>
      </c>
      <c r="G412" s="68">
        <f>(1+INDEX($Z$21:$Z$97,B412))*(1+INDEX($Z$21:$Z$97,C412))*(1+INDEX($Z$21:$Z$97,D412))*(1+INDEX($Z$21:$Z$97,E412))*(1+INDEX($Z$21:$Z$97,F412))-1</f>
        <v>0.0935563512721309</v>
      </c>
      <c r="H412" s="68">
        <f>(1+INDEX($AA$21:$AA$97,B412))*(1+INDEX($AA$21:$AA$97,C412))*(1+INDEX($AA$21:$AA$97,D412))*(1+INDEX($AA$21:$AA$97,E412))*(1+INDEX($AA$21:$AA$97,F412))-1</f>
        <v>0.0837391491756949</v>
      </c>
      <c r="I412" s="68">
        <f>(1+INDEX($AB$21:$AB$97,B412))*(1+INDEX($AB$21:$AB$97,C412))*(1+INDEX($AB$21:$AB$97,D412))*(1+INDEX($AB$21:$AB$97,E412))*(1+INDEX($AB$21:$AB$97,F412))-1</f>
        <v>0.0531027022492723</v>
      </c>
      <c r="J412" s="489">
        <f>LN((1+G412)/(1+H412))</f>
        <v>0.00901785598109697</v>
      </c>
      <c r="K412" s="489">
        <f>LN((1+I412)/(1+H412))</f>
        <v>-0.0286764753717982</v>
      </c>
      <c r="L412" s="489">
        <f>(1+INDEX($AC$21:$AC$97,B412))*(1+INDEX($AC$21:$AC$97,C412))*(1+INDEX($AC$21:$AC$97,D412))*(1+INDEX($AC$21:$AC$97,E412))*(1+INDEX($AC$21:$AC$97,F412))-1</f>
        <v>0.0426809622008961</v>
      </c>
      <c r="M412" s="489">
        <f>(1+INDEX($AD$21:$AD$97,B412))*(1+INDEX($AD$21:$AD$97,C412))*(1+INDEX($AD$21:$AD$97,D412))*(1+INDEX($AD$21:$AD$97,E412))*(1+INDEX($AD$21:$AD$97,F412))-1</f>
        <v>0.0734101312275122</v>
      </c>
      <c r="N412" s="489">
        <f>(1+INDEX($AE$21:$AE$97,B412))*(1+INDEX($AE$21:$AE$97,C412))*(1+INDEX($AE$21:$AE$97,D412))*(1+INDEX($AE$21:$AE$97,E412))*(1+INDEX($AE$21:$AE$97,F412))-1</f>
        <v>0.0474922507952125</v>
      </c>
      <c r="O412" s="489">
        <f>(1+INDEX($AF$21:$AF$97,B412))*(1+INDEX($AF$21:$AF$97,C412))*(1+INDEX($AF$21:$AF$97,D412))*(1+INDEX($AF$21:$AF$97,E412))*(1+INDEX($AF$21:$AF$97,F412))-1</f>
        <v>0.109775705772477</v>
      </c>
      <c r="P412" s="489">
        <f>LN((1+L412)/(1+H412))</f>
        <v>-0.0386219922961636</v>
      </c>
      <c r="Q412" s="489">
        <f>LN((1+M412)/(1+H412))</f>
        <v>-0.00957661760620703</v>
      </c>
      <c r="R412" s="489">
        <f>LN((1+N412)/(1+H412))</f>
        <v>-0.0340182617899359</v>
      </c>
      <c r="S412" s="542">
        <f>LN((1+O412)/(1+H412))</f>
        <v>0.0237406912664779</v>
      </c>
    </row>
    <row r="413">
      <c r="A413" s="320" t="n">
        <v>312</v>
      </c>
      <c r="B413" s="174" t="n">
        <v>50</v>
      </c>
      <c r="C413" s="174" t="n">
        <v>66</v>
      </c>
      <c r="D413" s="174" t="n">
        <v>26</v>
      </c>
      <c r="E413" s="174" t="n">
        <v>51</v>
      </c>
      <c r="F413" s="174" t="n">
        <v>75</v>
      </c>
      <c r="G413" s="68">
        <f>(1+INDEX($Z$21:$Z$97,B413))*(1+INDEX($Z$21:$Z$97,C413))*(1+INDEX($Z$21:$Z$97,D413))*(1+INDEX($Z$21:$Z$97,E413))*(1+INDEX($Z$21:$Z$97,F413))-1</f>
        <v>0.782770244394517</v>
      </c>
      <c r="H413" s="68">
        <f>(1+INDEX($AA$21:$AA$97,B413))*(1+INDEX($AA$21:$AA$97,C413))*(1+INDEX($AA$21:$AA$97,D413))*(1+INDEX($AA$21:$AA$97,E413))*(1+INDEX($AA$21:$AA$97,F413))-1</f>
        <v>0.692013812615272</v>
      </c>
      <c r="I413" s="68">
        <f>(1+INDEX($AB$21:$AB$97,B413))*(1+INDEX($AB$21:$AB$97,C413))*(1+INDEX($AB$21:$AB$97,D413))*(1+INDEX($AB$21:$AB$97,E413))*(1+INDEX($AB$21:$AB$97,F413))-1</f>
        <v>0.805687282535818</v>
      </c>
      <c r="J413" s="489">
        <f>LN((1+G413)/(1+H413))</f>
        <v>0.052249046938297</v>
      </c>
      <c r="K413" s="489">
        <f>LN((1+I413)/(1+H413))</f>
        <v>0.0650218606247952</v>
      </c>
      <c r="L413" s="489">
        <f>(1+INDEX($AC$21:$AC$97,B413))*(1+INDEX($AC$21:$AC$97,C413))*(1+INDEX($AC$21:$AC$97,D413))*(1+INDEX($AC$21:$AC$97,E413))*(1+INDEX($AC$21:$AC$97,F413))-1</f>
        <v>0.780660484975447</v>
      </c>
      <c r="M413" s="489">
        <f>(1+INDEX($AD$21:$AD$97,B413))*(1+INDEX($AD$21:$AD$97,C413))*(1+INDEX($AD$21:$AD$97,D413))*(1+INDEX($AD$21:$AD$97,E413))*(1+INDEX($AD$21:$AD$97,F413))-1</f>
        <v>0.799565684023193</v>
      </c>
      <c r="N413" s="489">
        <f>(1+INDEX($AE$21:$AE$97,B413))*(1+INDEX($AE$21:$AE$97,C413))*(1+INDEX($AE$21:$AE$97,D413))*(1+INDEX($AE$21:$AE$97,E413))*(1+INDEX($AE$21:$AE$97,F413))-1</f>
        <v>0.770741053889148</v>
      </c>
      <c r="O413" s="489">
        <f>(1+INDEX($AF$21:$AF$97,B413))*(1+INDEX($AF$21:$AF$97,C413))*(1+INDEX($AF$21:$AF$97,D413))*(1+INDEX($AF$21:$AF$97,E413))*(1+INDEX($AF$21:$AF$97,F413))-1</f>
        <v>0.7548612656128</v>
      </c>
      <c r="P413" s="489">
        <f>LN((1+L413)/(1+H413))</f>
        <v>0.0510649298186939</v>
      </c>
      <c r="Q413" s="489">
        <f>LN((1+M413)/(1+H413))</f>
        <v>0.0616259244991161</v>
      </c>
      <c r="R413" s="489">
        <f>LN((1+N413)/(1+H413))</f>
        <v>0.0454787088447481</v>
      </c>
      <c r="S413" s="542">
        <f>LN((1+O413)/(1+H413))</f>
        <v>0.0364703782253485</v>
      </c>
    </row>
    <row r="414">
      <c r="A414" s="320" t="n">
        <v>313</v>
      </c>
      <c r="B414" s="174" t="n">
        <v>22</v>
      </c>
      <c r="C414" s="174" t="n">
        <v>25</v>
      </c>
      <c r="D414" s="174" t="n">
        <v>72</v>
      </c>
      <c r="E414" s="174" t="n">
        <v>65</v>
      </c>
      <c r="F414" s="174" t="n">
        <v>27</v>
      </c>
      <c r="G414" s="68">
        <f>(1+INDEX($Z$21:$Z$97,B414))*(1+INDEX($Z$21:$Z$97,C414))*(1+INDEX($Z$21:$Z$97,D414))*(1+INDEX($Z$21:$Z$97,E414))*(1+INDEX($Z$21:$Z$97,F414))-1</f>
        <v>0.5572457747093</v>
      </c>
      <c r="H414" s="68">
        <f>(1+INDEX($AA$21:$AA$97,B414))*(1+INDEX($AA$21:$AA$97,C414))*(1+INDEX($AA$21:$AA$97,D414))*(1+INDEX($AA$21:$AA$97,E414))*(1+INDEX($AA$21:$AA$97,F414))-1</f>
        <v>0.521331501492249</v>
      </c>
      <c r="I414" s="68">
        <f>(1+INDEX($AB$21:$AB$97,B414))*(1+INDEX($AB$21:$AB$97,C414))*(1+INDEX($AB$21:$AB$97,D414))*(1+INDEX($AB$21:$AB$97,E414))*(1+INDEX($AB$21:$AB$97,F414))-1</f>
        <v>0.598372936372614</v>
      </c>
      <c r="J414" s="489">
        <f>LN((1+G414)/(1+H414))</f>
        <v>0.0233327926170753</v>
      </c>
      <c r="K414" s="489">
        <f>LN((1+I414)/(1+H414))</f>
        <v>0.0494002578413778</v>
      </c>
      <c r="L414" s="489">
        <f>(1+INDEX($AC$21:$AC$97,B414))*(1+INDEX($AC$21:$AC$97,C414))*(1+INDEX($AC$21:$AC$97,D414))*(1+INDEX($AC$21:$AC$97,E414))*(1+INDEX($AC$21:$AC$97,F414))-1</f>
        <v>0.576459804071366</v>
      </c>
      <c r="M414" s="489">
        <f>(1+INDEX($AD$21:$AD$97,B414))*(1+INDEX($AD$21:$AD$97,C414))*(1+INDEX($AD$21:$AD$97,D414))*(1+INDEX($AD$21:$AD$97,E414))*(1+INDEX($AD$21:$AD$97,F414))-1</f>
        <v>0.587601813415919</v>
      </c>
      <c r="N414" s="489">
        <f>(1+INDEX($AE$21:$AE$97,B414))*(1+INDEX($AE$21:$AE$97,C414))*(1+INDEX($AE$21:$AE$97,D414))*(1+INDEX($AE$21:$AE$97,E414))*(1+INDEX($AE$21:$AE$97,F414))-1</f>
        <v>0.572715979983504</v>
      </c>
      <c r="O414" s="489">
        <f>(1+INDEX($AF$21:$AF$97,B414))*(1+INDEX($AF$21:$AF$97,C414))*(1+INDEX($AF$21:$AF$97,D414))*(1+INDEX($AF$21:$AF$97,E414))*(1+INDEX($AF$21:$AF$97,F414))-1</f>
        <v>0.55348106923386</v>
      </c>
      <c r="P414" s="489">
        <f>LN((1+L414)/(1+H414))</f>
        <v>0.0355957635075814</v>
      </c>
      <c r="Q414" s="489">
        <f>LN((1+M414)/(1+H414))</f>
        <v>0.0426386449347926</v>
      </c>
      <c r="R414" s="489">
        <f>LN((1+N414)/(1+H414))</f>
        <v>0.0332181090936579</v>
      </c>
      <c r="S414" s="542">
        <f>LN((1+O414)/(1+H414))</f>
        <v>0.0209123246670958</v>
      </c>
    </row>
    <row r="415">
      <c r="A415" s="320" t="n">
        <v>314</v>
      </c>
      <c r="B415" s="174" t="n">
        <v>32</v>
      </c>
      <c r="C415" s="174" t="n">
        <v>67</v>
      </c>
      <c r="D415" s="174" t="n">
        <v>24</v>
      </c>
      <c r="E415" s="174" t="n">
        <v>7</v>
      </c>
      <c r="F415" s="174" t="n">
        <v>56</v>
      </c>
      <c r="G415" s="68">
        <f>(1+INDEX($Z$21:$Z$97,B415))*(1+INDEX($Z$21:$Z$97,C415))*(1+INDEX($Z$21:$Z$97,D415))*(1+INDEX($Z$21:$Z$97,E415))*(1+INDEX($Z$21:$Z$97,F415))-1</f>
        <v>0.237666967135279</v>
      </c>
      <c r="H415" s="68">
        <f>(1+INDEX($AA$21:$AA$97,B415))*(1+INDEX($AA$21:$AA$97,C415))*(1+INDEX($AA$21:$AA$97,D415))*(1+INDEX($AA$21:$AA$97,E415))*(1+INDEX($AA$21:$AA$97,F415))-1</f>
        <v>0.256794634077744</v>
      </c>
      <c r="I415" s="68">
        <f>(1+INDEX($AB$21:$AB$97,B415))*(1+INDEX($AB$21:$AB$97,C415))*(1+INDEX($AB$21:$AB$97,D415))*(1+INDEX($AB$21:$AB$97,E415))*(1+INDEX($AB$21:$AB$97,F415))-1</f>
        <v>0.256826541214225</v>
      </c>
      <c r="J415" s="489">
        <f>LN((1+G415)/(1+H415))</f>
        <v>-0.0153364091414721</v>
      </c>
      <c r="K415" s="489">
        <f>LN((1+I415)/(1+H415))</f>
        <v>2.53873867683913e-05</v>
      </c>
      <c r="L415" s="489">
        <f>(1+INDEX($AC$21:$AC$97,B415))*(1+INDEX($AC$21:$AC$97,C415))*(1+INDEX($AC$21:$AC$97,D415))*(1+INDEX($AC$21:$AC$97,E415))*(1+INDEX($AC$21:$AC$97,F415))-1</f>
        <v>0.243128047251991</v>
      </c>
      <c r="M415" s="489">
        <f>(1+INDEX($AD$21:$AD$97,B415))*(1+INDEX($AD$21:$AD$97,C415))*(1+INDEX($AD$21:$AD$97,D415))*(1+INDEX($AD$21:$AD$97,E415))*(1+INDEX($AD$21:$AD$97,F415))-1</f>
        <v>0.264002107049311</v>
      </c>
      <c r="N415" s="489">
        <f>(1+INDEX($AE$21:$AE$97,B415))*(1+INDEX($AE$21:$AE$97,C415))*(1+INDEX($AE$21:$AE$97,D415))*(1+INDEX($AE$21:$AE$97,E415))*(1+INDEX($AE$21:$AE$97,F415))-1</f>
        <v>0.240857656486481</v>
      </c>
      <c r="O415" s="489">
        <f>(1+INDEX($AF$21:$AF$97,B415))*(1+INDEX($AF$21:$AF$97,C415))*(1+INDEX($AF$21:$AF$97,D415))*(1+INDEX($AF$21:$AF$97,E415))*(1+INDEX($AF$21:$AF$97,F415))-1</f>
        <v>0.268672486959744</v>
      </c>
      <c r="P415" s="489">
        <f>LN((1+L415)/(1+H415))</f>
        <v>-0.0109337165317502</v>
      </c>
      <c r="Q415" s="489">
        <f>LN((1+M415)/(1+H415))</f>
        <v>0.00571842425416922</v>
      </c>
      <c r="R415" s="489">
        <f>LN((1+N415)/(1+H415))</f>
        <v>-0.0127617394501869</v>
      </c>
      <c r="S415" s="542">
        <f>LN((1+O415)/(1+H415))</f>
        <v>0.00940652948126935</v>
      </c>
    </row>
    <row r="416">
      <c r="A416" s="320" t="n">
        <v>315</v>
      </c>
      <c r="B416" s="174" t="n">
        <v>19</v>
      </c>
      <c r="C416" s="174" t="n">
        <v>19</v>
      </c>
      <c r="D416" s="174" t="n">
        <v>23</v>
      </c>
      <c r="E416" s="174" t="n">
        <v>40</v>
      </c>
      <c r="F416" s="174" t="n">
        <v>58</v>
      </c>
      <c r="G416" s="68">
        <f>(1+INDEX($Z$21:$Z$97,B416))*(1+INDEX($Z$21:$Z$97,C416))*(1+INDEX($Z$21:$Z$97,D416))*(1+INDEX($Z$21:$Z$97,E416))*(1+INDEX($Z$21:$Z$97,F416))-1</f>
        <v>0.372178465878827</v>
      </c>
      <c r="H416" s="68">
        <f>(1+INDEX($AA$21:$AA$97,B416))*(1+INDEX($AA$21:$AA$97,C416))*(1+INDEX($AA$21:$AA$97,D416))*(1+INDEX($AA$21:$AA$97,E416))*(1+INDEX($AA$21:$AA$97,F416))-1</f>
        <v>0.36516818573504</v>
      </c>
      <c r="I416" s="68">
        <f>(1+INDEX($AB$21:$AB$97,B416))*(1+INDEX($AB$21:$AB$97,C416))*(1+INDEX($AB$21:$AB$97,D416))*(1+INDEX($AB$21:$AB$97,E416))*(1+INDEX($AB$21:$AB$97,F416))-1</f>
        <v>0.361710763661632</v>
      </c>
      <c r="J416" s="489">
        <f>LN((1+G416)/(1+H416))</f>
        <v>0.00512196397601912</v>
      </c>
      <c r="K416" s="489">
        <f>LN((1+I416)/(1+H416))</f>
        <v>-0.00253581034601541</v>
      </c>
      <c r="L416" s="489">
        <f>(1+INDEX($AC$21:$AC$97,B416))*(1+INDEX($AC$21:$AC$97,C416))*(1+INDEX($AC$21:$AC$97,D416))*(1+INDEX($AC$21:$AC$97,E416))*(1+INDEX($AC$21:$AC$97,F416))-1</f>
        <v>0.370218749558839</v>
      </c>
      <c r="M416" s="489">
        <f>(1+INDEX($AD$21:$AD$97,B416))*(1+INDEX($AD$21:$AD$97,C416))*(1+INDEX($AD$21:$AD$97,D416))*(1+INDEX($AD$21:$AD$97,E416))*(1+INDEX($AD$21:$AD$97,F416))-1</f>
        <v>0.343450615594006</v>
      </c>
      <c r="N416" s="489">
        <f>(1+INDEX($AE$21:$AE$97,B416))*(1+INDEX($AE$21:$AE$97,C416))*(1+INDEX($AE$21:$AE$97,D416))*(1+INDEX($AE$21:$AE$97,E416))*(1+INDEX($AE$21:$AE$97,F416))-1</f>
        <v>0.366187716775995</v>
      </c>
      <c r="O416" s="489">
        <f>(1+INDEX($AF$21:$AF$97,B416))*(1+INDEX($AF$21:$AF$97,C416))*(1+INDEX($AF$21:$AF$97,D416))*(1+INDEX($AF$21:$AF$97,E416))*(1+INDEX($AF$21:$AF$97,F416))-1</f>
        <v>0.34625432061787</v>
      </c>
      <c r="P416" s="489">
        <f>LN((1+L416)/(1+H416))</f>
        <v>0.00369276426524462</v>
      </c>
      <c r="Q416" s="489">
        <f>LN((1+M416)/(1+H416))</f>
        <v>-0.0160362436662716</v>
      </c>
      <c r="R416" s="489">
        <f>LN((1+N416)/(1+H416))</f>
        <v>0.00074653844075617</v>
      </c>
      <c r="S416" s="542">
        <f>LN((1+O416)/(1+H416))</f>
        <v>-0.0139514751836123</v>
      </c>
    </row>
    <row r="417">
      <c r="A417" s="320" t="n">
        <v>316</v>
      </c>
      <c r="B417" s="174" t="n">
        <v>62</v>
      </c>
      <c r="C417" s="174" t="n">
        <v>14</v>
      </c>
      <c r="D417" s="174" t="n">
        <v>68</v>
      </c>
      <c r="E417" s="174" t="n">
        <v>37</v>
      </c>
      <c r="F417" s="174" t="n">
        <v>34</v>
      </c>
      <c r="G417" s="68">
        <f>(1+INDEX($Z$21:$Z$97,B417))*(1+INDEX($Z$21:$Z$97,C417))*(1+INDEX($Z$21:$Z$97,D417))*(1+INDEX($Z$21:$Z$97,E417))*(1+INDEX($Z$21:$Z$97,F417))-1</f>
        <v>0.287548713006474</v>
      </c>
      <c r="H417" s="68">
        <f>(1+INDEX($AA$21:$AA$97,B417))*(1+INDEX($AA$21:$AA$97,C417))*(1+INDEX($AA$21:$AA$97,D417))*(1+INDEX($AA$21:$AA$97,E417))*(1+INDEX($AA$21:$AA$97,F417))-1</f>
        <v>0.298952133601513</v>
      </c>
      <c r="I417" s="68">
        <f>(1+INDEX($AB$21:$AB$97,B417))*(1+INDEX($AB$21:$AB$97,C417))*(1+INDEX($AB$21:$AB$97,D417))*(1+INDEX($AB$21:$AB$97,E417))*(1+INDEX($AB$21:$AB$97,F417))-1</f>
        <v>0.313051839266871</v>
      </c>
      <c r="J417" s="489">
        <f>LN((1+G417)/(1+H417))</f>
        <v>-0.00881770017303943</v>
      </c>
      <c r="K417" s="489">
        <f>LN((1+I417)/(1+H417))</f>
        <v>0.0107961877270887</v>
      </c>
      <c r="L417" s="489">
        <f>(1+INDEX($AC$21:$AC$97,B417))*(1+INDEX($AC$21:$AC$97,C417))*(1+INDEX($AC$21:$AC$97,D417))*(1+INDEX($AC$21:$AC$97,E417))*(1+INDEX($AC$21:$AC$97,F417))-1</f>
        <v>0.327780278075619</v>
      </c>
      <c r="M417" s="489">
        <f>(1+INDEX($AD$21:$AD$97,B417))*(1+INDEX($AD$21:$AD$97,C417))*(1+INDEX($AD$21:$AD$97,D417))*(1+INDEX($AD$21:$AD$97,E417))*(1+INDEX($AD$21:$AD$97,F417))-1</f>
        <v>0.30640627752327</v>
      </c>
      <c r="N417" s="489">
        <f>(1+INDEX($AE$21:$AE$97,B417))*(1+INDEX($AE$21:$AE$97,C417))*(1+INDEX($AE$21:$AE$97,D417))*(1+INDEX($AE$21:$AE$97,E417))*(1+INDEX($AE$21:$AE$97,F417))-1</f>
        <v>0.327545968339037</v>
      </c>
      <c r="O417" s="489">
        <f>(1+INDEX($AF$21:$AF$97,B417))*(1+INDEX($AF$21:$AF$97,C417))*(1+INDEX($AF$21:$AF$97,D417))*(1+INDEX($AF$21:$AF$97,E417))*(1+INDEX($AF$21:$AF$97,F417))-1</f>
        <v>0.245090177893562</v>
      </c>
      <c r="P417" s="489">
        <f>LN((1+L417)/(1+H417))</f>
        <v>0.0219506957511421</v>
      </c>
      <c r="Q417" s="489">
        <f>LN((1+M417)/(1+H417))</f>
        <v>0.00572217951233095</v>
      </c>
      <c r="R417" s="489">
        <f>LN((1+N417)/(1+H417))</f>
        <v>0.021774212927228</v>
      </c>
      <c r="S417" s="542">
        <f>LN((1+O417)/(1+H417))</f>
        <v>-0.0423499290212704</v>
      </c>
    </row>
    <row r="418">
      <c r="A418" s="320" t="n">
        <v>317</v>
      </c>
      <c r="B418" s="174" t="n">
        <v>29</v>
      </c>
      <c r="C418" s="174" t="n">
        <v>11</v>
      </c>
      <c r="D418" s="174" t="n">
        <v>64</v>
      </c>
      <c r="E418" s="174" t="n">
        <v>6</v>
      </c>
      <c r="F418" s="174" t="n">
        <v>33</v>
      </c>
      <c r="G418" s="68">
        <f>(1+INDEX($Z$21:$Z$97,B418))*(1+INDEX($Z$21:$Z$97,C418))*(1+INDEX($Z$21:$Z$97,D418))*(1+INDEX($Z$21:$Z$97,E418))*(1+INDEX($Z$21:$Z$97,F418))-1</f>
        <v>0.117328357398292</v>
      </c>
      <c r="H418" s="68">
        <f>(1+INDEX($AA$21:$AA$97,B418))*(1+INDEX($AA$21:$AA$97,C418))*(1+INDEX($AA$21:$AA$97,D418))*(1+INDEX($AA$21:$AA$97,E418))*(1+INDEX($AA$21:$AA$97,F418))-1</f>
        <v>0.131764971766704</v>
      </c>
      <c r="I418" s="68">
        <f>(1+INDEX($AB$21:$AB$97,B418))*(1+INDEX($AB$21:$AB$97,C418))*(1+INDEX($AB$21:$AB$97,D418))*(1+INDEX($AB$21:$AB$97,E418))*(1+INDEX($AB$21:$AB$97,F418))-1</f>
        <v>0.125568477023669</v>
      </c>
      <c r="J418" s="489">
        <f>LN((1+G418)/(1+H418))</f>
        <v>-0.0128378955709896</v>
      </c>
      <c r="K418" s="489">
        <f>LN((1+I418)/(1+H418))</f>
        <v>-0.00549011517158134</v>
      </c>
      <c r="L418" s="489">
        <f>(1+INDEX($AC$21:$AC$97,B418))*(1+INDEX($AC$21:$AC$97,C418))*(1+INDEX($AC$21:$AC$97,D418))*(1+INDEX($AC$21:$AC$97,E418))*(1+INDEX($AC$21:$AC$97,F418))-1</f>
        <v>0.119802806966107</v>
      </c>
      <c r="M418" s="489">
        <f>(1+INDEX($AD$21:$AD$97,B418))*(1+INDEX($AD$21:$AD$97,C418))*(1+INDEX($AD$21:$AD$97,D418))*(1+INDEX($AD$21:$AD$97,E418))*(1+INDEX($AD$21:$AD$97,F418))-1</f>
        <v>0.117093021587527</v>
      </c>
      <c r="N418" s="489">
        <f>(1+INDEX($AE$21:$AE$97,B418))*(1+INDEX($AE$21:$AE$97,C418))*(1+INDEX($AE$21:$AE$97,D418))*(1+INDEX($AE$21:$AE$97,E418))*(1+INDEX($AE$21:$AE$97,F418))-1</f>
        <v>0.102764343489104</v>
      </c>
      <c r="O418" s="489">
        <f>(1+INDEX($AF$21:$AF$97,B418))*(1+INDEX($AF$21:$AF$97,C418))*(1+INDEX($AF$21:$AF$97,D418))*(1+INDEX($AF$21:$AF$97,E418))*(1+INDEX($AF$21:$AF$97,F418))-1</f>
        <v>0.142452869726531</v>
      </c>
      <c r="P418" s="489">
        <f>LN((1+L418)/(1+H418))</f>
        <v>-0.010625731513445</v>
      </c>
      <c r="Q418" s="489">
        <f>LN((1+M418)/(1+H418))</f>
        <v>-0.0130485414355963</v>
      </c>
      <c r="R418" s="489">
        <f>LN((1+N418)/(1+H418))</f>
        <v>-0.0259582691739914</v>
      </c>
      <c r="S418" s="542">
        <f>LN((1+O418)/(1+H418))</f>
        <v>0.00939925494452551</v>
      </c>
    </row>
    <row r="419">
      <c r="A419" s="320" t="n">
        <v>318</v>
      </c>
      <c r="B419" s="174" t="n">
        <v>60</v>
      </c>
      <c r="C419" s="174" t="n">
        <v>7</v>
      </c>
      <c r="D419" s="174" t="n">
        <v>3</v>
      </c>
      <c r="E419" s="174" t="n">
        <v>36</v>
      </c>
      <c r="F419" s="174" t="n">
        <v>28</v>
      </c>
      <c r="G419" s="68">
        <f>(1+INDEX($Z$21:$Z$97,B419))*(1+INDEX($Z$21:$Z$97,C419))*(1+INDEX($Z$21:$Z$97,D419))*(1+INDEX($Z$21:$Z$97,E419))*(1+INDEX($Z$21:$Z$97,F419))-1</f>
        <v>0.476667256333237</v>
      </c>
      <c r="H419" s="68">
        <f>(1+INDEX($AA$21:$AA$97,B419))*(1+INDEX($AA$21:$AA$97,C419))*(1+INDEX($AA$21:$AA$97,D419))*(1+INDEX($AA$21:$AA$97,E419))*(1+INDEX($AA$21:$AA$97,F419))-1</f>
        <v>0.498630691088069</v>
      </c>
      <c r="I419" s="68">
        <f>(1+INDEX($AB$21:$AB$97,B419))*(1+INDEX($AB$21:$AB$97,C419))*(1+INDEX($AB$21:$AB$97,D419))*(1+INDEX($AB$21:$AB$97,E419))*(1+INDEX($AB$21:$AB$97,F419))-1</f>
        <v>0.501777649631202</v>
      </c>
      <c r="J419" s="489">
        <f>LN((1+G419)/(1+H419))</f>
        <v>-0.0147641238666719</v>
      </c>
      <c r="K419" s="489">
        <f>LN((1+I419)/(1+H419))</f>
        <v>0.00209768760764072</v>
      </c>
      <c r="L419" s="489">
        <f>(1+INDEX($AC$21:$AC$97,B419))*(1+INDEX($AC$21:$AC$97,C419))*(1+INDEX($AC$21:$AC$97,D419))*(1+INDEX($AC$21:$AC$97,E419))*(1+INDEX($AC$21:$AC$97,F419))-1</f>
        <v>0.524305171488</v>
      </c>
      <c r="M419" s="489">
        <f>(1+INDEX($AD$21:$AD$97,B419))*(1+INDEX($AD$21:$AD$97,C419))*(1+INDEX($AD$21:$AD$97,D419))*(1+INDEX($AD$21:$AD$97,E419))*(1+INDEX($AD$21:$AD$97,F419))-1</f>
        <v>0.475735440046055</v>
      </c>
      <c r="N419" s="489">
        <f>(1+INDEX($AE$21:$AE$97,B419))*(1+INDEX($AE$21:$AE$97,C419))*(1+INDEX($AE$21:$AE$97,D419))*(1+INDEX($AE$21:$AE$97,E419))*(1+INDEX($AE$21:$AE$97,F419))-1</f>
        <v>0.536594645231089</v>
      </c>
      <c r="O419" s="489">
        <f>(1+INDEX($AF$21:$AF$97,B419))*(1+INDEX($AF$21:$AF$97,C419))*(1+INDEX($AF$21:$AF$97,D419))*(1+INDEX($AF$21:$AF$97,E419))*(1+INDEX($AF$21:$AF$97,F419))-1</f>
        <v>0.456255121522635</v>
      </c>
      <c r="P419" s="489">
        <f>LN((1+L419)/(1+H419))</f>
        <v>0.0169868623986187</v>
      </c>
      <c r="Q419" s="489">
        <f>LN((1+M419)/(1+H419))</f>
        <v>-0.0153953496268062</v>
      </c>
      <c r="R419" s="489">
        <f>LN((1+N419)/(1+H419))</f>
        <v>0.025016880050645</v>
      </c>
      <c r="S419" s="542">
        <f>LN((1+O419)/(1+H419))</f>
        <v>-0.0286836633271568</v>
      </c>
    </row>
    <row r="420">
      <c r="A420" s="320" t="n">
        <v>319</v>
      </c>
      <c r="B420" s="174" t="n">
        <v>35</v>
      </c>
      <c r="C420" s="174" t="n">
        <v>76</v>
      </c>
      <c r="D420" s="174" t="n">
        <v>49</v>
      </c>
      <c r="E420" s="174" t="n">
        <v>67</v>
      </c>
      <c r="F420" s="174" t="n">
        <v>27</v>
      </c>
      <c r="G420" s="68">
        <f>(1+INDEX($Z$21:$Z$97,B420))*(1+INDEX($Z$21:$Z$97,C420))*(1+INDEX($Z$21:$Z$97,D420))*(1+INDEX($Z$21:$Z$97,E420))*(1+INDEX($Z$21:$Z$97,F420))-1</f>
        <v>0.71405392133852</v>
      </c>
      <c r="H420" s="68">
        <f>(1+INDEX($AA$21:$AA$97,B420))*(1+INDEX($AA$21:$AA$97,C420))*(1+INDEX($AA$21:$AA$97,D420))*(1+INDEX($AA$21:$AA$97,E420))*(1+INDEX($AA$21:$AA$97,F420))-1</f>
        <v>0.679288122819888</v>
      </c>
      <c r="I420" s="68">
        <f>(1+INDEX($AB$21:$AB$97,B420))*(1+INDEX($AB$21:$AB$97,C420))*(1+INDEX($AB$21:$AB$97,D420))*(1+INDEX($AB$21:$AB$97,E420))*(1+INDEX($AB$21:$AB$97,F420))-1</f>
        <v>0.761535880891998</v>
      </c>
      <c r="J420" s="489">
        <f>LN((1+G420)/(1+H420))</f>
        <v>0.020491311841326</v>
      </c>
      <c r="K420" s="489">
        <f>LN((1+I420)/(1+H420))</f>
        <v>0.0478161209049851</v>
      </c>
      <c r="L420" s="489">
        <f>(1+INDEX($AC$21:$AC$97,B420))*(1+INDEX($AC$21:$AC$97,C420))*(1+INDEX($AC$21:$AC$97,D420))*(1+INDEX($AC$21:$AC$97,E420))*(1+INDEX($AC$21:$AC$97,F420))-1</f>
        <v>0.765239060827262</v>
      </c>
      <c r="M420" s="489">
        <f>(1+INDEX($AD$21:$AD$97,B420))*(1+INDEX($AD$21:$AD$97,C420))*(1+INDEX($AD$21:$AD$97,D420))*(1+INDEX($AD$21:$AD$97,E420))*(1+INDEX($AD$21:$AD$97,F420))-1</f>
        <v>0.754595939788497</v>
      </c>
      <c r="N420" s="489">
        <f>(1+INDEX($AE$21:$AE$97,B420))*(1+INDEX($AE$21:$AE$97,C420))*(1+INDEX($AE$21:$AE$97,D420))*(1+INDEX($AE$21:$AE$97,E420))*(1+INDEX($AE$21:$AE$97,F420))-1</f>
        <v>0.764840893722966</v>
      </c>
      <c r="O420" s="489">
        <f>(1+INDEX($AF$21:$AF$97,B420))*(1+INDEX($AF$21:$AF$97,C420))*(1+INDEX($AF$21:$AF$97,D420))*(1+INDEX($AF$21:$AF$97,E420))*(1+INDEX($AF$21:$AF$97,F420))-1</f>
        <v>0.672522813444267</v>
      </c>
      <c r="P420" s="489">
        <f>LN((1+L420)/(1+H420))</f>
        <v>0.049916159244504</v>
      </c>
      <c r="Q420" s="489">
        <f>LN((1+M420)/(1+H420))</f>
        <v>0.0438686294744352</v>
      </c>
      <c r="R420" s="489">
        <f>LN((1+N420)/(1+H420))</f>
        <v>0.049690573925695</v>
      </c>
      <c r="S420" s="542">
        <f>LN((1+O420)/(1+H420))</f>
        <v>-0.00403681394415077</v>
      </c>
    </row>
    <row r="421">
      <c r="A421" s="320" t="n">
        <v>320</v>
      </c>
      <c r="B421" s="174" t="n">
        <v>39</v>
      </c>
      <c r="C421" s="174" t="n">
        <v>22</v>
      </c>
      <c r="D421" s="174" t="n">
        <v>25</v>
      </c>
      <c r="E421" s="174" t="n">
        <v>11</v>
      </c>
      <c r="F421" s="174" t="n">
        <v>29</v>
      </c>
      <c r="G421" s="68">
        <f>(1+INDEX($Z$21:$Z$97,B421))*(1+INDEX($Z$21:$Z$97,C421))*(1+INDEX($Z$21:$Z$97,D421))*(1+INDEX($Z$21:$Z$97,E421))*(1+INDEX($Z$21:$Z$97,F421))-1</f>
        <v>0.417231546419574</v>
      </c>
      <c r="H421" s="68">
        <f>(1+INDEX($AA$21:$AA$97,B421))*(1+INDEX($AA$21:$AA$97,C421))*(1+INDEX($AA$21:$AA$97,D421))*(1+INDEX($AA$21:$AA$97,E421))*(1+INDEX($AA$21:$AA$97,F421))-1</f>
        <v>0.357154016457311</v>
      </c>
      <c r="I421" s="68">
        <f>(1+INDEX($AB$21:$AB$97,B421))*(1+INDEX($AB$21:$AB$97,C421))*(1+INDEX($AB$21:$AB$97,D421))*(1+INDEX($AB$21:$AB$97,E421))*(1+INDEX($AB$21:$AB$97,F421))-1</f>
        <v>0.366178724930257</v>
      </c>
      <c r="J421" s="489">
        <f>LN((1+G421)/(1+H421))</f>
        <v>0.0433154812720662</v>
      </c>
      <c r="K421" s="489">
        <f>LN((1+I421)/(1+H421))</f>
        <v>0.00662771858260761</v>
      </c>
      <c r="L421" s="489">
        <f>(1+INDEX($AC$21:$AC$97,B421))*(1+INDEX($AC$21:$AC$97,C421))*(1+INDEX($AC$21:$AC$97,D421))*(1+INDEX($AC$21:$AC$97,E421))*(1+INDEX($AC$21:$AC$97,F421))-1</f>
        <v>0.349630673417293</v>
      </c>
      <c r="M421" s="489">
        <f>(1+INDEX($AD$21:$AD$97,B421))*(1+INDEX($AD$21:$AD$97,C421))*(1+INDEX($AD$21:$AD$97,D421))*(1+INDEX($AD$21:$AD$97,E421))*(1+INDEX($AD$21:$AD$97,F421))-1</f>
        <v>0.398162639849055</v>
      </c>
      <c r="N421" s="489">
        <f>(1+INDEX($AE$21:$AE$97,B421))*(1+INDEX($AE$21:$AE$97,C421))*(1+INDEX($AE$21:$AE$97,D421))*(1+INDEX($AE$21:$AE$97,E421))*(1+INDEX($AE$21:$AE$97,F421))-1</f>
        <v>0.34060702875679</v>
      </c>
      <c r="O421" s="489">
        <f>(1+INDEX($AF$21:$AF$97,B421))*(1+INDEX($AF$21:$AF$97,C421))*(1+INDEX($AF$21:$AF$97,D421))*(1+INDEX($AF$21:$AF$97,E421))*(1+INDEX($AF$21:$AF$97,F421))-1</f>
        <v>0.42725329444258</v>
      </c>
      <c r="P421" s="489">
        <f>LN((1+L421)/(1+H421))</f>
        <v>-0.00555889239477722</v>
      </c>
      <c r="Q421" s="489">
        <f>LN((1+M421)/(1+H421))</f>
        <v>0.0297691023920098</v>
      </c>
      <c r="R421" s="489">
        <f>LN((1+N421)/(1+H421))</f>
        <v>-0.0122673542488759</v>
      </c>
      <c r="S421" s="542">
        <f>LN((1+O421)/(1+H421))</f>
        <v>0.0503619519343685</v>
      </c>
    </row>
    <row r="422">
      <c r="A422" s="320" t="n">
        <v>321</v>
      </c>
      <c r="B422" s="174" t="n">
        <v>6</v>
      </c>
      <c r="C422" s="174" t="n">
        <v>59</v>
      </c>
      <c r="D422" s="174" t="n">
        <v>54</v>
      </c>
      <c r="E422" s="174" t="n">
        <v>44</v>
      </c>
      <c r="F422" s="174" t="n">
        <v>33</v>
      </c>
      <c r="G422" s="68">
        <f>(1+INDEX($Z$21:$Z$97,B422))*(1+INDEX($Z$21:$Z$97,C422))*(1+INDEX($Z$21:$Z$97,D422))*(1+INDEX($Z$21:$Z$97,E422))*(1+INDEX($Z$21:$Z$97,F422))-1</f>
        <v>0.351889848976589</v>
      </c>
      <c r="H422" s="68">
        <f>(1+INDEX($AA$21:$AA$97,B422))*(1+INDEX($AA$21:$AA$97,C422))*(1+INDEX($AA$21:$AA$97,D422))*(1+INDEX($AA$21:$AA$97,E422))*(1+INDEX($AA$21:$AA$97,F422))-1</f>
        <v>0.38432443835222</v>
      </c>
      <c r="I422" s="68">
        <f>(1+INDEX($AB$21:$AB$97,B422))*(1+INDEX($AB$21:$AB$97,C422))*(1+INDEX($AB$21:$AB$97,D422))*(1+INDEX($AB$21:$AB$97,E422))*(1+INDEX($AB$21:$AB$97,F422))-1</f>
        <v>0.399801357252841</v>
      </c>
      <c r="J422" s="489">
        <f>LN((1+G422)/(1+H422))</f>
        <v>-0.023708748846703</v>
      </c>
      <c r="K422" s="489">
        <f>LN((1+I422)/(1+H422))</f>
        <v>0.0111180883797152</v>
      </c>
      <c r="L422" s="489">
        <f>(1+INDEX($AC$21:$AC$97,B422))*(1+INDEX($AC$21:$AC$97,C422))*(1+INDEX($AC$21:$AC$97,D422))*(1+INDEX($AC$21:$AC$97,E422))*(1+INDEX($AC$21:$AC$97,F422))-1</f>
        <v>0.39881810476167</v>
      </c>
      <c r="M422" s="489">
        <f>(1+INDEX($AD$21:$AD$97,B422))*(1+INDEX($AD$21:$AD$97,C422))*(1+INDEX($AD$21:$AD$97,D422))*(1+INDEX($AD$21:$AD$97,E422))*(1+INDEX($AD$21:$AD$97,F422))-1</f>
        <v>0.383773411889056</v>
      </c>
      <c r="N422" s="489">
        <f>(1+INDEX($AE$21:$AE$97,B422))*(1+INDEX($AE$21:$AE$97,C422))*(1+INDEX($AE$21:$AE$97,D422))*(1+INDEX($AE$21:$AE$97,E422))*(1+INDEX($AE$21:$AE$97,F422))-1</f>
        <v>0.381506790043249</v>
      </c>
      <c r="O422" s="489">
        <f>(1+INDEX($AF$21:$AF$97,B422))*(1+INDEX($AF$21:$AF$97,C422))*(1+INDEX($AF$21:$AF$97,D422))*(1+INDEX($AF$21:$AF$97,E422))*(1+INDEX($AF$21:$AF$97,F422))-1</f>
        <v>0.370029879176272</v>
      </c>
      <c r="P422" s="489">
        <f>LN((1+L422)/(1+H422))</f>
        <v>0.0104154186920548</v>
      </c>
      <c r="Q422" s="489">
        <f>LN((1+M422)/(1+H422))</f>
        <v>-0.000398126439348864</v>
      </c>
      <c r="R422" s="489">
        <f>LN((1+N422)/(1+H422))</f>
        <v>-0.00203747014986504</v>
      </c>
      <c r="S422" s="542">
        <f>LN((1+O422)/(1+H422))</f>
        <v>-0.010379701278023</v>
      </c>
    </row>
    <row r="423">
      <c r="A423" s="320" t="n">
        <v>322</v>
      </c>
      <c r="B423" s="174" t="n">
        <v>66</v>
      </c>
      <c r="C423" s="174" t="n">
        <v>57</v>
      </c>
      <c r="D423" s="174" t="n">
        <v>4</v>
      </c>
      <c r="E423" s="174" t="n">
        <v>39</v>
      </c>
      <c r="F423" s="174" t="n">
        <v>23</v>
      </c>
      <c r="G423" s="68">
        <f>(1+INDEX($Z$21:$Z$97,B423))*(1+INDEX($Z$21:$Z$97,C423))*(1+INDEX($Z$21:$Z$97,D423))*(1+INDEX($Z$21:$Z$97,E423))*(1+INDEX($Z$21:$Z$97,F423))-1</f>
        <v>0.696579583764355</v>
      </c>
      <c r="H423" s="68">
        <f>(1+INDEX($AA$21:$AA$97,B423))*(1+INDEX($AA$21:$AA$97,C423))*(1+INDEX($AA$21:$AA$97,D423))*(1+INDEX($AA$21:$AA$97,E423))*(1+INDEX($AA$21:$AA$97,F423))-1</f>
        <v>0.572251058068863</v>
      </c>
      <c r="I423" s="68">
        <f>(1+INDEX($AB$21:$AB$97,B423))*(1+INDEX($AB$21:$AB$97,C423))*(1+INDEX($AB$21:$AB$97,D423))*(1+INDEX($AB$21:$AB$97,E423))*(1+INDEX($AB$21:$AB$97,F423))-1</f>
        <v>0.615880345281947</v>
      </c>
      <c r="J423" s="489">
        <f>LN((1+G423)/(1+H423))</f>
        <v>0.0761058272954572</v>
      </c>
      <c r="K423" s="489">
        <f>LN((1+I423)/(1+H423))</f>
        <v>0.0273715261903363</v>
      </c>
      <c r="L423" s="489">
        <f>(1+INDEX($AC$21:$AC$97,B423))*(1+INDEX($AC$21:$AC$97,C423))*(1+INDEX($AC$21:$AC$97,D423))*(1+INDEX($AC$21:$AC$97,E423))*(1+INDEX($AC$21:$AC$97,F423))-1</f>
        <v>0.615029775207153</v>
      </c>
      <c r="M423" s="489">
        <f>(1+INDEX($AD$21:$AD$97,B423))*(1+INDEX($AD$21:$AD$97,C423))*(1+INDEX($AD$21:$AD$97,D423))*(1+INDEX($AD$21:$AD$97,E423))*(1+INDEX($AD$21:$AD$97,F423))-1</f>
        <v>0.612591842750922</v>
      </c>
      <c r="N423" s="489">
        <f>(1+INDEX($AE$21:$AE$97,B423))*(1+INDEX($AE$21:$AE$97,C423))*(1+INDEX($AE$21:$AE$97,D423))*(1+INDEX($AE$21:$AE$97,E423))*(1+INDEX($AE$21:$AE$97,F423))-1</f>
        <v>0.604771609818188</v>
      </c>
      <c r="O423" s="489">
        <f>(1+INDEX($AF$21:$AF$97,B423))*(1+INDEX($AF$21:$AF$97,C423))*(1+INDEX($AF$21:$AF$97,D423))*(1+INDEX($AF$21:$AF$97,E423))*(1+INDEX($AF$21:$AF$97,F423))-1</f>
        <v>0.642793460631115</v>
      </c>
      <c r="P423" s="489">
        <f>LN((1+L423)/(1+H423))</f>
        <v>0.0268450057594215</v>
      </c>
      <c r="Q423" s="489">
        <f>LN((1+M423)/(1+H423))</f>
        <v>0.0253343374045535</v>
      </c>
      <c r="R423" s="489">
        <f>LN((1+N423)/(1+H423))</f>
        <v>0.02047305987177</v>
      </c>
      <c r="S423" s="542">
        <f>LN((1+O423)/(1+H423))</f>
        <v>0.0438897350624579</v>
      </c>
    </row>
    <row r="424">
      <c r="A424" s="320" t="n">
        <v>323</v>
      </c>
      <c r="B424" s="174" t="n">
        <v>55</v>
      </c>
      <c r="C424" s="174" t="n">
        <v>28</v>
      </c>
      <c r="D424" s="174" t="n">
        <v>49</v>
      </c>
      <c r="E424" s="174" t="n">
        <v>28</v>
      </c>
      <c r="F424" s="174" t="n">
        <v>3</v>
      </c>
      <c r="G424" s="68">
        <f>(1+INDEX($Z$21:$Z$97,B424))*(1+INDEX($Z$21:$Z$97,C424))*(1+INDEX($Z$21:$Z$97,D424))*(1+INDEX($Z$21:$Z$97,E424))*(1+INDEX($Z$21:$Z$97,F424))-1</f>
        <v>0.745354783242812</v>
      </c>
      <c r="H424" s="68">
        <f>(1+INDEX($AA$21:$AA$97,B424))*(1+INDEX($AA$21:$AA$97,C424))*(1+INDEX($AA$21:$AA$97,D424))*(1+INDEX($AA$21:$AA$97,E424))*(1+INDEX($AA$21:$AA$97,F424))-1</f>
        <v>0.708163043871498</v>
      </c>
      <c r="I424" s="68">
        <f>(1+INDEX($AB$21:$AB$97,B424))*(1+INDEX($AB$21:$AB$97,C424))*(1+INDEX($AB$21:$AB$97,D424))*(1+INDEX($AB$21:$AB$97,E424))*(1+INDEX($AB$21:$AB$97,F424))-1</f>
        <v>0.787188174705553</v>
      </c>
      <c r="J424" s="489">
        <f>LN((1+G424)/(1+H424))</f>
        <v>0.0215392994165044</v>
      </c>
      <c r="K424" s="489">
        <f>LN((1+I424)/(1+H424))</f>
        <v>0.0452249828994581</v>
      </c>
      <c r="L424" s="489">
        <f>(1+INDEX($AC$21:$AC$97,B424))*(1+INDEX($AC$21:$AC$97,C424))*(1+INDEX($AC$21:$AC$97,D424))*(1+INDEX($AC$21:$AC$97,E424))*(1+INDEX($AC$21:$AC$97,F424))-1</f>
        <v>0.777678744756368</v>
      </c>
      <c r="M424" s="489">
        <f>(1+INDEX($AD$21:$AD$97,B424))*(1+INDEX($AD$21:$AD$97,C424))*(1+INDEX($AD$21:$AD$97,D424))*(1+INDEX($AD$21:$AD$97,E424))*(1+INDEX($AD$21:$AD$97,F424))-1</f>
        <v>0.787331117141932</v>
      </c>
      <c r="N424" s="489">
        <f>(1+INDEX($AE$21:$AE$97,B424))*(1+INDEX($AE$21:$AE$97,C424))*(1+INDEX($AE$21:$AE$97,D424))*(1+INDEX($AE$21:$AE$97,E424))*(1+INDEX($AE$21:$AE$97,F424))-1</f>
        <v>0.777470761655842</v>
      </c>
      <c r="O424" s="489">
        <f>(1+INDEX($AF$21:$AF$97,B424))*(1+INDEX($AF$21:$AF$97,C424))*(1+INDEX($AF$21:$AF$97,D424))*(1+INDEX($AF$21:$AF$97,E424))*(1+INDEX($AF$21:$AF$97,F424))-1</f>
        <v>0.781153645891749</v>
      </c>
      <c r="P424" s="489">
        <f>LN((1+L424)/(1+H424))</f>
        <v>0.0398898875257563</v>
      </c>
      <c r="Q424" s="489">
        <f>LN((1+M424)/(1+H424))</f>
        <v>0.0453049614502982</v>
      </c>
      <c r="R424" s="489">
        <f>LN((1+N424)/(1+H424))</f>
        <v>0.0397728836695826</v>
      </c>
      <c r="S424" s="542">
        <f>LN((1+O424)/(1+H424))</f>
        <v>0.0418427202856375</v>
      </c>
    </row>
    <row r="425">
      <c r="A425" s="320" t="n">
        <v>324</v>
      </c>
      <c r="B425" s="174" t="n">
        <v>19</v>
      </c>
      <c r="C425" s="174" t="n">
        <v>15</v>
      </c>
      <c r="D425" s="174" t="n">
        <v>3</v>
      </c>
      <c r="E425" s="174" t="n">
        <v>75</v>
      </c>
      <c r="F425" s="174" t="n">
        <v>77</v>
      </c>
      <c r="G425" s="68">
        <f>(1+INDEX($Z$21:$Z$97,B425))*(1+INDEX($Z$21:$Z$97,C425))*(1+INDEX($Z$21:$Z$97,D425))*(1+INDEX($Z$21:$Z$97,E425))*(1+INDEX($Z$21:$Z$97,F425))-1</f>
        <v>0.320337402679266</v>
      </c>
      <c r="H425" s="68">
        <f>(1+INDEX($AA$21:$AA$97,B425))*(1+INDEX($AA$21:$AA$97,C425))*(1+INDEX($AA$21:$AA$97,D425))*(1+INDEX($AA$21:$AA$97,E425))*(1+INDEX($AA$21:$AA$97,F425))-1</f>
        <v>0.283053748052996</v>
      </c>
      <c r="I425" s="68">
        <f>(1+INDEX($AB$21:$AB$97,B425))*(1+INDEX($AB$21:$AB$97,C425))*(1+INDEX($AB$21:$AB$97,D425))*(1+INDEX($AB$21:$AB$97,E425))*(1+INDEX($AB$21:$AB$97,F425))-1</f>
        <v>0.307178753497267</v>
      </c>
      <c r="J425" s="489">
        <f>LN((1+G425)/(1+H425))</f>
        <v>0.0286443347895159</v>
      </c>
      <c r="K425" s="489">
        <f>LN((1+I425)/(1+H425))</f>
        <v>0.0186282143100147</v>
      </c>
      <c r="L425" s="489">
        <f>(1+INDEX($AC$21:$AC$97,B425))*(1+INDEX($AC$21:$AC$97,C425))*(1+INDEX($AC$21:$AC$97,D425))*(1+INDEX($AC$21:$AC$97,E425))*(1+INDEX($AC$21:$AC$97,F425))-1</f>
        <v>0.29381410680391</v>
      </c>
      <c r="M425" s="489">
        <f>(1+INDEX($AD$21:$AD$97,B425))*(1+INDEX($AD$21:$AD$97,C425))*(1+INDEX($AD$21:$AD$97,D425))*(1+INDEX($AD$21:$AD$97,E425))*(1+INDEX($AD$21:$AD$97,F425))-1</f>
        <v>0.300063257625818</v>
      </c>
      <c r="N425" s="489">
        <f>(1+INDEX($AE$21:$AE$97,B425))*(1+INDEX($AE$21:$AE$97,C425))*(1+INDEX($AE$21:$AE$97,D425))*(1+INDEX($AE$21:$AE$97,E425))*(1+INDEX($AE$21:$AE$97,F425))-1</f>
        <v>0.264379305360014</v>
      </c>
      <c r="O425" s="489">
        <f>(1+INDEX($AF$21:$AF$97,B425))*(1+INDEX($AF$21:$AF$97,C425))*(1+INDEX($AF$21:$AF$97,D425))*(1+INDEX($AF$21:$AF$97,E425))*(1+INDEX($AF$21:$AF$97,F425))-1</f>
        <v>0.304659585239679</v>
      </c>
      <c r="P425" s="489">
        <f>LN((1+L425)/(1+H425))</f>
        <v>0.00835155071977034</v>
      </c>
      <c r="Q425" s="489">
        <f>LN((1+M425)/(1+H425))</f>
        <v>0.0131699457588782</v>
      </c>
      <c r="R425" s="489">
        <f>LN((1+N425)/(1+H425))</f>
        <v>-0.0146616431738318</v>
      </c>
      <c r="S425" s="542">
        <f>LN((1+O425)/(1+H425))</f>
        <v>0.016699175286873</v>
      </c>
    </row>
    <row r="426">
      <c r="A426" s="320" t="n">
        <v>325</v>
      </c>
      <c r="B426" s="174" t="n">
        <v>73</v>
      </c>
      <c r="C426" s="174" t="n">
        <v>30</v>
      </c>
      <c r="D426" s="174" t="n">
        <v>58</v>
      </c>
      <c r="E426" s="174" t="n">
        <v>46</v>
      </c>
      <c r="F426" s="174" t="n">
        <v>64</v>
      </c>
      <c r="G426" s="68">
        <f>(1+INDEX($Z$21:$Z$97,B426))*(1+INDEX($Z$21:$Z$97,C426))*(1+INDEX($Z$21:$Z$97,D426))*(1+INDEX($Z$21:$Z$97,E426))*(1+INDEX($Z$21:$Z$97,F426))-1</f>
        <v>0.436339954369328</v>
      </c>
      <c r="H426" s="68">
        <f>(1+INDEX($AA$21:$AA$97,B426))*(1+INDEX($AA$21:$AA$97,C426))*(1+INDEX($AA$21:$AA$97,D426))*(1+INDEX($AA$21:$AA$97,E426))*(1+INDEX($AA$21:$AA$97,F426))-1</f>
        <v>0.415757482661237</v>
      </c>
      <c r="I426" s="68">
        <f>(1+INDEX($AB$21:$AB$97,B426))*(1+INDEX($AB$21:$AB$97,C426))*(1+INDEX($AB$21:$AB$97,D426))*(1+INDEX($AB$21:$AB$97,E426))*(1+INDEX($AB$21:$AB$97,F426))-1</f>
        <v>0.463773481456408</v>
      </c>
      <c r="J426" s="489">
        <f>LN((1+G426)/(1+H426))</f>
        <v>0.0144334683380097</v>
      </c>
      <c r="K426" s="489">
        <f>LN((1+I426)/(1+H426))</f>
        <v>0.0333529664904801</v>
      </c>
      <c r="L426" s="489">
        <f>(1+INDEX($AC$21:$AC$97,B426))*(1+INDEX($AC$21:$AC$97,C426))*(1+INDEX($AC$21:$AC$97,D426))*(1+INDEX($AC$21:$AC$97,E426))*(1+INDEX($AC$21:$AC$97,F426))-1</f>
        <v>0.479384088139335</v>
      </c>
      <c r="M426" s="489">
        <f>(1+INDEX($AD$21:$AD$97,B426))*(1+INDEX($AD$21:$AD$97,C426))*(1+INDEX($AD$21:$AD$97,D426))*(1+INDEX($AD$21:$AD$97,E426))*(1+INDEX($AD$21:$AD$97,F426))-1</f>
        <v>0.409618510830708</v>
      </c>
      <c r="N426" s="489">
        <f>(1+INDEX($AE$21:$AE$97,B426))*(1+INDEX($AE$21:$AE$97,C426))*(1+INDEX($AE$21:$AE$97,D426))*(1+INDEX($AE$21:$AE$97,E426))*(1+INDEX($AE$21:$AE$97,F426))-1</f>
        <v>0.467913045225376</v>
      </c>
      <c r="O426" s="489">
        <f>(1+INDEX($AF$21:$AF$97,B426))*(1+INDEX($AF$21:$AF$97,C426))*(1+INDEX($AF$21:$AF$97,D426))*(1+INDEX($AF$21:$AF$97,E426))*(1+INDEX($AF$21:$AF$97,F426))-1</f>
        <v>0.374986510432059</v>
      </c>
      <c r="P426" s="489">
        <f>LN((1+L426)/(1+H426))</f>
        <v>0.0439611331999676</v>
      </c>
      <c r="Q426" s="489">
        <f>LN((1+M426)/(1+H426))</f>
        <v>-0.00434560320856331</v>
      </c>
      <c r="R426" s="489">
        <f>LN((1+N426)/(1+H426))</f>
        <v>0.0361769836440214</v>
      </c>
      <c r="S426" s="542">
        <f>LN((1+O426)/(1+H426))</f>
        <v>-0.0292207908206854</v>
      </c>
    </row>
    <row r="427">
      <c r="A427" s="320" t="n">
        <v>326</v>
      </c>
      <c r="B427" s="174" t="n">
        <v>4</v>
      </c>
      <c r="C427" s="174" t="n">
        <v>57</v>
      </c>
      <c r="D427" s="174" t="n">
        <v>42</v>
      </c>
      <c r="E427" s="174" t="n">
        <v>4</v>
      </c>
      <c r="F427" s="174" t="n">
        <v>35</v>
      </c>
      <c r="G427" s="68">
        <f>(1+INDEX($Z$21:$Z$97,B427))*(1+INDEX($Z$21:$Z$97,C427))*(1+INDEX($Z$21:$Z$97,D427))*(1+INDEX($Z$21:$Z$97,E427))*(1+INDEX($Z$21:$Z$97,F427))-1</f>
        <v>0.573744065804742</v>
      </c>
      <c r="H427" s="68">
        <f>(1+INDEX($AA$21:$AA$97,B427))*(1+INDEX($AA$21:$AA$97,C427))*(1+INDEX($AA$21:$AA$97,D427))*(1+INDEX($AA$21:$AA$97,E427))*(1+INDEX($AA$21:$AA$97,F427))-1</f>
        <v>0.530839138014101</v>
      </c>
      <c r="I427" s="68">
        <f>(1+INDEX($AB$21:$AB$97,B427))*(1+INDEX($AB$21:$AB$97,C427))*(1+INDEX($AB$21:$AB$97,D427))*(1+INDEX($AB$21:$AB$97,E427))*(1+INDEX($AB$21:$AB$97,F427))-1</f>
        <v>0.550032506455627</v>
      </c>
      <c r="J427" s="489">
        <f>LN((1+G427)/(1+H427))</f>
        <v>0.027641494358073</v>
      </c>
      <c r="K427" s="489">
        <f>LN((1+I427)/(1+H427))</f>
        <v>0.0124598613425346</v>
      </c>
      <c r="L427" s="489">
        <f>(1+INDEX($AC$21:$AC$97,B427))*(1+INDEX($AC$21:$AC$97,C427))*(1+INDEX($AC$21:$AC$97,D427))*(1+INDEX($AC$21:$AC$97,E427))*(1+INDEX($AC$21:$AC$97,F427))-1</f>
        <v>0.571175994765959</v>
      </c>
      <c r="M427" s="489">
        <f>(1+INDEX($AD$21:$AD$97,B427))*(1+INDEX($AD$21:$AD$97,C427))*(1+INDEX($AD$21:$AD$97,D427))*(1+INDEX($AD$21:$AD$97,E427))*(1+INDEX($AD$21:$AD$97,F427))-1</f>
        <v>0.545387063809708</v>
      </c>
      <c r="N427" s="489">
        <f>(1+INDEX($AE$21:$AE$97,B427))*(1+INDEX($AE$21:$AE$97,C427))*(1+INDEX($AE$21:$AE$97,D427))*(1+INDEX($AE$21:$AE$97,E427))*(1+INDEX($AE$21:$AE$97,F427))-1</f>
        <v>0.54781397435102</v>
      </c>
      <c r="O427" s="489">
        <f>(1+INDEX($AF$21:$AF$97,B427))*(1+INDEX($AF$21:$AF$97,C427))*(1+INDEX($AF$21:$AF$97,D427))*(1+INDEX($AF$21:$AF$97,E427))*(1+INDEX($AF$21:$AF$97,F427))-1</f>
        <v>0.549289438506618</v>
      </c>
      <c r="P427" s="489">
        <f>LN((1+L427)/(1+H427))</f>
        <v>0.0260083389454597</v>
      </c>
      <c r="Q427" s="489">
        <f>LN((1+M427)/(1+H427))</f>
        <v>0.00945836443523179</v>
      </c>
      <c r="R427" s="489">
        <f>LN((1+N427)/(1+H427))</f>
        <v>0.0110275550629117</v>
      </c>
      <c r="S427" s="542">
        <f>LN((1+O427)/(1+H427))</f>
        <v>0.0119803577759858</v>
      </c>
    </row>
    <row r="428">
      <c r="A428" s="320" t="n">
        <v>327</v>
      </c>
      <c r="B428" s="174" t="n">
        <v>8</v>
      </c>
      <c r="C428" s="174" t="n">
        <v>70</v>
      </c>
      <c r="D428" s="174" t="n">
        <v>71</v>
      </c>
      <c r="E428" s="174" t="n">
        <v>62</v>
      </c>
      <c r="F428" s="174" t="n">
        <v>11</v>
      </c>
      <c r="G428" s="68">
        <f>(1+INDEX($Z$21:$Z$97,B428))*(1+INDEX($Z$21:$Z$97,C428))*(1+INDEX($Z$21:$Z$97,D428))*(1+INDEX($Z$21:$Z$97,E428))*(1+INDEX($Z$21:$Z$97,F428))-1</f>
        <v>-0.0385905714092233</v>
      </c>
      <c r="H428" s="68">
        <f>(1+INDEX($AA$21:$AA$97,B428))*(1+INDEX($AA$21:$AA$97,C428))*(1+INDEX($AA$21:$AA$97,D428))*(1+INDEX($AA$21:$AA$97,E428))*(1+INDEX($AA$21:$AA$97,F428))-1</f>
        <v>-0.0127293536059239</v>
      </c>
      <c r="I428" s="68">
        <f>(1+INDEX($AB$21:$AB$97,B428))*(1+INDEX($AB$21:$AB$97,C428))*(1+INDEX($AB$21:$AB$97,D428))*(1+INDEX($AB$21:$AB$97,E428))*(1+INDEX($AB$21:$AB$97,F428))-1</f>
        <v>-0.0504703322126809</v>
      </c>
      <c r="J428" s="489">
        <f>LN((1+G428)/(1+H428))</f>
        <v>-0.0265438504249527</v>
      </c>
      <c r="K428" s="489">
        <f>LN((1+I428)/(1+H428))</f>
        <v>-0.0389774375242441</v>
      </c>
      <c r="L428" s="489">
        <f>(1+INDEX($AC$21:$AC$97,B428))*(1+INDEX($AC$21:$AC$97,C428))*(1+INDEX($AC$21:$AC$97,D428))*(1+INDEX($AC$21:$AC$97,E428))*(1+INDEX($AC$21:$AC$97,F428))-1</f>
        <v>-0.0619673293496226</v>
      </c>
      <c r="M428" s="489">
        <f>(1+INDEX($AD$21:$AD$97,B428))*(1+INDEX($AD$21:$AD$97,C428))*(1+INDEX($AD$21:$AD$97,D428))*(1+INDEX($AD$21:$AD$97,E428))*(1+INDEX($AD$21:$AD$97,F428))-1</f>
        <v>-0.0417189025322902</v>
      </c>
      <c r="N428" s="489">
        <f>(1+INDEX($AE$21:$AE$97,B428))*(1+INDEX($AE$21:$AE$97,C428))*(1+INDEX($AE$21:$AE$97,D428))*(1+INDEX($AE$21:$AE$97,E428))*(1+INDEX($AE$21:$AE$97,F428))-1</f>
        <v>-0.0567378068768329</v>
      </c>
      <c r="O428" s="489">
        <f>(1+INDEX($AF$21:$AF$97,B428))*(1+INDEX($AF$21:$AF$97,C428))*(1+INDEX($AF$21:$AF$97,D428))*(1+INDEX($AF$21:$AF$97,E428))*(1+INDEX($AF$21:$AF$97,F428))-1</f>
        <v>0.00811195013011301</v>
      </c>
      <c r="P428" s="489">
        <f>LN((1+L428)/(1+H428))</f>
        <v>-0.0511594344660169</v>
      </c>
      <c r="Q428" s="489">
        <f>LN((1+M428)/(1+H428))</f>
        <v>-0.0298030568957949</v>
      </c>
      <c r="R428" s="489">
        <f>LN((1+N428)/(1+H428))</f>
        <v>-0.0455999275082918</v>
      </c>
      <c r="S428" s="542">
        <f>LN((1+O428)/(1+H428))</f>
        <v>0.0208902911180835</v>
      </c>
    </row>
    <row r="429">
      <c r="A429" s="320" t="n">
        <v>328</v>
      </c>
      <c r="B429" s="174" t="n">
        <v>36</v>
      </c>
      <c r="C429" s="174" t="n">
        <v>45</v>
      </c>
      <c r="D429" s="174" t="n">
        <v>46</v>
      </c>
      <c r="E429" s="174" t="n">
        <v>22</v>
      </c>
      <c r="F429" s="174" t="n">
        <v>38</v>
      </c>
      <c r="G429" s="68">
        <f>(1+INDEX($Z$21:$Z$97,B429))*(1+INDEX($Z$21:$Z$97,C429))*(1+INDEX($Z$21:$Z$97,D429))*(1+INDEX($Z$21:$Z$97,E429))*(1+INDEX($Z$21:$Z$97,F429))-1</f>
        <v>0.295973478272495</v>
      </c>
      <c r="H429" s="68">
        <f>(1+INDEX($AA$21:$AA$97,B429))*(1+INDEX($AA$21:$AA$97,C429))*(1+INDEX($AA$21:$AA$97,D429))*(1+INDEX($AA$21:$AA$97,E429))*(1+INDEX($AA$21:$AA$97,F429))-1</f>
        <v>0.287505618797034</v>
      </c>
      <c r="I429" s="68">
        <f>(1+INDEX($AB$21:$AB$97,B429))*(1+INDEX($AB$21:$AB$97,C429))*(1+INDEX($AB$21:$AB$97,D429))*(1+INDEX($AB$21:$AB$97,E429))*(1+INDEX($AB$21:$AB$97,F429))-1</f>
        <v>0.317999039160902</v>
      </c>
      <c r="J429" s="489">
        <f>LN((1+G429)/(1+H429))</f>
        <v>0.00655541576433908</v>
      </c>
      <c r="K429" s="489">
        <f>LN((1+I429)/(1+H429))</f>
        <v>0.023407989406644</v>
      </c>
      <c r="L429" s="489">
        <f>(1+INDEX($AC$21:$AC$97,B429))*(1+INDEX($AC$21:$AC$97,C429))*(1+INDEX($AC$21:$AC$97,D429))*(1+INDEX($AC$21:$AC$97,E429))*(1+INDEX($AC$21:$AC$97,F429))-1</f>
        <v>0.293490597508832</v>
      </c>
      <c r="M429" s="489">
        <f>(1+INDEX($AD$21:$AD$97,B429))*(1+INDEX($AD$21:$AD$97,C429))*(1+INDEX($AD$21:$AD$97,D429))*(1+INDEX($AD$21:$AD$97,E429))*(1+INDEX($AD$21:$AD$97,F429))-1</f>
        <v>0.320907254745057</v>
      </c>
      <c r="N429" s="489">
        <f>(1+INDEX($AE$21:$AE$97,B429))*(1+INDEX($AE$21:$AE$97,C429))*(1+INDEX($AE$21:$AE$97,D429))*(1+INDEX($AE$21:$AE$97,E429))*(1+INDEX($AE$21:$AE$97,F429))-1</f>
        <v>0.289861740349783</v>
      </c>
      <c r="O429" s="489">
        <f>(1+INDEX($AF$21:$AF$97,B429))*(1+INDEX($AF$21:$AF$97,C429))*(1+INDEX($AF$21:$AF$97,D429))*(1+INDEX($AF$21:$AF$97,E429))*(1+INDEX($AF$21:$AF$97,F429))-1</f>
        <v>0.285260501321698</v>
      </c>
      <c r="P429" s="489">
        <f>LN((1+L429)/(1+H429))</f>
        <v>0.00463773592642714</v>
      </c>
      <c r="Q429" s="489">
        <f>LN((1+M429)/(1+H429))</f>
        <v>0.0256120970464154</v>
      </c>
      <c r="R429" s="489">
        <f>LN((1+N429)/(1+H429))</f>
        <v>0.00182831694574908</v>
      </c>
      <c r="S429" s="542">
        <f>LN((1+O429)/(1+H429))</f>
        <v>-0.00174529509517088</v>
      </c>
    </row>
    <row r="430">
      <c r="A430" s="320" t="n">
        <v>329</v>
      </c>
      <c r="B430" s="174" t="n">
        <v>32</v>
      </c>
      <c r="C430" s="174" t="n">
        <v>60</v>
      </c>
      <c r="D430" s="174" t="n">
        <v>20</v>
      </c>
      <c r="E430" s="174" t="n">
        <v>37</v>
      </c>
      <c r="F430" s="174" t="n">
        <v>52</v>
      </c>
      <c r="G430" s="68">
        <f>(1+INDEX($Z$21:$Z$97,B430))*(1+INDEX($Z$21:$Z$97,C430))*(1+INDEX($Z$21:$Z$97,D430))*(1+INDEX($Z$21:$Z$97,E430))*(1+INDEX($Z$21:$Z$97,F430))-1</f>
        <v>0.463237483552595</v>
      </c>
      <c r="H430" s="68">
        <f>(1+INDEX($AA$21:$AA$97,B430))*(1+INDEX($AA$21:$AA$97,C430))*(1+INDEX($AA$21:$AA$97,D430))*(1+INDEX($AA$21:$AA$97,E430))*(1+INDEX($AA$21:$AA$97,F430))-1</f>
        <v>0.466524454313079</v>
      </c>
      <c r="I430" s="68">
        <f>(1+INDEX($AB$21:$AB$97,B430))*(1+INDEX($AB$21:$AB$97,C430))*(1+INDEX($AB$21:$AB$97,D430))*(1+INDEX($AB$21:$AB$97,E430))*(1+INDEX($AB$21:$AB$97,F430))-1</f>
        <v>0.476747206540413</v>
      </c>
      <c r="J430" s="489">
        <f>LN((1+G430)/(1+H430))</f>
        <v>-0.00224384930196617</v>
      </c>
      <c r="K430" s="489">
        <f>LN((1+I430)/(1+H430))</f>
        <v>0.0069465509902769</v>
      </c>
      <c r="L430" s="489">
        <f>(1+INDEX($AC$21:$AC$97,B430))*(1+INDEX($AC$21:$AC$97,C430))*(1+INDEX($AC$21:$AC$97,D430))*(1+INDEX($AC$21:$AC$97,E430))*(1+INDEX($AC$21:$AC$97,F430))-1</f>
        <v>0.483915702963912</v>
      </c>
      <c r="M430" s="489">
        <f>(1+INDEX($AD$21:$AD$97,B430))*(1+INDEX($AD$21:$AD$97,C430))*(1+INDEX($AD$21:$AD$97,D430))*(1+INDEX($AD$21:$AD$97,E430))*(1+INDEX($AD$21:$AD$97,F430))-1</f>
        <v>0.472797370146068</v>
      </c>
      <c r="N430" s="489">
        <f>(1+INDEX($AE$21:$AE$97,B430))*(1+INDEX($AE$21:$AE$97,C430))*(1+INDEX($AE$21:$AE$97,D430))*(1+INDEX($AE$21:$AE$97,E430))*(1+INDEX($AE$21:$AE$97,F430))-1</f>
        <v>0.501255698196329</v>
      </c>
      <c r="O430" s="489">
        <f>(1+INDEX($AF$21:$AF$97,B430))*(1+INDEX($AF$21:$AF$97,C430))*(1+INDEX($AF$21:$AF$97,D430))*(1+INDEX($AF$21:$AF$97,E430))*(1+INDEX($AF$21:$AF$97,F430))-1</f>
        <v>0.415274013519335</v>
      </c>
      <c r="P430" s="489">
        <f>LN((1+L430)/(1+H430))</f>
        <v>0.0117890546125724</v>
      </c>
      <c r="Q430" s="489">
        <f>LN((1+M430)/(1+H430))</f>
        <v>0.00426828073349018</v>
      </c>
      <c r="R430" s="489">
        <f>LN((1+N430)/(1+H430))</f>
        <v>0.0234066054528389</v>
      </c>
      <c r="S430" s="542">
        <f>LN((1+O430)/(1+H430))</f>
        <v>-0.0355721231086379</v>
      </c>
    </row>
    <row r="431">
      <c r="A431" s="320" t="n">
        <v>330</v>
      </c>
      <c r="B431" s="174" t="n">
        <v>37</v>
      </c>
      <c r="C431" s="174" t="n">
        <v>45</v>
      </c>
      <c r="D431" s="174" t="n">
        <v>75</v>
      </c>
      <c r="E431" s="174" t="n">
        <v>69</v>
      </c>
      <c r="F431" s="174" t="n">
        <v>77</v>
      </c>
      <c r="G431" s="68">
        <f>(1+INDEX($Z$21:$Z$97,B431))*(1+INDEX($Z$21:$Z$97,C431))*(1+INDEX($Z$21:$Z$97,D431))*(1+INDEX($Z$21:$Z$97,E431))*(1+INDEX($Z$21:$Z$97,F431))-1</f>
        <v>0.322438856774999</v>
      </c>
      <c r="H431" s="68">
        <f>(1+INDEX($AA$21:$AA$97,B431))*(1+INDEX($AA$21:$AA$97,C431))*(1+INDEX($AA$21:$AA$97,D431))*(1+INDEX($AA$21:$AA$97,E431))*(1+INDEX($AA$21:$AA$97,F431))-1</f>
        <v>0.345068349322005</v>
      </c>
      <c r="I431" s="68">
        <f>(1+INDEX($AB$21:$AB$97,B431))*(1+INDEX($AB$21:$AB$97,C431))*(1+INDEX($AB$21:$AB$97,D431))*(1+INDEX($AB$21:$AB$97,E431))*(1+INDEX($AB$21:$AB$97,F431))-1</f>
        <v>0.384119937774914</v>
      </c>
      <c r="J431" s="489">
        <f>LN((1+G431)/(1+H431))</f>
        <v>-0.0169671784832721</v>
      </c>
      <c r="K431" s="489">
        <f>LN((1+I431)/(1+H431))</f>
        <v>0.02861968458026</v>
      </c>
      <c r="L431" s="489">
        <f>(1+INDEX($AC$21:$AC$97,B431))*(1+INDEX($AC$21:$AC$97,C431))*(1+INDEX($AC$21:$AC$97,D431))*(1+INDEX($AC$21:$AC$97,E431))*(1+INDEX($AC$21:$AC$97,F431))-1</f>
        <v>0.379461735429829</v>
      </c>
      <c r="M431" s="489">
        <f>(1+INDEX($AD$21:$AD$97,B431))*(1+INDEX($AD$21:$AD$97,C431))*(1+INDEX($AD$21:$AD$97,D431))*(1+INDEX($AD$21:$AD$97,E431))*(1+INDEX($AD$21:$AD$97,F431))-1</f>
        <v>0.368461663918964</v>
      </c>
      <c r="N431" s="489">
        <f>(1+INDEX($AE$21:$AE$97,B431))*(1+INDEX($AE$21:$AE$97,C431))*(1+INDEX($AE$21:$AE$97,D431))*(1+INDEX($AE$21:$AE$97,E431))*(1+INDEX($AE$21:$AE$97,F431))-1</f>
        <v>0.362144066482606</v>
      </c>
      <c r="O431" s="489">
        <f>(1+INDEX($AF$21:$AF$97,B431))*(1+INDEX($AF$21:$AF$97,C431))*(1+INDEX($AF$21:$AF$97,D431))*(1+INDEX($AF$21:$AF$97,E431))*(1+INDEX($AF$21:$AF$97,F431))-1</f>
        <v>0.34334991718664</v>
      </c>
      <c r="P431" s="489">
        <f>LN((1+L431)/(1+H431))</f>
        <v>0.0252485471886733</v>
      </c>
      <c r="Q431" s="489">
        <f>LN((1+M431)/(1+H431))</f>
        <v>0.0172424067914914</v>
      </c>
      <c r="R431" s="489">
        <f>LN((1+N431)/(1+H431))</f>
        <v>0.0126151487157741</v>
      </c>
      <c r="S431" s="542">
        <f>LN((1+O431)/(1+H431))</f>
        <v>-0.00127839658791832</v>
      </c>
    </row>
    <row r="432">
      <c r="A432" s="320" t="n">
        <v>331</v>
      </c>
      <c r="B432" s="174" t="n">
        <v>52</v>
      </c>
      <c r="C432" s="174" t="n">
        <v>2</v>
      </c>
      <c r="D432" s="174" t="n">
        <v>35</v>
      </c>
      <c r="E432" s="174" t="n">
        <v>16</v>
      </c>
      <c r="F432" s="174" t="n">
        <v>32</v>
      </c>
      <c r="G432" s="68">
        <f>(1+INDEX($Z$21:$Z$97,B432))*(1+INDEX($Z$21:$Z$97,C432))*(1+INDEX($Z$21:$Z$97,D432))*(1+INDEX($Z$21:$Z$97,E432))*(1+INDEX($Z$21:$Z$97,F432))-1</f>
        <v>0.735986368045706</v>
      </c>
      <c r="H432" s="68">
        <f>(1+INDEX($AA$21:$AA$97,B432))*(1+INDEX($AA$21:$AA$97,C432))*(1+INDEX($AA$21:$AA$97,D432))*(1+INDEX($AA$21:$AA$97,E432))*(1+INDEX($AA$21:$AA$97,F432))-1</f>
        <v>0.654348524671365</v>
      </c>
      <c r="I432" s="68">
        <f>(1+INDEX($AB$21:$AB$97,B432))*(1+INDEX($AB$21:$AB$97,C432))*(1+INDEX($AB$21:$AB$97,D432))*(1+INDEX($AB$21:$AB$97,E432))*(1+INDEX($AB$21:$AB$97,F432))-1</f>
        <v>0.717664038815924</v>
      </c>
      <c r="J432" s="489">
        <f>LN((1+G432)/(1+H432))</f>
        <v>0.048168473048853</v>
      </c>
      <c r="K432" s="489">
        <f>LN((1+I432)/(1+H432))</f>
        <v>0.037557960130928</v>
      </c>
      <c r="L432" s="489">
        <f>(1+INDEX($AC$21:$AC$97,B432))*(1+INDEX($AC$21:$AC$97,C432))*(1+INDEX($AC$21:$AC$97,D432))*(1+INDEX($AC$21:$AC$97,E432))*(1+INDEX($AC$21:$AC$97,F432))-1</f>
        <v>0.699855833027597</v>
      </c>
      <c r="M432" s="489">
        <f>(1+INDEX($AD$21:$AD$97,B432))*(1+INDEX($AD$21:$AD$97,C432))*(1+INDEX($AD$21:$AD$97,D432))*(1+INDEX($AD$21:$AD$97,E432))*(1+INDEX($AD$21:$AD$97,F432))-1</f>
        <v>0.743696582803961</v>
      </c>
      <c r="N432" s="489">
        <f>(1+INDEX($AE$21:$AE$97,B432))*(1+INDEX($AE$21:$AE$97,C432))*(1+INDEX($AE$21:$AE$97,D432))*(1+INDEX($AE$21:$AE$97,E432))*(1+INDEX($AE$21:$AE$97,F432))-1</f>
        <v>0.702736338622339</v>
      </c>
      <c r="O432" s="489">
        <f>(1+INDEX($AF$21:$AF$97,B432))*(1+INDEX($AF$21:$AF$97,C432))*(1+INDEX($AF$21:$AF$97,D432))*(1+INDEX($AF$21:$AF$97,E432))*(1+INDEX($AF$21:$AF$97,F432))-1</f>
        <v>0.649834120561969</v>
      </c>
      <c r="P432" s="489">
        <f>LN((1+L432)/(1+H432))</f>
        <v>0.0271361527144455</v>
      </c>
      <c r="Q432" s="489">
        <f>LN((1+M432)/(1+H432))</f>
        <v>0.052600041950641</v>
      </c>
      <c r="R432" s="489">
        <f>LN((1+N432)/(1+H432))</f>
        <v>0.0288292773309446</v>
      </c>
      <c r="S432" s="542">
        <f>LN((1+O432)/(1+H432))</f>
        <v>-0.00273254078427707</v>
      </c>
    </row>
    <row r="433">
      <c r="A433" s="320" t="n">
        <v>332</v>
      </c>
      <c r="B433" s="174" t="n">
        <v>67</v>
      </c>
      <c r="C433" s="174" t="n">
        <v>30</v>
      </c>
      <c r="D433" s="174" t="n">
        <v>58</v>
      </c>
      <c r="E433" s="174" t="n">
        <v>72</v>
      </c>
      <c r="F433" s="174" t="n">
        <v>51</v>
      </c>
      <c r="G433" s="68">
        <f>(1+INDEX($Z$21:$Z$97,B433))*(1+INDEX($Z$21:$Z$97,C433))*(1+INDEX($Z$21:$Z$97,D433))*(1+INDEX($Z$21:$Z$97,E433))*(1+INDEX($Z$21:$Z$97,F433))-1</f>
        <v>0.870861184114507</v>
      </c>
      <c r="H433" s="68">
        <f>(1+INDEX($AA$21:$AA$97,B433))*(1+INDEX($AA$21:$AA$97,C433))*(1+INDEX($AA$21:$AA$97,D433))*(1+INDEX($AA$21:$AA$97,E433))*(1+INDEX($AA$21:$AA$97,F433))-1</f>
        <v>0.852002579207005</v>
      </c>
      <c r="I433" s="68">
        <f>(1+INDEX($AB$21:$AB$97,B433))*(1+INDEX($AB$21:$AB$97,C433))*(1+INDEX($AB$21:$AB$97,D433))*(1+INDEX($AB$21:$AB$97,E433))*(1+INDEX($AB$21:$AB$97,F433))-1</f>
        <v>0.911662269045757</v>
      </c>
      <c r="J433" s="489">
        <f>LN((1+G433)/(1+H433))</f>
        <v>0.0101313222378751</v>
      </c>
      <c r="K433" s="489">
        <f>LN((1+I433)/(1+H433))</f>
        <v>0.0317056326152065</v>
      </c>
      <c r="L433" s="489">
        <f>(1+INDEX($AC$21:$AC$97,B433))*(1+INDEX($AC$21:$AC$97,C433))*(1+INDEX($AC$21:$AC$97,D433))*(1+INDEX($AC$21:$AC$97,E433))*(1+INDEX($AC$21:$AC$97,F433))-1</f>
        <v>0.945398682748308</v>
      </c>
      <c r="M433" s="489">
        <f>(1+INDEX($AD$21:$AD$97,B433))*(1+INDEX($AD$21:$AD$97,C433))*(1+INDEX($AD$21:$AD$97,D433))*(1+INDEX($AD$21:$AD$97,E433))*(1+INDEX($AD$21:$AD$97,F433))-1</f>
        <v>0.874513070389447</v>
      </c>
      <c r="N433" s="489">
        <f>(1+INDEX($AE$21:$AE$97,B433))*(1+INDEX($AE$21:$AE$97,C433))*(1+INDEX($AE$21:$AE$97,D433))*(1+INDEX($AE$21:$AE$97,E433))*(1+INDEX($AE$21:$AE$97,F433))-1</f>
        <v>0.95451314404104</v>
      </c>
      <c r="O433" s="489">
        <f>(1+INDEX($AF$21:$AF$97,B433))*(1+INDEX($AF$21:$AF$97,C433))*(1+INDEX($AF$21:$AF$97,D433))*(1+INDEX($AF$21:$AF$97,E433))*(1+INDEX($AF$21:$AF$97,F433))-1</f>
        <v>0.815757589272453</v>
      </c>
      <c r="P433" s="489">
        <f>LN((1+L433)/(1+H433))</f>
        <v>0.04919940545861</v>
      </c>
      <c r="Q433" s="489">
        <f>LN((1+M433)/(1+H433))</f>
        <v>0.0120814010199</v>
      </c>
      <c r="R433" s="489">
        <f>LN((1+N433)/(1+H433))</f>
        <v>0.0538736023594736</v>
      </c>
      <c r="S433" s="542">
        <f>LN((1+O433)/(1+H433))</f>
        <v>-0.0197647436977977</v>
      </c>
    </row>
    <row r="434">
      <c r="A434" s="320" t="n">
        <v>333</v>
      </c>
      <c r="B434" s="174" t="n">
        <v>52</v>
      </c>
      <c r="C434" s="174" t="n">
        <v>73</v>
      </c>
      <c r="D434" s="174" t="n">
        <v>52</v>
      </c>
      <c r="E434" s="174" t="n">
        <v>25</v>
      </c>
      <c r="F434" s="174" t="n">
        <v>21</v>
      </c>
      <c r="G434" s="68">
        <f>(1+INDEX($Z$21:$Z$97,B434))*(1+INDEX($Z$21:$Z$97,C434))*(1+INDEX($Z$21:$Z$97,D434))*(1+INDEX($Z$21:$Z$97,E434))*(1+INDEX($Z$21:$Z$97,F434))-1</f>
        <v>0.712233881261365</v>
      </c>
      <c r="H434" s="68">
        <f>(1+INDEX($AA$21:$AA$97,B434))*(1+INDEX($AA$21:$AA$97,C434))*(1+INDEX($AA$21:$AA$97,D434))*(1+INDEX($AA$21:$AA$97,E434))*(1+INDEX($AA$21:$AA$97,F434))-1</f>
        <v>0.646021489226122</v>
      </c>
      <c r="I434" s="68">
        <f>(1+INDEX($AB$21:$AB$97,B434))*(1+INDEX($AB$21:$AB$97,C434))*(1+INDEX($AB$21:$AB$97,D434))*(1+INDEX($AB$21:$AB$97,E434))*(1+INDEX($AB$21:$AB$97,F434))-1</f>
        <v>0.730148036348352</v>
      </c>
      <c r="J434" s="489">
        <f>LN((1+G434)/(1+H434))</f>
        <v>0.0394377236825966</v>
      </c>
      <c r="K434" s="489">
        <f>LN((1+I434)/(1+H434))</f>
        <v>0.0498458173997532</v>
      </c>
      <c r="L434" s="489">
        <f>(1+INDEX($AC$21:$AC$97,B434))*(1+INDEX($AC$21:$AC$97,C434))*(1+INDEX($AC$21:$AC$97,D434))*(1+INDEX($AC$21:$AC$97,E434))*(1+INDEX($AC$21:$AC$97,F434))-1</f>
        <v>0.714223633987375</v>
      </c>
      <c r="M434" s="489">
        <f>(1+INDEX($AD$21:$AD$97,B434))*(1+INDEX($AD$21:$AD$97,C434))*(1+INDEX($AD$21:$AD$97,D434))*(1+INDEX($AD$21:$AD$97,E434))*(1+INDEX($AD$21:$AD$97,F434))-1</f>
        <v>0.720037463746689</v>
      </c>
      <c r="N434" s="489">
        <f>(1+INDEX($AE$21:$AE$97,B434))*(1+INDEX($AE$21:$AE$97,C434))*(1+INDEX($AE$21:$AE$97,D434))*(1+INDEX($AE$21:$AE$97,E434))*(1+INDEX($AE$21:$AE$97,F434))-1</f>
        <v>0.692056523253689</v>
      </c>
      <c r="O434" s="489">
        <f>(1+INDEX($AF$21:$AF$97,B434))*(1+INDEX($AF$21:$AF$97,C434))*(1+INDEX($AF$21:$AF$97,D434))*(1+INDEX($AF$21:$AF$97,E434))*(1+INDEX($AF$21:$AF$97,F434))-1</f>
        <v>0.674978234337495</v>
      </c>
      <c r="P434" s="489">
        <f>LN((1+L434)/(1+H434))</f>
        <v>0.0405991289770231</v>
      </c>
      <c r="Q434" s="489">
        <f>LN((1+M434)/(1+H434))</f>
        <v>0.0439849142436544</v>
      </c>
      <c r="R434" s="489">
        <f>LN((1+N434)/(1+H434))</f>
        <v>0.0275835092117863</v>
      </c>
      <c r="S434" s="542">
        <f>LN((1+O434)/(1+H434))</f>
        <v>0.0174390131746512</v>
      </c>
    </row>
    <row r="435">
      <c r="A435" s="320" t="n">
        <v>334</v>
      </c>
      <c r="B435" s="174" t="n">
        <v>16</v>
      </c>
      <c r="C435" s="174" t="n">
        <v>52</v>
      </c>
      <c r="D435" s="174" t="n">
        <v>3</v>
      </c>
      <c r="E435" s="174" t="n">
        <v>57</v>
      </c>
      <c r="F435" s="174" t="n">
        <v>53</v>
      </c>
      <c r="G435" s="68">
        <f>(1+INDEX($Z$21:$Z$97,B435))*(1+INDEX($Z$21:$Z$97,C435))*(1+INDEX($Z$21:$Z$97,D435))*(1+INDEX($Z$21:$Z$97,E435))*(1+INDEX($Z$21:$Z$97,F435))-1</f>
        <v>0.599590588076866</v>
      </c>
      <c r="H435" s="68">
        <f>(1+INDEX($AA$21:$AA$97,B435))*(1+INDEX($AA$21:$AA$97,C435))*(1+INDEX($AA$21:$AA$97,D435))*(1+INDEX($AA$21:$AA$97,E435))*(1+INDEX($AA$21:$AA$97,F435))-1</f>
        <v>0.524256758071785</v>
      </c>
      <c r="I435" s="68">
        <f>(1+INDEX($AB$21:$AB$97,B435))*(1+INDEX($AB$21:$AB$97,C435))*(1+INDEX($AB$21:$AB$97,D435))*(1+INDEX($AB$21:$AB$97,E435))*(1+INDEX($AB$21:$AB$97,F435))-1</f>
        <v>0.549674224303399</v>
      </c>
      <c r="J435" s="489">
        <f>LN((1+G435)/(1+H435))</f>
        <v>0.0482407945513248</v>
      </c>
      <c r="K435" s="489">
        <f>LN((1+I435)/(1+H435))</f>
        <v>0.0165378114729654</v>
      </c>
      <c r="L435" s="489">
        <f>(1+INDEX($AC$21:$AC$97,B435))*(1+INDEX($AC$21:$AC$97,C435))*(1+INDEX($AC$21:$AC$97,D435))*(1+INDEX($AC$21:$AC$97,E435))*(1+INDEX($AC$21:$AC$97,F435))-1</f>
        <v>0.552681078720766</v>
      </c>
      <c r="M435" s="489">
        <f>(1+INDEX($AD$21:$AD$97,B435))*(1+INDEX($AD$21:$AD$97,C435))*(1+INDEX($AD$21:$AD$97,D435))*(1+INDEX($AD$21:$AD$97,E435))*(1+INDEX($AD$21:$AD$97,F435))-1</f>
        <v>0.556532350567761</v>
      </c>
      <c r="N435" s="489">
        <f>(1+INDEX($AE$21:$AE$97,B435))*(1+INDEX($AE$21:$AE$97,C435))*(1+INDEX($AE$21:$AE$97,D435))*(1+INDEX($AE$21:$AE$97,E435))*(1+INDEX($AE$21:$AE$97,F435))-1</f>
        <v>0.539549979438914</v>
      </c>
      <c r="O435" s="489">
        <f>(1+INDEX($AF$21:$AF$97,B435))*(1+INDEX($AF$21:$AF$97,C435))*(1+INDEX($AF$21:$AF$97,D435))*(1+INDEX($AF$21:$AF$97,E435))*(1+INDEX($AF$21:$AF$97,F435))-1</f>
        <v>0.568592272815023</v>
      </c>
      <c r="P435" s="489">
        <f>LN((1+L435)/(1+H435))</f>
        <v>0.018476245382172</v>
      </c>
      <c r="Q435" s="489">
        <f>LN((1+M435)/(1+H435))</f>
        <v>0.0209535753591835</v>
      </c>
      <c r="R435" s="489">
        <f>LN((1+N435)/(1+H435))</f>
        <v>0.00998323307810599</v>
      </c>
      <c r="S435" s="542">
        <f>LN((1+O435)/(1+H435))</f>
        <v>0.0286716561187135</v>
      </c>
    </row>
    <row r="436">
      <c r="A436" s="320" t="n">
        <v>335</v>
      </c>
      <c r="B436" s="174" t="n">
        <v>63</v>
      </c>
      <c r="C436" s="174" t="n">
        <v>15</v>
      </c>
      <c r="D436" s="174" t="n">
        <v>2</v>
      </c>
      <c r="E436" s="174" t="n">
        <v>57</v>
      </c>
      <c r="F436" s="174" t="n">
        <v>16</v>
      </c>
      <c r="G436" s="68">
        <f>(1+INDEX($Z$21:$Z$97,B436))*(1+INDEX($Z$21:$Z$97,C436))*(1+INDEX($Z$21:$Z$97,D436))*(1+INDEX($Z$21:$Z$97,E436))*(1+INDEX($Z$21:$Z$97,F436))-1</f>
        <v>0.350919123179461</v>
      </c>
      <c r="H436" s="68">
        <f>(1+INDEX($AA$21:$AA$97,B436))*(1+INDEX($AA$21:$AA$97,C436))*(1+INDEX($AA$21:$AA$97,D436))*(1+INDEX($AA$21:$AA$97,E436))*(1+INDEX($AA$21:$AA$97,F436))-1</f>
        <v>0.258033976898781</v>
      </c>
      <c r="I436" s="68">
        <f>(1+INDEX($AB$21:$AB$97,B436))*(1+INDEX($AB$21:$AB$97,C436))*(1+INDEX($AB$21:$AB$97,D436))*(1+INDEX($AB$21:$AB$97,E436))*(1+INDEX($AB$21:$AB$97,F436))-1</f>
        <v>0.287517538437654</v>
      </c>
      <c r="J436" s="489">
        <f>LN((1+G436)/(1+H436))</f>
        <v>0.0712350261970715</v>
      </c>
      <c r="K436" s="489">
        <f>LN((1+I436)/(1+H436))</f>
        <v>0.0231658089733732</v>
      </c>
      <c r="L436" s="489">
        <f>(1+INDEX($AC$21:$AC$97,B436))*(1+INDEX($AC$21:$AC$97,C436))*(1+INDEX($AC$21:$AC$97,D436))*(1+INDEX($AC$21:$AC$97,E436))*(1+INDEX($AC$21:$AC$97,F436))-1</f>
        <v>0.28082748104395</v>
      </c>
      <c r="M436" s="489">
        <f>(1+INDEX($AD$21:$AD$97,B436))*(1+INDEX($AD$21:$AD$97,C436))*(1+INDEX($AD$21:$AD$97,D436))*(1+INDEX($AD$21:$AD$97,E436))*(1+INDEX($AD$21:$AD$97,F436))-1</f>
        <v>0.275189785125861</v>
      </c>
      <c r="N436" s="489">
        <f>(1+INDEX($AE$21:$AE$97,B436))*(1+INDEX($AE$21:$AE$97,C436))*(1+INDEX($AE$21:$AE$97,D436))*(1+INDEX($AE$21:$AE$97,E436))*(1+INDEX($AE$21:$AE$97,F436))-1</f>
        <v>0.269545753618232</v>
      </c>
      <c r="O436" s="489">
        <f>(1+INDEX($AF$21:$AF$97,B436))*(1+INDEX($AF$21:$AF$97,C436))*(1+INDEX($AF$21:$AF$97,D436))*(1+INDEX($AF$21:$AF$97,E436))*(1+INDEX($AF$21:$AF$97,F436))-1</f>
        <v>0.268913221308865</v>
      </c>
      <c r="P436" s="489">
        <f>LN((1+L436)/(1+H436))</f>
        <v>0.0179561720485774</v>
      </c>
      <c r="Q436" s="489">
        <f>LN((1+M436)/(1+H436))</f>
        <v>0.0135448520351747</v>
      </c>
      <c r="R436" s="489">
        <f>LN((1+N436)/(1+H436))</f>
        <v>0.00910899559633352</v>
      </c>
      <c r="S436" s="542">
        <f>LN((1+O436)/(1+H436))</f>
        <v>0.00861063629353855</v>
      </c>
    </row>
    <row r="437">
      <c r="A437" s="320" t="n">
        <v>336</v>
      </c>
      <c r="B437" s="174" t="n">
        <v>68</v>
      </c>
      <c r="C437" s="174" t="n">
        <v>48</v>
      </c>
      <c r="D437" s="174" t="n">
        <v>70</v>
      </c>
      <c r="E437" s="174" t="n">
        <v>6</v>
      </c>
      <c r="F437" s="174" t="n">
        <v>8</v>
      </c>
      <c r="G437" s="68">
        <f>(1+INDEX($Z$21:$Z$97,B437))*(1+INDEX($Z$21:$Z$97,C437))*(1+INDEX($Z$21:$Z$97,D437))*(1+INDEX($Z$21:$Z$97,E437))*(1+INDEX($Z$21:$Z$97,F437))-1</f>
        <v>-0.122171492944931</v>
      </c>
      <c r="H437" s="68">
        <f>(1+INDEX($AA$21:$AA$97,B437))*(1+INDEX($AA$21:$AA$97,C437))*(1+INDEX($AA$21:$AA$97,D437))*(1+INDEX($AA$21:$AA$97,E437))*(1+INDEX($AA$21:$AA$97,F437))-1</f>
        <v>-0.0685790039415322</v>
      </c>
      <c r="I437" s="68">
        <f>(1+INDEX($AB$21:$AB$97,B437))*(1+INDEX($AB$21:$AB$97,C437))*(1+INDEX($AB$21:$AB$97,D437))*(1+INDEX($AB$21:$AB$97,E437))*(1+INDEX($AB$21:$AB$97,F437))-1</f>
        <v>-0.106785317857213</v>
      </c>
      <c r="J437" s="489">
        <f>LN((1+G437)/(1+H437))</f>
        <v>-0.0592601204697514</v>
      </c>
      <c r="K437" s="489">
        <f>LN((1+I437)/(1+H437))</f>
        <v>-0.0418844152474952</v>
      </c>
      <c r="L437" s="489">
        <f>(1+INDEX($AC$21:$AC$97,B437))*(1+INDEX($AC$21:$AC$97,C437))*(1+INDEX($AC$21:$AC$97,D437))*(1+INDEX($AC$21:$AC$97,E437))*(1+INDEX($AC$21:$AC$97,F437))-1</f>
        <v>-0.12637301283107</v>
      </c>
      <c r="M437" s="489">
        <f>(1+INDEX($AD$21:$AD$97,B437))*(1+INDEX($AD$21:$AD$97,C437))*(1+INDEX($AD$21:$AD$97,D437))*(1+INDEX($AD$21:$AD$97,E437))*(1+INDEX($AD$21:$AD$97,F437))-1</f>
        <v>-0.10884248496238</v>
      </c>
      <c r="N437" s="489">
        <f>(1+INDEX($AE$21:$AE$97,B437))*(1+INDEX($AE$21:$AE$97,C437))*(1+INDEX($AE$21:$AE$97,D437))*(1+INDEX($AE$21:$AE$97,E437))*(1+INDEX($AE$21:$AE$97,F437))-1</f>
        <v>-0.12612808048956</v>
      </c>
      <c r="O437" s="489">
        <f>(1+INDEX($AF$21:$AF$97,B437))*(1+INDEX($AF$21:$AF$97,C437))*(1+INDEX($AF$21:$AF$97,D437))*(1+INDEX($AF$21:$AF$97,E437))*(1+INDEX($AF$21:$AF$97,F437))-1</f>
        <v>-0.0515001175127303</v>
      </c>
      <c r="P437" s="489">
        <f>LN((1+L437)/(1+H437))</f>
        <v>-0.064057876346928</v>
      </c>
      <c r="Q437" s="489">
        <f>LN((1+M437)/(1+H437))</f>
        <v>-0.044190176365981</v>
      </c>
      <c r="R437" s="489">
        <f>LN((1+N437)/(1+H437))</f>
        <v>-0.0637775530320716</v>
      </c>
      <c r="S437" s="542">
        <f>LN((1+O437)/(1+H437))</f>
        <v>0.0181702927155799</v>
      </c>
    </row>
    <row r="438">
      <c r="A438" s="320" t="n">
        <v>337</v>
      </c>
      <c r="B438" s="174" t="n">
        <v>7</v>
      </c>
      <c r="C438" s="174" t="n">
        <v>21</v>
      </c>
      <c r="D438" s="174" t="n">
        <v>14</v>
      </c>
      <c r="E438" s="174" t="n">
        <v>20</v>
      </c>
      <c r="F438" s="174" t="n">
        <v>61</v>
      </c>
      <c r="G438" s="68">
        <f>(1+INDEX($Z$21:$Z$97,B438))*(1+INDEX($Z$21:$Z$97,C438))*(1+INDEX($Z$21:$Z$97,D438))*(1+INDEX($Z$21:$Z$97,E438))*(1+INDEX($Z$21:$Z$97,F438))-1</f>
        <v>0.0470468056623241</v>
      </c>
      <c r="H438" s="68">
        <f>(1+INDEX($AA$21:$AA$97,B438))*(1+INDEX($AA$21:$AA$97,C438))*(1+INDEX($AA$21:$AA$97,D438))*(1+INDEX($AA$21:$AA$97,E438))*(1+INDEX($AA$21:$AA$97,F438))-1</f>
        <v>0.0797786709025254</v>
      </c>
      <c r="I438" s="68">
        <f>(1+INDEX($AB$21:$AB$97,B438))*(1+INDEX($AB$21:$AB$97,C438))*(1+INDEX($AB$21:$AB$97,D438))*(1+INDEX($AB$21:$AB$97,E438))*(1+INDEX($AB$21:$AB$97,F438))-1</f>
        <v>0.0488085495367967</v>
      </c>
      <c r="J438" s="489">
        <f>LN((1+G438)/(1+H438))</f>
        <v>-0.0307824503469777</v>
      </c>
      <c r="K438" s="489">
        <f>LN((1+I438)/(1+H438))</f>
        <v>-0.0291012806183115</v>
      </c>
      <c r="L438" s="489">
        <f>(1+INDEX($AC$21:$AC$97,B438))*(1+INDEX($AC$21:$AC$97,C438))*(1+INDEX($AC$21:$AC$97,D438))*(1+INDEX($AC$21:$AC$97,E438))*(1+INDEX($AC$21:$AC$97,F438))-1</f>
        <v>0.0459570075162588</v>
      </c>
      <c r="M438" s="489">
        <f>(1+INDEX($AD$21:$AD$97,B438))*(1+INDEX($AD$21:$AD$97,C438))*(1+INDEX($AD$21:$AD$97,D438))*(1+INDEX($AD$21:$AD$97,E438))*(1+INDEX($AD$21:$AD$97,F438))-1</f>
        <v>0.0319856570521511</v>
      </c>
      <c r="N438" s="489">
        <f>(1+INDEX($AE$21:$AE$97,B438))*(1+INDEX($AE$21:$AE$97,C438))*(1+INDEX($AE$21:$AE$97,D438))*(1+INDEX($AE$21:$AE$97,E438))*(1+INDEX($AE$21:$AE$97,F438))-1</f>
        <v>0.045900746781768</v>
      </c>
      <c r="O438" s="489">
        <f>(1+INDEX($AF$21:$AF$97,B438))*(1+INDEX($AF$21:$AF$97,C438))*(1+INDEX($AF$21:$AF$97,D438))*(1+INDEX($AF$21:$AF$97,E438))*(1+INDEX($AF$21:$AF$97,F438))-1</f>
        <v>0.0398760349238203</v>
      </c>
      <c r="P438" s="489">
        <f>LN((1+L438)/(1+H438))</f>
        <v>-0.0318238227875725</v>
      </c>
      <c r="Q438" s="489">
        <f>LN((1+M438)/(1+H438))</f>
        <v>-0.0452713170271916</v>
      </c>
      <c r="R438" s="489">
        <f>LN((1+N438)/(1+H438))</f>
        <v>-0.0318776129981054</v>
      </c>
      <c r="S438" s="542">
        <f>LN((1+O438)/(1+H438))</f>
        <v>-0.0376545769246041</v>
      </c>
    </row>
    <row r="439">
      <c r="A439" s="320" t="n">
        <v>338</v>
      </c>
      <c r="B439" s="174" t="n">
        <v>60</v>
      </c>
      <c r="C439" s="174" t="n">
        <v>62</v>
      </c>
      <c r="D439" s="174" t="n">
        <v>55</v>
      </c>
      <c r="E439" s="174" t="n">
        <v>53</v>
      </c>
      <c r="F439" s="174" t="n">
        <v>72</v>
      </c>
      <c r="G439" s="68">
        <f>(1+INDEX($Z$21:$Z$97,B439))*(1+INDEX($Z$21:$Z$97,C439))*(1+INDEX($Z$21:$Z$97,D439))*(1+INDEX($Z$21:$Z$97,E439))*(1+INDEX($Z$21:$Z$97,F439))-1</f>
        <v>0.131733831435073</v>
      </c>
      <c r="H439" s="68">
        <f>(1+INDEX($AA$21:$AA$97,B439))*(1+INDEX($AA$21:$AA$97,C439))*(1+INDEX($AA$21:$AA$97,D439))*(1+INDEX($AA$21:$AA$97,E439))*(1+INDEX($AA$21:$AA$97,F439))-1</f>
        <v>0.225394893418252</v>
      </c>
      <c r="I439" s="68">
        <f>(1+INDEX($AB$21:$AB$97,B439))*(1+INDEX($AB$21:$AB$97,C439))*(1+INDEX($AB$21:$AB$97,D439))*(1+INDEX($AB$21:$AB$97,E439))*(1+INDEX($AB$21:$AB$97,F439))-1</f>
        <v>0.215773373479582</v>
      </c>
      <c r="J439" s="489">
        <f>LN((1+G439)/(1+H439))</f>
        <v>-0.0795123331311105</v>
      </c>
      <c r="K439" s="489">
        <f>LN((1+I439)/(1+H439))</f>
        <v>-0.00788275834224392</v>
      </c>
      <c r="L439" s="489">
        <f>(1+INDEX($AC$21:$AC$97,B439))*(1+INDEX($AC$21:$AC$97,C439))*(1+INDEX($AC$21:$AC$97,D439))*(1+INDEX($AC$21:$AC$97,E439))*(1+INDEX($AC$21:$AC$97,F439))-1</f>
        <v>0.24204194217761</v>
      </c>
      <c r="M439" s="489">
        <f>(1+INDEX($AD$21:$AD$97,B439))*(1+INDEX($AD$21:$AD$97,C439))*(1+INDEX($AD$21:$AD$97,D439))*(1+INDEX($AD$21:$AD$97,E439))*(1+INDEX($AD$21:$AD$97,F439))-1</f>
        <v>0.190737194799953</v>
      </c>
      <c r="N439" s="489">
        <f>(1+INDEX($AE$21:$AE$97,B439))*(1+INDEX($AE$21:$AE$97,C439))*(1+INDEX($AE$21:$AE$97,D439))*(1+INDEX($AE$21:$AE$97,E439))*(1+INDEX($AE$21:$AE$97,F439))-1</f>
        <v>0.247787028932853</v>
      </c>
      <c r="O439" s="489">
        <f>(1+INDEX($AF$21:$AF$97,B439))*(1+INDEX($AF$21:$AF$97,C439))*(1+INDEX($AF$21:$AF$97,D439))*(1+INDEX($AF$21:$AF$97,E439))*(1+INDEX($AF$21:$AF$97,F439))-1</f>
        <v>0.171476664237704</v>
      </c>
      <c r="P439" s="489">
        <f>LN((1+L439)/(1+H439))</f>
        <v>0.013493598787033</v>
      </c>
      <c r="Q439" s="489">
        <f>LN((1+M439)/(1+H439))</f>
        <v>-0.0286905472769505</v>
      </c>
      <c r="R439" s="489">
        <f>LN((1+N439)/(1+H439))</f>
        <v>0.0181084514680228</v>
      </c>
      <c r="S439" s="542">
        <f>LN((1+O439)/(1+H439))</f>
        <v>-0.0449980948140843</v>
      </c>
    </row>
    <row r="440">
      <c r="A440" s="320" t="n">
        <v>339</v>
      </c>
      <c r="B440" s="174" t="n">
        <v>61</v>
      </c>
      <c r="C440" s="174" t="n">
        <v>72</v>
      </c>
      <c r="D440" s="174" t="n">
        <v>47</v>
      </c>
      <c r="E440" s="174" t="n">
        <v>74</v>
      </c>
      <c r="F440" s="174" t="n">
        <v>5</v>
      </c>
      <c r="G440" s="68">
        <f>(1+INDEX($Z$21:$Z$97,B440))*(1+INDEX($Z$21:$Z$97,C440))*(1+INDEX($Z$21:$Z$97,D440))*(1+INDEX($Z$21:$Z$97,E440))*(1+INDEX($Z$21:$Z$97,F440))-1</f>
        <v>0.423306198785732</v>
      </c>
      <c r="H440" s="68">
        <f>(1+INDEX($AA$21:$AA$97,B440))*(1+INDEX($AA$21:$AA$97,C440))*(1+INDEX($AA$21:$AA$97,D440))*(1+INDEX($AA$21:$AA$97,E440))*(1+INDEX($AA$21:$AA$97,F440))-1</f>
        <v>0.447845811348227</v>
      </c>
      <c r="I440" s="68">
        <f>(1+INDEX($AB$21:$AB$97,B440))*(1+INDEX($AB$21:$AB$97,C440))*(1+INDEX($AB$21:$AB$97,D440))*(1+INDEX($AB$21:$AB$97,E440))*(1+INDEX($AB$21:$AB$97,F440))-1</f>
        <v>0.467221723678762</v>
      </c>
      <c r="J440" s="489">
        <f>LN((1+G440)/(1+H440))</f>
        <v>-0.0170943301124452</v>
      </c>
      <c r="K440" s="489">
        <f>LN((1+I440)/(1+H440))</f>
        <v>0.0132938242073497</v>
      </c>
      <c r="L440" s="489">
        <f>(1+INDEX($AC$21:$AC$97,B440))*(1+INDEX($AC$21:$AC$97,C440))*(1+INDEX($AC$21:$AC$97,D440))*(1+INDEX($AC$21:$AC$97,E440))*(1+INDEX($AC$21:$AC$97,F440))-1</f>
        <v>0.485817350150725</v>
      </c>
      <c r="M440" s="489">
        <f>(1+INDEX($AD$21:$AD$97,B440))*(1+INDEX($AD$21:$AD$97,C440))*(1+INDEX($AD$21:$AD$97,D440))*(1+INDEX($AD$21:$AD$97,E440))*(1+INDEX($AD$21:$AD$97,F440))-1</f>
        <v>0.414270702164312</v>
      </c>
      <c r="N440" s="489">
        <f>(1+INDEX($AE$21:$AE$97,B440))*(1+INDEX($AE$21:$AE$97,C440))*(1+INDEX($AE$21:$AE$97,D440))*(1+INDEX($AE$21:$AE$97,E440))*(1+INDEX($AE$21:$AE$97,F440))-1</f>
        <v>0.479006857778817</v>
      </c>
      <c r="O440" s="489">
        <f>(1+INDEX($AF$21:$AF$97,B440))*(1+INDEX($AF$21:$AF$97,C440))*(1+INDEX($AF$21:$AF$97,D440))*(1+INDEX($AF$21:$AF$97,E440))*(1+INDEX($AF$21:$AF$97,F440))-1</f>
        <v>0.404193456123098</v>
      </c>
      <c r="P440" s="489">
        <f>LN((1+L440)/(1+H440))</f>
        <v>0.0258882205615824</v>
      </c>
      <c r="Q440" s="489">
        <f>LN((1+M440)/(1+H440))</f>
        <v>-0.0234628110205797</v>
      </c>
      <c r="R440" s="489">
        <f>LN((1+N440)/(1+H440))</f>
        <v>0.0212940160670188</v>
      </c>
      <c r="S440" s="542">
        <f>LN((1+O440)/(1+H440))</f>
        <v>-0.0306137190451637</v>
      </c>
    </row>
    <row r="441">
      <c r="A441" s="320" t="n">
        <v>340</v>
      </c>
      <c r="B441" s="174" t="n">
        <v>39</v>
      </c>
      <c r="C441" s="174" t="n">
        <v>44</v>
      </c>
      <c r="D441" s="174" t="n">
        <v>51</v>
      </c>
      <c r="E441" s="174" t="n">
        <v>49</v>
      </c>
      <c r="F441" s="174" t="n">
        <v>30</v>
      </c>
      <c r="G441" s="68">
        <f>(1+INDEX($Z$21:$Z$97,B441))*(1+INDEX($Z$21:$Z$97,C441))*(1+INDEX($Z$21:$Z$97,D441))*(1+INDEX($Z$21:$Z$97,E441))*(1+INDEX($Z$21:$Z$97,F441))-1</f>
        <v>0.637634450517973</v>
      </c>
      <c r="H441" s="68">
        <f>(1+INDEX($AA$21:$AA$97,B441))*(1+INDEX($AA$21:$AA$97,C441))*(1+INDEX($AA$21:$AA$97,D441))*(1+INDEX($AA$21:$AA$97,E441))*(1+INDEX($AA$21:$AA$97,F441))-1</f>
        <v>0.522836449370286</v>
      </c>
      <c r="I441" s="68">
        <f>(1+INDEX($AB$21:$AB$97,B441))*(1+INDEX($AB$21:$AB$97,C441))*(1+INDEX($AB$21:$AB$97,D441))*(1+INDEX($AB$21:$AB$97,E441))*(1+INDEX($AB$21:$AB$97,F441))-1</f>
        <v>0.593287792614314</v>
      </c>
      <c r="J441" s="489">
        <f>LN((1+G441)/(1+H441))</f>
        <v>0.0726781113467696</v>
      </c>
      <c r="K441" s="489">
        <f>LN((1+I441)/(1+H441))</f>
        <v>0.0452249943891169</v>
      </c>
      <c r="L441" s="489">
        <f>(1+INDEX($AC$21:$AC$97,B441))*(1+INDEX($AC$21:$AC$97,C441))*(1+INDEX($AC$21:$AC$97,D441))*(1+INDEX($AC$21:$AC$97,E441))*(1+INDEX($AC$21:$AC$97,F441))-1</f>
        <v>0.560460683505403</v>
      </c>
      <c r="M441" s="489">
        <f>(1+INDEX($AD$21:$AD$97,B441))*(1+INDEX($AD$21:$AD$97,C441))*(1+INDEX($AD$21:$AD$97,D441))*(1+INDEX($AD$21:$AD$97,E441))*(1+INDEX($AD$21:$AD$97,F441))-1</f>
        <v>0.602456538416774</v>
      </c>
      <c r="N441" s="489">
        <f>(1+INDEX($AE$21:$AE$97,B441))*(1+INDEX($AE$21:$AE$97,C441))*(1+INDEX($AE$21:$AE$97,D441))*(1+INDEX($AE$21:$AE$97,E441))*(1+INDEX($AE$21:$AE$97,F441))-1</f>
        <v>0.552645019149099</v>
      </c>
      <c r="O441" s="489">
        <f>(1+INDEX($AF$21:$AF$97,B441))*(1+INDEX($AF$21:$AF$97,C441))*(1+INDEX($AF$21:$AF$97,D441))*(1+INDEX($AF$21:$AF$97,E441))*(1+INDEX($AF$21:$AF$97,F441))-1</f>
        <v>0.577686603499219</v>
      </c>
      <c r="P441" s="489">
        <f>LN((1+L441)/(1+H441))</f>
        <v>0.0244064066089703</v>
      </c>
      <c r="Q441" s="489">
        <f>LN((1+M441)/(1+H441))</f>
        <v>0.0509631073356882</v>
      </c>
      <c r="R441" s="489">
        <f>LN((1+N441)/(1+H441))</f>
        <v>0.0193852595465436</v>
      </c>
      <c r="S441" s="542">
        <f>LN((1+O441)/(1+H441))</f>
        <v>0.035384918090273</v>
      </c>
    </row>
    <row r="442">
      <c r="A442" s="320" t="n">
        <v>341</v>
      </c>
      <c r="B442" s="174" t="n">
        <v>8</v>
      </c>
      <c r="C442" s="174" t="n">
        <v>24</v>
      </c>
      <c r="D442" s="174" t="n">
        <v>76</v>
      </c>
      <c r="E442" s="174" t="n">
        <v>44</v>
      </c>
      <c r="F442" s="174" t="n">
        <v>24</v>
      </c>
      <c r="G442" s="68">
        <f>(1+INDEX($Z$21:$Z$97,B442))*(1+INDEX($Z$21:$Z$97,C442))*(1+INDEX($Z$21:$Z$97,D442))*(1+INDEX($Z$21:$Z$97,E442))*(1+INDEX($Z$21:$Z$97,F442))-1</f>
        <v>0.20162538754672</v>
      </c>
      <c r="H442" s="68">
        <f>(1+INDEX($AA$21:$AA$97,B442))*(1+INDEX($AA$21:$AA$97,C442))*(1+INDEX($AA$21:$AA$97,D442))*(1+INDEX($AA$21:$AA$97,E442))*(1+INDEX($AA$21:$AA$97,F442))-1</f>
        <v>0.190771875451803</v>
      </c>
      <c r="I442" s="68">
        <f>(1+INDEX($AB$21:$AB$97,B442))*(1+INDEX($AB$21:$AB$97,C442))*(1+INDEX($AB$21:$AB$97,D442))*(1+INDEX($AB$21:$AB$97,E442))*(1+INDEX($AB$21:$AB$97,F442))-1</f>
        <v>0.202251560879427</v>
      </c>
      <c r="J442" s="489">
        <f>LN((1+G442)/(1+H442))</f>
        <v>0.00907339823841262</v>
      </c>
      <c r="K442" s="489">
        <f>LN((1+I442)/(1+H442))</f>
        <v>0.00959436778910369</v>
      </c>
      <c r="L442" s="489">
        <f>(1+INDEX($AC$21:$AC$97,B442))*(1+INDEX($AC$21:$AC$97,C442))*(1+INDEX($AC$21:$AC$97,D442))*(1+INDEX($AC$21:$AC$97,E442))*(1+INDEX($AC$21:$AC$97,F442))-1</f>
        <v>0.173392936147768</v>
      </c>
      <c r="M442" s="489">
        <f>(1+INDEX($AD$21:$AD$97,B442))*(1+INDEX($AD$21:$AD$97,C442))*(1+INDEX($AD$21:$AD$97,D442))*(1+INDEX($AD$21:$AD$97,E442))*(1+INDEX($AD$21:$AD$97,F442))-1</f>
        <v>0.221581180287751</v>
      </c>
      <c r="N442" s="489">
        <f>(1+INDEX($AE$21:$AE$97,B442))*(1+INDEX($AE$21:$AE$97,C442))*(1+INDEX($AE$21:$AE$97,D442))*(1+INDEX($AE$21:$AE$97,E442))*(1+INDEX($AE$21:$AE$97,F442))-1</f>
        <v>0.153493740993336</v>
      </c>
      <c r="O442" s="489">
        <f>(1+INDEX($AF$21:$AF$97,B442))*(1+INDEX($AF$21:$AF$97,C442))*(1+INDEX($AF$21:$AF$97,D442))*(1+INDEX($AF$21:$AF$97,E442))*(1+INDEX($AF$21:$AF$97,F442))-1</f>
        <v>0.239666326452819</v>
      </c>
      <c r="P442" s="489">
        <f>LN((1+L442)/(1+H442))</f>
        <v>-0.0147022341792946</v>
      </c>
      <c r="Q442" s="489">
        <f>LN((1+M442)/(1+H442))</f>
        <v>0.0255443373300476</v>
      </c>
      <c r="R442" s="489">
        <f>LN((1+N442)/(1+H442))</f>
        <v>-0.0318063591675565</v>
      </c>
      <c r="S442" s="542">
        <f>LN((1+O442)/(1+H442))</f>
        <v>0.0402405201507704</v>
      </c>
    </row>
    <row r="443">
      <c r="A443" s="320" t="n">
        <v>342</v>
      </c>
      <c r="B443" s="174" t="n">
        <v>17</v>
      </c>
      <c r="C443" s="174" t="n">
        <v>2</v>
      </c>
      <c r="D443" s="174" t="n">
        <v>27</v>
      </c>
      <c r="E443" s="174" t="n">
        <v>70</v>
      </c>
      <c r="F443" s="174" t="n">
        <v>59</v>
      </c>
      <c r="G443" s="68">
        <f>(1+INDEX($Z$21:$Z$97,B443))*(1+INDEX($Z$21:$Z$97,C443))*(1+INDEX($Z$21:$Z$97,D443))*(1+INDEX($Z$21:$Z$97,E443))*(1+INDEX($Z$21:$Z$97,F443))-1</f>
        <v>0.897471729181509</v>
      </c>
      <c r="H443" s="68">
        <f>(1+INDEX($AA$21:$AA$97,B443))*(1+INDEX($AA$21:$AA$97,C443))*(1+INDEX($AA$21:$AA$97,D443))*(1+INDEX($AA$21:$AA$97,E443))*(1+INDEX($AA$21:$AA$97,F443))-1</f>
        <v>0.808788631469473</v>
      </c>
      <c r="I443" s="68">
        <f>(1+INDEX($AB$21:$AB$97,B443))*(1+INDEX($AB$21:$AB$97,C443))*(1+INDEX($AB$21:$AB$97,D443))*(1+INDEX($AB$21:$AB$97,E443))*(1+INDEX($AB$21:$AB$97,F443))-1</f>
        <v>0.861618435650109</v>
      </c>
      <c r="J443" s="489">
        <f>LN((1+G443)/(1+H443))</f>
        <v>0.0478649743557332</v>
      </c>
      <c r="K443" s="489">
        <f>LN((1+I443)/(1+H443))</f>
        <v>0.0287888792390922</v>
      </c>
      <c r="L443" s="489">
        <f>(1+INDEX($AC$21:$AC$97,B443))*(1+INDEX($AC$21:$AC$97,C443))*(1+INDEX($AC$21:$AC$97,D443))*(1+INDEX($AC$21:$AC$97,E443))*(1+INDEX($AC$21:$AC$97,F443))-1</f>
        <v>0.880270612619932</v>
      </c>
      <c r="M443" s="489">
        <f>(1+INDEX($AD$21:$AD$97,B443))*(1+INDEX($AD$21:$AD$97,C443))*(1+INDEX($AD$21:$AD$97,D443))*(1+INDEX($AD$21:$AD$97,E443))*(1+INDEX($AD$21:$AD$97,F443))-1</f>
        <v>0.830647659484272</v>
      </c>
      <c r="N443" s="489">
        <f>(1+INDEX($AE$21:$AE$97,B443))*(1+INDEX($AE$21:$AE$97,C443))*(1+INDEX($AE$21:$AE$97,D443))*(1+INDEX($AE$21:$AE$97,E443))*(1+INDEX($AE$21:$AE$97,F443))-1</f>
        <v>0.900005028003224</v>
      </c>
      <c r="O443" s="489">
        <f>(1+INDEX($AF$21:$AF$97,B443))*(1+INDEX($AF$21:$AF$97,C443))*(1+INDEX($AF$21:$AF$97,D443))*(1+INDEX($AF$21:$AF$97,E443))*(1+INDEX($AF$21:$AF$97,F443))-1</f>
        <v>0.788224879151569</v>
      </c>
      <c r="P443" s="489">
        <f>LN((1+L443)/(1+H443))</f>
        <v>0.0387583525271708</v>
      </c>
      <c r="Q443" s="489">
        <f>LN((1+M443)/(1+H443))</f>
        <v>0.0120124596887892</v>
      </c>
      <c r="R443" s="489">
        <f>LN((1+N443)/(1+H443))</f>
        <v>0.049199175647533</v>
      </c>
      <c r="S443" s="542">
        <f>LN((1+O443)/(1+H443))</f>
        <v>-0.0114339166585092</v>
      </c>
    </row>
    <row r="444">
      <c r="A444" s="320" t="n">
        <v>343</v>
      </c>
      <c r="B444" s="174" t="n">
        <v>44</v>
      </c>
      <c r="C444" s="174" t="n">
        <v>27</v>
      </c>
      <c r="D444" s="174" t="n">
        <v>6</v>
      </c>
      <c r="E444" s="174" t="n">
        <v>27</v>
      </c>
      <c r="F444" s="174" t="n">
        <v>66</v>
      </c>
      <c r="G444" s="68">
        <f>(1+INDEX($Z$21:$Z$97,B444))*(1+INDEX($Z$21:$Z$97,C444))*(1+INDEX($Z$21:$Z$97,D444))*(1+INDEX($Z$21:$Z$97,E444))*(1+INDEX($Z$21:$Z$97,F444))-1</f>
        <v>0.495770787128214</v>
      </c>
      <c r="H444" s="68">
        <f>(1+INDEX($AA$21:$AA$97,B444))*(1+INDEX($AA$21:$AA$97,C444))*(1+INDEX($AA$21:$AA$97,D444))*(1+INDEX($AA$21:$AA$97,E444))*(1+INDEX($AA$21:$AA$97,F444))-1</f>
        <v>0.474117563379429</v>
      </c>
      <c r="I444" s="68">
        <f>(1+INDEX($AB$21:$AB$97,B444))*(1+INDEX($AB$21:$AB$97,C444))*(1+INDEX($AB$21:$AB$97,D444))*(1+INDEX($AB$21:$AB$97,E444))*(1+INDEX($AB$21:$AB$97,F444))-1</f>
        <v>0.520220581665103</v>
      </c>
      <c r="J444" s="489">
        <f>LN((1+G444)/(1+H444))</f>
        <v>0.014582102007098</v>
      </c>
      <c r="K444" s="489">
        <f>LN((1+I444)/(1+H444))</f>
        <v>0.0307958951999274</v>
      </c>
      <c r="L444" s="489">
        <f>(1+INDEX($AC$21:$AC$97,B444))*(1+INDEX($AC$21:$AC$97,C444))*(1+INDEX($AC$21:$AC$97,D444))*(1+INDEX($AC$21:$AC$97,E444))*(1+INDEX($AC$21:$AC$97,F444))-1</f>
        <v>0.514245790076293</v>
      </c>
      <c r="M444" s="489">
        <f>(1+INDEX($AD$21:$AD$97,B444))*(1+INDEX($AD$21:$AD$97,C444))*(1+INDEX($AD$21:$AD$97,D444))*(1+INDEX($AD$21:$AD$97,E444))*(1+INDEX($AD$21:$AD$97,F444))-1</f>
        <v>0.496363674557747</v>
      </c>
      <c r="N444" s="489">
        <f>(1+INDEX($AE$21:$AE$97,B444))*(1+INDEX($AE$21:$AE$97,C444))*(1+INDEX($AE$21:$AE$97,D444))*(1+INDEX($AE$21:$AE$97,E444))*(1+INDEX($AE$21:$AE$97,F444))-1</f>
        <v>0.499097204200608</v>
      </c>
      <c r="O444" s="489">
        <f>(1+INDEX($AF$21:$AF$97,B444))*(1+INDEX($AF$21:$AF$97,C444))*(1+INDEX($AF$21:$AF$97,D444))*(1+INDEX($AF$21:$AF$97,E444))*(1+INDEX($AF$21:$AF$97,F444))-1</f>
        <v>0.525485185574174</v>
      </c>
      <c r="P444" s="489">
        <f>LN((1+L444)/(1+H444))</f>
        <v>0.0268579380252321</v>
      </c>
      <c r="Q444" s="489">
        <f>LN((1+M444)/(1+H444))</f>
        <v>0.0149783993292167</v>
      </c>
      <c r="R444" s="489">
        <f>LN((1+N444)/(1+H444))</f>
        <v>0.0168035144031862</v>
      </c>
      <c r="S444" s="542">
        <f>LN((1+O444)/(1+H444))</f>
        <v>0.0342529652878861</v>
      </c>
    </row>
    <row r="445">
      <c r="A445" s="320" t="n">
        <v>344</v>
      </c>
      <c r="B445" s="174" t="n">
        <v>50</v>
      </c>
      <c r="C445" s="174" t="n">
        <v>46</v>
      </c>
      <c r="D445" s="174" t="n">
        <v>2</v>
      </c>
      <c r="E445" s="174" t="n">
        <v>35</v>
      </c>
      <c r="F445" s="174" t="n">
        <v>45</v>
      </c>
      <c r="G445" s="68">
        <f>(1+INDEX($Z$21:$Z$97,B445))*(1+INDEX($Z$21:$Z$97,C445))*(1+INDEX($Z$21:$Z$97,D445))*(1+INDEX($Z$21:$Z$97,E445))*(1+INDEX($Z$21:$Z$97,F445))-1</f>
        <v>0.589200116070865</v>
      </c>
      <c r="H445" s="68">
        <f>(1+INDEX($AA$21:$AA$97,B445))*(1+INDEX($AA$21:$AA$97,C445))*(1+INDEX($AA$21:$AA$97,D445))*(1+INDEX($AA$21:$AA$97,E445))*(1+INDEX($AA$21:$AA$97,F445))-1</f>
        <v>0.535700706174566</v>
      </c>
      <c r="I445" s="68">
        <f>(1+INDEX($AB$21:$AB$97,B445))*(1+INDEX($AB$21:$AB$97,C445))*(1+INDEX($AB$21:$AB$97,D445))*(1+INDEX($AB$21:$AB$97,E445))*(1+INDEX($AB$21:$AB$97,F445))-1</f>
        <v>0.606774663900805</v>
      </c>
      <c r="J445" s="489">
        <f>LN((1+G445)/(1+H445))</f>
        <v>0.0342440550073133</v>
      </c>
      <c r="K445" s="489">
        <f>LN((1+I445)/(1+H445))</f>
        <v>0.045242092342596</v>
      </c>
      <c r="L445" s="489">
        <f>(1+INDEX($AC$21:$AC$97,B445))*(1+INDEX($AC$21:$AC$97,C445))*(1+INDEX($AC$21:$AC$97,D445))*(1+INDEX($AC$21:$AC$97,E445))*(1+INDEX($AC$21:$AC$97,F445))-1</f>
        <v>0.582564312957104</v>
      </c>
      <c r="M445" s="489">
        <f>(1+INDEX($AD$21:$AD$97,B445))*(1+INDEX($AD$21:$AD$97,C445))*(1+INDEX($AD$21:$AD$97,D445))*(1+INDEX($AD$21:$AD$97,E445))*(1+INDEX($AD$21:$AD$97,F445))-1</f>
        <v>0.608185581676763</v>
      </c>
      <c r="N445" s="489">
        <f>(1+INDEX($AE$21:$AE$97,B445))*(1+INDEX($AE$21:$AE$97,C445))*(1+INDEX($AE$21:$AE$97,D445))*(1+INDEX($AE$21:$AE$97,E445))*(1+INDEX($AE$21:$AE$97,F445))-1</f>
        <v>0.573909011934129</v>
      </c>
      <c r="O445" s="489">
        <f>(1+INDEX($AF$21:$AF$97,B445))*(1+INDEX($AF$21:$AF$97,C445))*(1+INDEX($AF$21:$AF$97,D445))*(1+INDEX($AF$21:$AF$97,E445))*(1+INDEX($AF$21:$AF$97,F445))-1</f>
        <v>0.543680117287314</v>
      </c>
      <c r="P445" s="489">
        <f>LN((1+L445)/(1+H445))</f>
        <v>0.0300597513214001</v>
      </c>
      <c r="Q445" s="489">
        <f>LN((1+M445)/(1+H445))</f>
        <v>0.0461198125996219</v>
      </c>
      <c r="R445" s="489">
        <f>LN((1+N445)/(1+H445))</f>
        <v>0.0245755784326957</v>
      </c>
      <c r="S445" s="542">
        <f>LN((1+O445)/(1+H445))</f>
        <v>0.00518248922726621</v>
      </c>
    </row>
    <row r="446">
      <c r="A446" s="320" t="n">
        <v>345</v>
      </c>
      <c r="B446" s="174" t="n">
        <v>64</v>
      </c>
      <c r="C446" s="174" t="n">
        <v>45</v>
      </c>
      <c r="D446" s="174" t="n">
        <v>23</v>
      </c>
      <c r="E446" s="174" t="n">
        <v>45</v>
      </c>
      <c r="F446" s="174" t="n">
        <v>38</v>
      </c>
      <c r="G446" s="68">
        <f>(1+INDEX($Z$21:$Z$97,B446))*(1+INDEX($Z$21:$Z$97,C446))*(1+INDEX($Z$21:$Z$97,D446))*(1+INDEX($Z$21:$Z$97,E446))*(1+INDEX($Z$21:$Z$97,F446))-1</f>
        <v>0.16763534676191</v>
      </c>
      <c r="H446" s="68">
        <f>(1+INDEX($AA$21:$AA$97,B446))*(1+INDEX($AA$21:$AA$97,C446))*(1+INDEX($AA$21:$AA$97,D446))*(1+INDEX($AA$21:$AA$97,E446))*(1+INDEX($AA$21:$AA$97,F446))-1</f>
        <v>0.150839266995944</v>
      </c>
      <c r="I446" s="68">
        <f>(1+INDEX($AB$21:$AB$97,B446))*(1+INDEX($AB$21:$AB$97,C446))*(1+INDEX($AB$21:$AB$97,D446))*(1+INDEX($AB$21:$AB$97,E446))*(1+INDEX($AB$21:$AB$97,F446))-1</f>
        <v>0.183298607560678</v>
      </c>
      <c r="J446" s="489">
        <f>LN((1+G446)/(1+H446))</f>
        <v>0.0144891589553776</v>
      </c>
      <c r="K446" s="489">
        <f>LN((1+I446)/(1+H446))</f>
        <v>0.0278144950749335</v>
      </c>
      <c r="L446" s="489">
        <f>(1+INDEX($AC$21:$AC$97,B446))*(1+INDEX($AC$21:$AC$97,C446))*(1+INDEX($AC$21:$AC$97,D446))*(1+INDEX($AC$21:$AC$97,E446))*(1+INDEX($AC$21:$AC$97,F446))-1</f>
        <v>0.163046987267843</v>
      </c>
      <c r="M446" s="489">
        <f>(1+INDEX($AD$21:$AD$97,B446))*(1+INDEX($AD$21:$AD$97,C446))*(1+INDEX($AD$21:$AD$97,D446))*(1+INDEX($AD$21:$AD$97,E446))*(1+INDEX($AD$21:$AD$97,F446))-1</f>
        <v>0.166926139079147</v>
      </c>
      <c r="N446" s="489">
        <f>(1+INDEX($AE$21:$AE$97,B446))*(1+INDEX($AE$21:$AE$97,C446))*(1+INDEX($AE$21:$AE$97,D446))*(1+INDEX($AE$21:$AE$97,E446))*(1+INDEX($AE$21:$AE$97,F446))-1</f>
        <v>0.149207784029631</v>
      </c>
      <c r="O446" s="489">
        <f>(1+INDEX($AF$21:$AF$97,B446))*(1+INDEX($AF$21:$AF$97,C446))*(1+INDEX($AF$21:$AF$97,D446))*(1+INDEX($AF$21:$AF$97,E446))*(1+INDEX($AF$21:$AF$97,F446))-1</f>
        <v>0.148056253484838</v>
      </c>
      <c r="P446" s="489">
        <f>LN((1+L446)/(1+H446))</f>
        <v>0.0105518009081063</v>
      </c>
      <c r="Q446" s="489">
        <f>LN((1+M446)/(1+H446))</f>
        <v>0.0138815864336164</v>
      </c>
      <c r="R446" s="489">
        <f>LN((1+N446)/(1+H446))</f>
        <v>-0.00141865205688638</v>
      </c>
      <c r="S446" s="542">
        <f>LN((1+O446)/(1+H446))</f>
        <v>-0.00242117560005301</v>
      </c>
    </row>
    <row r="447">
      <c r="A447" s="320" t="n">
        <v>346</v>
      </c>
      <c r="B447" s="174" t="n">
        <v>50</v>
      </c>
      <c r="C447" s="174" t="n">
        <v>65</v>
      </c>
      <c r="D447" s="174" t="n">
        <v>46</v>
      </c>
      <c r="E447" s="174" t="n">
        <v>67</v>
      </c>
      <c r="F447" s="174" t="n">
        <v>2</v>
      </c>
      <c r="G447" s="68">
        <f>(1+INDEX($Z$21:$Z$97,B447))*(1+INDEX($Z$21:$Z$97,C447))*(1+INDEX($Z$21:$Z$97,D447))*(1+INDEX($Z$21:$Z$97,E447))*(1+INDEX($Z$21:$Z$97,F447))-1</f>
        <v>0.519679587183129</v>
      </c>
      <c r="H447" s="68">
        <f>(1+INDEX($AA$21:$AA$97,B447))*(1+INDEX($AA$21:$AA$97,C447))*(1+INDEX($AA$21:$AA$97,D447))*(1+INDEX($AA$21:$AA$97,E447))*(1+INDEX($AA$21:$AA$97,F447))-1</f>
        <v>0.454223864706016</v>
      </c>
      <c r="I447" s="68">
        <f>(1+INDEX($AB$21:$AB$97,B447))*(1+INDEX($AB$21:$AB$97,C447))*(1+INDEX($AB$21:$AB$97,D447))*(1+INDEX($AB$21:$AB$97,E447))*(1+INDEX($AB$21:$AB$97,F447))-1</f>
        <v>0.501915857912926</v>
      </c>
      <c r="J447" s="489">
        <f>LN((1+G447)/(1+H447))</f>
        <v>0.0440271827492149</v>
      </c>
      <c r="K447" s="489">
        <f>LN((1+I447)/(1+H447))</f>
        <v>0.0322691997592888</v>
      </c>
      <c r="L447" s="489">
        <f>(1+INDEX($AC$21:$AC$97,B447))*(1+INDEX($AC$21:$AC$97,C447))*(1+INDEX($AC$21:$AC$97,D447))*(1+INDEX($AC$21:$AC$97,E447))*(1+INDEX($AC$21:$AC$97,F447))-1</f>
        <v>0.488060012071965</v>
      </c>
      <c r="M447" s="489">
        <f>(1+INDEX($AD$21:$AD$97,B447))*(1+INDEX($AD$21:$AD$97,C447))*(1+INDEX($AD$21:$AD$97,D447))*(1+INDEX($AD$21:$AD$97,E447))*(1+INDEX($AD$21:$AD$97,F447))-1</f>
        <v>0.490818821662889</v>
      </c>
      <c r="N447" s="489">
        <f>(1+INDEX($AE$21:$AE$97,B447))*(1+INDEX($AE$21:$AE$97,C447))*(1+INDEX($AE$21:$AE$97,D447))*(1+INDEX($AE$21:$AE$97,E447))*(1+INDEX($AE$21:$AE$97,F447))-1</f>
        <v>0.49297279646172</v>
      </c>
      <c r="O447" s="489">
        <f>(1+INDEX($AF$21:$AF$97,B447))*(1+INDEX($AF$21:$AF$97,C447))*(1+INDEX($AF$21:$AF$97,D447))*(1+INDEX($AF$21:$AF$97,E447))*(1+INDEX($AF$21:$AF$97,F447))-1</f>
        <v>0.484953624696135</v>
      </c>
      <c r="P447" s="489">
        <f>LN((1+L447)/(1+H447))</f>
        <v>0.0230009343090321</v>
      </c>
      <c r="Q447" s="489">
        <f>LN((1+M447)/(1+H447))</f>
        <v>0.0248531817710163</v>
      </c>
      <c r="R447" s="489">
        <f>LN((1+N447)/(1+H447))</f>
        <v>0.0262969656866974</v>
      </c>
      <c r="S447" s="542">
        <f>LN((1+O447)/(1+H447))</f>
        <v>0.020911210624038</v>
      </c>
    </row>
    <row r="448">
      <c r="A448" s="320" t="n">
        <v>347</v>
      </c>
      <c r="B448" s="174" t="n">
        <v>9</v>
      </c>
      <c r="C448" s="174" t="n">
        <v>21</v>
      </c>
      <c r="D448" s="174" t="n">
        <v>28</v>
      </c>
      <c r="E448" s="174" t="n">
        <v>48</v>
      </c>
      <c r="F448" s="174" t="n">
        <v>10</v>
      </c>
      <c r="G448" s="68">
        <f>(1+INDEX($Z$21:$Z$97,B448))*(1+INDEX($Z$21:$Z$97,C448))*(1+INDEX($Z$21:$Z$97,D448))*(1+INDEX($Z$21:$Z$97,E448))*(1+INDEX($Z$21:$Z$97,F448))-1</f>
        <v>-0.103896238743952</v>
      </c>
      <c r="H448" s="68">
        <f>(1+INDEX($AA$21:$AA$97,B448))*(1+INDEX($AA$21:$AA$97,C448))*(1+INDEX($AA$21:$AA$97,D448))*(1+INDEX($AA$21:$AA$97,E448))*(1+INDEX($AA$21:$AA$97,F448))-1</f>
        <v>-0.0399811729199433</v>
      </c>
      <c r="I448" s="68">
        <f>(1+INDEX($AB$21:$AB$97,B448))*(1+INDEX($AB$21:$AB$97,C448))*(1+INDEX($AB$21:$AB$97,D448))*(1+INDEX($AB$21:$AB$97,E448))*(1+INDEX($AB$21:$AB$97,F448))-1</f>
        <v>-0.0742634007205105</v>
      </c>
      <c r="J448" s="489">
        <f>LN((1+G448)/(1+H448))</f>
        <v>-0.068896684567984</v>
      </c>
      <c r="K448" s="489">
        <f>LN((1+I448)/(1+H448))</f>
        <v>-0.0363631516508551</v>
      </c>
      <c r="L448" s="489">
        <f>(1+INDEX($AC$21:$AC$97,B448))*(1+INDEX($AC$21:$AC$97,C448))*(1+INDEX($AC$21:$AC$97,D448))*(1+INDEX($AC$21:$AC$97,E448))*(1+INDEX($AC$21:$AC$97,F448))-1</f>
        <v>-0.0982271048635747</v>
      </c>
      <c r="M448" s="489">
        <f>(1+INDEX($AD$21:$AD$97,B448))*(1+INDEX($AD$21:$AD$97,C448))*(1+INDEX($AD$21:$AD$97,D448))*(1+INDEX($AD$21:$AD$97,E448))*(1+INDEX($AD$21:$AD$97,F448))-1</f>
        <v>-0.0437258677496221</v>
      </c>
      <c r="N448" s="489">
        <f>(1+INDEX($AE$21:$AE$97,B448))*(1+INDEX($AE$21:$AE$97,C448))*(1+INDEX($AE$21:$AE$97,D448))*(1+INDEX($AE$21:$AE$97,E448))*(1+INDEX($AE$21:$AE$97,F448))-1</f>
        <v>-0.0986494468663539</v>
      </c>
      <c r="O448" s="489">
        <f>(1+INDEX($AF$21:$AF$97,B448))*(1+INDEX($AF$21:$AF$97,C448))*(1+INDEX($AF$21:$AF$97,D448))*(1+INDEX($AF$21:$AF$97,E448))*(1+INDEX($AF$21:$AF$97,F448))-1</f>
        <v>0.0121118777645559</v>
      </c>
      <c r="P448" s="489">
        <f>LN((1+L448)/(1+H448))</f>
        <v>-0.0625901866783012</v>
      </c>
      <c r="Q448" s="489">
        <f>LN((1+M448)/(1+H448))</f>
        <v>-0.00390827464872481</v>
      </c>
      <c r="R448" s="489">
        <f>LN((1+N448)/(1+H448))</f>
        <v>-0.0630586426910141</v>
      </c>
      <c r="S448" s="542">
        <f>LN((1+O448)/(1+H448))</f>
        <v>0.0528414990765258</v>
      </c>
    </row>
    <row r="449">
      <c r="A449" s="320" t="n">
        <v>348</v>
      </c>
      <c r="B449" s="174" t="n">
        <v>26</v>
      </c>
      <c r="C449" s="174" t="n">
        <v>49</v>
      </c>
      <c r="D449" s="174" t="n">
        <v>34</v>
      </c>
      <c r="E449" s="174" t="n">
        <v>17</v>
      </c>
      <c r="F449" s="174" t="n">
        <v>26</v>
      </c>
      <c r="G449" s="68">
        <f>(1+INDEX($Z$21:$Z$97,B449))*(1+INDEX($Z$21:$Z$97,C449))*(1+INDEX($Z$21:$Z$97,D449))*(1+INDEX($Z$21:$Z$97,E449))*(1+INDEX($Z$21:$Z$97,F449))-1</f>
        <v>0.857065155544197</v>
      </c>
      <c r="H449" s="68">
        <f>(1+INDEX($AA$21:$AA$97,B449))*(1+INDEX($AA$21:$AA$97,C449))*(1+INDEX($AA$21:$AA$97,D449))*(1+INDEX($AA$21:$AA$97,E449))*(1+INDEX($AA$21:$AA$97,F449))-1</f>
        <v>0.78909090169913</v>
      </c>
      <c r="I449" s="68">
        <f>(1+INDEX($AB$21:$AB$97,B449))*(1+INDEX($AB$21:$AB$97,C449))*(1+INDEX($AB$21:$AB$97,D449))*(1+INDEX($AB$21:$AB$97,E449))*(1+INDEX($AB$21:$AB$97,F449))-1</f>
        <v>0.921956249318099</v>
      </c>
      <c r="J449" s="489">
        <f>LN((1+G449)/(1+H449))</f>
        <v>0.0372897535144262</v>
      </c>
      <c r="K449" s="489">
        <f>LN((1+I449)/(1+H449))</f>
        <v>0.0716359324929391</v>
      </c>
      <c r="L449" s="489">
        <f>(1+INDEX($AC$21:$AC$97,B449))*(1+INDEX($AC$21:$AC$97,C449))*(1+INDEX($AC$21:$AC$97,D449))*(1+INDEX($AC$21:$AC$97,E449))*(1+INDEX($AC$21:$AC$97,F449))-1</f>
        <v>0.897425191808589</v>
      </c>
      <c r="M449" s="489">
        <f>(1+INDEX($AD$21:$AD$97,B449))*(1+INDEX($AD$21:$AD$97,C449))*(1+INDEX($AD$21:$AD$97,D449))*(1+INDEX($AD$21:$AD$97,E449))*(1+INDEX($AD$21:$AD$97,F449))-1</f>
        <v>0.906720035038158</v>
      </c>
      <c r="N449" s="489">
        <f>(1+INDEX($AE$21:$AE$97,B449))*(1+INDEX($AE$21:$AE$97,C449))*(1+INDEX($AE$21:$AE$97,D449))*(1+INDEX($AE$21:$AE$97,E449))*(1+INDEX($AE$21:$AE$97,F449))-1</f>
        <v>0.88801533537679</v>
      </c>
      <c r="O449" s="489">
        <f>(1+INDEX($AF$21:$AF$97,B449))*(1+INDEX($AF$21:$AF$97,C449))*(1+INDEX($AF$21:$AF$97,D449))*(1+INDEX($AF$21:$AF$97,E449))*(1+INDEX($AF$21:$AF$97,F449))-1</f>
        <v>0.795333489434823</v>
      </c>
      <c r="P449" s="489">
        <f>LN((1+L449)/(1+H449))</f>
        <v>0.0587901902095205</v>
      </c>
      <c r="Q449" s="489">
        <f>LN((1+M449)/(1+H449))</f>
        <v>0.0636768920423486</v>
      </c>
      <c r="R449" s="489">
        <f>LN((1+N449)/(1+H449))</f>
        <v>0.0538185755474345</v>
      </c>
      <c r="S449" s="542">
        <f>LN((1+O449)/(1+H449))</f>
        <v>0.0034831779756127</v>
      </c>
    </row>
    <row r="450">
      <c r="A450" s="320" t="n">
        <v>349</v>
      </c>
      <c r="B450" s="174" t="n">
        <v>45</v>
      </c>
      <c r="C450" s="174" t="n">
        <v>3</v>
      </c>
      <c r="D450" s="174" t="n">
        <v>30</v>
      </c>
      <c r="E450" s="174" t="n">
        <v>58</v>
      </c>
      <c r="F450" s="174" t="n">
        <v>67</v>
      </c>
      <c r="G450" s="68">
        <f>(1+INDEX($Z$21:$Z$97,B450))*(1+INDEX($Z$21:$Z$97,C450))*(1+INDEX($Z$21:$Z$97,D450))*(1+INDEX($Z$21:$Z$97,E450))*(1+INDEX($Z$21:$Z$97,F450))-1</f>
        <v>0.729865029480948</v>
      </c>
      <c r="H450" s="68">
        <f>(1+INDEX($AA$21:$AA$97,B450))*(1+INDEX($AA$21:$AA$97,C450))*(1+INDEX($AA$21:$AA$97,D450))*(1+INDEX($AA$21:$AA$97,E450))*(1+INDEX($AA$21:$AA$97,F450))-1</f>
        <v>0.698614043845379</v>
      </c>
      <c r="I450" s="68">
        <f>(1+INDEX($AB$21:$AB$97,B450))*(1+INDEX($AB$21:$AB$97,C450))*(1+INDEX($AB$21:$AB$97,D450))*(1+INDEX($AB$21:$AB$97,E450))*(1+INDEX($AB$21:$AB$97,F450))-1</f>
        <v>0.723060222209968</v>
      </c>
      <c r="J450" s="489">
        <f>LN((1+G450)/(1+H450))</f>
        <v>0.0182307376011188</v>
      </c>
      <c r="K450" s="489">
        <f>LN((1+I450)/(1+H450))</f>
        <v>0.0142892586610918</v>
      </c>
      <c r="L450" s="489">
        <f>(1+INDEX($AC$21:$AC$97,B450))*(1+INDEX($AC$21:$AC$97,C450))*(1+INDEX($AC$21:$AC$97,D450))*(1+INDEX($AC$21:$AC$97,E450))*(1+INDEX($AC$21:$AC$97,F450))-1</f>
        <v>0.758064240202752</v>
      </c>
      <c r="M450" s="489">
        <f>(1+INDEX($AD$21:$AD$97,B450))*(1+INDEX($AD$21:$AD$97,C450))*(1+INDEX($AD$21:$AD$97,D450))*(1+INDEX($AD$21:$AD$97,E450))*(1+INDEX($AD$21:$AD$97,F450))-1</f>
        <v>0.694113507120793</v>
      </c>
      <c r="N450" s="489">
        <f>(1+INDEX($AE$21:$AE$97,B450))*(1+INDEX($AE$21:$AE$97,C450))*(1+INDEX($AE$21:$AE$97,D450))*(1+INDEX($AE$21:$AE$97,E450))*(1+INDEX($AE$21:$AE$97,F450))-1</f>
        <v>0.754762432237827</v>
      </c>
      <c r="O450" s="489">
        <f>(1+INDEX($AF$21:$AF$97,B450))*(1+INDEX($AF$21:$AF$97,C450))*(1+INDEX($AF$21:$AF$97,D450))*(1+INDEX($AF$21:$AF$97,E450))*(1+INDEX($AF$21:$AF$97,F450))-1</f>
        <v>0.676146681373644</v>
      </c>
      <c r="P450" s="489">
        <f>LN((1+L450)/(1+H450))</f>
        <v>0.0344006900111825</v>
      </c>
      <c r="Q450" s="489">
        <f>LN((1+M450)/(1+H450))</f>
        <v>-0.00265305085468668</v>
      </c>
      <c r="R450" s="489">
        <f>LN((1+N450)/(1+H450))</f>
        <v>0.0325208312847753</v>
      </c>
      <c r="S450" s="542">
        <f>LN((1+O450)/(1+H450))</f>
        <v>-0.0133151332742543</v>
      </c>
    </row>
    <row r="451">
      <c r="A451" s="320" t="n">
        <v>350</v>
      </c>
      <c r="B451" s="174" t="n">
        <v>72</v>
      </c>
      <c r="C451" s="174" t="n">
        <v>20</v>
      </c>
      <c r="D451" s="174" t="n">
        <v>28</v>
      </c>
      <c r="E451" s="174" t="n">
        <v>63</v>
      </c>
      <c r="F451" s="174" t="n">
        <v>53</v>
      </c>
      <c r="G451" s="68">
        <f>(1+INDEX($Z$21:$Z$97,B451))*(1+INDEX($Z$21:$Z$97,C451))*(1+INDEX($Z$21:$Z$97,D451))*(1+INDEX($Z$21:$Z$97,E451))*(1+INDEX($Z$21:$Z$97,F451))-1</f>
        <v>0.165641042354358</v>
      </c>
      <c r="H451" s="68">
        <f>(1+INDEX($AA$21:$AA$97,B451))*(1+INDEX($AA$21:$AA$97,C451))*(1+INDEX($AA$21:$AA$97,D451))*(1+INDEX($AA$21:$AA$97,E451))*(1+INDEX($AA$21:$AA$97,F451))-1</f>
        <v>0.230721068836903</v>
      </c>
      <c r="I451" s="68">
        <f>(1+INDEX($AB$21:$AB$97,B451))*(1+INDEX($AB$21:$AB$97,C451))*(1+INDEX($AB$21:$AB$97,D451))*(1+INDEX($AB$21:$AB$97,E451))*(1+INDEX($AB$21:$AB$97,F451))-1</f>
        <v>0.244889954400327</v>
      </c>
      <c r="J451" s="489">
        <f>LN((1+G451)/(1+H451))</f>
        <v>-0.0543290458094987</v>
      </c>
      <c r="K451" s="489">
        <f>LN((1+I451)/(1+H451))</f>
        <v>0.0114469035275748</v>
      </c>
      <c r="L451" s="489">
        <f>(1+INDEX($AC$21:$AC$97,B451))*(1+INDEX($AC$21:$AC$97,C451))*(1+INDEX($AC$21:$AC$97,D451))*(1+INDEX($AC$21:$AC$97,E451))*(1+INDEX($AC$21:$AC$97,F451))-1</f>
        <v>0.244439260286771</v>
      </c>
      <c r="M451" s="489">
        <f>(1+INDEX($AD$21:$AD$97,B451))*(1+INDEX($AD$21:$AD$97,C451))*(1+INDEX($AD$21:$AD$97,D451))*(1+INDEX($AD$21:$AD$97,E451))*(1+INDEX($AD$21:$AD$97,F451))-1</f>
        <v>0.226716397111985</v>
      </c>
      <c r="N451" s="489">
        <f>(1+INDEX($AE$21:$AE$97,B451))*(1+INDEX($AE$21:$AE$97,C451))*(1+INDEX($AE$21:$AE$97,D451))*(1+INDEX($AE$21:$AE$97,E451))*(1+INDEX($AE$21:$AE$97,F451))-1</f>
        <v>0.246291100620313</v>
      </c>
      <c r="O451" s="489">
        <f>(1+INDEX($AF$21:$AF$97,B451))*(1+INDEX($AF$21:$AF$97,C451))*(1+INDEX($AF$21:$AF$97,D451))*(1+INDEX($AF$21:$AF$97,E451))*(1+INDEX($AF$21:$AF$97,F451))-1</f>
        <v>0.222125853823018</v>
      </c>
      <c r="P451" s="489">
        <f>LN((1+L451)/(1+H451))</f>
        <v>0.0110848026725967</v>
      </c>
      <c r="Q451" s="489">
        <f>LN((1+M451)/(1+H451))</f>
        <v>-0.00325922862770697</v>
      </c>
      <c r="R451" s="489">
        <f>LN((1+N451)/(1+H451))</f>
        <v>0.0125717887420871</v>
      </c>
      <c r="S451" s="542">
        <f>LN((1+O451)/(1+H451))</f>
        <v>-0.00700838696107085</v>
      </c>
    </row>
    <row r="452">
      <c r="A452" s="320" t="n">
        <v>351</v>
      </c>
      <c r="B452" s="174" t="n">
        <v>18</v>
      </c>
      <c r="C452" s="174" t="n">
        <v>73</v>
      </c>
      <c r="D452" s="174" t="n">
        <v>3</v>
      </c>
      <c r="E452" s="174" t="n">
        <v>71</v>
      </c>
      <c r="F452" s="174" t="n">
        <v>76</v>
      </c>
      <c r="G452" s="68">
        <f>(1+INDEX($Z$21:$Z$97,B452))*(1+INDEX($Z$21:$Z$97,C452))*(1+INDEX($Z$21:$Z$97,D452))*(1+INDEX($Z$21:$Z$97,E452))*(1+INDEX($Z$21:$Z$97,F452))-1</f>
        <v>0.573272526682768</v>
      </c>
      <c r="H452" s="68">
        <f>(1+INDEX($AA$21:$AA$97,B452))*(1+INDEX($AA$21:$AA$97,C452))*(1+INDEX($AA$21:$AA$97,D452))*(1+INDEX($AA$21:$AA$97,E452))*(1+INDEX($AA$21:$AA$97,F452))-1</f>
        <v>0.473023957497171</v>
      </c>
      <c r="I452" s="68">
        <f>(1+INDEX($AB$21:$AB$97,B452))*(1+INDEX($AB$21:$AB$97,C452))*(1+INDEX($AB$21:$AB$97,D452))*(1+INDEX($AB$21:$AB$97,E452))*(1+INDEX($AB$21:$AB$97,F452))-1</f>
        <v>0.511609039919138</v>
      </c>
      <c r="J452" s="489">
        <f>LN((1+G452)/(1+H452))</f>
        <v>0.0658404601149896</v>
      </c>
      <c r="K452" s="489">
        <f>LN((1+I452)/(1+H452))</f>
        <v>0.0258572710672714</v>
      </c>
      <c r="L452" s="489">
        <f>(1+INDEX($AC$21:$AC$97,B452))*(1+INDEX($AC$21:$AC$97,C452))*(1+INDEX($AC$21:$AC$97,D452))*(1+INDEX($AC$21:$AC$97,E452))*(1+INDEX($AC$21:$AC$97,F452))-1</f>
        <v>0.489291908533998</v>
      </c>
      <c r="M452" s="489">
        <f>(1+INDEX($AD$21:$AD$97,B452))*(1+INDEX($AD$21:$AD$97,C452))*(1+INDEX($AD$21:$AD$97,D452))*(1+INDEX($AD$21:$AD$97,E452))*(1+INDEX($AD$21:$AD$97,F452))-1</f>
        <v>0.517012679355647</v>
      </c>
      <c r="N452" s="489">
        <f>(1+INDEX($AE$21:$AE$97,B452))*(1+INDEX($AE$21:$AE$97,C452))*(1+INDEX($AE$21:$AE$97,D452))*(1+INDEX($AE$21:$AE$97,E452))*(1+INDEX($AE$21:$AE$97,F452))-1</f>
        <v>0.485540176158352</v>
      </c>
      <c r="O452" s="489">
        <f>(1+INDEX($AF$21:$AF$97,B452))*(1+INDEX($AF$21:$AF$97,C452))*(1+INDEX($AF$21:$AF$97,D452))*(1+INDEX($AF$21:$AF$97,E452))*(1+INDEX($AF$21:$AF$97,F452))-1</f>
        <v>0.507971470567066</v>
      </c>
      <c r="P452" s="489">
        <f>LN((1+L452)/(1+H452))</f>
        <v>0.0109833760557339</v>
      </c>
      <c r="Q452" s="489">
        <f>LN((1+M452)/(1+H452))</f>
        <v>0.0294256567365671</v>
      </c>
      <c r="R452" s="489">
        <f>LN((1+N452)/(1+H452))</f>
        <v>0.00846105932799693</v>
      </c>
      <c r="S452" s="542">
        <f>LN((1+O452)/(1+H452))</f>
        <v>0.0234479489120494</v>
      </c>
    </row>
    <row r="453">
      <c r="A453" s="320" t="n">
        <v>352</v>
      </c>
      <c r="B453" s="174" t="n">
        <v>37</v>
      </c>
      <c r="C453" s="174" t="n">
        <v>10</v>
      </c>
      <c r="D453" s="174" t="n">
        <v>60</v>
      </c>
      <c r="E453" s="174" t="n">
        <v>20</v>
      </c>
      <c r="F453" s="174" t="n">
        <v>64</v>
      </c>
      <c r="G453" s="68">
        <f>(1+INDEX($Z$21:$Z$97,B453))*(1+INDEX($Z$21:$Z$97,C453))*(1+INDEX($Z$21:$Z$97,D453))*(1+INDEX($Z$21:$Z$97,E453))*(1+INDEX($Z$21:$Z$97,F453))-1</f>
        <v>-0.104097039165698</v>
      </c>
      <c r="H453" s="68">
        <f>(1+INDEX($AA$21:$AA$97,B453))*(1+INDEX($AA$21:$AA$97,C453))*(1+INDEX($AA$21:$AA$97,D453))*(1+INDEX($AA$21:$AA$97,E453))*(1+INDEX($AA$21:$AA$97,F453))-1</f>
        <v>-0.0680818965795289</v>
      </c>
      <c r="I453" s="68">
        <f>(1+INDEX($AB$21:$AB$97,B453))*(1+INDEX($AB$21:$AB$97,C453))*(1+INDEX($AB$21:$AB$97,D453))*(1+INDEX($AB$21:$AB$97,E453))*(1+INDEX($AB$21:$AB$97,F453))-1</f>
        <v>-0.106566719294729</v>
      </c>
      <c r="J453" s="489">
        <f>LN((1+G453)/(1+H453))</f>
        <v>-0.0394128344886975</v>
      </c>
      <c r="K453" s="489">
        <f>LN((1+I453)/(1+H453))</f>
        <v>-0.0421732789931509</v>
      </c>
      <c r="L453" s="489">
        <f>(1+INDEX($AC$21:$AC$97,B453))*(1+INDEX($AC$21:$AC$97,C453))*(1+INDEX($AC$21:$AC$97,D453))*(1+INDEX($AC$21:$AC$97,E453))*(1+INDEX($AC$21:$AC$97,F453))-1</f>
        <v>-0.103710921938895</v>
      </c>
      <c r="M453" s="489">
        <f>(1+INDEX($AD$21:$AD$97,B453))*(1+INDEX($AD$21:$AD$97,C453))*(1+INDEX($AD$21:$AD$97,D453))*(1+INDEX($AD$21:$AD$97,E453))*(1+INDEX($AD$21:$AD$97,F453))-1</f>
        <v>-0.106885877590518</v>
      </c>
      <c r="N453" s="489">
        <f>(1+INDEX($AE$21:$AE$97,B453))*(1+INDEX($AE$21:$AE$97,C453))*(1+INDEX($AE$21:$AE$97,D453))*(1+INDEX($AE$21:$AE$97,E453))*(1+INDEX($AE$21:$AE$97,F453))-1</f>
        <v>-0.0964668024872524</v>
      </c>
      <c r="O453" s="489">
        <f>(1+INDEX($AF$21:$AF$97,B453))*(1+INDEX($AF$21:$AF$97,C453))*(1+INDEX($AF$21:$AF$97,D453))*(1+INDEX($AF$21:$AF$97,E453))*(1+INDEX($AF$21:$AF$97,F453))-1</f>
        <v>-0.0885785396409399</v>
      </c>
      <c r="P453" s="489">
        <f>LN((1+L453)/(1+H453))</f>
        <v>-0.038981946253065</v>
      </c>
      <c r="Q453" s="489">
        <f>LN((1+M453)/(1+H453))</f>
        <v>-0.0425305695958274</v>
      </c>
      <c r="R453" s="489">
        <f>LN((1+N453)/(1+H453))</f>
        <v>-0.030932086366001</v>
      </c>
      <c r="S453" s="542">
        <f>LN((1+O453)/(1+H453))</f>
        <v>-0.0222395138189835</v>
      </c>
    </row>
    <row r="454">
      <c r="A454" s="320" t="n">
        <v>353</v>
      </c>
      <c r="B454" s="174" t="n">
        <v>49</v>
      </c>
      <c r="C454" s="174" t="n">
        <v>21</v>
      </c>
      <c r="D454" s="174" t="n">
        <v>29</v>
      </c>
      <c r="E454" s="174" t="n">
        <v>9</v>
      </c>
      <c r="F454" s="174" t="n">
        <v>69</v>
      </c>
      <c r="G454" s="68">
        <f>(1+INDEX($Z$21:$Z$97,B454))*(1+INDEX($Z$21:$Z$97,C454))*(1+INDEX($Z$21:$Z$97,D454))*(1+INDEX($Z$21:$Z$97,E454))*(1+INDEX($Z$21:$Z$97,F454))-1</f>
        <v>0.209802852665209</v>
      </c>
      <c r="H454" s="68">
        <f>(1+INDEX($AA$21:$AA$97,B454))*(1+INDEX($AA$21:$AA$97,C454))*(1+INDEX($AA$21:$AA$97,D454))*(1+INDEX($AA$21:$AA$97,E454))*(1+INDEX($AA$21:$AA$97,F454))-1</f>
        <v>0.249726356575964</v>
      </c>
      <c r="I454" s="68">
        <f>(1+INDEX($AB$21:$AB$97,B454))*(1+INDEX($AB$21:$AB$97,C454))*(1+INDEX($AB$21:$AB$97,D454))*(1+INDEX($AB$21:$AB$97,E454))*(1+INDEX($AB$21:$AB$97,F454))-1</f>
        <v>0.248370526168394</v>
      </c>
      <c r="J454" s="489">
        <f>LN((1+G454)/(1+H454))</f>
        <v>-0.0324671979574558</v>
      </c>
      <c r="K454" s="489">
        <f>LN((1+I454)/(1+H454))</f>
        <v>-0.00108549075903819</v>
      </c>
      <c r="L454" s="489">
        <f>(1+INDEX($AC$21:$AC$97,B454))*(1+INDEX($AC$21:$AC$97,C454))*(1+INDEX($AC$21:$AC$97,D454))*(1+INDEX($AC$21:$AC$97,E454))*(1+INDEX($AC$21:$AC$97,F454))-1</f>
        <v>0.224857641605067</v>
      </c>
      <c r="M454" s="489">
        <f>(1+INDEX($AD$21:$AD$97,B454))*(1+INDEX($AD$21:$AD$97,C454))*(1+INDEX($AD$21:$AD$97,D454))*(1+INDEX($AD$21:$AD$97,E454))*(1+INDEX($AD$21:$AD$97,F454))-1</f>
        <v>0.259324720653288</v>
      </c>
      <c r="N454" s="489">
        <f>(1+INDEX($AE$21:$AE$97,B454))*(1+INDEX($AE$21:$AE$97,C454))*(1+INDEX($AE$21:$AE$97,D454))*(1+INDEX($AE$21:$AE$97,E454))*(1+INDEX($AE$21:$AE$97,F454))-1</f>
        <v>0.232254850841932</v>
      </c>
      <c r="O454" s="489">
        <f>(1+INDEX($AF$21:$AF$97,B454))*(1+INDEX($AF$21:$AF$97,C454))*(1+INDEX($AF$21:$AF$97,D454))*(1+INDEX($AF$21:$AF$97,E454))*(1+INDEX($AF$21:$AF$97,F454))-1</f>
        <v>0.289467484428636</v>
      </c>
      <c r="P454" s="489">
        <f>LN((1+L454)/(1+H454))</f>
        <v>-0.0200999863006149</v>
      </c>
      <c r="Q454" s="489">
        <f>LN((1+M454)/(1+H454))</f>
        <v>0.00765102869925632</v>
      </c>
      <c r="R454" s="489">
        <f>LN((1+N454)/(1+H454))</f>
        <v>-0.0140789094411691</v>
      </c>
      <c r="S454" s="542">
        <f>LN((1+O454)/(1+H454))</f>
        <v>0.0313047177689114</v>
      </c>
    </row>
    <row r="455">
      <c r="A455" s="320" t="n">
        <v>354</v>
      </c>
      <c r="B455" s="174" t="n">
        <v>58</v>
      </c>
      <c r="C455" s="174" t="n">
        <v>50</v>
      </c>
      <c r="D455" s="174" t="n">
        <v>13</v>
      </c>
      <c r="E455" s="174" t="n">
        <v>30</v>
      </c>
      <c r="F455" s="174" t="n">
        <v>11</v>
      </c>
      <c r="G455" s="68">
        <f>(1+INDEX($Z$21:$Z$97,B455))*(1+INDEX($Z$21:$Z$97,C455))*(1+INDEX($Z$21:$Z$97,D455))*(1+INDEX($Z$21:$Z$97,E455))*(1+INDEX($Z$21:$Z$97,F455))-1</f>
        <v>0.834346721107728</v>
      </c>
      <c r="H455" s="68">
        <f>(1+INDEX($AA$21:$AA$97,B455))*(1+INDEX($AA$21:$AA$97,C455))*(1+INDEX($AA$21:$AA$97,D455))*(1+INDEX($AA$21:$AA$97,E455))*(1+INDEX($AA$21:$AA$97,F455))-1</f>
        <v>0.697280562206395</v>
      </c>
      <c r="I455" s="68">
        <f>(1+INDEX($AB$21:$AB$97,B455))*(1+INDEX($AB$21:$AB$97,C455))*(1+INDEX($AB$21:$AB$97,D455))*(1+INDEX($AB$21:$AB$97,E455))*(1+INDEX($AB$21:$AB$97,F455))-1</f>
        <v>0.726927530609567</v>
      </c>
      <c r="J455" s="489">
        <f>LN((1+G455)/(1+H455))</f>
        <v>0.0776611068895386</v>
      </c>
      <c r="K455" s="489">
        <f>LN((1+I455)/(1+H455))</f>
        <v>0.0173165347607644</v>
      </c>
      <c r="L455" s="489">
        <f>(1+INDEX($AC$21:$AC$97,B455))*(1+INDEX($AC$21:$AC$97,C455))*(1+INDEX($AC$21:$AC$97,D455))*(1+INDEX($AC$21:$AC$97,E455))*(1+INDEX($AC$21:$AC$97,F455))-1</f>
        <v>0.746239558137402</v>
      </c>
      <c r="M455" s="489">
        <f>(1+INDEX($AD$21:$AD$97,B455))*(1+INDEX($AD$21:$AD$97,C455))*(1+INDEX($AD$21:$AD$97,D455))*(1+INDEX($AD$21:$AD$97,E455))*(1+INDEX($AD$21:$AD$97,F455))-1</f>
        <v>0.740015444502064</v>
      </c>
      <c r="N455" s="489">
        <f>(1+INDEX($AE$21:$AE$97,B455))*(1+INDEX($AE$21:$AE$97,C455))*(1+INDEX($AE$21:$AE$97,D455))*(1+INDEX($AE$21:$AE$97,E455))*(1+INDEX($AE$21:$AE$97,F455))-1</f>
        <v>0.732885417316788</v>
      </c>
      <c r="O455" s="489">
        <f>(1+INDEX($AF$21:$AF$97,B455))*(1+INDEX($AF$21:$AF$97,C455))*(1+INDEX($AF$21:$AF$97,D455))*(1+INDEX($AF$21:$AF$97,E455))*(1+INDEX($AF$21:$AF$97,F455))-1</f>
        <v>0.736585812659282</v>
      </c>
      <c r="P455" s="489">
        <f>LN((1+L455)/(1+H455))</f>
        <v>0.0284373510443486</v>
      </c>
      <c r="Q455" s="489">
        <f>LN((1+M455)/(1+H455))</f>
        <v>0.0248666884028872</v>
      </c>
      <c r="R455" s="489">
        <f>LN((1+N455)/(1+H455))</f>
        <v>0.0207605895036193</v>
      </c>
      <c r="S455" s="542">
        <f>LN((1+O455)/(1+H455))</f>
        <v>0.0228937080685748</v>
      </c>
    </row>
    <row r="456">
      <c r="A456" s="320" t="n">
        <v>355</v>
      </c>
      <c r="B456" s="174" t="n">
        <v>76</v>
      </c>
      <c r="C456" s="174" t="n">
        <v>15</v>
      </c>
      <c r="D456" s="174" t="n">
        <v>65</v>
      </c>
      <c r="E456" s="174" t="n">
        <v>4</v>
      </c>
      <c r="F456" s="174" t="n">
        <v>76</v>
      </c>
      <c r="G456" s="68">
        <f>(1+INDEX($Z$21:$Z$97,B456))*(1+INDEX($Z$21:$Z$97,C456))*(1+INDEX($Z$21:$Z$97,D456))*(1+INDEX($Z$21:$Z$97,E456))*(1+INDEX($Z$21:$Z$97,F456))-1</f>
        <v>0.224205754222831</v>
      </c>
      <c r="H456" s="68">
        <f>(1+INDEX($AA$21:$AA$97,B456))*(1+INDEX($AA$21:$AA$97,C456))*(1+INDEX($AA$21:$AA$97,D456))*(1+INDEX($AA$21:$AA$97,E456))*(1+INDEX($AA$21:$AA$97,F456))-1</f>
        <v>0.212686016236835</v>
      </c>
      <c r="I456" s="68">
        <f>(1+INDEX($AB$21:$AB$97,B456))*(1+INDEX($AB$21:$AB$97,C456))*(1+INDEX($AB$21:$AB$97,D456))*(1+INDEX($AB$21:$AB$97,E456))*(1+INDEX($AB$21:$AB$97,F456))-1</f>
        <v>0.22858566724545</v>
      </c>
      <c r="J456" s="489">
        <f>LN((1+G456)/(1+H456))</f>
        <v>0.00945452230257654</v>
      </c>
      <c r="K456" s="489">
        <f>LN((1+I456)/(1+H456))</f>
        <v>0.0130258962397649</v>
      </c>
      <c r="L456" s="489">
        <f>(1+INDEX($AC$21:$AC$97,B456))*(1+INDEX($AC$21:$AC$97,C456))*(1+INDEX($AC$21:$AC$97,D456))*(1+INDEX($AC$21:$AC$97,E456))*(1+INDEX($AC$21:$AC$97,F456))-1</f>
        <v>0.218207719558277</v>
      </c>
      <c r="M456" s="489">
        <f>(1+INDEX($AD$21:$AD$97,B456))*(1+INDEX($AD$21:$AD$97,C456))*(1+INDEX($AD$21:$AD$97,D456))*(1+INDEX($AD$21:$AD$97,E456))*(1+INDEX($AD$21:$AD$97,F456))-1</f>
        <v>0.227010823007605</v>
      </c>
      <c r="N456" s="489">
        <f>(1+INDEX($AE$21:$AE$97,B456))*(1+INDEX($AE$21:$AE$97,C456))*(1+INDEX($AE$21:$AE$97,D456))*(1+INDEX($AE$21:$AE$97,E456))*(1+INDEX($AE$21:$AE$97,F456))-1</f>
        <v>0.192309501554821</v>
      </c>
      <c r="O456" s="489">
        <f>(1+INDEX($AF$21:$AF$97,B456))*(1+INDEX($AF$21:$AF$97,C456))*(1+INDEX($AF$21:$AF$97,D456))*(1+INDEX($AF$21:$AF$97,E456))*(1+INDEX($AF$21:$AF$97,F456))-1</f>
        <v>0.231415863791764</v>
      </c>
      <c r="P456" s="489">
        <f>LN((1+L456)/(1+H456))</f>
        <v>0.00454294874079963</v>
      </c>
      <c r="Q456" s="489">
        <f>LN((1+M456)/(1+H456))</f>
        <v>0.0117432388813525</v>
      </c>
      <c r="R456" s="489">
        <f>LN((1+N456)/(1+H456))</f>
        <v>-0.0169455636200259</v>
      </c>
      <c r="S456" s="542">
        <f>LN((1+O456)/(1+H456))</f>
        <v>0.0153268686247868</v>
      </c>
    </row>
    <row r="457">
      <c r="A457" s="320" t="n">
        <v>356</v>
      </c>
      <c r="B457" s="174" t="n">
        <v>45</v>
      </c>
      <c r="C457" s="174" t="n">
        <v>5</v>
      </c>
      <c r="D457" s="174" t="n">
        <v>65</v>
      </c>
      <c r="E457" s="174" t="n">
        <v>63</v>
      </c>
      <c r="F457" s="174" t="n">
        <v>7</v>
      </c>
      <c r="G457" s="68">
        <f>(1+INDEX($Z$21:$Z$97,B457))*(1+INDEX($Z$21:$Z$97,C457))*(1+INDEX($Z$21:$Z$97,D457))*(1+INDEX($Z$21:$Z$97,E457))*(1+INDEX($Z$21:$Z$97,F457))-1</f>
        <v>-0.244313867275818</v>
      </c>
      <c r="H457" s="68">
        <f>(1+INDEX($AA$21:$AA$97,B457))*(1+INDEX($AA$21:$AA$97,C457))*(1+INDEX($AA$21:$AA$97,D457))*(1+INDEX($AA$21:$AA$97,E457))*(1+INDEX($AA$21:$AA$97,F457))-1</f>
        <v>-0.190813480183887</v>
      </c>
      <c r="I457" s="68">
        <f>(1+INDEX($AB$21:$AB$97,B457))*(1+INDEX($AB$21:$AB$97,C457))*(1+INDEX($AB$21:$AB$97,D457))*(1+INDEX($AB$21:$AB$97,E457))*(1+INDEX($AB$21:$AB$97,F457))-1</f>
        <v>-0.212387291472465</v>
      </c>
      <c r="J457" s="489">
        <f>LN((1+G457)/(1+H457))</f>
        <v>-0.068403324880477</v>
      </c>
      <c r="K457" s="489">
        <f>LN((1+I457)/(1+H457))</f>
        <v>-0.0270229641009644</v>
      </c>
      <c r="L457" s="489">
        <f>(1+INDEX($AC$21:$AC$97,B457))*(1+INDEX($AC$21:$AC$97,C457))*(1+INDEX($AC$21:$AC$97,D457))*(1+INDEX($AC$21:$AC$97,E457))*(1+INDEX($AC$21:$AC$97,F457))-1</f>
        <v>-0.219174375316979</v>
      </c>
      <c r="M457" s="489">
        <f>(1+INDEX($AD$21:$AD$97,B457))*(1+INDEX($AD$21:$AD$97,C457))*(1+INDEX($AD$21:$AD$97,D457))*(1+INDEX($AD$21:$AD$97,E457))*(1+INDEX($AD$21:$AD$97,F457))-1</f>
        <v>-0.234958581951128</v>
      </c>
      <c r="N457" s="489">
        <f>(1+INDEX($AE$21:$AE$97,B457))*(1+INDEX($AE$21:$AE$97,C457))*(1+INDEX($AE$21:$AE$97,D457))*(1+INDEX($AE$21:$AE$97,E457))*(1+INDEX($AE$21:$AE$97,F457))-1</f>
        <v>-0.232804742115625</v>
      </c>
      <c r="O457" s="489">
        <f>(1+INDEX($AF$21:$AF$97,B457))*(1+INDEX($AF$21:$AF$97,C457))*(1+INDEX($AF$21:$AF$97,D457))*(1+INDEX($AF$21:$AF$97,E457))*(1+INDEX($AF$21:$AF$97,F457))-1</f>
        <v>-0.208464084946689</v>
      </c>
      <c r="P457" s="489">
        <f>LN((1+L457)/(1+H457))</f>
        <v>-0.0356775934414224</v>
      </c>
      <c r="Q457" s="489">
        <f>LN((1+M457)/(1+H457))</f>
        <v>-0.0560994728982035</v>
      </c>
      <c r="R457" s="489">
        <f>LN((1+N457)/(1+H457))</f>
        <v>-0.0532881040177191</v>
      </c>
      <c r="S457" s="542">
        <f>LN((1+O457)/(1+H457))</f>
        <v>-0.022054192271943</v>
      </c>
    </row>
    <row r="458">
      <c r="A458" s="320" t="n">
        <v>357</v>
      </c>
      <c r="B458" s="174" t="n">
        <v>31</v>
      </c>
      <c r="C458" s="174" t="n">
        <v>33</v>
      </c>
      <c r="D458" s="174" t="n">
        <v>59</v>
      </c>
      <c r="E458" s="174" t="n">
        <v>69</v>
      </c>
      <c r="F458" s="174" t="n">
        <v>37</v>
      </c>
      <c r="G458" s="68">
        <f>(1+INDEX($Z$21:$Z$97,B458))*(1+INDEX($Z$21:$Z$97,C458))*(1+INDEX($Z$21:$Z$97,D458))*(1+INDEX($Z$21:$Z$97,E458))*(1+INDEX($Z$21:$Z$97,F458))-1</f>
        <v>0.765523107247131</v>
      </c>
      <c r="H458" s="68">
        <f>(1+INDEX($AA$21:$AA$97,B458))*(1+INDEX($AA$21:$AA$97,C458))*(1+INDEX($AA$21:$AA$97,D458))*(1+INDEX($AA$21:$AA$97,E458))*(1+INDEX($AA$21:$AA$97,F458))-1</f>
        <v>0.781889844842305</v>
      </c>
      <c r="I458" s="68">
        <f>(1+INDEX($AB$21:$AB$97,B458))*(1+INDEX($AB$21:$AB$97,C458))*(1+INDEX($AB$21:$AB$97,D458))*(1+INDEX($AB$21:$AB$97,E458))*(1+INDEX($AB$21:$AB$97,F458))-1</f>
        <v>0.830927738208306</v>
      </c>
      <c r="J458" s="489">
        <f>LN((1+G458)/(1+H458))</f>
        <v>-0.00922748715582374</v>
      </c>
      <c r="K458" s="489">
        <f>LN((1+I458)/(1+H458))</f>
        <v>0.0271482874882119</v>
      </c>
      <c r="L458" s="489">
        <f>(1+INDEX($AC$21:$AC$97,B458))*(1+INDEX($AC$21:$AC$97,C458))*(1+INDEX($AC$21:$AC$97,D458))*(1+INDEX($AC$21:$AC$97,E458))*(1+INDEX($AC$21:$AC$97,F458))-1</f>
        <v>0.853436673341251</v>
      </c>
      <c r="M458" s="489">
        <f>(1+INDEX($AD$21:$AD$97,B458))*(1+INDEX($AD$21:$AD$97,C458))*(1+INDEX($AD$21:$AD$97,D458))*(1+INDEX($AD$21:$AD$97,E458))*(1+INDEX($AD$21:$AD$97,F458))-1</f>
        <v>0.819262545747294</v>
      </c>
      <c r="N458" s="489">
        <f>(1+INDEX($AE$21:$AE$97,B458))*(1+INDEX($AE$21:$AE$97,C458))*(1+INDEX($AE$21:$AE$97,D458))*(1+INDEX($AE$21:$AE$97,E458))*(1+INDEX($AE$21:$AE$97,F458))-1</f>
        <v>0.879528462096997</v>
      </c>
      <c r="O458" s="489">
        <f>(1+INDEX($AF$21:$AF$97,B458))*(1+INDEX($AF$21:$AF$97,C458))*(1+INDEX($AF$21:$AF$97,D458))*(1+INDEX($AF$21:$AF$97,E458))*(1+INDEX($AF$21:$AF$97,F458))-1</f>
        <v>0.708450737117738</v>
      </c>
      <c r="P458" s="489">
        <f>LN((1+L458)/(1+H458))</f>
        <v>0.0393670653634962</v>
      </c>
      <c r="Q458" s="489">
        <f>LN((1+M458)/(1+H458))</f>
        <v>0.0207567126573408</v>
      </c>
      <c r="R458" s="489">
        <f>LN((1+N458)/(1+H458))</f>
        <v>0.0533464156747546</v>
      </c>
      <c r="S458" s="542">
        <f>LN((1+O458)/(1+H458))</f>
        <v>-0.042087553512042</v>
      </c>
    </row>
    <row r="459">
      <c r="A459" s="320" t="n">
        <v>358</v>
      </c>
      <c r="B459" s="174" t="n">
        <v>57</v>
      </c>
      <c r="C459" s="174" t="n">
        <v>7</v>
      </c>
      <c r="D459" s="174" t="n">
        <v>39</v>
      </c>
      <c r="E459" s="174" t="n">
        <v>43</v>
      </c>
      <c r="F459" s="174" t="n">
        <v>76</v>
      </c>
      <c r="G459" s="68">
        <f>(1+INDEX($Z$21:$Z$97,B459))*(1+INDEX($Z$21:$Z$97,C459))*(1+INDEX($Z$21:$Z$97,D459))*(1+INDEX($Z$21:$Z$97,E459))*(1+INDEX($Z$21:$Z$97,F459))-1</f>
        <v>0.282100510333512</v>
      </c>
      <c r="H459" s="68">
        <f>(1+INDEX($AA$21:$AA$97,B459))*(1+INDEX($AA$21:$AA$97,C459))*(1+INDEX($AA$21:$AA$97,D459))*(1+INDEX($AA$21:$AA$97,E459))*(1+INDEX($AA$21:$AA$97,F459))-1</f>
        <v>0.261728450577049</v>
      </c>
      <c r="I459" s="68">
        <f>(1+INDEX($AB$21:$AB$97,B459))*(1+INDEX($AB$21:$AB$97,C459))*(1+INDEX($AB$21:$AB$97,D459))*(1+INDEX($AB$21:$AB$97,E459))*(1+INDEX($AB$21:$AB$97,F459))-1</f>
        <v>0.277333126969004</v>
      </c>
      <c r="J459" s="489">
        <f>LN((1+G459)/(1+H459))</f>
        <v>0.0160171895248656</v>
      </c>
      <c r="K459" s="489">
        <f>LN((1+I459)/(1+H459))</f>
        <v>0.0122918427851917</v>
      </c>
      <c r="L459" s="489">
        <f>(1+INDEX($AC$21:$AC$97,B459))*(1+INDEX($AC$21:$AC$97,C459))*(1+INDEX($AC$21:$AC$97,D459))*(1+INDEX($AC$21:$AC$97,E459))*(1+INDEX($AC$21:$AC$97,F459))-1</f>
        <v>0.270206656442134</v>
      </c>
      <c r="M459" s="489">
        <f>(1+INDEX($AD$21:$AD$97,B459))*(1+INDEX($AD$21:$AD$97,C459))*(1+INDEX($AD$21:$AD$97,D459))*(1+INDEX($AD$21:$AD$97,E459))*(1+INDEX($AD$21:$AD$97,F459))-1</f>
        <v>0.26927702631748</v>
      </c>
      <c r="N459" s="489">
        <f>(1+INDEX($AE$21:$AE$97,B459))*(1+INDEX($AE$21:$AE$97,C459))*(1+INDEX($AE$21:$AE$97,D459))*(1+INDEX($AE$21:$AE$97,E459))*(1+INDEX($AE$21:$AE$97,F459))-1</f>
        <v>0.253967452581551</v>
      </c>
      <c r="O459" s="489">
        <f>(1+INDEX($AF$21:$AF$97,B459))*(1+INDEX($AF$21:$AF$97,C459))*(1+INDEX($AF$21:$AF$97,D459))*(1+INDEX($AF$21:$AF$97,E459))*(1+INDEX($AF$21:$AF$97,F459))-1</f>
        <v>0.286612863517364</v>
      </c>
      <c r="P459" s="489">
        <f>LN((1+L459)/(1+H459))</f>
        <v>0.00669704174416812</v>
      </c>
      <c r="Q459" s="489">
        <f>LN((1+M459)/(1+H459))</f>
        <v>0.00596490066171782</v>
      </c>
      <c r="R459" s="489">
        <f>LN((1+N459)/(1+H459))</f>
        <v>-0.00617008010183778</v>
      </c>
      <c r="S459" s="542">
        <f>LN((1+O459)/(1+H459))</f>
        <v>0.019530510918586</v>
      </c>
    </row>
    <row r="460">
      <c r="A460" s="320" t="n">
        <v>359</v>
      </c>
      <c r="B460" s="174" t="n">
        <v>53</v>
      </c>
      <c r="C460" s="174" t="n">
        <v>12</v>
      </c>
      <c r="D460" s="174" t="n">
        <v>16</v>
      </c>
      <c r="E460" s="174" t="n">
        <v>12</v>
      </c>
      <c r="F460" s="174" t="n">
        <v>37</v>
      </c>
      <c r="G460" s="68">
        <f>(1+INDEX($Z$21:$Z$97,B460))*(1+INDEX($Z$21:$Z$97,C460))*(1+INDEX($Z$21:$Z$97,D460))*(1+INDEX($Z$21:$Z$97,E460))*(1+INDEX($Z$21:$Z$97,F460))-1</f>
        <v>0.279004809799967</v>
      </c>
      <c r="H460" s="68">
        <f>(1+INDEX($AA$21:$AA$97,B460))*(1+INDEX($AA$21:$AA$97,C460))*(1+INDEX($AA$21:$AA$97,D460))*(1+INDEX($AA$21:$AA$97,E460))*(1+INDEX($AA$21:$AA$97,F460))-1</f>
        <v>0.22287039211327</v>
      </c>
      <c r="I460" s="68">
        <f>(1+INDEX($AB$21:$AB$97,B460))*(1+INDEX($AB$21:$AB$97,C460))*(1+INDEX($AB$21:$AB$97,D460))*(1+INDEX($AB$21:$AB$97,E460))*(1+INDEX($AB$21:$AB$97,F460))-1</f>
        <v>0.196791199770483</v>
      </c>
      <c r="J460" s="489">
        <f>LN((1+G460)/(1+H460))</f>
        <v>0.0448814074721141</v>
      </c>
      <c r="K460" s="489">
        <f>LN((1+I460)/(1+H460))</f>
        <v>-0.0215569006336193</v>
      </c>
      <c r="L460" s="489">
        <f>(1+INDEX($AC$21:$AC$97,B460))*(1+INDEX($AC$21:$AC$97,C460))*(1+INDEX($AC$21:$AC$97,D460))*(1+INDEX($AC$21:$AC$97,E460))*(1+INDEX($AC$21:$AC$97,F460))-1</f>
        <v>0.20158781818189</v>
      </c>
      <c r="M460" s="489">
        <f>(1+INDEX($AD$21:$AD$97,B460))*(1+INDEX($AD$21:$AD$97,C460))*(1+INDEX($AD$21:$AD$97,D460))*(1+INDEX($AD$21:$AD$97,E460))*(1+INDEX($AD$21:$AD$97,F460))-1</f>
        <v>0.230950359487383</v>
      </c>
      <c r="N460" s="489">
        <f>(1+INDEX($AE$21:$AE$97,B460))*(1+INDEX($AE$21:$AE$97,C460))*(1+INDEX($AE$21:$AE$97,D460))*(1+INDEX($AE$21:$AE$97,E460))*(1+INDEX($AE$21:$AE$97,F460))-1</f>
        <v>0.190974436384554</v>
      </c>
      <c r="O460" s="489">
        <f>(1+INDEX($AF$21:$AF$97,B460))*(1+INDEX($AF$21:$AF$97,C460))*(1+INDEX($AF$21:$AF$97,D460))*(1+INDEX($AF$21:$AF$97,E460))*(1+INDEX($AF$21:$AF$97,F460))-1</f>
        <v>0.251455960925548</v>
      </c>
      <c r="P460" s="489">
        <f>LN((1+L460)/(1+H460))</f>
        <v>-0.0175570117331273</v>
      </c>
      <c r="Q460" s="489">
        <f>LN((1+M460)/(1+H460))</f>
        <v>0.00658564532202095</v>
      </c>
      <c r="R460" s="489">
        <f>LN((1+N460)/(1+H460))</f>
        <v>-0.0264290495617181</v>
      </c>
      <c r="S460" s="542">
        <f>LN((1+O460)/(1+H460))</f>
        <v>0.023106766526112</v>
      </c>
    </row>
    <row r="461">
      <c r="A461" s="320" t="n">
        <v>360</v>
      </c>
      <c r="B461" s="174" t="n">
        <v>12</v>
      </c>
      <c r="C461" s="174" t="n">
        <v>72</v>
      </c>
      <c r="D461" s="174" t="n">
        <v>41</v>
      </c>
      <c r="E461" s="174" t="n">
        <v>71</v>
      </c>
      <c r="F461" s="174" t="n">
        <v>6</v>
      </c>
      <c r="G461" s="68">
        <f>(1+INDEX($Z$21:$Z$97,B461))*(1+INDEX($Z$21:$Z$97,C461))*(1+INDEX($Z$21:$Z$97,D461))*(1+INDEX($Z$21:$Z$97,E461))*(1+INDEX($Z$21:$Z$97,F461))-1</f>
        <v>0.526393741804722</v>
      </c>
      <c r="H461" s="68">
        <f>(1+INDEX($AA$21:$AA$97,B461))*(1+INDEX($AA$21:$AA$97,C461))*(1+INDEX($AA$21:$AA$97,D461))*(1+INDEX($AA$21:$AA$97,E461))*(1+INDEX($AA$21:$AA$97,F461))-1</f>
        <v>0.484360775375304</v>
      </c>
      <c r="I461" s="68">
        <f>(1+INDEX($AB$21:$AB$97,B461))*(1+INDEX($AB$21:$AB$97,C461))*(1+INDEX($AB$21:$AB$97,D461))*(1+INDEX($AB$21:$AB$97,E461))*(1+INDEX($AB$21:$AB$97,F461))-1</f>
        <v>0.508510466283002</v>
      </c>
      <c r="J461" s="489">
        <f>LN((1+G461)/(1+H461))</f>
        <v>0.0279236964428849</v>
      </c>
      <c r="K461" s="489">
        <f>LN((1+I461)/(1+H461))</f>
        <v>0.016138492508519</v>
      </c>
      <c r="L461" s="489">
        <f>(1+INDEX($AC$21:$AC$97,B461))*(1+INDEX($AC$21:$AC$97,C461))*(1+INDEX($AC$21:$AC$97,D461))*(1+INDEX($AC$21:$AC$97,E461))*(1+INDEX($AC$21:$AC$97,F461))-1</f>
        <v>0.507525967191878</v>
      </c>
      <c r="M461" s="489">
        <f>(1+INDEX($AD$21:$AD$97,B461))*(1+INDEX($AD$21:$AD$97,C461))*(1+INDEX($AD$21:$AD$97,D461))*(1+INDEX($AD$21:$AD$97,E461))*(1+INDEX($AD$21:$AD$97,F461))-1</f>
        <v>0.488864247100417</v>
      </c>
      <c r="N461" s="489">
        <f>(1+INDEX($AE$21:$AE$97,B461))*(1+INDEX($AE$21:$AE$97,C461))*(1+INDEX($AE$21:$AE$97,D461))*(1+INDEX($AE$21:$AE$97,E461))*(1+INDEX($AE$21:$AE$97,F461))-1</f>
        <v>0.485257314557876</v>
      </c>
      <c r="O461" s="489">
        <f>(1+INDEX($AF$21:$AF$97,B461))*(1+INDEX($AF$21:$AF$97,C461))*(1+INDEX($AF$21:$AF$97,D461))*(1+INDEX($AF$21:$AF$97,E461))*(1+INDEX($AF$21:$AF$97,F461))-1</f>
        <v>0.510503516112123</v>
      </c>
      <c r="P461" s="489">
        <f>LN((1+L461)/(1+H461))</f>
        <v>0.015485649515534</v>
      </c>
      <c r="Q461" s="489">
        <f>LN((1+M461)/(1+H461))</f>
        <v>0.00302935373884792</v>
      </c>
      <c r="R461" s="489">
        <f>LN((1+N461)/(1+H461))</f>
        <v>0.000603807750801564</v>
      </c>
      <c r="S461" s="542">
        <f>LN((1+O461)/(1+H461))</f>
        <v>0.017458824332273</v>
      </c>
    </row>
    <row r="462">
      <c r="A462" s="320" t="n">
        <v>361</v>
      </c>
      <c r="B462" s="174" t="n">
        <v>60</v>
      </c>
      <c r="C462" s="174" t="n">
        <v>19</v>
      </c>
      <c r="D462" s="174" t="n">
        <v>31</v>
      </c>
      <c r="E462" s="174" t="n">
        <v>22</v>
      </c>
      <c r="F462" s="174" t="n">
        <v>24</v>
      </c>
      <c r="G462" s="68">
        <f>(1+INDEX($Z$21:$Z$97,B462))*(1+INDEX($Z$21:$Z$97,C462))*(1+INDEX($Z$21:$Z$97,D462))*(1+INDEX($Z$21:$Z$97,E462))*(1+INDEX($Z$21:$Z$97,F462))-1</f>
        <v>0.468379405491144</v>
      </c>
      <c r="H462" s="68">
        <f>(1+INDEX($AA$21:$AA$97,B462))*(1+INDEX($AA$21:$AA$97,C462))*(1+INDEX($AA$21:$AA$97,D462))*(1+INDEX($AA$21:$AA$97,E462))*(1+INDEX($AA$21:$AA$97,F462))-1</f>
        <v>0.477825412720784</v>
      </c>
      <c r="I462" s="68">
        <f>(1+INDEX($AB$21:$AB$97,B462))*(1+INDEX($AB$21:$AB$97,C462))*(1+INDEX($AB$21:$AB$97,D462))*(1+INDEX($AB$21:$AB$97,E462))*(1+INDEX($AB$21:$AB$97,F462))-1</f>
        <v>0.496461680198899</v>
      </c>
      <c r="J462" s="489">
        <f>LN((1+G462)/(1+H462))</f>
        <v>-0.00641234413717283</v>
      </c>
      <c r="K462" s="489">
        <f>LN((1+I462)/(1+H462))</f>
        <v>0.0125317501567734</v>
      </c>
      <c r="L462" s="489">
        <f>(1+INDEX($AC$21:$AC$97,B462))*(1+INDEX($AC$21:$AC$97,C462))*(1+INDEX($AC$21:$AC$97,D462))*(1+INDEX($AC$21:$AC$97,E462))*(1+INDEX($AC$21:$AC$97,F462))-1</f>
        <v>0.499506925267825</v>
      </c>
      <c r="M462" s="489">
        <f>(1+INDEX($AD$21:$AD$97,B462))*(1+INDEX($AD$21:$AD$97,C462))*(1+INDEX($AD$21:$AD$97,D462))*(1+INDEX($AD$21:$AD$97,E462))*(1+INDEX($AD$21:$AD$97,F462))-1</f>
        <v>0.482937452405156</v>
      </c>
      <c r="N462" s="489">
        <f>(1+INDEX($AE$21:$AE$97,B462))*(1+INDEX($AE$21:$AE$97,C462))*(1+INDEX($AE$21:$AE$97,D462))*(1+INDEX($AE$21:$AE$97,E462))*(1+INDEX($AE$21:$AE$97,F462))-1</f>
        <v>0.502681560727898</v>
      </c>
      <c r="O462" s="489">
        <f>(1+INDEX($AF$21:$AF$97,B462))*(1+INDEX($AF$21:$AF$97,C462))*(1+INDEX($AF$21:$AF$97,D462))*(1+INDEX($AF$21:$AF$97,E462))*(1+INDEX($AF$21:$AF$97,F462))-1</f>
        <v>0.437512482042717</v>
      </c>
      <c r="P462" s="489">
        <f>LN((1+L462)/(1+H462))</f>
        <v>0.0145646460370024</v>
      </c>
      <c r="Q462" s="489">
        <f>LN((1+M462)/(1+H462))</f>
        <v>0.00345319432669379</v>
      </c>
      <c r="R462" s="489">
        <f>LN((1+N462)/(1+H462))</f>
        <v>0.0166795276696209</v>
      </c>
      <c r="S462" s="542">
        <f>LN((1+O462)/(1+H462))</f>
        <v>-0.0276575147321168</v>
      </c>
    </row>
    <row r="463">
      <c r="A463" s="320" t="n">
        <v>362</v>
      </c>
      <c r="B463" s="174" t="n">
        <v>64</v>
      </c>
      <c r="C463" s="174" t="n">
        <v>23</v>
      </c>
      <c r="D463" s="174" t="n">
        <v>48</v>
      </c>
      <c r="E463" s="174" t="n">
        <v>47</v>
      </c>
      <c r="F463" s="174" t="n">
        <v>45</v>
      </c>
      <c r="G463" s="68">
        <f>(1+INDEX($Z$21:$Z$97,B463))*(1+INDEX($Z$21:$Z$97,C463))*(1+INDEX($Z$21:$Z$97,D463))*(1+INDEX($Z$21:$Z$97,E463))*(1+INDEX($Z$21:$Z$97,F463))-1</f>
        <v>0.212513105825234</v>
      </c>
      <c r="H463" s="68">
        <f>(1+INDEX($AA$21:$AA$97,B463))*(1+INDEX($AA$21:$AA$97,C463))*(1+INDEX($AA$21:$AA$97,D463))*(1+INDEX($AA$21:$AA$97,E463))*(1+INDEX($AA$21:$AA$97,F463))-1</f>
        <v>0.189982181419607</v>
      </c>
      <c r="I463" s="68">
        <f>(1+INDEX($AB$21:$AB$97,B463))*(1+INDEX($AB$21:$AB$97,C463))*(1+INDEX($AB$21:$AB$97,D463))*(1+INDEX($AB$21:$AB$97,E463))*(1+INDEX($AB$21:$AB$97,F463))-1</f>
        <v>0.235817106514163</v>
      </c>
      <c r="J463" s="489">
        <f>LN((1+G463)/(1+H463))</f>
        <v>0.0187568192847498</v>
      </c>
      <c r="K463" s="489">
        <f>LN((1+I463)/(1+H463))</f>
        <v>0.0377940425962679</v>
      </c>
      <c r="L463" s="489">
        <f>(1+INDEX($AC$21:$AC$97,B463))*(1+INDEX($AC$21:$AC$97,C463))*(1+INDEX($AC$21:$AC$97,D463))*(1+INDEX($AC$21:$AC$97,E463))*(1+INDEX($AC$21:$AC$97,F463))-1</f>
        <v>0.216352843824178</v>
      </c>
      <c r="M463" s="489">
        <f>(1+INDEX($AD$21:$AD$97,B463))*(1+INDEX($AD$21:$AD$97,C463))*(1+INDEX($AD$21:$AD$97,D463))*(1+INDEX($AD$21:$AD$97,E463))*(1+INDEX($AD$21:$AD$97,F463))-1</f>
        <v>0.204312912524236</v>
      </c>
      <c r="N463" s="489">
        <f>(1+INDEX($AE$21:$AE$97,B463))*(1+INDEX($AE$21:$AE$97,C463))*(1+INDEX($AE$21:$AE$97,D463))*(1+INDEX($AE$21:$AE$97,E463))*(1+INDEX($AE$21:$AE$97,F463))-1</f>
        <v>0.204626156125197</v>
      </c>
      <c r="O463" s="489">
        <f>(1+INDEX($AF$21:$AF$97,B463))*(1+INDEX($AF$21:$AF$97,C463))*(1+INDEX($AF$21:$AF$97,D463))*(1+INDEX($AF$21:$AF$97,E463))*(1+INDEX($AF$21:$AF$97,F463))-1</f>
        <v>0.189339752903286</v>
      </c>
      <c r="P463" s="489">
        <f>LN((1+L463)/(1+H463))</f>
        <v>0.0219185756576971</v>
      </c>
      <c r="Q463" s="489">
        <f>LN((1+M463)/(1+H463))</f>
        <v>0.0119708738287575</v>
      </c>
      <c r="R463" s="489">
        <f>LN((1+N463)/(1+H463))</f>
        <v>0.0122309415131616</v>
      </c>
      <c r="S463" s="542">
        <f>LN((1+O463)/(1+H463))</f>
        <v>-0.000540009758801934</v>
      </c>
    </row>
    <row r="464">
      <c r="A464" s="320" t="n">
        <v>363</v>
      </c>
      <c r="B464" s="174" t="n">
        <v>41</v>
      </c>
      <c r="C464" s="174" t="n">
        <v>30</v>
      </c>
      <c r="D464" s="174" t="n">
        <v>36</v>
      </c>
      <c r="E464" s="174" t="n">
        <v>72</v>
      </c>
      <c r="F464" s="174" t="n">
        <v>25</v>
      </c>
      <c r="G464" s="68">
        <f>(1+INDEX($Z$21:$Z$97,B464))*(1+INDEX($Z$21:$Z$97,C464))*(1+INDEX($Z$21:$Z$97,D464))*(1+INDEX($Z$21:$Z$97,E464))*(1+INDEX($Z$21:$Z$97,F464))-1</f>
        <v>0.74660271902225</v>
      </c>
      <c r="H464" s="68">
        <f>(1+INDEX($AA$21:$AA$97,B464))*(1+INDEX($AA$21:$AA$97,C464))*(1+INDEX($AA$21:$AA$97,D464))*(1+INDEX($AA$21:$AA$97,E464))*(1+INDEX($AA$21:$AA$97,F464))-1</f>
        <v>0.690329809232122</v>
      </c>
      <c r="I464" s="68">
        <f>(1+INDEX($AB$21:$AB$97,B464))*(1+INDEX($AB$21:$AB$97,C464))*(1+INDEX($AB$21:$AB$97,D464))*(1+INDEX($AB$21:$AB$97,E464))*(1+INDEX($AB$21:$AB$97,F464))-1</f>
        <v>0.766154858549264</v>
      </c>
      <c r="J464" s="489">
        <f>LN((1+G464)/(1+H464))</f>
        <v>0.0327489344610056</v>
      </c>
      <c r="K464" s="489">
        <f>LN((1+I464)/(1+H464))</f>
        <v>0.0438811239232426</v>
      </c>
      <c r="L464" s="489">
        <f>(1+INDEX($AC$21:$AC$97,B464))*(1+INDEX($AC$21:$AC$97,C464))*(1+INDEX($AC$21:$AC$97,D464))*(1+INDEX($AC$21:$AC$97,E464))*(1+INDEX($AC$21:$AC$97,F464))-1</f>
        <v>0.763222544658086</v>
      </c>
      <c r="M464" s="489">
        <f>(1+INDEX($AD$21:$AD$97,B464))*(1+INDEX($AD$21:$AD$97,C464))*(1+INDEX($AD$21:$AD$97,D464))*(1+INDEX($AD$21:$AD$97,E464))*(1+INDEX($AD$21:$AD$97,F464))-1</f>
        <v>0.759716608993491</v>
      </c>
      <c r="N464" s="489">
        <f>(1+INDEX($AE$21:$AE$97,B464))*(1+INDEX($AE$21:$AE$97,C464))*(1+INDEX($AE$21:$AE$97,D464))*(1+INDEX($AE$21:$AE$97,E464))*(1+INDEX($AE$21:$AE$97,F464))-1</f>
        <v>0.764646377826846</v>
      </c>
      <c r="O464" s="489">
        <f>(1+INDEX($AF$21:$AF$97,B464))*(1+INDEX($AF$21:$AF$97,C464))*(1+INDEX($AF$21:$AF$97,D464))*(1+INDEX($AF$21:$AF$97,E464))*(1+INDEX($AF$21:$AF$97,F464))-1</f>
        <v>0.723317464030621</v>
      </c>
      <c r="P464" s="489">
        <f>LN((1+L464)/(1+H464))</f>
        <v>0.042219462825045</v>
      </c>
      <c r="Q464" s="489">
        <f>LN((1+M464)/(1+H464))</f>
        <v>0.0402291151811731</v>
      </c>
      <c r="R464" s="489">
        <f>LN((1+N464)/(1+H464))</f>
        <v>0.0430266545191546</v>
      </c>
      <c r="S464" s="542">
        <f>LN((1+O464)/(1+H464))</f>
        <v>0.0193275280301355</v>
      </c>
    </row>
    <row r="465">
      <c r="A465" s="320" t="n">
        <v>364</v>
      </c>
      <c r="B465" s="174" t="n">
        <v>3</v>
      </c>
      <c r="C465" s="174" t="n">
        <v>12</v>
      </c>
      <c r="D465" s="174" t="n">
        <v>15</v>
      </c>
      <c r="E465" s="174" t="n">
        <v>74</v>
      </c>
      <c r="F465" s="174" t="n">
        <v>41</v>
      </c>
      <c r="G465" s="68">
        <f>(1+INDEX($Z$21:$Z$97,B465))*(1+INDEX($Z$21:$Z$97,C465))*(1+INDEX($Z$21:$Z$97,D465))*(1+INDEX($Z$21:$Z$97,E465))*(1+INDEX($Z$21:$Z$97,F465))-1</f>
        <v>0.681866727053849</v>
      </c>
      <c r="H465" s="68">
        <f>(1+INDEX($AA$21:$AA$97,B465))*(1+INDEX($AA$21:$AA$97,C465))*(1+INDEX($AA$21:$AA$97,D465))*(1+INDEX($AA$21:$AA$97,E465))*(1+INDEX($AA$21:$AA$97,F465))-1</f>
        <v>0.548330565809063</v>
      </c>
      <c r="I465" s="68">
        <f>(1+INDEX($AB$21:$AB$97,B465))*(1+INDEX($AB$21:$AB$97,C465))*(1+INDEX($AB$21:$AB$97,D465))*(1+INDEX($AB$21:$AB$97,E465))*(1+INDEX($AB$21:$AB$97,F465))-1</f>
        <v>0.579606144502422</v>
      </c>
      <c r="J465" s="489">
        <f>LN((1+G465)/(1+H465))</f>
        <v>0.0827270274294443</v>
      </c>
      <c r="K465" s="489">
        <f>LN((1+I465)/(1+H465))</f>
        <v>0.0199982441585555</v>
      </c>
      <c r="L465" s="489">
        <f>(1+INDEX($AC$21:$AC$97,B465))*(1+INDEX($AC$21:$AC$97,C465))*(1+INDEX($AC$21:$AC$97,D465))*(1+INDEX($AC$21:$AC$97,E465))*(1+INDEX($AC$21:$AC$97,F465))-1</f>
        <v>0.582995657302916</v>
      </c>
      <c r="M465" s="489">
        <f>(1+INDEX($AD$21:$AD$97,B465))*(1+INDEX($AD$21:$AD$97,C465))*(1+INDEX($AD$21:$AD$97,D465))*(1+INDEX($AD$21:$AD$97,E465))*(1+INDEX($AD$21:$AD$97,F465))-1</f>
        <v>0.589700741185651</v>
      </c>
      <c r="N465" s="489">
        <f>(1+INDEX($AE$21:$AE$97,B465))*(1+INDEX($AE$21:$AE$97,C465))*(1+INDEX($AE$21:$AE$97,D465))*(1+INDEX($AE$21:$AE$97,E465))*(1+INDEX($AE$21:$AE$97,F465))-1</f>
        <v>0.556956199611168</v>
      </c>
      <c r="O465" s="489">
        <f>(1+INDEX($AF$21:$AF$97,B465))*(1+INDEX($AF$21:$AF$97,C465))*(1+INDEX($AF$21:$AF$97,D465))*(1+INDEX($AF$21:$AF$97,E465))*(1+INDEX($AF$21:$AF$97,F465))-1</f>
        <v>0.590776495900067</v>
      </c>
      <c r="P465" s="489">
        <f>LN((1+L465)/(1+H465))</f>
        <v>0.0221417413869082</v>
      </c>
      <c r="Q465" s="489">
        <f>LN((1+M465)/(1+H465))</f>
        <v>0.0263684892524413</v>
      </c>
      <c r="R465" s="489">
        <f>LN((1+N465)/(1+H465))</f>
        <v>0.00555546501063667</v>
      </c>
      <c r="S465" s="542">
        <f>LN((1+O465)/(1+H465))</f>
        <v>0.0270449630488233</v>
      </c>
    </row>
    <row r="466">
      <c r="A466" s="320" t="n">
        <v>365</v>
      </c>
      <c r="B466" s="174" t="n">
        <v>48</v>
      </c>
      <c r="C466" s="174" t="n">
        <v>21</v>
      </c>
      <c r="D466" s="174" t="n">
        <v>60</v>
      </c>
      <c r="E466" s="174" t="n">
        <v>12</v>
      </c>
      <c r="F466" s="174" t="n">
        <v>59</v>
      </c>
      <c r="G466" s="68">
        <f>(1+INDEX($Z$21:$Z$97,B466))*(1+INDEX($Z$21:$Z$97,C466))*(1+INDEX($Z$21:$Z$97,D466))*(1+INDEX($Z$21:$Z$97,E466))*(1+INDEX($Z$21:$Z$97,F466))-1</f>
        <v>0.662868214555566</v>
      </c>
      <c r="H466" s="68">
        <f>(1+INDEX($AA$21:$AA$97,B466))*(1+INDEX($AA$21:$AA$97,C466))*(1+INDEX($AA$21:$AA$97,D466))*(1+INDEX($AA$21:$AA$97,E466))*(1+INDEX($AA$21:$AA$97,F466))-1</f>
        <v>0.62138010911027</v>
      </c>
      <c r="I466" s="68">
        <f>(1+INDEX($AB$21:$AB$97,B466))*(1+INDEX($AB$21:$AB$97,C466))*(1+INDEX($AB$21:$AB$97,D466))*(1+INDEX($AB$21:$AB$97,E466))*(1+INDEX($AB$21:$AB$97,F466))-1</f>
        <v>0.631754742911941</v>
      </c>
      <c r="J466" s="489">
        <f>LN((1+G466)/(1+H466))</f>
        <v>0.0252662456927315</v>
      </c>
      <c r="K466" s="489">
        <f>LN((1+I466)/(1+H466))</f>
        <v>0.00637825939930072</v>
      </c>
      <c r="L466" s="489">
        <f>(1+INDEX($AC$21:$AC$97,B466))*(1+INDEX($AC$21:$AC$97,C466))*(1+INDEX($AC$21:$AC$97,D466))*(1+INDEX($AC$21:$AC$97,E466))*(1+INDEX($AC$21:$AC$97,F466))-1</f>
        <v>0.67540133427987</v>
      </c>
      <c r="M466" s="489">
        <f>(1+INDEX($AD$21:$AD$97,B466))*(1+INDEX($AD$21:$AD$97,C466))*(1+INDEX($AD$21:$AD$97,D466))*(1+INDEX($AD$21:$AD$97,E466))*(1+INDEX($AD$21:$AD$97,F466))-1</f>
        <v>0.598337330298138</v>
      </c>
      <c r="N466" s="489">
        <f>(1+INDEX($AE$21:$AE$97,B466))*(1+INDEX($AE$21:$AE$97,C466))*(1+INDEX($AE$21:$AE$97,D466))*(1+INDEX($AE$21:$AE$97,E466))*(1+INDEX($AE$21:$AE$97,F466))-1</f>
        <v>0.684682782755119</v>
      </c>
      <c r="O466" s="489">
        <f>(1+INDEX($AF$21:$AF$97,B466))*(1+INDEX($AF$21:$AF$97,C466))*(1+INDEX($AF$21:$AF$97,D466))*(1+INDEX($AF$21:$AF$97,E466))*(1+INDEX($AF$21:$AF$97,F466))-1</f>
        <v>0.544377067492692</v>
      </c>
      <c r="P466" s="489">
        <f>LN((1+L466)/(1+H466))</f>
        <v>0.0327750333611039</v>
      </c>
      <c r="Q466" s="489">
        <f>LN((1+M466)/(1+H466))</f>
        <v>-0.0143137853988923</v>
      </c>
      <c r="R466" s="489">
        <f>LN((1+N466)/(1+H466))</f>
        <v>0.0382995808178073</v>
      </c>
      <c r="S466" s="542">
        <f>LN((1+O466)/(1+H466))</f>
        <v>-0.0486570692865956</v>
      </c>
    </row>
    <row r="467">
      <c r="A467" s="320" t="n">
        <v>366</v>
      </c>
      <c r="B467" s="174" t="n">
        <v>62</v>
      </c>
      <c r="C467" s="174" t="n">
        <v>75</v>
      </c>
      <c r="D467" s="174" t="n">
        <v>41</v>
      </c>
      <c r="E467" s="174" t="n">
        <v>54</v>
      </c>
      <c r="F467" s="174" t="n">
        <v>7</v>
      </c>
      <c r="G467" s="68">
        <f>(1+INDEX($Z$21:$Z$97,B467))*(1+INDEX($Z$21:$Z$97,C467))*(1+INDEX($Z$21:$Z$97,D467))*(1+INDEX($Z$21:$Z$97,E467))*(1+INDEX($Z$21:$Z$97,F467))-1</f>
        <v>-0.0182261868040499</v>
      </c>
      <c r="H467" s="68">
        <f>(1+INDEX($AA$21:$AA$97,B467))*(1+INDEX($AA$21:$AA$97,C467))*(1+INDEX($AA$21:$AA$97,D467))*(1+INDEX($AA$21:$AA$97,E467))*(1+INDEX($AA$21:$AA$97,F467))-1</f>
        <v>0.0380419561422398</v>
      </c>
      <c r="I467" s="68">
        <f>(1+INDEX($AB$21:$AB$97,B467))*(1+INDEX($AB$21:$AB$97,C467))*(1+INDEX($AB$21:$AB$97,D467))*(1+INDEX($AB$21:$AB$97,E467))*(1+INDEX($AB$21:$AB$97,F467))-1</f>
        <v>0.0321249898847376</v>
      </c>
      <c r="J467" s="489">
        <f>LN((1+G467)/(1+H467))</f>
        <v>-0.0557305340550832</v>
      </c>
      <c r="K467" s="489">
        <f>LN((1+I467)/(1+H467))</f>
        <v>-0.00571643014736013</v>
      </c>
      <c r="L467" s="489">
        <f>(1+INDEX($AC$21:$AC$97,B467))*(1+INDEX($AC$21:$AC$97,C467))*(1+INDEX($AC$21:$AC$97,D467))*(1+INDEX($AC$21:$AC$97,E467))*(1+INDEX($AC$21:$AC$97,F467))-1</f>
        <v>0.0350913126472434</v>
      </c>
      <c r="M467" s="489">
        <f>(1+INDEX($AD$21:$AD$97,B467))*(1+INDEX($AD$21:$AD$97,C467))*(1+INDEX($AD$21:$AD$97,D467))*(1+INDEX($AD$21:$AD$97,E467))*(1+INDEX($AD$21:$AD$97,F467))-1</f>
        <v>0.00877949700041203</v>
      </c>
      <c r="N467" s="489">
        <f>(1+INDEX($AE$21:$AE$97,B467))*(1+INDEX($AE$21:$AE$97,C467))*(1+INDEX($AE$21:$AE$97,D467))*(1+INDEX($AE$21:$AE$97,E467))*(1+INDEX($AE$21:$AE$97,F467))-1</f>
        <v>0.0205652877597979</v>
      </c>
      <c r="O467" s="489">
        <f>(1+INDEX($AF$21:$AF$97,B467))*(1+INDEX($AF$21:$AF$97,C467))*(1+INDEX($AF$21:$AF$97,D467))*(1+INDEX($AF$21:$AF$97,E467))*(1+INDEX($AF$21:$AF$97,F467))-1</f>
        <v>0.0266812939554795</v>
      </c>
      <c r="P467" s="489">
        <f>LN((1+L467)/(1+H467))</f>
        <v>-0.00284655649669116</v>
      </c>
      <c r="Q467" s="489">
        <f>LN((1+M467)/(1+H467))</f>
        <v>-0.028595022787451</v>
      </c>
      <c r="R467" s="489">
        <f>LN((1+N467)/(1+H467))</f>
        <v>-0.0169795266342825</v>
      </c>
      <c r="S467" s="542">
        <f>LN((1+O467)/(1+H467))</f>
        <v>-0.0110046485272779</v>
      </c>
    </row>
    <row r="468">
      <c r="A468" s="320" t="n">
        <v>367</v>
      </c>
      <c r="B468" s="174" t="n">
        <v>68</v>
      </c>
      <c r="C468" s="174" t="n">
        <v>63</v>
      </c>
      <c r="D468" s="174" t="n">
        <v>6</v>
      </c>
      <c r="E468" s="174" t="n">
        <v>10</v>
      </c>
      <c r="F468" s="174" t="n">
        <v>44</v>
      </c>
      <c r="G468" s="68">
        <f>(1+INDEX($Z$21:$Z$97,B468))*(1+INDEX($Z$21:$Z$97,C468))*(1+INDEX($Z$21:$Z$97,D468))*(1+INDEX($Z$21:$Z$97,E468))*(1+INDEX($Z$21:$Z$97,F468))-1</f>
        <v>-0.135969826626234</v>
      </c>
      <c r="H468" s="68">
        <f>(1+INDEX($AA$21:$AA$97,B468))*(1+INDEX($AA$21:$AA$97,C468))*(1+INDEX($AA$21:$AA$97,D468))*(1+INDEX($AA$21:$AA$97,E468))*(1+INDEX($AA$21:$AA$97,F468))-1</f>
        <v>-0.0952491411846875</v>
      </c>
      <c r="I468" s="68">
        <f>(1+INDEX($AB$21:$AB$97,B468))*(1+INDEX($AB$21:$AB$97,C468))*(1+INDEX($AB$21:$AB$97,D468))*(1+INDEX($AB$21:$AB$97,E468))*(1+INDEX($AB$21:$AB$97,F468))-1</f>
        <v>-0.120767593102664</v>
      </c>
      <c r="J468" s="489">
        <f>LN((1+G468)/(1+H468))</f>
        <v>-0.0460519205922466</v>
      </c>
      <c r="K468" s="489">
        <f>LN((1+I468)/(1+H468))</f>
        <v>-0.0286103497343368</v>
      </c>
      <c r="L468" s="489">
        <f>(1+INDEX($AC$21:$AC$97,B468))*(1+INDEX($AC$21:$AC$97,C468))*(1+INDEX($AC$21:$AC$97,D468))*(1+INDEX($AC$21:$AC$97,E468))*(1+INDEX($AC$21:$AC$97,F468))-1</f>
        <v>-0.127474852968889</v>
      </c>
      <c r="M468" s="489">
        <f>(1+INDEX($AD$21:$AD$97,B468))*(1+INDEX($AD$21:$AD$97,C468))*(1+INDEX($AD$21:$AD$97,D468))*(1+INDEX($AD$21:$AD$97,E468))*(1+INDEX($AD$21:$AD$97,F468))-1</f>
        <v>-0.127827867898887</v>
      </c>
      <c r="N468" s="489">
        <f>(1+INDEX($AE$21:$AE$97,B468))*(1+INDEX($AE$21:$AE$97,C468))*(1+INDEX($AE$21:$AE$97,D468))*(1+INDEX($AE$21:$AE$97,E468))*(1+INDEX($AE$21:$AE$97,F468))-1</f>
        <v>-0.141900632038018</v>
      </c>
      <c r="O468" s="489">
        <f>(1+INDEX($AF$21:$AF$97,B468))*(1+INDEX($AF$21:$AF$97,C468))*(1+INDEX($AF$21:$AF$97,D468))*(1+INDEX($AF$21:$AF$97,E468))*(1+INDEX($AF$21:$AF$97,F468))-1</f>
        <v>-0.083534479589267</v>
      </c>
      <c r="P468" s="489">
        <f>LN((1+L468)/(1+H468))</f>
        <v>-0.036268136199412</v>
      </c>
      <c r="Q468" s="489">
        <f>LN((1+M468)/(1+H468))</f>
        <v>-0.0366728080459704</v>
      </c>
      <c r="R468" s="489">
        <f>LN((1+N468)/(1+H468))</f>
        <v>-0.0529397054152125</v>
      </c>
      <c r="S468" s="542">
        <f>LN((1+O468)/(1+H468))</f>
        <v>0.0128648339617064</v>
      </c>
    </row>
    <row r="469">
      <c r="A469" s="320" t="n">
        <v>368</v>
      </c>
      <c r="B469" s="174" t="n">
        <v>1</v>
      </c>
      <c r="C469" s="174" t="n">
        <v>52</v>
      </c>
      <c r="D469" s="174" t="n">
        <v>55</v>
      </c>
      <c r="E469" s="174" t="n">
        <v>62</v>
      </c>
      <c r="F469" s="174" t="n">
        <v>32</v>
      </c>
      <c r="G469" s="68">
        <f>(1+INDEX($Z$21:$Z$97,B469))*(1+INDEX($Z$21:$Z$97,C469))*(1+INDEX($Z$21:$Z$97,D469))*(1+INDEX($Z$21:$Z$97,E469))*(1+INDEX($Z$21:$Z$97,F469))-1</f>
        <v>0.323715141159298</v>
      </c>
      <c r="H469" s="68">
        <f>(1+INDEX($AA$21:$AA$97,B469))*(1+INDEX($AA$21:$AA$97,C469))*(1+INDEX($AA$21:$AA$97,D469))*(1+INDEX($AA$21:$AA$97,E469))*(1+INDEX($AA$21:$AA$97,F469))-1</f>
        <v>0.309743714915298</v>
      </c>
      <c r="I469" s="68">
        <f>(1+INDEX($AB$21:$AB$97,B469))*(1+INDEX($AB$21:$AB$97,C469))*(1+INDEX($AB$21:$AB$97,D469))*(1+INDEX($AB$21:$AB$97,E469))*(1+INDEX($AB$21:$AB$97,F469))-1</f>
        <v>0.322717895432508</v>
      </c>
      <c r="J469" s="489">
        <f>LN((1+G469)/(1+H469))</f>
        <v>0.0106108035805802</v>
      </c>
      <c r="K469" s="489">
        <f>LN((1+I469)/(1+H469))</f>
        <v>0.00985715082594506</v>
      </c>
      <c r="L469" s="489">
        <f>(1+INDEX($AC$21:$AC$97,B469))*(1+INDEX($AC$21:$AC$97,C469))*(1+INDEX($AC$21:$AC$97,D469))*(1+INDEX($AC$21:$AC$97,E469))*(1+INDEX($AC$21:$AC$97,F469))-1</f>
        <v>0.325938508145602</v>
      </c>
      <c r="M469" s="489">
        <f>(1+INDEX($AD$21:$AD$97,B469))*(1+INDEX($AD$21:$AD$97,C469))*(1+INDEX($AD$21:$AD$97,D469))*(1+INDEX($AD$21:$AD$97,E469))*(1+INDEX($AD$21:$AD$97,F469))-1</f>
        <v>0.318168904481082</v>
      </c>
      <c r="N469" s="489">
        <f>(1+INDEX($AE$21:$AE$97,B469))*(1+INDEX($AE$21:$AE$97,C469))*(1+INDEX($AE$21:$AE$97,D469))*(1+INDEX($AE$21:$AE$97,E469))*(1+INDEX($AE$21:$AE$97,F469))-1</f>
        <v>0.329008103129007</v>
      </c>
      <c r="O469" s="489">
        <f>(1+INDEX($AF$21:$AF$97,B469))*(1+INDEX($AF$21:$AF$97,C469))*(1+INDEX($AF$21:$AF$97,D469))*(1+INDEX($AF$21:$AF$97,E469))*(1+INDEX($AF$21:$AF$97,F469))-1</f>
        <v>0.290803043309962</v>
      </c>
      <c r="P469" s="489">
        <f>LN((1+L469)/(1+H469))</f>
        <v>0.0122890361365399</v>
      </c>
      <c r="Q469" s="489">
        <f>LN((1+M469)/(1+H469))</f>
        <v>0.00641209937529617</v>
      </c>
      <c r="R469" s="489">
        <f>LN((1+N469)/(1+H469))</f>
        <v>0.0146013962707376</v>
      </c>
      <c r="S469" s="542">
        <f>LN((1+O469)/(1+H469))</f>
        <v>-0.0145669417185514</v>
      </c>
    </row>
    <row r="470">
      <c r="A470" s="320" t="n">
        <v>369</v>
      </c>
      <c r="B470" s="174" t="n">
        <v>27</v>
      </c>
      <c r="C470" s="174" t="n">
        <v>66</v>
      </c>
      <c r="D470" s="174" t="n">
        <v>73</v>
      </c>
      <c r="E470" s="174" t="n">
        <v>55</v>
      </c>
      <c r="F470" s="174" t="n">
        <v>53</v>
      </c>
      <c r="G470" s="68">
        <f>(1+INDEX($Z$21:$Z$97,B470))*(1+INDEX($Z$21:$Z$97,C470))*(1+INDEX($Z$21:$Z$97,D470))*(1+INDEX($Z$21:$Z$97,E470))*(1+INDEX($Z$21:$Z$97,F470))-1</f>
        <v>0.262429151512651</v>
      </c>
      <c r="H470" s="68">
        <f>(1+INDEX($AA$21:$AA$97,B470))*(1+INDEX($AA$21:$AA$97,C470))*(1+INDEX($AA$21:$AA$97,D470))*(1+INDEX($AA$21:$AA$97,E470))*(1+INDEX($AA$21:$AA$97,F470))-1</f>
        <v>0.301110954693987</v>
      </c>
      <c r="I470" s="68">
        <f>(1+INDEX($AB$21:$AB$97,B470))*(1+INDEX($AB$21:$AB$97,C470))*(1+INDEX($AB$21:$AB$97,D470))*(1+INDEX($AB$21:$AB$97,E470))*(1+INDEX($AB$21:$AB$97,F470))-1</f>
        <v>0.320403513583992</v>
      </c>
      <c r="J470" s="489">
        <f>LN((1+G470)/(1+H470))</f>
        <v>-0.0301807170763014</v>
      </c>
      <c r="K470" s="489">
        <f>LN((1+I470)/(1+H470))</f>
        <v>0.0147189019377666</v>
      </c>
      <c r="L470" s="489">
        <f>(1+INDEX($AC$21:$AC$97,B470))*(1+INDEX($AC$21:$AC$97,C470))*(1+INDEX($AC$21:$AC$97,D470))*(1+INDEX($AC$21:$AC$97,E470))*(1+INDEX($AC$21:$AC$97,F470))-1</f>
        <v>0.312668206861529</v>
      </c>
      <c r="M470" s="489">
        <f>(1+INDEX($AD$21:$AD$97,B470))*(1+INDEX($AD$21:$AD$97,C470))*(1+INDEX($AD$21:$AD$97,D470))*(1+INDEX($AD$21:$AD$97,E470))*(1+INDEX($AD$21:$AD$97,F470))-1</f>
        <v>0.338711416609707</v>
      </c>
      <c r="N470" s="489">
        <f>(1+INDEX($AE$21:$AE$97,B470))*(1+INDEX($AE$21:$AE$97,C470))*(1+INDEX($AE$21:$AE$97,D470))*(1+INDEX($AE$21:$AE$97,E470))*(1+INDEX($AE$21:$AE$97,F470))-1</f>
        <v>0.310712185328945</v>
      </c>
      <c r="O470" s="489">
        <f>(1+INDEX($AF$21:$AF$97,B470))*(1+INDEX($AF$21:$AF$97,C470))*(1+INDEX($AF$21:$AF$97,D470))*(1+INDEX($AF$21:$AF$97,E470))*(1+INDEX($AF$21:$AF$97,F470))-1</f>
        <v>0.350178480937159</v>
      </c>
      <c r="P470" s="489">
        <f>LN((1+L470)/(1+H470))</f>
        <v>0.00884338482565586</v>
      </c>
      <c r="Q470" s="489">
        <f>LN((1+M470)/(1+H470))</f>
        <v>0.0284890418496168</v>
      </c>
      <c r="R470" s="489">
        <f>LN((1+N470)/(1+H470))</f>
        <v>0.00735216235492215</v>
      </c>
      <c r="S470" s="542">
        <f>LN((1+O470)/(1+H470))</f>
        <v>0.0370183117579315</v>
      </c>
    </row>
    <row r="471">
      <c r="A471" s="320" t="n">
        <v>370</v>
      </c>
      <c r="B471" s="174" t="n">
        <v>43</v>
      </c>
      <c r="C471" s="174" t="n">
        <v>64</v>
      </c>
      <c r="D471" s="174" t="n">
        <v>70</v>
      </c>
      <c r="E471" s="174" t="n">
        <v>9</v>
      </c>
      <c r="F471" s="174" t="n">
        <v>16</v>
      </c>
      <c r="G471" s="68">
        <f>(1+INDEX($Z$21:$Z$97,B471))*(1+INDEX($Z$21:$Z$97,C471))*(1+INDEX($Z$21:$Z$97,D471))*(1+INDEX($Z$21:$Z$97,E471))*(1+INDEX($Z$21:$Z$97,F471))-1</f>
        <v>-0.0801874058746466</v>
      </c>
      <c r="H471" s="68">
        <f>(1+INDEX($AA$21:$AA$97,B471))*(1+INDEX($AA$21:$AA$97,C471))*(1+INDEX($AA$21:$AA$97,D471))*(1+INDEX($AA$21:$AA$97,E471))*(1+INDEX($AA$21:$AA$97,F471))-1</f>
        <v>-0.0591048574719464</v>
      </c>
      <c r="I471" s="68">
        <f>(1+INDEX($AB$21:$AB$97,B471))*(1+INDEX($AB$21:$AB$97,C471))*(1+INDEX($AB$21:$AB$97,D471))*(1+INDEX($AB$21:$AB$97,E471))*(1+INDEX($AB$21:$AB$97,F471))-1</f>
        <v>-0.0719753053071442</v>
      </c>
      <c r="J471" s="489">
        <f>LN((1+G471)/(1+H471))</f>
        <v>-0.0226617541635941</v>
      </c>
      <c r="K471" s="489">
        <f>LN((1+I471)/(1+H471))</f>
        <v>-0.0137733583263946</v>
      </c>
      <c r="L471" s="489">
        <f>(1+INDEX($AC$21:$AC$97,B471))*(1+INDEX($AC$21:$AC$97,C471))*(1+INDEX($AC$21:$AC$97,D471))*(1+INDEX($AC$21:$AC$97,E471))*(1+INDEX($AC$21:$AC$97,F471))-1</f>
        <v>-0.0909531229663012</v>
      </c>
      <c r="M471" s="489">
        <f>(1+INDEX($AD$21:$AD$97,B471))*(1+INDEX($AD$21:$AD$97,C471))*(1+INDEX($AD$21:$AD$97,D471))*(1+INDEX($AD$21:$AD$97,E471))*(1+INDEX($AD$21:$AD$97,F471))-1</f>
        <v>-0.0720603081463422</v>
      </c>
      <c r="N471" s="489">
        <f>(1+INDEX($AE$21:$AE$97,B471))*(1+INDEX($AE$21:$AE$97,C471))*(1+INDEX($AE$21:$AE$97,D471))*(1+INDEX($AE$21:$AE$97,E471))*(1+INDEX($AE$21:$AE$97,F471))-1</f>
        <v>-0.0931677039081896</v>
      </c>
      <c r="O471" s="489">
        <f>(1+INDEX($AF$21:$AF$97,B471))*(1+INDEX($AF$21:$AF$97,C471))*(1+INDEX($AF$21:$AF$97,D471))*(1+INDEX($AF$21:$AF$97,E471))*(1+INDEX($AF$21:$AF$97,F471))-1</f>
        <v>-0.0308407470439864</v>
      </c>
      <c r="P471" s="489">
        <f>LN((1+L471)/(1+H471))</f>
        <v>-0.0344350386770872</v>
      </c>
      <c r="Q471" s="489">
        <f>LN((1+M471)/(1+H471))</f>
        <v>-0.0138649579711654</v>
      </c>
      <c r="R471" s="489">
        <f>LN((1+N471)/(1+H471))</f>
        <v>-0.0368741679678537</v>
      </c>
      <c r="S471" s="542">
        <f>LN((1+O471)/(1+H471))</f>
        <v>0.0295972447040379</v>
      </c>
    </row>
    <row r="472">
      <c r="A472" s="320" t="n">
        <v>371</v>
      </c>
      <c r="B472" s="174" t="n">
        <v>50</v>
      </c>
      <c r="C472" s="174" t="n">
        <v>68</v>
      </c>
      <c r="D472" s="174" t="n">
        <v>27</v>
      </c>
      <c r="E472" s="174" t="n">
        <v>20</v>
      </c>
      <c r="F472" s="174" t="n">
        <v>9</v>
      </c>
      <c r="G472" s="68">
        <f>(1+INDEX($Z$21:$Z$97,B472))*(1+INDEX($Z$21:$Z$97,C472))*(1+INDEX($Z$21:$Z$97,D472))*(1+INDEX($Z$21:$Z$97,E472))*(1+INDEX($Z$21:$Z$97,F472))-1</f>
        <v>0.184853105451301</v>
      </c>
      <c r="H472" s="68">
        <f>(1+INDEX($AA$21:$AA$97,B472))*(1+INDEX($AA$21:$AA$97,C472))*(1+INDEX($AA$21:$AA$97,D472))*(1+INDEX($AA$21:$AA$97,E472))*(1+INDEX($AA$21:$AA$97,F472))-1</f>
        <v>0.200409903601501</v>
      </c>
      <c r="I472" s="68">
        <f>(1+INDEX($AB$21:$AB$97,B472))*(1+INDEX($AB$21:$AB$97,C472))*(1+INDEX($AB$21:$AB$97,D472))*(1+INDEX($AB$21:$AB$97,E472))*(1+INDEX($AB$21:$AB$97,F472))-1</f>
        <v>0.192261685660671</v>
      </c>
      <c r="J472" s="489">
        <f>LN((1+G472)/(1+H472))</f>
        <v>-0.0130442795424655</v>
      </c>
      <c r="K472" s="489">
        <f>LN((1+I472)/(1+H472))</f>
        <v>-0.00681100530209405</v>
      </c>
      <c r="L472" s="489">
        <f>(1+INDEX($AC$21:$AC$97,B472))*(1+INDEX($AC$21:$AC$97,C472))*(1+INDEX($AC$21:$AC$97,D472))*(1+INDEX($AC$21:$AC$97,E472))*(1+INDEX($AC$21:$AC$97,F472))-1</f>
        <v>0.165659566173553</v>
      </c>
      <c r="M472" s="489">
        <f>(1+INDEX($AD$21:$AD$97,B472))*(1+INDEX($AD$21:$AD$97,C472))*(1+INDEX($AD$21:$AD$97,D472))*(1+INDEX($AD$21:$AD$97,E472))*(1+INDEX($AD$21:$AD$97,F472))-1</f>
        <v>0.213242821671162</v>
      </c>
      <c r="N472" s="489">
        <f>(1+INDEX($AE$21:$AE$97,B472))*(1+INDEX($AE$21:$AE$97,C472))*(1+INDEX($AE$21:$AE$97,D472))*(1+INDEX($AE$21:$AE$97,E472))*(1+INDEX($AE$21:$AE$97,F472))-1</f>
        <v>0.170263391219137</v>
      </c>
      <c r="O472" s="489">
        <f>(1+INDEX($AF$21:$AF$97,B472))*(1+INDEX($AF$21:$AF$97,C472))*(1+INDEX($AF$21:$AF$97,D472))*(1+INDEX($AF$21:$AF$97,E472))*(1+INDEX($AF$21:$AF$97,F472))-1</f>
        <v>0.264557126044629</v>
      </c>
      <c r="P472" s="489">
        <f>LN((1+L472)/(1+H472))</f>
        <v>-0.0293760067647509</v>
      </c>
      <c r="Q472" s="489">
        <f>LN((1+M472)/(1+H472))</f>
        <v>0.0106337078730299</v>
      </c>
      <c r="R472" s="489">
        <f>LN((1+N472)/(1+H472))</f>
        <v>-0.0254342406272895</v>
      </c>
      <c r="S472" s="542">
        <f>LN((1+O472)/(1+H472))</f>
        <v>0.052058878091231</v>
      </c>
    </row>
    <row r="473">
      <c r="A473" s="320" t="n">
        <v>372</v>
      </c>
      <c r="B473" s="174" t="n">
        <v>22</v>
      </c>
      <c r="C473" s="174" t="n">
        <v>26</v>
      </c>
      <c r="D473" s="174" t="n">
        <v>54</v>
      </c>
      <c r="E473" s="174" t="n">
        <v>37</v>
      </c>
      <c r="F473" s="174" t="n">
        <v>21</v>
      </c>
      <c r="G473" s="68">
        <f>(1+INDEX($Z$21:$Z$97,B473))*(1+INDEX($Z$21:$Z$97,C473))*(1+INDEX($Z$21:$Z$97,D473))*(1+INDEX($Z$21:$Z$97,E473))*(1+INDEX($Z$21:$Z$97,F473))-1</f>
        <v>0.156384705415898</v>
      </c>
      <c r="H473" s="68">
        <f>(1+INDEX($AA$21:$AA$97,B473))*(1+INDEX($AA$21:$AA$97,C473))*(1+INDEX($AA$21:$AA$97,D473))*(1+INDEX($AA$21:$AA$97,E473))*(1+INDEX($AA$21:$AA$97,F473))-1</f>
        <v>0.175503381469888</v>
      </c>
      <c r="I473" s="68">
        <f>(1+INDEX($AB$21:$AB$97,B473))*(1+INDEX($AB$21:$AB$97,C473))*(1+INDEX($AB$21:$AB$97,D473))*(1+INDEX($AB$21:$AB$97,E473))*(1+INDEX($AB$21:$AB$97,F473))-1</f>
        <v>0.176267485709456</v>
      </c>
      <c r="J473" s="489">
        <f>LN((1+G473)/(1+H473))</f>
        <v>-0.0163979605764818</v>
      </c>
      <c r="K473" s="489">
        <f>LN((1+I473)/(1+H473))</f>
        <v>0.000649811830836469</v>
      </c>
      <c r="L473" s="489">
        <f>(1+INDEX($AC$21:$AC$97,B473))*(1+INDEX($AC$21:$AC$97,C473))*(1+INDEX($AC$21:$AC$97,D473))*(1+INDEX($AC$21:$AC$97,E473))*(1+INDEX($AC$21:$AC$97,F473))-1</f>
        <v>0.1562415819711</v>
      </c>
      <c r="M473" s="489">
        <f>(1+INDEX($AD$21:$AD$97,B473))*(1+INDEX($AD$21:$AD$97,C473))*(1+INDEX($AD$21:$AD$97,D473))*(1+INDEX($AD$21:$AD$97,E473))*(1+INDEX($AD$21:$AD$97,F473))-1</f>
        <v>0.198866835588327</v>
      </c>
      <c r="N473" s="489">
        <f>(1+INDEX($AE$21:$AE$97,B473))*(1+INDEX($AE$21:$AE$97,C473))*(1+INDEX($AE$21:$AE$97,D473))*(1+INDEX($AE$21:$AE$97,E473))*(1+INDEX($AE$21:$AE$97,F473))-1</f>
        <v>0.153980102510677</v>
      </c>
      <c r="O473" s="489">
        <f>(1+INDEX($AF$21:$AF$97,B473))*(1+INDEX($AF$21:$AF$97,C473))*(1+INDEX($AF$21:$AF$97,D473))*(1+INDEX($AF$21:$AF$97,E473))*(1+INDEX($AF$21:$AF$97,F473))-1</f>
        <v>0.203336450257791</v>
      </c>
      <c r="P473" s="489">
        <f>LN((1+L473)/(1+H473))</f>
        <v>-0.0165217362559004</v>
      </c>
      <c r="Q473" s="489">
        <f>LN((1+M473)/(1+H473))</f>
        <v>0.0196803413654953</v>
      </c>
      <c r="R473" s="489">
        <f>LN((1+N473)/(1+H473))</f>
        <v>-0.0184795398709967</v>
      </c>
      <c r="S473" s="542">
        <f>LN((1+O473)/(1+H473))</f>
        <v>0.0234016082987888</v>
      </c>
    </row>
    <row r="474">
      <c r="A474" s="320" t="n">
        <v>373</v>
      </c>
      <c r="B474" s="174" t="n">
        <v>50</v>
      </c>
      <c r="C474" s="174" t="n">
        <v>8</v>
      </c>
      <c r="D474" s="174" t="n">
        <v>10</v>
      </c>
      <c r="E474" s="174" t="n">
        <v>63</v>
      </c>
      <c r="F474" s="174" t="n">
        <v>42</v>
      </c>
      <c r="G474" s="68">
        <f>(1+INDEX($Z$21:$Z$97,B474))*(1+INDEX($Z$21:$Z$97,C474))*(1+INDEX($Z$21:$Z$97,D474))*(1+INDEX($Z$21:$Z$97,E474))*(1+INDEX($Z$21:$Z$97,F474))-1</f>
        <v>-0.227100382311124</v>
      </c>
      <c r="H474" s="68">
        <f>(1+INDEX($AA$21:$AA$97,B474))*(1+INDEX($AA$21:$AA$97,C474))*(1+INDEX($AA$21:$AA$97,D474))*(1+INDEX($AA$21:$AA$97,E474))*(1+INDEX($AA$21:$AA$97,F474))-1</f>
        <v>-0.192572962928592</v>
      </c>
      <c r="I474" s="68">
        <f>(1+INDEX($AB$21:$AB$97,B474))*(1+INDEX($AB$21:$AB$97,C474))*(1+INDEX($AB$21:$AB$97,D474))*(1+INDEX($AB$21:$AB$97,E474))*(1+INDEX($AB$21:$AB$97,F474))-1</f>
        <v>-0.220158386876199</v>
      </c>
      <c r="J474" s="489">
        <f>LN((1+G474)/(1+H474))</f>
        <v>-0.0437035149787961</v>
      </c>
      <c r="K474" s="489">
        <f>LN((1+I474)/(1+H474))</f>
        <v>-0.0347618554800416</v>
      </c>
      <c r="L474" s="489">
        <f>(1+INDEX($AC$21:$AC$97,B474))*(1+INDEX($AC$21:$AC$97,C474))*(1+INDEX($AC$21:$AC$97,D474))*(1+INDEX($AC$21:$AC$97,E474))*(1+INDEX($AC$21:$AC$97,F474))-1</f>
        <v>-0.238073448125364</v>
      </c>
      <c r="M474" s="489">
        <f>(1+INDEX($AD$21:$AD$97,B474))*(1+INDEX($AD$21:$AD$97,C474))*(1+INDEX($AD$21:$AD$97,D474))*(1+INDEX($AD$21:$AD$97,E474))*(1+INDEX($AD$21:$AD$97,F474))-1</f>
        <v>-0.205018208109237</v>
      </c>
      <c r="N474" s="489">
        <f>(1+INDEX($AE$21:$AE$97,B474))*(1+INDEX($AE$21:$AE$97,C474))*(1+INDEX($AE$21:$AE$97,D474))*(1+INDEX($AE$21:$AE$97,E474))*(1+INDEX($AE$21:$AE$97,F474))-1</f>
        <v>-0.243517185266005</v>
      </c>
      <c r="O474" s="489">
        <f>(1+INDEX($AF$21:$AF$97,B474))*(1+INDEX($AF$21:$AF$97,C474))*(1+INDEX($AF$21:$AF$97,D474))*(1+INDEX($AF$21:$AF$97,E474))*(1+INDEX($AF$21:$AF$97,F474))-1</f>
        <v>-0.15882084201627</v>
      </c>
      <c r="P474" s="489">
        <f>LN((1+L474)/(1+H474))</f>
        <v>-0.0580025320214931</v>
      </c>
      <c r="Q474" s="489">
        <f>LN((1+M474)/(1+H474))</f>
        <v>-0.0155334833365066</v>
      </c>
      <c r="R474" s="489">
        <f>LN((1+N474)/(1+H474))</f>
        <v>-0.0651728782851104</v>
      </c>
      <c r="S474" s="542">
        <f>LN((1+O474)/(1+H474))</f>
        <v>0.0409519725460173</v>
      </c>
    </row>
    <row r="475">
      <c r="A475" s="320" t="n">
        <v>374</v>
      </c>
      <c r="B475" s="174" t="n">
        <v>8</v>
      </c>
      <c r="C475" s="174" t="n">
        <v>72</v>
      </c>
      <c r="D475" s="174" t="n">
        <v>72</v>
      </c>
      <c r="E475" s="174" t="n">
        <v>7</v>
      </c>
      <c r="F475" s="174" t="n">
        <v>10</v>
      </c>
      <c r="G475" s="68">
        <f>(1+INDEX($Z$21:$Z$97,B475))*(1+INDEX($Z$21:$Z$97,C475))*(1+INDEX($Z$21:$Z$97,D475))*(1+INDEX($Z$21:$Z$97,E475))*(1+INDEX($Z$21:$Z$97,F475))-1</f>
        <v>-0.209904901253961</v>
      </c>
      <c r="H475" s="68">
        <f>(1+INDEX($AA$21:$AA$97,B475))*(1+INDEX($AA$21:$AA$97,C475))*(1+INDEX($AA$21:$AA$97,D475))*(1+INDEX($AA$21:$AA$97,E475))*(1+INDEX($AA$21:$AA$97,F475))-1</f>
        <v>-0.11802558552235</v>
      </c>
      <c r="I475" s="68">
        <f>(1+INDEX($AB$21:$AB$97,B475))*(1+INDEX($AB$21:$AB$97,C475))*(1+INDEX($AB$21:$AB$97,D475))*(1+INDEX($AB$21:$AB$97,E475))*(1+INDEX($AB$21:$AB$97,F475))-1</f>
        <v>-0.156523075219357</v>
      </c>
      <c r="J475" s="489">
        <f>LN((1+G475)/(1+H475))</f>
        <v>-0.110009730681554</v>
      </c>
      <c r="K475" s="489">
        <f>LN((1+I475)/(1+H475))</f>
        <v>-0.0446305019592285</v>
      </c>
      <c r="L475" s="489">
        <f>(1+INDEX($AC$21:$AC$97,B475))*(1+INDEX($AC$21:$AC$97,C475))*(1+INDEX($AC$21:$AC$97,D475))*(1+INDEX($AC$21:$AC$97,E475))*(1+INDEX($AC$21:$AC$97,F475))-1</f>
        <v>-0.179849871978278</v>
      </c>
      <c r="M475" s="489">
        <f>(1+INDEX($AD$21:$AD$97,B475))*(1+INDEX($AD$21:$AD$97,C475))*(1+INDEX($AD$21:$AD$97,D475))*(1+INDEX($AD$21:$AD$97,E475))*(1+INDEX($AD$21:$AD$97,F475))-1</f>
        <v>-0.145023444035988</v>
      </c>
      <c r="N475" s="489">
        <f>(1+INDEX($AE$21:$AE$97,B475))*(1+INDEX($AE$21:$AE$97,C475))*(1+INDEX($AE$21:$AE$97,D475))*(1+INDEX($AE$21:$AE$97,E475))*(1+INDEX($AE$21:$AE$97,F475))-1</f>
        <v>-0.183377125399166</v>
      </c>
      <c r="O475" s="489">
        <f>(1+INDEX($AF$21:$AF$97,B475))*(1+INDEX($AF$21:$AF$97,C475))*(1+INDEX($AF$21:$AF$97,D475))*(1+INDEX($AF$21:$AF$97,E475))*(1+INDEX($AF$21:$AF$97,F475))-1</f>
        <v>-0.0981499283115082</v>
      </c>
      <c r="P475" s="489">
        <f>LN((1+L475)/(1+H475))</f>
        <v>-0.0726756406033142</v>
      </c>
      <c r="Q475" s="489">
        <f>LN((1+M475)/(1+H475))</f>
        <v>-0.0310889984215994</v>
      </c>
      <c r="R475" s="489">
        <f>LN((1+N475)/(1+H475))</f>
        <v>-0.0769856565621464</v>
      </c>
      <c r="S475" s="542">
        <f>LN((1+O475)/(1+H475))</f>
        <v>0.0222852415493934</v>
      </c>
    </row>
    <row r="476">
      <c r="A476" s="320" t="n">
        <v>375</v>
      </c>
      <c r="B476" s="174" t="n">
        <v>4</v>
      </c>
      <c r="C476" s="174" t="n">
        <v>63</v>
      </c>
      <c r="D476" s="174" t="n">
        <v>29</v>
      </c>
      <c r="E476" s="174" t="n">
        <v>68</v>
      </c>
      <c r="F476" s="174" t="n">
        <v>68</v>
      </c>
      <c r="G476" s="68">
        <f>(1+INDEX($Z$21:$Z$97,B476))*(1+INDEX($Z$21:$Z$97,C476))*(1+INDEX($Z$21:$Z$97,D476))*(1+INDEX($Z$21:$Z$97,E476))*(1+INDEX($Z$21:$Z$97,F476))-1</f>
        <v>0.380601982871416</v>
      </c>
      <c r="H476" s="68">
        <f>(1+INDEX($AA$21:$AA$97,B476))*(1+INDEX($AA$21:$AA$97,C476))*(1+INDEX($AA$21:$AA$97,D476))*(1+INDEX($AA$21:$AA$97,E476))*(1+INDEX($AA$21:$AA$97,F476))-1</f>
        <v>0.388382626581165</v>
      </c>
      <c r="I476" s="68">
        <f>(1+INDEX($AB$21:$AB$97,B476))*(1+INDEX($AB$21:$AB$97,C476))*(1+INDEX($AB$21:$AB$97,D476))*(1+INDEX($AB$21:$AB$97,E476))*(1+INDEX($AB$21:$AB$97,F476))-1</f>
        <v>0.404314932372114</v>
      </c>
      <c r="J476" s="489">
        <f>LN((1+G476)/(1+H476))</f>
        <v>-0.00561986813587151</v>
      </c>
      <c r="K476" s="489">
        <f>LN((1+I476)/(1+H476))</f>
        <v>0.011410099595089</v>
      </c>
      <c r="L476" s="489">
        <f>(1+INDEX($AC$21:$AC$97,B476))*(1+INDEX($AC$21:$AC$97,C476))*(1+INDEX($AC$21:$AC$97,D476))*(1+INDEX($AC$21:$AC$97,E476))*(1+INDEX($AC$21:$AC$97,F476))-1</f>
        <v>0.42383124918129</v>
      </c>
      <c r="M476" s="489">
        <f>(1+INDEX($AD$21:$AD$97,B476))*(1+INDEX($AD$21:$AD$97,C476))*(1+INDEX($AD$21:$AD$97,D476))*(1+INDEX($AD$21:$AD$97,E476))*(1+INDEX($AD$21:$AD$97,F476))-1</f>
        <v>0.376138966741865</v>
      </c>
      <c r="N476" s="489">
        <f>(1+INDEX($AE$21:$AE$97,B476))*(1+INDEX($AE$21:$AE$97,C476))*(1+INDEX($AE$21:$AE$97,D476))*(1+INDEX($AE$21:$AE$97,E476))*(1+INDEX($AE$21:$AE$97,F476))-1</f>
        <v>0.421208701302455</v>
      </c>
      <c r="O476" s="489">
        <f>(1+INDEX($AF$21:$AF$97,B476))*(1+INDEX($AF$21:$AF$97,C476))*(1+INDEX($AF$21:$AF$97,D476))*(1+INDEX($AF$21:$AF$97,E476))*(1+INDEX($AF$21:$AF$97,F476))-1</f>
        <v>0.38655002190741</v>
      </c>
      <c r="P476" s="489">
        <f>LN((1+L476)/(1+H476))</f>
        <v>0.0252118095181447</v>
      </c>
      <c r="Q476" s="489">
        <f>LN((1+M476)/(1+H476))</f>
        <v>-0.00885776397759302</v>
      </c>
      <c r="R476" s="489">
        <f>LN((1+N476)/(1+H476))</f>
        <v>0.023368215988859</v>
      </c>
      <c r="S476" s="542">
        <f>LN((1+O476)/(1+H476))</f>
        <v>-0.00132082841086706</v>
      </c>
    </row>
    <row r="477">
      <c r="A477" s="320" t="n">
        <v>376</v>
      </c>
      <c r="B477" s="174" t="n">
        <v>62</v>
      </c>
      <c r="C477" s="174" t="n">
        <v>48</v>
      </c>
      <c r="D477" s="174" t="n">
        <v>69</v>
      </c>
      <c r="E477" s="174" t="n">
        <v>37</v>
      </c>
      <c r="F477" s="174" t="n">
        <v>64</v>
      </c>
      <c r="G477" s="68">
        <f>(1+INDEX($Z$21:$Z$97,B477))*(1+INDEX($Z$21:$Z$97,C477))*(1+INDEX($Z$21:$Z$97,D477))*(1+INDEX($Z$21:$Z$97,E477))*(1+INDEX($Z$21:$Z$97,F477))-1</f>
        <v>-0.0449052079256062</v>
      </c>
      <c r="H477" s="68">
        <f>(1+INDEX($AA$21:$AA$97,B477))*(1+INDEX($AA$21:$AA$97,C477))*(1+INDEX($AA$21:$AA$97,D477))*(1+INDEX($AA$21:$AA$97,E477))*(1+INDEX($AA$21:$AA$97,F477))-1</f>
        <v>-0.0314538876618532</v>
      </c>
      <c r="I477" s="68">
        <f>(1+INDEX($AB$21:$AB$97,B477))*(1+INDEX($AB$21:$AB$97,C477))*(1+INDEX($AB$21:$AB$97,D477))*(1+INDEX($AB$21:$AB$97,E477))*(1+INDEX($AB$21:$AB$97,F477))-1</f>
        <v>-0.0369396987665376</v>
      </c>
      <c r="J477" s="489">
        <f>LN((1+G477)/(1+H477))</f>
        <v>-0.0139854995620014</v>
      </c>
      <c r="K477" s="489">
        <f>LN((1+I477)/(1+H477))</f>
        <v>-0.0056800658925761</v>
      </c>
      <c r="L477" s="489">
        <f>(1+INDEX($AC$21:$AC$97,B477))*(1+INDEX($AC$21:$AC$97,C477))*(1+INDEX($AC$21:$AC$97,D477))*(1+INDEX($AC$21:$AC$97,E477))*(1+INDEX($AC$21:$AC$97,F477))-1</f>
        <v>-0.0304069478108063</v>
      </c>
      <c r="M477" s="489">
        <f>(1+INDEX($AD$21:$AD$97,B477))*(1+INDEX($AD$21:$AD$97,C477))*(1+INDEX($AD$21:$AD$97,D477))*(1+INDEX($AD$21:$AD$97,E477))*(1+INDEX($AD$21:$AD$97,F477))-1</f>
        <v>-0.0656733208507682</v>
      </c>
      <c r="N477" s="489">
        <f>(1+INDEX($AE$21:$AE$97,B477))*(1+INDEX($AE$21:$AE$97,C477))*(1+INDEX($AE$21:$AE$97,D477))*(1+INDEX($AE$21:$AE$97,E477))*(1+INDEX($AE$21:$AE$97,F477))-1</f>
        <v>-0.023345474212624</v>
      </c>
      <c r="O477" s="489">
        <f>(1+INDEX($AF$21:$AF$97,B477))*(1+INDEX($AF$21:$AF$97,C477))*(1+INDEX($AF$21:$AF$97,D477))*(1+INDEX($AF$21:$AF$97,E477))*(1+INDEX($AF$21:$AF$97,F477))-1</f>
        <v>-0.0696535451025729</v>
      </c>
      <c r="P477" s="489">
        <f>LN((1+L477)/(1+H477))</f>
        <v>0.00108035580936399</v>
      </c>
      <c r="Q477" s="489">
        <f>LN((1+M477)/(1+H477))</f>
        <v>-0.0359699532146456</v>
      </c>
      <c r="R477" s="489">
        <f>LN((1+N477)/(1+H477))</f>
        <v>0.00833688849775728</v>
      </c>
      <c r="S477" s="542">
        <f>LN((1+O477)/(1+H477))</f>
        <v>-0.0402390449113534</v>
      </c>
    </row>
    <row r="478">
      <c r="A478" s="320" t="n">
        <v>377</v>
      </c>
      <c r="B478" s="174" t="n">
        <v>26</v>
      </c>
      <c r="C478" s="174" t="n">
        <v>49</v>
      </c>
      <c r="D478" s="174" t="n">
        <v>5</v>
      </c>
      <c r="E478" s="174" t="n">
        <v>45</v>
      </c>
      <c r="F478" s="174" t="n">
        <v>21</v>
      </c>
      <c r="G478" s="68">
        <f>(1+INDEX($Z$21:$Z$97,B478))*(1+INDEX($Z$21:$Z$97,C478))*(1+INDEX($Z$21:$Z$97,D478))*(1+INDEX($Z$21:$Z$97,E478))*(1+INDEX($Z$21:$Z$97,F478))-1</f>
        <v>0.28021643607915</v>
      </c>
      <c r="H478" s="68">
        <f>(1+INDEX($AA$21:$AA$97,B478))*(1+INDEX($AA$21:$AA$97,C478))*(1+INDEX($AA$21:$AA$97,D478))*(1+INDEX($AA$21:$AA$97,E478))*(1+INDEX($AA$21:$AA$97,F478))-1</f>
        <v>0.293140260444189</v>
      </c>
      <c r="I478" s="68">
        <f>(1+INDEX($AB$21:$AB$97,B478))*(1+INDEX($AB$21:$AB$97,C478))*(1+INDEX($AB$21:$AB$97,D478))*(1+INDEX($AB$21:$AB$97,E478))*(1+INDEX($AB$21:$AB$97,F478))-1</f>
        <v>0.31739612561068</v>
      </c>
      <c r="J478" s="489">
        <f>LN((1+G478)/(1+H478))</f>
        <v>-0.0100444163373798</v>
      </c>
      <c r="K478" s="489">
        <f>LN((1+I478)/(1+H478))</f>
        <v>0.0185835856224311</v>
      </c>
      <c r="L478" s="489">
        <f>(1+INDEX($AC$21:$AC$97,B478))*(1+INDEX($AC$21:$AC$97,C478))*(1+INDEX($AC$21:$AC$97,D478))*(1+INDEX($AC$21:$AC$97,E478))*(1+INDEX($AC$21:$AC$97,F478))-1</f>
        <v>0.298312399366609</v>
      </c>
      <c r="M478" s="489">
        <f>(1+INDEX($AD$21:$AD$97,B478))*(1+INDEX($AD$21:$AD$97,C478))*(1+INDEX($AD$21:$AD$97,D478))*(1+INDEX($AD$21:$AD$97,E478))*(1+INDEX($AD$21:$AD$97,F478))-1</f>
        <v>0.306566054831988</v>
      </c>
      <c r="N478" s="489">
        <f>(1+INDEX($AE$21:$AE$97,B478))*(1+INDEX($AE$21:$AE$97,C478))*(1+INDEX($AE$21:$AE$97,D478))*(1+INDEX($AE$21:$AE$97,E478))*(1+INDEX($AE$21:$AE$97,F478))-1</f>
        <v>0.277630177155331</v>
      </c>
      <c r="O478" s="489">
        <f>(1+INDEX($AF$21:$AF$97,B478))*(1+INDEX($AF$21:$AF$97,C478))*(1+INDEX($AF$21:$AF$97,D478))*(1+INDEX($AF$21:$AF$97,E478))*(1+INDEX($AF$21:$AF$97,F478))-1</f>
        <v>0.302351439899228</v>
      </c>
      <c r="P478" s="489">
        <f>LN((1+L478)/(1+H478))</f>
        <v>0.00399169614032506</v>
      </c>
      <c r="Q478" s="489">
        <f>LN((1+M478)/(1+H478))</f>
        <v>0.0103287926551049</v>
      </c>
      <c r="R478" s="489">
        <f>LN((1+N478)/(1+H478))</f>
        <v>-0.0120666328313496</v>
      </c>
      <c r="S478" s="542">
        <f>LN((1+O478)/(1+H478))</f>
        <v>0.00709785981985077</v>
      </c>
    </row>
    <row r="479">
      <c r="A479" s="320" t="n">
        <v>378</v>
      </c>
      <c r="B479" s="174" t="n">
        <v>72</v>
      </c>
      <c r="C479" s="174" t="n">
        <v>44</v>
      </c>
      <c r="D479" s="174" t="n">
        <v>65</v>
      </c>
      <c r="E479" s="174" t="n">
        <v>60</v>
      </c>
      <c r="F479" s="174" t="n">
        <v>15</v>
      </c>
      <c r="G479" s="68">
        <f>(1+INDEX($Z$21:$Z$97,B479))*(1+INDEX($Z$21:$Z$97,C479))*(1+INDEX($Z$21:$Z$97,D479))*(1+INDEX($Z$21:$Z$97,E479))*(1+INDEX($Z$21:$Z$97,F479))-1</f>
        <v>0.455857300016442</v>
      </c>
      <c r="H479" s="68">
        <f>(1+INDEX($AA$21:$AA$97,B479))*(1+INDEX($AA$21:$AA$97,C479))*(1+INDEX($AA$21:$AA$97,D479))*(1+INDEX($AA$21:$AA$97,E479))*(1+INDEX($AA$21:$AA$97,F479))-1</f>
        <v>0.459768136038929</v>
      </c>
      <c r="I479" s="68">
        <f>(1+INDEX($AB$21:$AB$97,B479))*(1+INDEX($AB$21:$AB$97,C479))*(1+INDEX($AB$21:$AB$97,D479))*(1+INDEX($AB$21:$AB$97,E479))*(1+INDEX($AB$21:$AB$97,F479))-1</f>
        <v>0.512350507761146</v>
      </c>
      <c r="J479" s="489">
        <f>LN((1+G479)/(1+H479))</f>
        <v>-0.00268267543530466</v>
      </c>
      <c r="K479" s="489">
        <f>LN((1+I479)/(1+H479))</f>
        <v>0.0353874560179946</v>
      </c>
      <c r="L479" s="489">
        <f>(1+INDEX($AC$21:$AC$97,B479))*(1+INDEX($AC$21:$AC$97,C479))*(1+INDEX($AC$21:$AC$97,D479))*(1+INDEX($AC$21:$AC$97,E479))*(1+INDEX($AC$21:$AC$97,F479))-1</f>
        <v>0.510794141286895</v>
      </c>
      <c r="M479" s="489">
        <f>(1+INDEX($AD$21:$AD$97,B479))*(1+INDEX($AD$21:$AD$97,C479))*(1+INDEX($AD$21:$AD$97,D479))*(1+INDEX($AD$21:$AD$97,E479))*(1+INDEX($AD$21:$AD$97,F479))-1</f>
        <v>0.484362119861368</v>
      </c>
      <c r="N479" s="489">
        <f>(1+INDEX($AE$21:$AE$97,B479))*(1+INDEX($AE$21:$AE$97,C479))*(1+INDEX($AE$21:$AE$97,D479))*(1+INDEX($AE$21:$AE$97,E479))*(1+INDEX($AE$21:$AE$97,F479))-1</f>
        <v>0.508761852965231</v>
      </c>
      <c r="O479" s="489">
        <f>(1+INDEX($AF$21:$AF$97,B479))*(1+INDEX($AF$21:$AF$97,C479))*(1+INDEX($AF$21:$AF$97,D479))*(1+INDEX($AF$21:$AF$97,E479))*(1+INDEX($AF$21:$AF$97,F479))-1</f>
        <v>0.429613875310109</v>
      </c>
      <c r="P479" s="489">
        <f>LN((1+L479)/(1+H479))</f>
        <v>0.0343578217844893</v>
      </c>
      <c r="Q479" s="489">
        <f>LN((1+M479)/(1+H479))</f>
        <v>0.0167075188809837</v>
      </c>
      <c r="R479" s="489">
        <f>LN((1+N479)/(1+H479))</f>
        <v>0.0330117373718151</v>
      </c>
      <c r="S479" s="542">
        <f>LN((1+O479)/(1+H479))</f>
        <v>-0.0208732216312804</v>
      </c>
    </row>
    <row r="480">
      <c r="A480" s="320" t="n">
        <v>379</v>
      </c>
      <c r="B480" s="174" t="n">
        <v>45</v>
      </c>
      <c r="C480" s="174" t="n">
        <v>17</v>
      </c>
      <c r="D480" s="174" t="n">
        <v>34</v>
      </c>
      <c r="E480" s="174" t="n">
        <v>72</v>
      </c>
      <c r="F480" s="174" t="n">
        <v>4</v>
      </c>
      <c r="G480" s="68">
        <f>(1+INDEX($Z$21:$Z$97,B480))*(1+INDEX($Z$21:$Z$97,C480))*(1+INDEX($Z$21:$Z$97,D480))*(1+INDEX($Z$21:$Z$97,E480))*(1+INDEX($Z$21:$Z$97,F480))-1</f>
        <v>0.447144577044732</v>
      </c>
      <c r="H480" s="68">
        <f>(1+INDEX($AA$21:$AA$97,B480))*(1+INDEX($AA$21:$AA$97,C480))*(1+INDEX($AA$21:$AA$97,D480))*(1+INDEX($AA$21:$AA$97,E480))*(1+INDEX($AA$21:$AA$97,F480))-1</f>
        <v>0.474070306299765</v>
      </c>
      <c r="I480" s="68">
        <f>(1+INDEX($AB$21:$AB$97,B480))*(1+INDEX($AB$21:$AB$97,C480))*(1+INDEX($AB$21:$AB$97,D480))*(1+INDEX($AB$21:$AB$97,E480))*(1+INDEX($AB$21:$AB$97,F480))-1</f>
        <v>0.517938659535542</v>
      </c>
      <c r="J480" s="489">
        <f>LN((1+G480)/(1+H480))</f>
        <v>-0.0184351325693672</v>
      </c>
      <c r="K480" s="489">
        <f>LN((1+I480)/(1+H480))</f>
        <v>0.0293257791638697</v>
      </c>
      <c r="L480" s="489">
        <f>(1+INDEX($AC$21:$AC$97,B480))*(1+INDEX($AC$21:$AC$97,C480))*(1+INDEX($AC$21:$AC$97,D480))*(1+INDEX($AC$21:$AC$97,E480))*(1+INDEX($AC$21:$AC$97,F480))-1</f>
        <v>0.504610559126248</v>
      </c>
      <c r="M480" s="489">
        <f>(1+INDEX($AD$21:$AD$97,B480))*(1+INDEX($AD$21:$AD$97,C480))*(1+INDEX($AD$21:$AD$97,D480))*(1+INDEX($AD$21:$AD$97,E480))*(1+INDEX($AD$21:$AD$97,F480))-1</f>
        <v>0.505449255578626</v>
      </c>
      <c r="N480" s="489">
        <f>(1+INDEX($AE$21:$AE$97,B480))*(1+INDEX($AE$21:$AE$97,C480))*(1+INDEX($AE$21:$AE$97,D480))*(1+INDEX($AE$21:$AE$97,E480))*(1+INDEX($AE$21:$AE$97,F480))-1</f>
        <v>0.486616385658304</v>
      </c>
      <c r="O480" s="489">
        <f>(1+INDEX($AF$21:$AF$97,B480))*(1+INDEX($AF$21:$AF$97,C480))*(1+INDEX($AF$21:$AF$97,D480))*(1+INDEX($AF$21:$AF$97,E480))*(1+INDEX($AF$21:$AF$97,F480))-1</f>
        <v>0.461732344816143</v>
      </c>
      <c r="P480" s="489">
        <f>LN((1+L480)/(1+H480))</f>
        <v>0.0205066097603115</v>
      </c>
      <c r="Q480" s="489">
        <f>LN((1+M480)/(1+H480))</f>
        <v>0.0210638720911027</v>
      </c>
      <c r="R480" s="489">
        <f>LN((1+N480)/(1+H480))</f>
        <v>0.00847516523083767</v>
      </c>
      <c r="S480" s="542">
        <f>LN((1+O480)/(1+H480))</f>
        <v>-0.0084052203687879</v>
      </c>
    </row>
    <row r="481">
      <c r="A481" s="320" t="n">
        <v>380</v>
      </c>
      <c r="B481" s="174" t="n">
        <v>67</v>
      </c>
      <c r="C481" s="174" t="n">
        <v>49</v>
      </c>
      <c r="D481" s="174" t="n">
        <v>52</v>
      </c>
      <c r="E481" s="174" t="n">
        <v>29</v>
      </c>
      <c r="F481" s="174" t="n">
        <v>43</v>
      </c>
      <c r="G481" s="68">
        <f>(1+INDEX($Z$21:$Z$97,B481))*(1+INDEX($Z$21:$Z$97,C481))*(1+INDEX($Z$21:$Z$97,D481))*(1+INDEX($Z$21:$Z$97,E481))*(1+INDEX($Z$21:$Z$97,F481))-1</f>
        <v>0.764459217587371</v>
      </c>
      <c r="H481" s="68">
        <f>(1+INDEX($AA$21:$AA$97,B481))*(1+INDEX($AA$21:$AA$97,C481))*(1+INDEX($AA$21:$AA$97,D481))*(1+INDEX($AA$21:$AA$97,E481))*(1+INDEX($AA$21:$AA$97,F481))-1</f>
        <v>0.734189232803809</v>
      </c>
      <c r="I481" s="68">
        <f>(1+INDEX($AB$21:$AB$97,B481))*(1+INDEX($AB$21:$AB$97,C481))*(1+INDEX($AB$21:$AB$97,D481))*(1+INDEX($AB$21:$AB$97,E481))*(1+INDEX($AB$21:$AB$97,F481))-1</f>
        <v>0.823735909443654</v>
      </c>
      <c r="J481" s="489">
        <f>LN((1+G481)/(1+H481))</f>
        <v>0.0173042479337135</v>
      </c>
      <c r="K481" s="489">
        <f>LN((1+I481)/(1+H481))</f>
        <v>0.0503470914782768</v>
      </c>
      <c r="L481" s="489">
        <f>(1+INDEX($AC$21:$AC$97,B481))*(1+INDEX($AC$21:$AC$97,C481))*(1+INDEX($AC$21:$AC$97,D481))*(1+INDEX($AC$21:$AC$97,E481))*(1+INDEX($AC$21:$AC$97,F481))-1</f>
        <v>0.829514052789627</v>
      </c>
      <c r="M481" s="489">
        <f>(1+INDEX($AD$21:$AD$97,B481))*(1+INDEX($AD$21:$AD$97,C481))*(1+INDEX($AD$21:$AD$97,D481))*(1+INDEX($AD$21:$AD$97,E481))*(1+INDEX($AD$21:$AD$97,F481))-1</f>
        <v>0.797648187567999</v>
      </c>
      <c r="N481" s="489">
        <f>(1+INDEX($AE$21:$AE$97,B481))*(1+INDEX($AE$21:$AE$97,C481))*(1+INDEX($AE$21:$AE$97,D481))*(1+INDEX($AE$21:$AE$97,E481))*(1+INDEX($AE$21:$AE$97,F481))-1</f>
        <v>0.825253951712563</v>
      </c>
      <c r="O481" s="489">
        <f>(1+INDEX($AF$21:$AF$97,B481))*(1+INDEX($AF$21:$AF$97,C481))*(1+INDEX($AF$21:$AF$97,D481))*(1+INDEX($AF$21:$AF$97,E481))*(1+INDEX($AF$21:$AF$97,F481))-1</f>
        <v>0.753181016541306</v>
      </c>
      <c r="P481" s="489">
        <f>LN((1+L481)/(1+H481))</f>
        <v>0.0535103834642698</v>
      </c>
      <c r="Q481" s="489">
        <f>LN((1+M481)/(1+H481))</f>
        <v>0.0359392449408908</v>
      </c>
      <c r="R481" s="489">
        <f>LN((1+N481)/(1+H481))</f>
        <v>0.0511791257750253</v>
      </c>
      <c r="S481" s="542">
        <f>LN((1+O481)/(1+H481))</f>
        <v>0.0108918584107225</v>
      </c>
    </row>
    <row r="482">
      <c r="A482" s="320" t="n">
        <v>381</v>
      </c>
      <c r="B482" s="174" t="n">
        <v>56</v>
      </c>
      <c r="C482" s="174" t="n">
        <v>31</v>
      </c>
      <c r="D482" s="174" t="n">
        <v>27</v>
      </c>
      <c r="E482" s="174" t="n">
        <v>57</v>
      </c>
      <c r="F482" s="174" t="n">
        <v>38</v>
      </c>
      <c r="G482" s="68">
        <f>(1+INDEX($Z$21:$Z$97,B482))*(1+INDEX($Z$21:$Z$97,C482))*(1+INDEX($Z$21:$Z$97,D482))*(1+INDEX($Z$21:$Z$97,E482))*(1+INDEX($Z$21:$Z$97,F482))-1</f>
        <v>0.691088902767103</v>
      </c>
      <c r="H482" s="68">
        <f>(1+INDEX($AA$21:$AA$97,B482))*(1+INDEX($AA$21:$AA$97,C482))*(1+INDEX($AA$21:$AA$97,D482))*(1+INDEX($AA$21:$AA$97,E482))*(1+INDEX($AA$21:$AA$97,F482))-1</f>
        <v>0.615524244673174</v>
      </c>
      <c r="I482" s="68">
        <f>(1+INDEX($AB$21:$AB$97,B482))*(1+INDEX($AB$21:$AB$97,C482))*(1+INDEX($AB$21:$AB$97,D482))*(1+INDEX($AB$21:$AB$97,E482))*(1+INDEX($AB$21:$AB$97,F482))-1</f>
        <v>0.676640894505094</v>
      </c>
      <c r="J482" s="489">
        <f>LN((1+G482)/(1+H482))</f>
        <v>0.0457131289081469</v>
      </c>
      <c r="K482" s="489">
        <f>LN((1+I482)/(1+H482))</f>
        <v>0.0371328105498416</v>
      </c>
      <c r="L482" s="489">
        <f>(1+INDEX($AC$21:$AC$97,B482))*(1+INDEX($AC$21:$AC$97,C482))*(1+INDEX($AC$21:$AC$97,D482))*(1+INDEX($AC$21:$AC$97,E482))*(1+INDEX($AC$21:$AC$97,F482))-1</f>
        <v>0.669630024765333</v>
      </c>
      <c r="M482" s="489">
        <f>(1+INDEX($AD$21:$AD$97,B482))*(1+INDEX($AD$21:$AD$97,C482))*(1+INDEX($AD$21:$AD$97,D482))*(1+INDEX($AD$21:$AD$97,E482))*(1+INDEX($AD$21:$AD$97,F482))-1</f>
        <v>0.687492954773344</v>
      </c>
      <c r="N482" s="489">
        <f>(1+INDEX($AE$21:$AE$97,B482))*(1+INDEX($AE$21:$AE$97,C482))*(1+INDEX($AE$21:$AE$97,D482))*(1+INDEX($AE$21:$AE$97,E482))*(1+INDEX($AE$21:$AE$97,F482))-1</f>
        <v>0.671673446337464</v>
      </c>
      <c r="O482" s="489">
        <f>(1+INDEX($AF$21:$AF$97,B482))*(1+INDEX($AF$21:$AF$97,C482))*(1+INDEX($AF$21:$AF$97,D482))*(1+INDEX($AF$21:$AF$97,E482))*(1+INDEX($AF$21:$AF$97,F482))-1</f>
        <v>0.668423568708742</v>
      </c>
      <c r="P482" s="489">
        <f>LN((1+L482)/(1+H482))</f>
        <v>0.0329425461228701</v>
      </c>
      <c r="Q482" s="489">
        <f>LN((1+M482)/(1+H482))</f>
        <v>0.0435844551016627</v>
      </c>
      <c r="R482" s="489">
        <f>LN((1+N482)/(1+H482))</f>
        <v>0.0341656746680963</v>
      </c>
      <c r="S482" s="542">
        <f>LN((1+O482)/(1+H482))</f>
        <v>0.0322196960694846</v>
      </c>
    </row>
    <row r="483">
      <c r="A483" s="320" t="n">
        <v>382</v>
      </c>
      <c r="B483" s="174" t="n">
        <v>72</v>
      </c>
      <c r="C483" s="174" t="n">
        <v>60</v>
      </c>
      <c r="D483" s="174" t="n">
        <v>10</v>
      </c>
      <c r="E483" s="174" t="n">
        <v>37</v>
      </c>
      <c r="F483" s="174" t="n">
        <v>19</v>
      </c>
      <c r="G483" s="68">
        <f>(1+INDEX($Z$21:$Z$97,B483))*(1+INDEX($Z$21:$Z$97,C483))*(1+INDEX($Z$21:$Z$97,D483))*(1+INDEX($Z$21:$Z$97,E483))*(1+INDEX($Z$21:$Z$97,F483))-1</f>
        <v>0.104666346528312</v>
      </c>
      <c r="H483" s="68">
        <f>(1+INDEX($AA$21:$AA$97,B483))*(1+INDEX($AA$21:$AA$97,C483))*(1+INDEX($AA$21:$AA$97,D483))*(1+INDEX($AA$21:$AA$97,E483))*(1+INDEX($AA$21:$AA$97,F483))-1</f>
        <v>0.159004100593319</v>
      </c>
      <c r="I483" s="68">
        <f>(1+INDEX($AB$21:$AB$97,B483))*(1+INDEX($AB$21:$AB$97,C483))*(1+INDEX($AB$21:$AB$97,D483))*(1+INDEX($AB$21:$AB$97,E483))*(1+INDEX($AB$21:$AB$97,F483))-1</f>
        <v>0.130869845419007</v>
      </c>
      <c r="J483" s="489">
        <f>LN((1+G483)/(1+H483))</f>
        <v>-0.0480177618648059</v>
      </c>
      <c r="K483" s="489">
        <f>LN((1+I483)/(1+H483))</f>
        <v>-0.0245739910888928</v>
      </c>
      <c r="L483" s="489">
        <f>(1+INDEX($AC$21:$AC$97,B483))*(1+INDEX($AC$21:$AC$97,C483))*(1+INDEX($AC$21:$AC$97,D483))*(1+INDEX($AC$21:$AC$97,E483))*(1+INDEX($AC$21:$AC$97,F483))-1</f>
        <v>0.134422921625295</v>
      </c>
      <c r="M483" s="489">
        <f>(1+INDEX($AD$21:$AD$97,B483))*(1+INDEX($AD$21:$AD$97,C483))*(1+INDEX($AD$21:$AD$97,D483))*(1+INDEX($AD$21:$AD$97,E483))*(1+INDEX($AD$21:$AD$97,F483))-1</f>
        <v>0.13749848334058</v>
      </c>
      <c r="N483" s="489">
        <f>(1+INDEX($AE$21:$AE$97,B483))*(1+INDEX($AE$21:$AE$97,C483))*(1+INDEX($AE$21:$AE$97,D483))*(1+INDEX($AE$21:$AE$97,E483))*(1+INDEX($AE$21:$AE$97,F483))-1</f>
        <v>0.143286384428249</v>
      </c>
      <c r="O483" s="489">
        <f>(1+INDEX($AF$21:$AF$97,B483))*(1+INDEX($AF$21:$AF$97,C483))*(1+INDEX($AF$21:$AF$97,D483))*(1+INDEX($AF$21:$AF$97,E483))*(1+INDEX($AF$21:$AF$97,F483))-1</f>
        <v>0.139689649266273</v>
      </c>
      <c r="P483" s="489">
        <f>LN((1+L483)/(1+H483))</f>
        <v>-0.0214370198579112</v>
      </c>
      <c r="Q483" s="489">
        <f>LN((1+M483)/(1+H483))</f>
        <v>-0.0187295638805174</v>
      </c>
      <c r="R483" s="489">
        <f>LN((1+N483)/(1+H483))</f>
        <v>-0.0136541939113002</v>
      </c>
      <c r="S483" s="542">
        <f>LN((1+O483)/(1+H483))</f>
        <v>-0.016805114538307</v>
      </c>
    </row>
    <row r="484">
      <c r="A484" s="320" t="n">
        <v>383</v>
      </c>
      <c r="B484" s="174" t="n">
        <v>14</v>
      </c>
      <c r="C484" s="174" t="n">
        <v>62</v>
      </c>
      <c r="D484" s="174" t="n">
        <v>62</v>
      </c>
      <c r="E484" s="174" t="n">
        <v>43</v>
      </c>
      <c r="F484" s="174" t="n">
        <v>26</v>
      </c>
      <c r="G484" s="68">
        <f>(1+INDEX($Z$21:$Z$97,B484))*(1+INDEX($Z$21:$Z$97,C484))*(1+INDEX($Z$21:$Z$97,D484))*(1+INDEX($Z$21:$Z$97,E484))*(1+INDEX($Z$21:$Z$97,F484))-1</f>
        <v>0.244758299403196</v>
      </c>
      <c r="H484" s="68">
        <f>(1+INDEX($AA$21:$AA$97,B484))*(1+INDEX($AA$21:$AA$97,C484))*(1+INDEX($AA$21:$AA$97,D484))*(1+INDEX($AA$21:$AA$97,E484))*(1+INDEX($AA$21:$AA$97,F484))-1</f>
        <v>0.249225493366984</v>
      </c>
      <c r="I484" s="68">
        <f>(1+INDEX($AB$21:$AB$97,B484))*(1+INDEX($AB$21:$AB$97,C484))*(1+INDEX($AB$21:$AB$97,D484))*(1+INDEX($AB$21:$AB$97,E484))*(1+INDEX($AB$21:$AB$97,F484))-1</f>
        <v>0.287982086682711</v>
      </c>
      <c r="J484" s="489">
        <f>LN((1+G484)/(1+H484))</f>
        <v>-0.00358237992900685</v>
      </c>
      <c r="K484" s="489">
        <f>LN((1+I484)/(1+H484))</f>
        <v>0.0305529657573076</v>
      </c>
      <c r="L484" s="489">
        <f>(1+INDEX($AC$21:$AC$97,B484))*(1+INDEX($AC$21:$AC$97,C484))*(1+INDEX($AC$21:$AC$97,D484))*(1+INDEX($AC$21:$AC$97,E484))*(1+INDEX($AC$21:$AC$97,F484))-1</f>
        <v>0.314067915732125</v>
      </c>
      <c r="M484" s="489">
        <f>(1+INDEX($AD$21:$AD$97,B484))*(1+INDEX($AD$21:$AD$97,C484))*(1+INDEX($AD$21:$AD$97,D484))*(1+INDEX($AD$21:$AD$97,E484))*(1+INDEX($AD$21:$AD$97,F484))-1</f>
        <v>0.236162194205883</v>
      </c>
      <c r="N484" s="489">
        <f>(1+INDEX($AE$21:$AE$97,B484))*(1+INDEX($AE$21:$AE$97,C484))*(1+INDEX($AE$21:$AE$97,D484))*(1+INDEX($AE$21:$AE$97,E484))*(1+INDEX($AE$21:$AE$97,F484))-1</f>
        <v>0.295328519750687</v>
      </c>
      <c r="O484" s="489">
        <f>(1+INDEX($AF$21:$AF$97,B484))*(1+INDEX($AF$21:$AF$97,C484))*(1+INDEX($AF$21:$AF$97,D484))*(1+INDEX($AF$21:$AF$97,E484))*(1+INDEX($AF$21:$AF$97,F484))-1</f>
        <v>0.182696585742801</v>
      </c>
      <c r="P484" s="489">
        <f>LN((1+L484)/(1+H484))</f>
        <v>0.0506038510033447</v>
      </c>
      <c r="Q484" s="489">
        <f>LN((1+M484)/(1+H484))</f>
        <v>-0.0105121784611944</v>
      </c>
      <c r="R484" s="489">
        <f>LN((1+N484)/(1+H484))</f>
        <v>0.0362405922114207</v>
      </c>
      <c r="S484" s="542">
        <f>LN((1+O484)/(1+H484))</f>
        <v>-0.0547266805351727</v>
      </c>
    </row>
    <row r="485">
      <c r="A485" s="320" t="n">
        <v>384</v>
      </c>
      <c r="B485" s="174" t="n">
        <v>66</v>
      </c>
      <c r="C485" s="174" t="n">
        <v>64</v>
      </c>
      <c r="D485" s="174" t="n">
        <v>62</v>
      </c>
      <c r="E485" s="174" t="n">
        <v>50</v>
      </c>
      <c r="F485" s="174" t="n">
        <v>24</v>
      </c>
      <c r="G485" s="68">
        <f>(1+INDEX($Z$21:$Z$97,B485))*(1+INDEX($Z$21:$Z$97,C485))*(1+INDEX($Z$21:$Z$97,D485))*(1+INDEX($Z$21:$Z$97,E485))*(1+INDEX($Z$21:$Z$97,F485))-1</f>
        <v>0.210209937942543</v>
      </c>
      <c r="H485" s="68">
        <f>(1+INDEX($AA$21:$AA$97,B485))*(1+INDEX($AA$21:$AA$97,C485))*(1+INDEX($AA$21:$AA$97,D485))*(1+INDEX($AA$21:$AA$97,E485))*(1+INDEX($AA$21:$AA$97,F485))-1</f>
        <v>0.16356826488151</v>
      </c>
      <c r="I485" s="68">
        <f>(1+INDEX($AB$21:$AB$97,B485))*(1+INDEX($AB$21:$AB$97,C485))*(1+INDEX($AB$21:$AB$97,D485))*(1+INDEX($AB$21:$AB$97,E485))*(1+INDEX($AB$21:$AB$97,F485))-1</f>
        <v>0.20007759786928</v>
      </c>
      <c r="J485" s="489">
        <f>LN((1+G485)/(1+H485))</f>
        <v>0.0393024729434491</v>
      </c>
      <c r="K485" s="489">
        <f>LN((1+I485)/(1+H485))</f>
        <v>0.0308948455470892</v>
      </c>
      <c r="L485" s="489">
        <f>(1+INDEX($AC$21:$AC$97,B485))*(1+INDEX($AC$21:$AC$97,C485))*(1+INDEX($AC$21:$AC$97,D485))*(1+INDEX($AC$21:$AC$97,E485))*(1+INDEX($AC$21:$AC$97,F485))-1</f>
        <v>0.199870489895877</v>
      </c>
      <c r="M485" s="489">
        <f>(1+INDEX($AD$21:$AD$97,B485))*(1+INDEX($AD$21:$AD$97,C485))*(1+INDEX($AD$21:$AD$97,D485))*(1+INDEX($AD$21:$AD$97,E485))*(1+INDEX($AD$21:$AD$97,F485))-1</f>
        <v>0.164582129452136</v>
      </c>
      <c r="N485" s="489">
        <f>(1+INDEX($AE$21:$AE$97,B485))*(1+INDEX($AE$21:$AE$97,C485))*(1+INDEX($AE$21:$AE$97,D485))*(1+INDEX($AE$21:$AE$97,E485))*(1+INDEX($AE$21:$AE$97,F485))-1</f>
        <v>0.193857241453365</v>
      </c>
      <c r="O485" s="489">
        <f>(1+INDEX($AF$21:$AF$97,B485))*(1+INDEX($AF$21:$AF$97,C485))*(1+INDEX($AF$21:$AF$97,D485))*(1+INDEX($AF$21:$AF$97,E485))*(1+INDEX($AF$21:$AF$97,F485))-1</f>
        <v>0.159629826394196</v>
      </c>
      <c r="P485" s="489">
        <f>LN((1+L485)/(1+H485))</f>
        <v>0.0307222518356059</v>
      </c>
      <c r="Q485" s="489">
        <f>LN((1+M485)/(1+H485))</f>
        <v>0.00087096146123919</v>
      </c>
      <c r="R485" s="489">
        <f>LN((1+N485)/(1+H485))</f>
        <v>0.0256980705030158</v>
      </c>
      <c r="S485" s="542">
        <f>LN((1+O485)/(1+H485))</f>
        <v>-0.00339053503447511</v>
      </c>
    </row>
    <row r="486">
      <c r="A486" s="320" t="n">
        <v>385</v>
      </c>
      <c r="B486" s="174" t="n">
        <v>31</v>
      </c>
      <c r="C486" s="174" t="n">
        <v>18</v>
      </c>
      <c r="D486" s="174" t="n">
        <v>50</v>
      </c>
      <c r="E486" s="174" t="n">
        <v>16</v>
      </c>
      <c r="F486" s="174" t="n">
        <v>70</v>
      </c>
      <c r="G486" s="68">
        <f>(1+INDEX($Z$21:$Z$97,B486))*(1+INDEX($Z$21:$Z$97,C486))*(1+INDEX($Z$21:$Z$97,D486))*(1+INDEX($Z$21:$Z$97,E486))*(1+INDEX($Z$21:$Z$97,F486))-1</f>
        <v>0.469945078711996</v>
      </c>
      <c r="H486" s="68">
        <f>(1+INDEX($AA$21:$AA$97,B486))*(1+INDEX($AA$21:$AA$97,C486))*(1+INDEX($AA$21:$AA$97,D486))*(1+INDEX($AA$21:$AA$97,E486))*(1+INDEX($AA$21:$AA$97,F486))-1</f>
        <v>0.412961710185267</v>
      </c>
      <c r="I486" s="68">
        <f>(1+INDEX($AB$21:$AB$97,B486))*(1+INDEX($AB$21:$AB$97,C486))*(1+INDEX($AB$21:$AB$97,D486))*(1+INDEX($AB$21:$AB$97,E486))*(1+INDEX($AB$21:$AB$97,F486))-1</f>
        <v>0.448156572485346</v>
      </c>
      <c r="J486" s="489">
        <f>LN((1+G486)/(1+H486))</f>
        <v>0.0395370335781945</v>
      </c>
      <c r="K486" s="489">
        <f>LN((1+I486)/(1+H486))</f>
        <v>0.0246034131932325</v>
      </c>
      <c r="L486" s="489">
        <f>(1+INDEX($AC$21:$AC$97,B486))*(1+INDEX($AC$21:$AC$97,C486))*(1+INDEX($AC$21:$AC$97,D486))*(1+INDEX($AC$21:$AC$97,E486))*(1+INDEX($AC$21:$AC$97,F486))-1</f>
        <v>0.413008520596763</v>
      </c>
      <c r="M486" s="489">
        <f>(1+INDEX($AD$21:$AD$97,B486))*(1+INDEX($AD$21:$AD$97,C486))*(1+INDEX($AD$21:$AD$97,D486))*(1+INDEX($AD$21:$AD$97,E486))*(1+INDEX($AD$21:$AD$97,F486))-1</f>
        <v>0.450117673613816</v>
      </c>
      <c r="N486" s="489">
        <f>(1+INDEX($AE$21:$AE$97,B486))*(1+INDEX($AE$21:$AE$97,C486))*(1+INDEX($AE$21:$AE$97,D486))*(1+INDEX($AE$21:$AE$97,E486))*(1+INDEX($AE$21:$AE$97,F486))-1</f>
        <v>0.423720381589866</v>
      </c>
      <c r="O486" s="489">
        <f>(1+INDEX($AF$21:$AF$97,B486))*(1+INDEX($AF$21:$AF$97,C486))*(1+INDEX($AF$21:$AF$97,D486))*(1+INDEX($AF$21:$AF$97,E486))*(1+INDEX($AF$21:$AF$97,F486))-1</f>
        <v>0.446513833952104</v>
      </c>
      <c r="P486" s="489">
        <f>LN((1+L486)/(1+H486))</f>
        <v>3.31287364538327e-05</v>
      </c>
      <c r="Q486" s="489">
        <f>LN((1+M486)/(1+H486))</f>
        <v>0.025956702261998</v>
      </c>
      <c r="R486" s="489">
        <f>LN((1+N486)/(1+H486))</f>
        <v>0.00758542737123457</v>
      </c>
      <c r="S486" s="542">
        <f>LN((1+O486)/(1+H486))</f>
        <v>0.0234684040357529</v>
      </c>
    </row>
    <row r="487">
      <c r="A487" s="320" t="n">
        <v>386</v>
      </c>
      <c r="B487" s="174" t="n">
        <v>58</v>
      </c>
      <c r="C487" s="174" t="n">
        <v>23</v>
      </c>
      <c r="D487" s="174" t="n">
        <v>47</v>
      </c>
      <c r="E487" s="174" t="n">
        <v>43</v>
      </c>
      <c r="F487" s="174" t="n">
        <v>4</v>
      </c>
      <c r="G487" s="68">
        <f>(1+INDEX($Z$21:$Z$97,B487))*(1+INDEX($Z$21:$Z$97,C487))*(1+INDEX($Z$21:$Z$97,D487))*(1+INDEX($Z$21:$Z$97,E487))*(1+INDEX($Z$21:$Z$97,F487))-1</f>
        <v>0.664704421660428</v>
      </c>
      <c r="H487" s="68">
        <f>(1+INDEX($AA$21:$AA$97,B487))*(1+INDEX($AA$21:$AA$97,C487))*(1+INDEX($AA$21:$AA$97,D487))*(1+INDEX($AA$21:$AA$97,E487))*(1+INDEX($AA$21:$AA$97,F487))-1</f>
        <v>0.637447174056209</v>
      </c>
      <c r="I487" s="68">
        <f>(1+INDEX($AB$21:$AB$97,B487))*(1+INDEX($AB$21:$AB$97,C487))*(1+INDEX($AB$21:$AB$97,D487))*(1+INDEX($AB$21:$AB$97,E487))*(1+INDEX($AB$21:$AB$97,F487))-1</f>
        <v>0.682965197701167</v>
      </c>
      <c r="J487" s="489">
        <f>LN((1+G487)/(1+H487))</f>
        <v>0.0165091552562359</v>
      </c>
      <c r="K487" s="489">
        <f>LN((1+I487)/(1+H487))</f>
        <v>0.0274188083785378</v>
      </c>
      <c r="L487" s="489">
        <f>(1+INDEX($AC$21:$AC$97,B487))*(1+INDEX($AC$21:$AC$97,C487))*(1+INDEX($AC$21:$AC$97,D487))*(1+INDEX($AC$21:$AC$97,E487))*(1+INDEX($AC$21:$AC$97,F487))-1</f>
        <v>0.704200673556416</v>
      </c>
      <c r="M487" s="489">
        <f>(1+INDEX($AD$21:$AD$97,B487))*(1+INDEX($AD$21:$AD$97,C487))*(1+INDEX($AD$21:$AD$97,D487))*(1+INDEX($AD$21:$AD$97,E487))*(1+INDEX($AD$21:$AD$97,F487))-1</f>
        <v>0.644452515952627</v>
      </c>
      <c r="N487" s="489">
        <f>(1+INDEX($AE$21:$AE$97,B487))*(1+INDEX($AE$21:$AE$97,C487))*(1+INDEX($AE$21:$AE$97,D487))*(1+INDEX($AE$21:$AE$97,E487))*(1+INDEX($AE$21:$AE$97,F487))-1</f>
        <v>0.684702285523806</v>
      </c>
      <c r="O487" s="489">
        <f>(1+INDEX($AF$21:$AF$97,B487))*(1+INDEX($AF$21:$AF$97,C487))*(1+INDEX($AF$21:$AF$97,D487))*(1+INDEX($AF$21:$AF$97,E487))*(1+INDEX($AF$21:$AF$97,F487))-1</f>
        <v>0.624103282293787</v>
      </c>
      <c r="P487" s="489">
        <f>LN((1+L487)/(1+H487))</f>
        <v>0.0399577597562826</v>
      </c>
      <c r="Q487" s="489">
        <f>LN((1+M487)/(1+H487))</f>
        <v>0.00426908388281872</v>
      </c>
      <c r="R487" s="489">
        <f>LN((1+N487)/(1+H487))</f>
        <v>0.0284504351560334</v>
      </c>
      <c r="S487" s="542">
        <f>LN((1+O487)/(1+H487))</f>
        <v>-0.00818259069975932</v>
      </c>
    </row>
    <row r="488">
      <c r="A488" s="320" t="n">
        <v>387</v>
      </c>
      <c r="B488" s="174" t="n">
        <v>26</v>
      </c>
      <c r="C488" s="174" t="n">
        <v>19</v>
      </c>
      <c r="D488" s="174" t="n">
        <v>73</v>
      </c>
      <c r="E488" s="174" t="n">
        <v>18</v>
      </c>
      <c r="F488" s="174" t="n">
        <v>55</v>
      </c>
      <c r="G488" s="68">
        <f>(1+INDEX($Z$21:$Z$97,B488))*(1+INDEX($Z$21:$Z$97,C488))*(1+INDEX($Z$21:$Z$97,D488))*(1+INDEX($Z$21:$Z$97,E488))*(1+INDEX($Z$21:$Z$97,F488))-1</f>
        <v>0.22948377740616</v>
      </c>
      <c r="H488" s="68">
        <f>(1+INDEX($AA$21:$AA$97,B488))*(1+INDEX($AA$21:$AA$97,C488))*(1+INDEX($AA$21:$AA$97,D488))*(1+INDEX($AA$21:$AA$97,E488))*(1+INDEX($AA$21:$AA$97,F488))-1</f>
        <v>0.223904644164727</v>
      </c>
      <c r="I488" s="68">
        <f>(1+INDEX($AB$21:$AB$97,B488))*(1+INDEX($AB$21:$AB$97,C488))*(1+INDEX($AB$21:$AB$97,D488))*(1+INDEX($AB$21:$AB$97,E488))*(1+INDEX($AB$21:$AB$97,F488))-1</f>
        <v>0.237915760794737</v>
      </c>
      <c r="J488" s="489">
        <f>LN((1+G488)/(1+H488))</f>
        <v>0.0045481121615783</v>
      </c>
      <c r="K488" s="489">
        <f>LN((1+I488)/(1+H488))</f>
        <v>0.0113828513937713</v>
      </c>
      <c r="L488" s="489">
        <f>(1+INDEX($AC$21:$AC$97,B488))*(1+INDEX($AC$21:$AC$97,C488))*(1+INDEX($AC$21:$AC$97,D488))*(1+INDEX($AC$21:$AC$97,E488))*(1+INDEX($AC$21:$AC$97,F488))-1</f>
        <v>0.214332048892593</v>
      </c>
      <c r="M488" s="489">
        <f>(1+INDEX($AD$21:$AD$97,B488))*(1+INDEX($AD$21:$AD$97,C488))*(1+INDEX($AD$21:$AD$97,D488))*(1+INDEX($AD$21:$AD$97,E488))*(1+INDEX($AD$21:$AD$97,F488))-1</f>
        <v>0.242908908657483</v>
      </c>
      <c r="N488" s="489">
        <f>(1+INDEX($AE$21:$AE$97,B488))*(1+INDEX($AE$21:$AE$97,C488))*(1+INDEX($AE$21:$AE$97,D488))*(1+INDEX($AE$21:$AE$97,E488))*(1+INDEX($AE$21:$AE$97,F488))-1</f>
        <v>0.212743295411626</v>
      </c>
      <c r="O488" s="489">
        <f>(1+INDEX($AF$21:$AF$97,B488))*(1+INDEX($AF$21:$AF$97,C488))*(1+INDEX($AF$21:$AF$97,D488))*(1+INDEX($AF$21:$AF$97,E488))*(1+INDEX($AF$21:$AF$97,F488))-1</f>
        <v>0.261586269996592</v>
      </c>
      <c r="P488" s="489">
        <f>LN((1+L488)/(1+H488))</f>
        <v>-0.00785210433668765</v>
      </c>
      <c r="Q488" s="489">
        <f>LN((1+M488)/(1+H488))</f>
        <v>0.0154082504206145</v>
      </c>
      <c r="R488" s="489">
        <f>LN((1+N488)/(1+H488))</f>
        <v>-0.00916129625083297</v>
      </c>
      <c r="S488" s="542">
        <f>LN((1+O488)/(1+H488))</f>
        <v>0.0303235976378652</v>
      </c>
    </row>
    <row r="489">
      <c r="A489" s="320" t="n">
        <v>388</v>
      </c>
      <c r="B489" s="174" t="n">
        <v>41</v>
      </c>
      <c r="C489" s="174" t="n">
        <v>67</v>
      </c>
      <c r="D489" s="174" t="n">
        <v>54</v>
      </c>
      <c r="E489" s="174" t="n">
        <v>17</v>
      </c>
      <c r="F489" s="174" t="n">
        <v>5</v>
      </c>
      <c r="G489" s="68">
        <f>(1+INDEX($Z$21:$Z$97,B489))*(1+INDEX($Z$21:$Z$97,C489))*(1+INDEX($Z$21:$Z$97,D489))*(1+INDEX($Z$21:$Z$97,E489))*(1+INDEX($Z$21:$Z$97,F489))-1</f>
        <v>0.144342779201118</v>
      </c>
      <c r="H489" s="68">
        <f>(1+INDEX($AA$21:$AA$97,B489))*(1+INDEX($AA$21:$AA$97,C489))*(1+INDEX($AA$21:$AA$97,D489))*(1+INDEX($AA$21:$AA$97,E489))*(1+INDEX($AA$21:$AA$97,F489))-1</f>
        <v>0.175228100106202</v>
      </c>
      <c r="I489" s="68">
        <f>(1+INDEX($AB$21:$AB$97,B489))*(1+INDEX($AB$21:$AB$97,C489))*(1+INDEX($AB$21:$AB$97,D489))*(1+INDEX($AB$21:$AB$97,E489))*(1+INDEX($AB$21:$AB$97,F489))-1</f>
        <v>0.149668494851854</v>
      </c>
      <c r="J489" s="489">
        <f>LN((1+G489)/(1+H489))</f>
        <v>-0.0266317762600657</v>
      </c>
      <c r="K489" s="489">
        <f>LN((1+I489)/(1+H489))</f>
        <v>-0.0219886210332244</v>
      </c>
      <c r="L489" s="489">
        <f>(1+INDEX($AC$21:$AC$97,B489))*(1+INDEX($AC$21:$AC$97,C489))*(1+INDEX($AC$21:$AC$97,D489))*(1+INDEX($AC$21:$AC$97,E489))*(1+INDEX($AC$21:$AC$97,F489))-1</f>
        <v>0.1522869130658</v>
      </c>
      <c r="M489" s="489">
        <f>(1+INDEX($AD$21:$AD$97,B489))*(1+INDEX($AD$21:$AD$97,C489))*(1+INDEX($AD$21:$AD$97,D489))*(1+INDEX($AD$21:$AD$97,E489))*(1+INDEX($AD$21:$AD$97,F489))-1</f>
        <v>0.148599004100603</v>
      </c>
      <c r="N489" s="489">
        <f>(1+INDEX($AE$21:$AE$97,B489))*(1+INDEX($AE$21:$AE$97,C489))*(1+INDEX($AE$21:$AE$97,D489))*(1+INDEX($AE$21:$AE$97,E489))*(1+INDEX($AE$21:$AE$97,F489))-1</f>
        <v>0.144270152018317</v>
      </c>
      <c r="O489" s="489">
        <f>(1+INDEX($AF$21:$AF$97,B489))*(1+INDEX($AF$21:$AF$97,C489))*(1+INDEX($AF$21:$AF$97,D489))*(1+INDEX($AF$21:$AF$97,E489))*(1+INDEX($AF$21:$AF$97,F489))-1</f>
        <v>0.193427193881127</v>
      </c>
      <c r="P489" s="489">
        <f>LN((1+L489)/(1+H489))</f>
        <v>-0.019713668760716</v>
      </c>
      <c r="Q489" s="489">
        <f>LN((1+M489)/(1+H489))</f>
        <v>-0.0229193141130658</v>
      </c>
      <c r="R489" s="489">
        <f>LN((1+N489)/(1+H489))</f>
        <v>-0.0266952445572469</v>
      </c>
      <c r="S489" s="542">
        <f>LN((1+O489)/(1+H489))</f>
        <v>0.0153669062360299</v>
      </c>
    </row>
    <row r="490">
      <c r="A490" s="320" t="n">
        <v>389</v>
      </c>
      <c r="B490" s="174" t="n">
        <v>38</v>
      </c>
      <c r="C490" s="174" t="n">
        <v>35</v>
      </c>
      <c r="D490" s="174" t="n">
        <v>75</v>
      </c>
      <c r="E490" s="174" t="n">
        <v>29</v>
      </c>
      <c r="F490" s="174" t="n">
        <v>76</v>
      </c>
      <c r="G490" s="68">
        <f>(1+INDEX($Z$21:$Z$97,B490))*(1+INDEX($Z$21:$Z$97,C490))*(1+INDEX($Z$21:$Z$97,D490))*(1+INDEX($Z$21:$Z$97,E490))*(1+INDEX($Z$21:$Z$97,F490))-1</f>
        <v>0.543042869606044</v>
      </c>
      <c r="H490" s="68">
        <f>(1+INDEX($AA$21:$AA$97,B490))*(1+INDEX($AA$21:$AA$97,C490))*(1+INDEX($AA$21:$AA$97,D490))*(1+INDEX($AA$21:$AA$97,E490))*(1+INDEX($AA$21:$AA$97,F490))-1</f>
        <v>0.545062889721272</v>
      </c>
      <c r="I490" s="68">
        <f>(1+INDEX($AB$21:$AB$97,B490))*(1+INDEX($AB$21:$AB$97,C490))*(1+INDEX($AB$21:$AB$97,D490))*(1+INDEX($AB$21:$AB$97,E490))*(1+INDEX($AB$21:$AB$97,F490))-1</f>
        <v>0.608258993606709</v>
      </c>
      <c r="J490" s="489">
        <f>LN((1+G490)/(1+H490))</f>
        <v>-0.00130825856416242</v>
      </c>
      <c r="K490" s="489">
        <f>LN((1+I490)/(1+H490))</f>
        <v>0.0400876086204245</v>
      </c>
      <c r="L490" s="489">
        <f>(1+INDEX($AC$21:$AC$97,B490))*(1+INDEX($AC$21:$AC$97,C490))*(1+INDEX($AC$21:$AC$97,D490))*(1+INDEX($AC$21:$AC$97,E490))*(1+INDEX($AC$21:$AC$97,F490))-1</f>
        <v>0.60348054284514</v>
      </c>
      <c r="M490" s="489">
        <f>(1+INDEX($AD$21:$AD$97,B490))*(1+INDEX($AD$21:$AD$97,C490))*(1+INDEX($AD$21:$AD$97,D490))*(1+INDEX($AD$21:$AD$97,E490))*(1+INDEX($AD$21:$AD$97,F490))-1</f>
        <v>0.61262794272597</v>
      </c>
      <c r="N490" s="489">
        <f>(1+INDEX($AE$21:$AE$97,B490))*(1+INDEX($AE$21:$AE$97,C490))*(1+INDEX($AE$21:$AE$97,D490))*(1+INDEX($AE$21:$AE$97,E490))*(1+INDEX($AE$21:$AE$97,F490))-1</f>
        <v>0.594327444597102</v>
      </c>
      <c r="O490" s="489">
        <f>(1+INDEX($AF$21:$AF$97,B490))*(1+INDEX($AF$21:$AF$97,C490))*(1+INDEX($AF$21:$AF$97,D490))*(1+INDEX($AF$21:$AF$97,E490))*(1+INDEX($AF$21:$AF$97,F490))-1</f>
        <v>0.532157110244105</v>
      </c>
      <c r="P490" s="489">
        <f>LN((1+L490)/(1+H490))</f>
        <v>0.0371119910566993</v>
      </c>
      <c r="Q490" s="489">
        <f>LN((1+M490)/(1+H490))</f>
        <v>0.0428004960238976</v>
      </c>
      <c r="R490" s="489">
        <f>LN((1+N490)/(1+H490))</f>
        <v>0.0313873676393109</v>
      </c>
      <c r="S490" s="542">
        <f>LN((1+O490)/(1+H490))</f>
        <v>-0.00838799640355853</v>
      </c>
    </row>
    <row r="491">
      <c r="A491" s="320" t="n">
        <v>390</v>
      </c>
      <c r="B491" s="174" t="n">
        <v>36</v>
      </c>
      <c r="C491" s="174" t="n">
        <v>13</v>
      </c>
      <c r="D491" s="174" t="n">
        <v>57</v>
      </c>
      <c r="E491" s="174" t="n">
        <v>25</v>
      </c>
      <c r="F491" s="174" t="n">
        <v>7</v>
      </c>
      <c r="G491" s="68">
        <f>(1+INDEX($Z$21:$Z$97,B491))*(1+INDEX($Z$21:$Z$97,C491))*(1+INDEX($Z$21:$Z$97,D491))*(1+INDEX($Z$21:$Z$97,E491))*(1+INDEX($Z$21:$Z$97,F491))-1</f>
        <v>0.582551125440932</v>
      </c>
      <c r="H491" s="68">
        <f>(1+INDEX($AA$21:$AA$97,B491))*(1+INDEX($AA$21:$AA$97,C491))*(1+INDEX($AA$21:$AA$97,D491))*(1+INDEX($AA$21:$AA$97,E491))*(1+INDEX($AA$21:$AA$97,F491))-1</f>
        <v>0.480105372392802</v>
      </c>
      <c r="I491" s="68">
        <f>(1+INDEX($AB$21:$AB$97,B491))*(1+INDEX($AB$21:$AB$97,C491))*(1+INDEX($AB$21:$AB$97,D491))*(1+INDEX($AB$21:$AB$97,E491))*(1+INDEX($AB$21:$AB$97,F491))-1</f>
        <v>0.51294203358703</v>
      </c>
      <c r="J491" s="489">
        <f>LN((1+G491)/(1+H491))</f>
        <v>0.0669248984657637</v>
      </c>
      <c r="K491" s="489">
        <f>LN((1+I491)/(1+H491))</f>
        <v>0.0219428390320495</v>
      </c>
      <c r="L491" s="489">
        <f>(1+INDEX($AC$21:$AC$97,B491))*(1+INDEX($AC$21:$AC$97,C491))*(1+INDEX($AC$21:$AC$97,D491))*(1+INDEX($AC$21:$AC$97,E491))*(1+INDEX($AC$21:$AC$97,F491))-1</f>
        <v>0.513341462805798</v>
      </c>
      <c r="M491" s="489">
        <f>(1+INDEX($AD$21:$AD$97,B491))*(1+INDEX($AD$21:$AD$97,C491))*(1+INDEX($AD$21:$AD$97,D491))*(1+INDEX($AD$21:$AD$97,E491))*(1+INDEX($AD$21:$AD$97,F491))-1</f>
        <v>0.506822609024881</v>
      </c>
      <c r="N491" s="489">
        <f>(1+INDEX($AE$21:$AE$97,B491))*(1+INDEX($AE$21:$AE$97,C491))*(1+INDEX($AE$21:$AE$97,D491))*(1+INDEX($AE$21:$AE$97,E491))*(1+INDEX($AE$21:$AE$97,F491))-1</f>
        <v>0.506058008535991</v>
      </c>
      <c r="O491" s="489">
        <f>(1+INDEX($AF$21:$AF$97,B491))*(1+INDEX($AF$21:$AF$97,C491))*(1+INDEX($AF$21:$AF$97,D491))*(1+INDEX($AF$21:$AF$97,E491))*(1+INDEX($AF$21:$AF$97,F491))-1</f>
        <v>0.497983279947406</v>
      </c>
      <c r="P491" s="489">
        <f>LN((1+L491)/(1+H491))</f>
        <v>0.0222068124645216</v>
      </c>
      <c r="Q491" s="489">
        <f>LN((1+M491)/(1+H491))</f>
        <v>0.017889918580998</v>
      </c>
      <c r="R491" s="489">
        <f>LN((1+N491)/(1+H491))</f>
        <v>0.017382364115781</v>
      </c>
      <c r="S491" s="542">
        <f>LN((1+O491)/(1+H491))</f>
        <v>0.0120064406445944</v>
      </c>
    </row>
    <row r="492">
      <c r="A492" s="320" t="n">
        <v>391</v>
      </c>
      <c r="B492" s="174" t="n">
        <v>55</v>
      </c>
      <c r="C492" s="174" t="n">
        <v>72</v>
      </c>
      <c r="D492" s="174" t="n">
        <v>11</v>
      </c>
      <c r="E492" s="174" t="n">
        <v>1</v>
      </c>
      <c r="F492" s="174" t="n">
        <v>18</v>
      </c>
      <c r="G492" s="68">
        <f>(1+INDEX($Z$21:$Z$97,B492))*(1+INDEX($Z$21:$Z$97,C492))*(1+INDEX($Z$21:$Z$97,D492))*(1+INDEX($Z$21:$Z$97,E492))*(1+INDEX($Z$21:$Z$97,F492))-1</f>
        <v>0.258636098268581</v>
      </c>
      <c r="H492" s="68">
        <f>(1+INDEX($AA$21:$AA$97,B492))*(1+INDEX($AA$21:$AA$97,C492))*(1+INDEX($AA$21:$AA$97,D492))*(1+INDEX($AA$21:$AA$97,E492))*(1+INDEX($AA$21:$AA$97,F492))-1</f>
        <v>0.221302653696444</v>
      </c>
      <c r="I492" s="68">
        <f>(1+INDEX($AB$21:$AB$97,B492))*(1+INDEX($AB$21:$AB$97,C492))*(1+INDEX($AB$21:$AB$97,D492))*(1+INDEX($AB$21:$AB$97,E492))*(1+INDEX($AB$21:$AB$97,F492))-1</f>
        <v>0.199412747685343</v>
      </c>
      <c r="J492" s="489">
        <f>LN((1+G492)/(1+H492))</f>
        <v>0.0301106349487644</v>
      </c>
      <c r="K492" s="489">
        <f>LN((1+I492)/(1+H492))</f>
        <v>-0.0180859779571339</v>
      </c>
      <c r="L492" s="489">
        <f>(1+INDEX($AC$21:$AC$97,B492))*(1+INDEX($AC$21:$AC$97,C492))*(1+INDEX($AC$21:$AC$97,D492))*(1+INDEX($AC$21:$AC$97,E492))*(1+INDEX($AC$21:$AC$97,F492))-1</f>
        <v>0.182419412608964</v>
      </c>
      <c r="M492" s="489">
        <f>(1+INDEX($AD$21:$AD$97,B492))*(1+INDEX($AD$21:$AD$97,C492))*(1+INDEX($AD$21:$AD$97,D492))*(1+INDEX($AD$21:$AD$97,E492))*(1+INDEX($AD$21:$AD$97,F492))-1</f>
        <v>0.231700211566387</v>
      </c>
      <c r="N492" s="489">
        <f>(1+INDEX($AE$21:$AE$97,B492))*(1+INDEX($AE$21:$AE$97,C492))*(1+INDEX($AE$21:$AE$97,D492))*(1+INDEX($AE$21:$AE$97,E492))*(1+INDEX($AE$21:$AE$97,F492))-1</f>
        <v>0.191438558051207</v>
      </c>
      <c r="O492" s="489">
        <f>(1+INDEX($AF$21:$AF$97,B492))*(1+INDEX($AF$21:$AF$97,C492))*(1+INDEX($AF$21:$AF$97,D492))*(1+INDEX($AF$21:$AF$97,E492))*(1+INDEX($AF$21:$AF$97,F492))-1</f>
        <v>0.282624139516111</v>
      </c>
      <c r="P492" s="489">
        <f>LN((1+L492)/(1+H492))</f>
        <v>-0.0323553489901655</v>
      </c>
      <c r="Q492" s="489">
        <f>LN((1+M492)/(1+H492))</f>
        <v>0.00847746269483947</v>
      </c>
      <c r="R492" s="489">
        <f>LN((1+N492)/(1+H492))</f>
        <v>-0.0247565887006561</v>
      </c>
      <c r="S492" s="542">
        <f>LN((1+O492)/(1+H492))</f>
        <v>0.048990050284558</v>
      </c>
    </row>
    <row r="493">
      <c r="A493" s="320" t="n">
        <v>392</v>
      </c>
      <c r="B493" s="174" t="n">
        <v>13</v>
      </c>
      <c r="C493" s="174" t="n">
        <v>52</v>
      </c>
      <c r="D493" s="174" t="n">
        <v>16</v>
      </c>
      <c r="E493" s="174" t="n">
        <v>40</v>
      </c>
      <c r="F493" s="174" t="n">
        <v>32</v>
      </c>
      <c r="G493" s="68">
        <f>(1+INDEX($Z$21:$Z$97,B493))*(1+INDEX($Z$21:$Z$97,C493))*(1+INDEX($Z$21:$Z$97,D493))*(1+INDEX($Z$21:$Z$97,E493))*(1+INDEX($Z$21:$Z$97,F493))-1</f>
        <v>0.847985997723771</v>
      </c>
      <c r="H493" s="68">
        <f>(1+INDEX($AA$21:$AA$97,B493))*(1+INDEX($AA$21:$AA$97,C493))*(1+INDEX($AA$21:$AA$97,D493))*(1+INDEX($AA$21:$AA$97,E493))*(1+INDEX($AA$21:$AA$97,F493))-1</f>
        <v>0.711033138484387</v>
      </c>
      <c r="I493" s="68">
        <f>(1+INDEX($AB$21:$AB$97,B493))*(1+INDEX($AB$21:$AB$97,C493))*(1+INDEX($AB$21:$AB$97,D493))*(1+INDEX($AB$21:$AB$97,E493))*(1+INDEX($AB$21:$AB$97,F493))-1</f>
        <v>0.791593378375413</v>
      </c>
      <c r="J493" s="489">
        <f>LN((1+G493)/(1+H493))</f>
        <v>0.0769990335746086</v>
      </c>
      <c r="K493" s="489">
        <f>LN((1+I493)/(1+H493))</f>
        <v>0.0460080167893113</v>
      </c>
      <c r="L493" s="489">
        <f>(1+INDEX($AC$21:$AC$97,B493))*(1+INDEX($AC$21:$AC$97,C493))*(1+INDEX($AC$21:$AC$97,D493))*(1+INDEX($AC$21:$AC$97,E493))*(1+INDEX($AC$21:$AC$97,F493))-1</f>
        <v>0.787272478998946</v>
      </c>
      <c r="M493" s="489">
        <f>(1+INDEX($AD$21:$AD$97,B493))*(1+INDEX($AD$21:$AD$97,C493))*(1+INDEX($AD$21:$AD$97,D493))*(1+INDEX($AD$21:$AD$97,E493))*(1+INDEX($AD$21:$AD$97,F493))-1</f>
        <v>0.797104523210817</v>
      </c>
      <c r="N493" s="489">
        <f>(1+INDEX($AE$21:$AE$97,B493))*(1+INDEX($AE$21:$AE$97,C493))*(1+INDEX($AE$21:$AE$97,D493))*(1+INDEX($AE$21:$AE$97,E493))*(1+INDEX($AE$21:$AE$97,F493))-1</f>
        <v>0.765153167693208</v>
      </c>
      <c r="O493" s="489">
        <f>(1+INDEX($AF$21:$AF$97,B493))*(1+INDEX($AF$21:$AF$97,C493))*(1+INDEX($AF$21:$AF$97,D493))*(1+INDEX($AF$21:$AF$97,E493))*(1+INDEX($AF$21:$AF$97,F493))-1</f>
        <v>0.720271491107809</v>
      </c>
      <c r="P493" s="489">
        <f>LN((1+L493)/(1+H493))</f>
        <v>0.0435933403816785</v>
      </c>
      <c r="Q493" s="489">
        <f>LN((1+M493)/(1+H493))</f>
        <v>0.0490794088757799</v>
      </c>
      <c r="R493" s="489">
        <f>LN((1+N493)/(1+H493))</f>
        <v>0.0311401045558924</v>
      </c>
      <c r="S493" s="542">
        <f>LN((1+O493)/(1+H493))</f>
        <v>0.0053847594098149</v>
      </c>
    </row>
    <row r="494">
      <c r="A494" s="320" t="n">
        <v>393</v>
      </c>
      <c r="B494" s="174" t="n">
        <v>28</v>
      </c>
      <c r="C494" s="174" t="n">
        <v>59</v>
      </c>
      <c r="D494" s="174" t="n">
        <v>23</v>
      </c>
      <c r="E494" s="174" t="n">
        <v>23</v>
      </c>
      <c r="F494" s="174" t="n">
        <v>66</v>
      </c>
      <c r="G494" s="68">
        <f>(1+INDEX($Z$21:$Z$97,B494))*(1+INDEX($Z$21:$Z$97,C494))*(1+INDEX($Z$21:$Z$97,D494))*(1+INDEX($Z$21:$Z$97,E494))*(1+INDEX($Z$21:$Z$97,F494))-1</f>
        <v>1.02669277538465</v>
      </c>
      <c r="H494" s="68">
        <f>(1+INDEX($AA$21:$AA$97,B494))*(1+INDEX($AA$21:$AA$97,C494))*(1+INDEX($AA$21:$AA$97,D494))*(1+INDEX($AA$21:$AA$97,E494))*(1+INDEX($AA$21:$AA$97,F494))-1</f>
        <v>0.953778160512279</v>
      </c>
      <c r="I494" s="68">
        <f>(1+INDEX($AB$21:$AB$97,B494))*(1+INDEX($AB$21:$AB$97,C494))*(1+INDEX($AB$21:$AB$97,D494))*(1+INDEX($AB$21:$AB$97,E494))*(1+INDEX($AB$21:$AB$97,F494))-1</f>
        <v>1.05204468449367</v>
      </c>
      <c r="J494" s="489">
        <f>LN((1+G494)/(1+H494))</f>
        <v>0.0366402735984778</v>
      </c>
      <c r="K494" s="489">
        <f>LN((1+I494)/(1+H494))</f>
        <v>0.0490716869208481</v>
      </c>
      <c r="L494" s="489">
        <f>(1+INDEX($AC$21:$AC$97,B494))*(1+INDEX($AC$21:$AC$97,C494))*(1+INDEX($AC$21:$AC$97,D494))*(1+INDEX($AC$21:$AC$97,E494))*(1+INDEX($AC$21:$AC$97,F494))-1</f>
        <v>1.07381437488523</v>
      </c>
      <c r="M494" s="489">
        <f>(1+INDEX($AD$21:$AD$97,B494))*(1+INDEX($AD$21:$AD$97,C494))*(1+INDEX($AD$21:$AD$97,D494))*(1+INDEX($AD$21:$AD$97,E494))*(1+INDEX($AD$21:$AD$97,F494))-1</f>
        <v>1.0123269078733</v>
      </c>
      <c r="N494" s="489">
        <f>(1+INDEX($AE$21:$AE$97,B494))*(1+INDEX($AE$21:$AE$97,C494))*(1+INDEX($AE$21:$AE$97,D494))*(1+INDEX($AE$21:$AE$97,E494))*(1+INDEX($AE$21:$AE$97,F494))-1</f>
        <v>1.08545545041479</v>
      </c>
      <c r="O494" s="489">
        <f>(1+INDEX($AF$21:$AF$97,B494))*(1+INDEX($AF$21:$AF$97,C494))*(1+INDEX($AF$21:$AF$97,D494))*(1+INDEX($AF$21:$AF$97,E494))*(1+INDEX($AF$21:$AF$97,F494))-1</f>
        <v>0.961993236492306</v>
      </c>
      <c r="P494" s="489">
        <f>LN((1+L494)/(1+H494))</f>
        <v>0.0596245885626056</v>
      </c>
      <c r="Q494" s="489">
        <f>LN((1+M494)/(1+H494))</f>
        <v>0.0295267018818579</v>
      </c>
      <c r="R494" s="489">
        <f>LN((1+N494)/(1+H494))</f>
        <v>0.0652222566222311</v>
      </c>
      <c r="S494" s="542">
        <f>LN((1+O494)/(1+H494))</f>
        <v>0.00419589766598263</v>
      </c>
    </row>
    <row r="495">
      <c r="A495" s="320" t="n">
        <v>394</v>
      </c>
      <c r="B495" s="174" t="n">
        <v>34</v>
      </c>
      <c r="C495" s="174" t="n">
        <v>31</v>
      </c>
      <c r="D495" s="174" t="n">
        <v>57</v>
      </c>
      <c r="E495" s="174" t="n">
        <v>66</v>
      </c>
      <c r="F495" s="174" t="n">
        <v>69</v>
      </c>
      <c r="G495" s="68">
        <f>(1+INDEX($Z$21:$Z$97,B495))*(1+INDEX($Z$21:$Z$97,C495))*(1+INDEX($Z$21:$Z$97,D495))*(1+INDEX($Z$21:$Z$97,E495))*(1+INDEX($Z$21:$Z$97,F495))-1</f>
        <v>0.898378402573296</v>
      </c>
      <c r="H495" s="68">
        <f>(1+INDEX($AA$21:$AA$97,B495))*(1+INDEX($AA$21:$AA$97,C495))*(1+INDEX($AA$21:$AA$97,D495))*(1+INDEX($AA$21:$AA$97,E495))*(1+INDEX($AA$21:$AA$97,F495))-1</f>
        <v>0.87093994667749</v>
      </c>
      <c r="I495" s="68">
        <f>(1+INDEX($AB$21:$AB$97,B495))*(1+INDEX($AB$21:$AB$97,C495))*(1+INDEX($AB$21:$AB$97,D495))*(1+INDEX($AB$21:$AB$97,E495))*(1+INDEX($AB$21:$AB$97,F495))-1</f>
        <v>0.961775100832723</v>
      </c>
      <c r="J495" s="489">
        <f>LN((1+G495)/(1+H495))</f>
        <v>0.0145590995629303</v>
      </c>
      <c r="K495" s="489">
        <f>LN((1+I495)/(1+H495))</f>
        <v>0.0474087772019282</v>
      </c>
      <c r="L495" s="489">
        <f>(1+INDEX($AC$21:$AC$97,B495))*(1+INDEX($AC$21:$AC$97,C495))*(1+INDEX($AC$21:$AC$97,D495))*(1+INDEX($AC$21:$AC$97,E495))*(1+INDEX($AC$21:$AC$97,F495))-1</f>
        <v>0.975369741580017</v>
      </c>
      <c r="M495" s="489">
        <f>(1+INDEX($AD$21:$AD$97,B495))*(1+INDEX($AD$21:$AD$97,C495))*(1+INDEX($AD$21:$AD$97,D495))*(1+INDEX($AD$21:$AD$97,E495))*(1+INDEX($AD$21:$AD$97,F495))-1</f>
        <v>0.951113385476366</v>
      </c>
      <c r="N495" s="489">
        <f>(1+INDEX($AE$21:$AE$97,B495))*(1+INDEX($AE$21:$AE$97,C495))*(1+INDEX($AE$21:$AE$97,D495))*(1+INDEX($AE$21:$AE$97,E495))*(1+INDEX($AE$21:$AE$97,F495))-1</f>
        <v>0.993596979254987</v>
      </c>
      <c r="O495" s="489">
        <f>(1+INDEX($AF$21:$AF$97,B495))*(1+INDEX($AF$21:$AF$97,C495))*(1+INDEX($AF$21:$AF$97,D495))*(1+INDEX($AF$21:$AF$97,E495))*(1+INDEX($AF$21:$AF$97,F495))-1</f>
        <v>0.880880598447641</v>
      </c>
      <c r="P495" s="489">
        <f>LN((1+L495)/(1+H495))</f>
        <v>0.0543146418931461</v>
      </c>
      <c r="Q495" s="489">
        <f>LN((1+M495)/(1+H495))</f>
        <v>0.0419592266822734</v>
      </c>
      <c r="R495" s="489">
        <f>LN((1+N495)/(1+H495))</f>
        <v>0.0634995845238836</v>
      </c>
      <c r="S495" s="542">
        <f>LN((1+O495)/(1+H495))</f>
        <v>0.00529912074006054</v>
      </c>
    </row>
    <row r="496">
      <c r="A496" s="320" t="n">
        <v>395</v>
      </c>
      <c r="B496" s="174" t="n">
        <v>59</v>
      </c>
      <c r="C496" s="174" t="n">
        <v>58</v>
      </c>
      <c r="D496" s="174" t="n">
        <v>74</v>
      </c>
      <c r="E496" s="174" t="n">
        <v>63</v>
      </c>
      <c r="F496" s="174" t="n">
        <v>35</v>
      </c>
      <c r="G496" s="68">
        <f>(1+INDEX($Z$21:$Z$97,B496))*(1+INDEX($Z$21:$Z$97,C496))*(1+INDEX($Z$21:$Z$97,D496))*(1+INDEX($Z$21:$Z$97,E496))*(1+INDEX($Z$21:$Z$97,F496))-1</f>
        <v>0.60662815198071</v>
      </c>
      <c r="H496" s="68">
        <f>(1+INDEX($AA$21:$AA$97,B496))*(1+INDEX($AA$21:$AA$97,C496))*(1+INDEX($AA$21:$AA$97,D496))*(1+INDEX($AA$21:$AA$97,E496))*(1+INDEX($AA$21:$AA$97,F496))-1</f>
        <v>0.60616606692227</v>
      </c>
      <c r="I496" s="68">
        <f>(1+INDEX($AB$21:$AB$97,B496))*(1+INDEX($AB$21:$AB$97,C496))*(1+INDEX($AB$21:$AB$97,D496))*(1+INDEX($AB$21:$AB$97,E496))*(1+INDEX($AB$21:$AB$97,F496))-1</f>
        <v>0.646681278278942</v>
      </c>
      <c r="J496" s="489">
        <f>LN((1+G496)/(1+H496))</f>
        <v>0.000287653070905101</v>
      </c>
      <c r="K496" s="489">
        <f>LN((1+I496)/(1+H496))</f>
        <v>0.0249119017011753</v>
      </c>
      <c r="L496" s="489">
        <f>(1+INDEX($AC$21:$AC$97,B496))*(1+INDEX($AC$21:$AC$97,C496))*(1+INDEX($AC$21:$AC$97,D496))*(1+INDEX($AC$21:$AC$97,E496))*(1+INDEX($AC$21:$AC$97,F496))-1</f>
        <v>0.703282426574926</v>
      </c>
      <c r="M496" s="489">
        <f>(1+INDEX($AD$21:$AD$97,B496))*(1+INDEX($AD$21:$AD$97,C496))*(1+INDEX($AD$21:$AD$97,D496))*(1+INDEX($AD$21:$AD$97,E496))*(1+INDEX($AD$21:$AD$97,F496))-1</f>
        <v>0.585793121655627</v>
      </c>
      <c r="N496" s="489">
        <f>(1+INDEX($AE$21:$AE$97,B496))*(1+INDEX($AE$21:$AE$97,C496))*(1+INDEX($AE$21:$AE$97,D496))*(1+INDEX($AE$21:$AE$97,E496))*(1+INDEX($AE$21:$AE$97,F496))-1</f>
        <v>0.711031864361072</v>
      </c>
      <c r="O496" s="489">
        <f>(1+INDEX($AF$21:$AF$97,B496))*(1+INDEX($AF$21:$AF$97,C496))*(1+INDEX($AF$21:$AF$97,D496))*(1+INDEX($AF$21:$AF$97,E496))*(1+INDEX($AF$21:$AF$97,F496))-1</f>
        <v>0.487624160526682</v>
      </c>
      <c r="P496" s="489">
        <f>LN((1+L496)/(1+H496))</f>
        <v>0.05870721431004</v>
      </c>
      <c r="Q496" s="489">
        <f>LN((1+M496)/(1+H496))</f>
        <v>-0.0127653398533652</v>
      </c>
      <c r="R496" s="489">
        <f>LN((1+N496)/(1+H496))</f>
        <v>0.0632466037352177</v>
      </c>
      <c r="S496" s="542">
        <f>LN((1+O496)/(1+H496))</f>
        <v>-0.07666969002401</v>
      </c>
    </row>
    <row r="497">
      <c r="A497" s="320" t="n">
        <v>396</v>
      </c>
      <c r="B497" s="174" t="n">
        <v>52</v>
      </c>
      <c r="C497" s="174" t="n">
        <v>4</v>
      </c>
      <c r="D497" s="174" t="n">
        <v>61</v>
      </c>
      <c r="E497" s="174" t="n">
        <v>52</v>
      </c>
      <c r="F497" s="174" t="n">
        <v>53</v>
      </c>
      <c r="G497" s="68">
        <f>(1+INDEX($Z$21:$Z$97,B497))*(1+INDEX($Z$21:$Z$97,C497))*(1+INDEX($Z$21:$Z$97,D497))*(1+INDEX($Z$21:$Z$97,E497))*(1+INDEX($Z$21:$Z$97,F497))-1</f>
        <v>0.5579473635368</v>
      </c>
      <c r="H497" s="68">
        <f>(1+INDEX($AA$21:$AA$97,B497))*(1+INDEX($AA$21:$AA$97,C497))*(1+INDEX($AA$21:$AA$97,D497))*(1+INDEX($AA$21:$AA$97,E497))*(1+INDEX($AA$21:$AA$97,F497))-1</f>
        <v>0.568551026605544</v>
      </c>
      <c r="I497" s="68">
        <f>(1+INDEX($AB$21:$AB$97,B497))*(1+INDEX($AB$21:$AB$97,C497))*(1+INDEX($AB$21:$AB$97,D497))*(1+INDEX($AB$21:$AB$97,E497))*(1+INDEX($AB$21:$AB$97,F497))-1</f>
        <v>0.57576124665623</v>
      </c>
      <c r="J497" s="489">
        <f>LN((1+G497)/(1+H497))</f>
        <v>-0.0067831179820636</v>
      </c>
      <c r="K497" s="489">
        <f>LN((1+I497)/(1+H497))</f>
        <v>0.00458620649728868</v>
      </c>
      <c r="L497" s="489">
        <f>(1+INDEX($AC$21:$AC$97,B497))*(1+INDEX($AC$21:$AC$97,C497))*(1+INDEX($AC$21:$AC$97,D497))*(1+INDEX($AC$21:$AC$97,E497))*(1+INDEX($AC$21:$AC$97,F497))-1</f>
        <v>0.61335309982335</v>
      </c>
      <c r="M497" s="489">
        <f>(1+INDEX($AD$21:$AD$97,B497))*(1+INDEX($AD$21:$AD$97,C497))*(1+INDEX($AD$21:$AD$97,D497))*(1+INDEX($AD$21:$AD$97,E497))*(1+INDEX($AD$21:$AD$97,F497))-1</f>
        <v>0.545702793014088</v>
      </c>
      <c r="N497" s="489">
        <f>(1+INDEX($AE$21:$AE$97,B497))*(1+INDEX($AE$21:$AE$97,C497))*(1+INDEX($AE$21:$AE$97,D497))*(1+INDEX($AE$21:$AE$97,E497))*(1+INDEX($AE$21:$AE$97,F497))-1</f>
        <v>0.601639892544411</v>
      </c>
      <c r="O497" s="489">
        <f>(1+INDEX($AF$21:$AF$97,B497))*(1+INDEX($AF$21:$AF$97,C497))*(1+INDEX($AF$21:$AF$97,D497))*(1+INDEX($AF$21:$AF$97,E497))*(1+INDEX($AF$21:$AF$97,F497))-1</f>
        <v>0.548226609056979</v>
      </c>
      <c r="P497" s="489">
        <f>LN((1+L497)/(1+H497))</f>
        <v>0.0281624037182918</v>
      </c>
      <c r="Q497" s="489">
        <f>LN((1+M497)/(1+H497))</f>
        <v>-0.0146735910917805</v>
      </c>
      <c r="R497" s="489">
        <f>LN((1+N497)/(1+H497))</f>
        <v>0.0208757569772405</v>
      </c>
      <c r="S497" s="542">
        <f>LN((1+O497)/(1+H497))</f>
        <v>-0.013042127490187</v>
      </c>
    </row>
    <row r="498">
      <c r="A498" s="320" t="n">
        <v>397</v>
      </c>
      <c r="B498" s="174" t="n">
        <v>26</v>
      </c>
      <c r="C498" s="174" t="n">
        <v>6</v>
      </c>
      <c r="D498" s="174" t="n">
        <v>35</v>
      </c>
      <c r="E498" s="174" t="n">
        <v>47</v>
      </c>
      <c r="F498" s="174" t="n">
        <v>60</v>
      </c>
      <c r="G498" s="68">
        <f>(1+INDEX($Z$21:$Z$97,B498))*(1+INDEX($Z$21:$Z$97,C498))*(1+INDEX($Z$21:$Z$97,D498))*(1+INDEX($Z$21:$Z$97,E498))*(1+INDEX($Z$21:$Z$97,F498))-1</f>
        <v>0.514360922659164</v>
      </c>
      <c r="H498" s="68">
        <f>(1+INDEX($AA$21:$AA$97,B498))*(1+INDEX($AA$21:$AA$97,C498))*(1+INDEX($AA$21:$AA$97,D498))*(1+INDEX($AA$21:$AA$97,E498))*(1+INDEX($AA$21:$AA$97,F498))-1</f>
        <v>0.547561267260556</v>
      </c>
      <c r="I498" s="68">
        <f>(1+INDEX($AB$21:$AB$97,B498))*(1+INDEX($AB$21:$AB$97,C498))*(1+INDEX($AB$21:$AB$97,D498))*(1+INDEX($AB$21:$AB$97,E498))*(1+INDEX($AB$21:$AB$97,F498))-1</f>
        <v>0.586541307427642</v>
      </c>
      <c r="J498" s="489">
        <f>LN((1+G498)/(1+H498))</f>
        <v>-0.0216867991780361</v>
      </c>
      <c r="K498" s="489">
        <f>LN((1+I498)/(1+H498))</f>
        <v>0.0248760526157442</v>
      </c>
      <c r="L498" s="489">
        <f>(1+INDEX($AC$21:$AC$97,B498))*(1+INDEX($AC$21:$AC$97,C498))*(1+INDEX($AC$21:$AC$97,D498))*(1+INDEX($AC$21:$AC$97,E498))*(1+INDEX($AC$21:$AC$97,F498))-1</f>
        <v>0.607735678493057</v>
      </c>
      <c r="M498" s="489">
        <f>(1+INDEX($AD$21:$AD$97,B498))*(1+INDEX($AD$21:$AD$97,C498))*(1+INDEX($AD$21:$AD$97,D498))*(1+INDEX($AD$21:$AD$97,E498))*(1+INDEX($AD$21:$AD$97,F498))-1</f>
        <v>0.533474795015751</v>
      </c>
      <c r="N498" s="489">
        <f>(1+INDEX($AE$21:$AE$97,B498))*(1+INDEX($AE$21:$AE$97,C498))*(1+INDEX($AE$21:$AE$97,D498))*(1+INDEX($AE$21:$AE$97,E498))*(1+INDEX($AE$21:$AE$97,F498))-1</f>
        <v>0.599177852409709</v>
      </c>
      <c r="O498" s="489">
        <f>(1+INDEX($AF$21:$AF$97,B498))*(1+INDEX($AF$21:$AF$97,C498))*(1+INDEX($AF$21:$AF$97,D498))*(1+INDEX($AF$21:$AF$97,E498))*(1+INDEX($AF$21:$AF$97,F498))-1</f>
        <v>0.48068888807373</v>
      </c>
      <c r="P498" s="489">
        <f>LN((1+L498)/(1+H498))</f>
        <v>0.0381464622840235</v>
      </c>
      <c r="Q498" s="489">
        <f>LN((1+M498)/(1+H498))</f>
        <v>-0.00914404772399383</v>
      </c>
      <c r="R498" s="489">
        <f>LN((1+N498)/(1+H498))</f>
        <v>0.0328093390252076</v>
      </c>
      <c r="S498" s="542">
        <f>LN((1+O498)/(1+H498))</f>
        <v>-0.0441728715189126</v>
      </c>
    </row>
    <row r="499">
      <c r="A499" s="320" t="n">
        <v>398</v>
      </c>
      <c r="B499" s="174" t="n">
        <v>75</v>
      </c>
      <c r="C499" s="174" t="n">
        <v>39</v>
      </c>
      <c r="D499" s="174" t="n">
        <v>74</v>
      </c>
      <c r="E499" s="174" t="n">
        <v>3</v>
      </c>
      <c r="F499" s="174" t="n">
        <v>8</v>
      </c>
      <c r="G499" s="68">
        <f>(1+INDEX($Z$21:$Z$97,B499))*(1+INDEX($Z$21:$Z$97,C499))*(1+INDEX($Z$21:$Z$97,D499))*(1+INDEX($Z$21:$Z$97,E499))*(1+INDEX($Z$21:$Z$97,F499))-1</f>
        <v>0.187728373071013</v>
      </c>
      <c r="H499" s="68">
        <f>(1+INDEX($AA$21:$AA$97,B499))*(1+INDEX($AA$21:$AA$97,C499))*(1+INDEX($AA$21:$AA$97,D499))*(1+INDEX($AA$21:$AA$97,E499))*(1+INDEX($AA$21:$AA$97,F499))-1</f>
        <v>0.168416872819273</v>
      </c>
      <c r="I499" s="68">
        <f>(1+INDEX($AB$21:$AB$97,B499))*(1+INDEX($AB$21:$AB$97,C499))*(1+INDEX($AB$21:$AB$97,D499))*(1+INDEX($AB$21:$AB$97,E499))*(1+INDEX($AB$21:$AB$97,F499))-1</f>
        <v>0.157999531271488</v>
      </c>
      <c r="J499" s="489">
        <f>LN((1+G499)/(1+H499))</f>
        <v>0.0163928202131678</v>
      </c>
      <c r="K499" s="489">
        <f>LN((1+I499)/(1+H499))</f>
        <v>-0.0089557580120245</v>
      </c>
      <c r="L499" s="489">
        <f>(1+INDEX($AC$21:$AC$97,B499))*(1+INDEX($AC$21:$AC$97,C499))*(1+INDEX($AC$21:$AC$97,D499))*(1+INDEX($AC$21:$AC$97,E499))*(1+INDEX($AC$21:$AC$97,F499))-1</f>
        <v>0.134121769461119</v>
      </c>
      <c r="M499" s="489">
        <f>(1+INDEX($AD$21:$AD$97,B499))*(1+INDEX($AD$21:$AD$97,C499))*(1+INDEX($AD$21:$AD$97,D499))*(1+INDEX($AD$21:$AD$97,E499))*(1+INDEX($AD$21:$AD$97,F499))-1</f>
        <v>0.176556393526835</v>
      </c>
      <c r="N499" s="489">
        <f>(1+INDEX($AE$21:$AE$97,B499))*(1+INDEX($AE$21:$AE$97,C499))*(1+INDEX($AE$21:$AE$97,D499))*(1+INDEX($AE$21:$AE$97,E499))*(1+INDEX($AE$21:$AE$97,F499))-1</f>
        <v>0.128243677786182</v>
      </c>
      <c r="O499" s="489">
        <f>(1+INDEX($AF$21:$AF$97,B499))*(1+INDEX($AF$21:$AF$97,C499))*(1+INDEX($AF$21:$AF$97,D499))*(1+INDEX($AF$21:$AF$97,E499))*(1+INDEX($AF$21:$AF$97,F499))-1</f>
        <v>0.218198192351927</v>
      </c>
      <c r="P499" s="489">
        <f>LN((1+L499)/(1+H499))</f>
        <v>-0.0297911523706891</v>
      </c>
      <c r="Q499" s="489">
        <f>LN((1+M499)/(1+H499))</f>
        <v>0.0069421289474372</v>
      </c>
      <c r="R499" s="489">
        <f>LN((1+N499)/(1+H499))</f>
        <v>-0.034987576236844</v>
      </c>
      <c r="S499" s="542">
        <f>LN((1+O499)/(1+H499))</f>
        <v>0.0417231431625285</v>
      </c>
    </row>
    <row r="500">
      <c r="A500" s="320" t="n">
        <v>399</v>
      </c>
      <c r="B500" s="174" t="n">
        <v>47</v>
      </c>
      <c r="C500" s="174" t="n">
        <v>50</v>
      </c>
      <c r="D500" s="174" t="n">
        <v>22</v>
      </c>
      <c r="E500" s="174" t="n">
        <v>1</v>
      </c>
      <c r="F500" s="174" t="n">
        <v>58</v>
      </c>
      <c r="G500" s="68">
        <f>(1+INDEX($Z$21:$Z$97,B500))*(1+INDEX($Z$21:$Z$97,C500))*(1+INDEX($Z$21:$Z$97,D500))*(1+INDEX($Z$21:$Z$97,E500))*(1+INDEX($Z$21:$Z$97,F500))-1</f>
        <v>0.662482094500906</v>
      </c>
      <c r="H500" s="68">
        <f>(1+INDEX($AA$21:$AA$97,B500))*(1+INDEX($AA$21:$AA$97,C500))*(1+INDEX($AA$21:$AA$97,D500))*(1+INDEX($AA$21:$AA$97,E500))*(1+INDEX($AA$21:$AA$97,F500))-1</f>
        <v>0.588767070332947</v>
      </c>
      <c r="I500" s="68">
        <f>(1+INDEX($AB$21:$AB$97,B500))*(1+INDEX($AB$21:$AB$97,C500))*(1+INDEX($AB$21:$AB$97,D500))*(1+INDEX($AB$21:$AB$97,E500))*(1+INDEX($AB$21:$AB$97,F500))-1</f>
        <v>0.627537471661912</v>
      </c>
      <c r="J500" s="489">
        <f>LN((1+G500)/(1+H500))</f>
        <v>0.0453534352956532</v>
      </c>
      <c r="K500" s="489">
        <f>LN((1+I500)/(1+H500))</f>
        <v>0.0241098309289561</v>
      </c>
      <c r="L500" s="489">
        <f>(1+INDEX($AC$21:$AC$97,B500))*(1+INDEX($AC$21:$AC$97,C500))*(1+INDEX($AC$21:$AC$97,D500))*(1+INDEX($AC$21:$AC$97,E500))*(1+INDEX($AC$21:$AC$97,F500))-1</f>
        <v>0.629133398985612</v>
      </c>
      <c r="M500" s="489">
        <f>(1+INDEX($AD$21:$AD$97,B500))*(1+INDEX($AD$21:$AD$97,C500))*(1+INDEX($AD$21:$AD$97,D500))*(1+INDEX($AD$21:$AD$97,E500))*(1+INDEX($AD$21:$AD$97,F500))-1</f>
        <v>0.610578535155973</v>
      </c>
      <c r="N500" s="489">
        <f>(1+INDEX($AE$21:$AE$97,B500))*(1+INDEX($AE$21:$AE$97,C500))*(1+INDEX($AE$21:$AE$97,D500))*(1+INDEX($AE$21:$AE$97,E500))*(1+INDEX($AE$21:$AE$97,F500))-1</f>
        <v>0.634490419980693</v>
      </c>
      <c r="O500" s="489">
        <f>(1+INDEX($AF$21:$AF$97,B500))*(1+INDEX($AF$21:$AF$97,C500))*(1+INDEX($AF$21:$AF$97,D500))*(1+INDEX($AF$21:$AF$97,E500))*(1+INDEX($AF$21:$AF$97,F500))-1</f>
        <v>0.571878389276971</v>
      </c>
      <c r="P500" s="489">
        <f>LN((1+L500)/(1+H500))</f>
        <v>0.0250899284056993</v>
      </c>
      <c r="Q500" s="489">
        <f>LN((1+M500)/(1+H500))</f>
        <v>0.0136351650867108</v>
      </c>
      <c r="R500" s="489">
        <f>LN((1+N500)/(1+H500))</f>
        <v>0.0283727980643308</v>
      </c>
      <c r="S500" s="542">
        <f>LN((1+O500)/(1+H500))</f>
        <v>-0.0106869574654973</v>
      </c>
    </row>
    <row r="501">
      <c r="A501" s="320" t="n">
        <v>400</v>
      </c>
      <c r="B501" s="174" t="n">
        <v>43</v>
      </c>
      <c r="C501" s="174" t="n">
        <v>5</v>
      </c>
      <c r="D501" s="174" t="n">
        <v>52</v>
      </c>
      <c r="E501" s="174" t="n">
        <v>73</v>
      </c>
      <c r="F501" s="174" t="n">
        <v>14</v>
      </c>
      <c r="G501" s="68">
        <f>(1+INDEX($Z$21:$Z$97,B501))*(1+INDEX($Z$21:$Z$97,C501))*(1+INDEX($Z$21:$Z$97,D501))*(1+INDEX($Z$21:$Z$97,E501))*(1+INDEX($Z$21:$Z$97,F501))-1</f>
        <v>0.366632148396167</v>
      </c>
      <c r="H501" s="68">
        <f>(1+INDEX($AA$21:$AA$97,B501))*(1+INDEX($AA$21:$AA$97,C501))*(1+INDEX($AA$21:$AA$97,D501))*(1+INDEX($AA$21:$AA$97,E501))*(1+INDEX($AA$21:$AA$97,F501))-1</f>
        <v>0.364257275952901</v>
      </c>
      <c r="I501" s="68">
        <f>(1+INDEX($AB$21:$AB$97,B501))*(1+INDEX($AB$21:$AB$97,C501))*(1+INDEX($AB$21:$AB$97,D501))*(1+INDEX($AB$21:$AB$97,E501))*(1+INDEX($AB$21:$AB$97,F501))-1</f>
        <v>0.395089844360501</v>
      </c>
      <c r="J501" s="489">
        <f>LN((1+G501)/(1+H501))</f>
        <v>0.00173926708329301</v>
      </c>
      <c r="K501" s="489">
        <f>LN((1+I501)/(1+H501))</f>
        <v>0.0223486573901514</v>
      </c>
      <c r="L501" s="489">
        <f>(1+INDEX($AC$21:$AC$97,B501))*(1+INDEX($AC$21:$AC$97,C501))*(1+INDEX($AC$21:$AC$97,D501))*(1+INDEX($AC$21:$AC$97,E501))*(1+INDEX($AC$21:$AC$97,F501))-1</f>
        <v>0.394394965312277</v>
      </c>
      <c r="M501" s="489">
        <f>(1+INDEX($AD$21:$AD$97,B501))*(1+INDEX($AD$21:$AD$97,C501))*(1+INDEX($AD$21:$AD$97,D501))*(1+INDEX($AD$21:$AD$97,E501))*(1+INDEX($AD$21:$AD$97,F501))-1</f>
        <v>0.385384792591489</v>
      </c>
      <c r="N501" s="489">
        <f>(1+INDEX($AE$21:$AE$97,B501))*(1+INDEX($AE$21:$AE$97,C501))*(1+INDEX($AE$21:$AE$97,D501))*(1+INDEX($AE$21:$AE$97,E501))*(1+INDEX($AE$21:$AE$97,F501))-1</f>
        <v>0.359316931909094</v>
      </c>
      <c r="O501" s="489">
        <f>(1+INDEX($AF$21:$AF$97,B501))*(1+INDEX($AF$21:$AF$97,C501))*(1+INDEX($AF$21:$AF$97,D501))*(1+INDEX($AF$21:$AF$97,E501))*(1+INDEX($AF$21:$AF$97,F501))-1</f>
        <v>0.35730289675812</v>
      </c>
      <c r="P501" s="489">
        <f>LN((1+L501)/(1+H501))</f>
        <v>0.0218504442002553</v>
      </c>
      <c r="Q501" s="489">
        <f>LN((1+M501)/(1+H501))</f>
        <v>0.0153677692692079</v>
      </c>
      <c r="R501" s="489">
        <f>LN((1+N501)/(1+H501))</f>
        <v>-0.00362784274279516</v>
      </c>
      <c r="S501" s="542">
        <f>LN((1+O501)/(1+H501))</f>
        <v>-0.00511059384305365</v>
      </c>
    </row>
    <row r="502">
      <c r="A502" s="320" t="n">
        <v>401</v>
      </c>
      <c r="B502" s="174" t="n">
        <v>39</v>
      </c>
      <c r="C502" s="174" t="n">
        <v>37</v>
      </c>
      <c r="D502" s="174" t="n">
        <v>42</v>
      </c>
      <c r="E502" s="174" t="n">
        <v>20</v>
      </c>
      <c r="F502" s="174" t="n">
        <v>12</v>
      </c>
      <c r="G502" s="68">
        <f>(1+INDEX($Z$21:$Z$97,B502))*(1+INDEX($Z$21:$Z$97,C502))*(1+INDEX($Z$21:$Z$97,D502))*(1+INDEX($Z$21:$Z$97,E502))*(1+INDEX($Z$21:$Z$97,F502))-1</f>
        <v>0.267466583101135</v>
      </c>
      <c r="H502" s="68">
        <f>(1+INDEX($AA$21:$AA$97,B502))*(1+INDEX($AA$21:$AA$97,C502))*(1+INDEX($AA$21:$AA$97,D502))*(1+INDEX($AA$21:$AA$97,E502))*(1+INDEX($AA$21:$AA$97,F502))-1</f>
        <v>0.207977234273808</v>
      </c>
      <c r="I502" s="68">
        <f>(1+INDEX($AB$21:$AB$97,B502))*(1+INDEX($AB$21:$AB$97,C502))*(1+INDEX($AB$21:$AB$97,D502))*(1+INDEX($AB$21:$AB$97,E502))*(1+INDEX($AB$21:$AB$97,F502))-1</f>
        <v>0.195690273269829</v>
      </c>
      <c r="J502" s="489">
        <f>LN((1+G502)/(1+H502))</f>
        <v>0.048072838183193</v>
      </c>
      <c r="K502" s="489">
        <f>LN((1+I502)/(1+H502))</f>
        <v>-0.0102236003829263</v>
      </c>
      <c r="L502" s="489">
        <f>(1+INDEX($AC$21:$AC$97,B502))*(1+INDEX($AC$21:$AC$97,C502))*(1+INDEX($AC$21:$AC$97,D502))*(1+INDEX($AC$21:$AC$97,E502))*(1+INDEX($AC$21:$AC$97,F502))-1</f>
        <v>0.188838673019395</v>
      </c>
      <c r="M502" s="489">
        <f>(1+INDEX($AD$21:$AD$97,B502))*(1+INDEX($AD$21:$AD$97,C502))*(1+INDEX($AD$21:$AD$97,D502))*(1+INDEX($AD$21:$AD$97,E502))*(1+INDEX($AD$21:$AD$97,F502))-1</f>
        <v>0.221647146831822</v>
      </c>
      <c r="N502" s="489">
        <f>(1+INDEX($AE$21:$AE$97,B502))*(1+INDEX($AE$21:$AE$97,C502))*(1+INDEX($AE$21:$AE$97,D502))*(1+INDEX($AE$21:$AE$97,E502))*(1+INDEX($AE$21:$AE$97,F502))-1</f>
        <v>0.185820884197468</v>
      </c>
      <c r="O502" s="489">
        <f>(1+INDEX($AF$21:$AF$97,B502))*(1+INDEX($AF$21:$AF$97,C502))*(1+INDEX($AF$21:$AF$97,D502))*(1+INDEX($AF$21:$AF$97,E502))*(1+INDEX($AF$21:$AF$97,F502))-1</f>
        <v>0.245190978570006</v>
      </c>
      <c r="P502" s="489">
        <f>LN((1+L502)/(1+H502))</f>
        <v>-0.0159703279428419</v>
      </c>
      <c r="Q502" s="489">
        <f>LN((1+M502)/(1+H502))</f>
        <v>0.0112528149709361</v>
      </c>
      <c r="R502" s="489">
        <f>LN((1+N502)/(1+H502))</f>
        <v>-0.0185119894937301</v>
      </c>
      <c r="S502" s="542">
        <f>LN((1+O502)/(1+H502))</f>
        <v>0.0303416610592006</v>
      </c>
    </row>
    <row r="503">
      <c r="A503" s="320" t="n">
        <v>402</v>
      </c>
      <c r="B503" s="174" t="n">
        <v>19</v>
      </c>
      <c r="C503" s="174" t="n">
        <v>74</v>
      </c>
      <c r="D503" s="174" t="n">
        <v>48</v>
      </c>
      <c r="E503" s="174" t="n">
        <v>56</v>
      </c>
      <c r="F503" s="174" t="n">
        <v>66</v>
      </c>
      <c r="G503" s="68">
        <f>(1+INDEX($Z$21:$Z$97,B503))*(1+INDEX($Z$21:$Z$97,C503))*(1+INDEX($Z$21:$Z$97,D503))*(1+INDEX($Z$21:$Z$97,E503))*(1+INDEX($Z$21:$Z$97,F503))-1</f>
        <v>0.216737237233956</v>
      </c>
      <c r="H503" s="68">
        <f>(1+INDEX($AA$21:$AA$97,B503))*(1+INDEX($AA$21:$AA$97,C503))*(1+INDEX($AA$21:$AA$97,D503))*(1+INDEX($AA$21:$AA$97,E503))*(1+INDEX($AA$21:$AA$97,F503))-1</f>
        <v>0.198960957702666</v>
      </c>
      <c r="I503" s="68">
        <f>(1+INDEX($AB$21:$AB$97,B503))*(1+INDEX($AB$21:$AB$97,C503))*(1+INDEX($AB$21:$AB$97,D503))*(1+INDEX($AB$21:$AB$97,E503))*(1+INDEX($AB$21:$AB$97,F503))-1</f>
        <v>0.20779596601921</v>
      </c>
      <c r="J503" s="489">
        <f>LN((1+G503)/(1+H503))</f>
        <v>0.0147175673180464</v>
      </c>
      <c r="K503" s="489">
        <f>LN((1+I503)/(1+H503))</f>
        <v>0.00734186981293053</v>
      </c>
      <c r="L503" s="489">
        <f>(1+INDEX($AC$21:$AC$97,B503))*(1+INDEX($AC$21:$AC$97,C503))*(1+INDEX($AC$21:$AC$97,D503))*(1+INDEX($AC$21:$AC$97,E503))*(1+INDEX($AC$21:$AC$97,F503))-1</f>
        <v>0.184415188904412</v>
      </c>
      <c r="M503" s="489">
        <f>(1+INDEX($AD$21:$AD$97,B503))*(1+INDEX($AD$21:$AD$97,C503))*(1+INDEX($AD$21:$AD$97,D503))*(1+INDEX($AD$21:$AD$97,E503))*(1+INDEX($AD$21:$AD$97,F503))-1</f>
        <v>0.218541718068075</v>
      </c>
      <c r="N503" s="489">
        <f>(1+INDEX($AE$21:$AE$97,B503))*(1+INDEX($AE$21:$AE$97,C503))*(1+INDEX($AE$21:$AE$97,D503))*(1+INDEX($AE$21:$AE$97,E503))*(1+INDEX($AE$21:$AE$97,F503))-1</f>
        <v>0.192745144245084</v>
      </c>
      <c r="O503" s="489">
        <f>(1+INDEX($AF$21:$AF$97,B503))*(1+INDEX($AF$21:$AF$97,C503))*(1+INDEX($AF$21:$AF$97,D503))*(1+INDEX($AF$21:$AF$97,E503))*(1+INDEX($AF$21:$AF$97,F503))-1</f>
        <v>0.247455508445948</v>
      </c>
      <c r="P503" s="489">
        <f>LN((1+L503)/(1+H503))</f>
        <v>-0.0122061718349566</v>
      </c>
      <c r="Q503" s="489">
        <f>LN((1+M503)/(1+H503))</f>
        <v>0.0161995175976538</v>
      </c>
      <c r="R503" s="489">
        <f>LN((1+N503)/(1+H503))</f>
        <v>-0.00519781878472961</v>
      </c>
      <c r="S503" s="542">
        <f>LN((1+O503)/(1+H503))</f>
        <v>0.0396505703030401</v>
      </c>
    </row>
    <row r="504">
      <c r="A504" s="320" t="n">
        <v>403</v>
      </c>
      <c r="B504" s="174" t="n">
        <v>11</v>
      </c>
      <c r="C504" s="174" t="n">
        <v>4</v>
      </c>
      <c r="D504" s="174" t="n">
        <v>26</v>
      </c>
      <c r="E504" s="174" t="n">
        <v>21</v>
      </c>
      <c r="F504" s="174" t="n">
        <v>47</v>
      </c>
      <c r="G504" s="68">
        <f>(1+INDEX($Z$21:$Z$97,B504))*(1+INDEX($Z$21:$Z$97,C504))*(1+INDEX($Z$21:$Z$97,D504))*(1+INDEX($Z$21:$Z$97,E504))*(1+INDEX($Z$21:$Z$97,F504))-1</f>
        <v>0.404625745519464</v>
      </c>
      <c r="H504" s="68">
        <f>(1+INDEX($AA$21:$AA$97,B504))*(1+INDEX($AA$21:$AA$97,C504))*(1+INDEX($AA$21:$AA$97,D504))*(1+INDEX($AA$21:$AA$97,E504))*(1+INDEX($AA$21:$AA$97,F504))-1</f>
        <v>0.378653029208088</v>
      </c>
      <c r="I504" s="68">
        <f>(1+INDEX($AB$21:$AB$97,B504))*(1+INDEX($AB$21:$AB$97,C504))*(1+INDEX($AB$21:$AB$97,D504))*(1+INDEX($AB$21:$AB$97,E504))*(1+INDEX($AB$21:$AB$97,F504))-1</f>
        <v>0.385472933725394</v>
      </c>
      <c r="J504" s="489">
        <f>LN((1+G504)/(1+H504))</f>
        <v>0.0186639372908218</v>
      </c>
      <c r="K504" s="489">
        <f>LN((1+I504)/(1+H504))</f>
        <v>0.0049345930305607</v>
      </c>
      <c r="L504" s="489">
        <f>(1+INDEX($AC$21:$AC$97,B504))*(1+INDEX($AC$21:$AC$97,C504))*(1+INDEX($AC$21:$AC$97,D504))*(1+INDEX($AC$21:$AC$97,E504))*(1+INDEX($AC$21:$AC$97,F504))-1</f>
        <v>0.378534183927624</v>
      </c>
      <c r="M504" s="489">
        <f>(1+INDEX($AD$21:$AD$97,B504))*(1+INDEX($AD$21:$AD$97,C504))*(1+INDEX($AD$21:$AD$97,D504))*(1+INDEX($AD$21:$AD$97,E504))*(1+INDEX($AD$21:$AD$97,F504))-1</f>
        <v>0.393190834568046</v>
      </c>
      <c r="N504" s="489">
        <f>(1+INDEX($AE$21:$AE$97,B504))*(1+INDEX($AE$21:$AE$97,C504))*(1+INDEX($AE$21:$AE$97,D504))*(1+INDEX($AE$21:$AE$97,E504))*(1+INDEX($AE$21:$AE$97,F504))-1</f>
        <v>0.359436845462143</v>
      </c>
      <c r="O504" s="489">
        <f>(1+INDEX($AF$21:$AF$97,B504))*(1+INDEX($AF$21:$AF$97,C504))*(1+INDEX($AF$21:$AF$97,D504))*(1+INDEX($AF$21:$AF$97,E504))*(1+INDEX($AF$21:$AF$97,F504))-1</f>
        <v>0.432733746099424</v>
      </c>
      <c r="P504" s="489">
        <f>LN((1+L504)/(1+H504))</f>
        <v>-8.62076249092352e-05</v>
      </c>
      <c r="Q504" s="489">
        <f>LN((1+M504)/(1+H504))</f>
        <v>0.0104897240818547</v>
      </c>
      <c r="R504" s="489">
        <f>LN((1+N504)/(1+H504))</f>
        <v>-0.0140364269430604</v>
      </c>
      <c r="S504" s="542">
        <f>LN((1+O504)/(1+H504))</f>
        <v>0.0384773731222946</v>
      </c>
    </row>
    <row r="505">
      <c r="A505" s="320" t="n">
        <v>404</v>
      </c>
      <c r="B505" s="174" t="n">
        <v>52</v>
      </c>
      <c r="C505" s="174" t="n">
        <v>17</v>
      </c>
      <c r="D505" s="174" t="n">
        <v>30</v>
      </c>
      <c r="E505" s="174" t="n">
        <v>56</v>
      </c>
      <c r="F505" s="174" t="n">
        <v>7</v>
      </c>
      <c r="G505" s="68">
        <f>(1+INDEX($Z$21:$Z$97,B505))*(1+INDEX($Z$21:$Z$97,C505))*(1+INDEX($Z$21:$Z$97,D505))*(1+INDEX($Z$21:$Z$97,E505))*(1+INDEX($Z$21:$Z$97,F505))-1</f>
        <v>0.226640583244583</v>
      </c>
      <c r="H505" s="68">
        <f>(1+INDEX($AA$21:$AA$97,B505))*(1+INDEX($AA$21:$AA$97,C505))*(1+INDEX($AA$21:$AA$97,D505))*(1+INDEX($AA$21:$AA$97,E505))*(1+INDEX($AA$21:$AA$97,F505))-1</f>
        <v>0.23459554246139</v>
      </c>
      <c r="I505" s="68">
        <f>(1+INDEX($AB$21:$AB$97,B505))*(1+INDEX($AB$21:$AB$97,C505))*(1+INDEX($AB$21:$AB$97,D505))*(1+INDEX($AB$21:$AB$97,E505))*(1+INDEX($AB$21:$AB$97,F505))-1</f>
        <v>0.230413688159278</v>
      </c>
      <c r="J505" s="489">
        <f>LN((1+G505)/(1+H505))</f>
        <v>-0.00646422083139231</v>
      </c>
      <c r="K505" s="489">
        <f>LN((1+I505)/(1+H505))</f>
        <v>-0.00339297578447618</v>
      </c>
      <c r="L505" s="489">
        <f>(1+INDEX($AC$21:$AC$97,B505))*(1+INDEX($AC$21:$AC$97,C505))*(1+INDEX($AC$21:$AC$97,D505))*(1+INDEX($AC$21:$AC$97,E505))*(1+INDEX($AC$21:$AC$97,F505))-1</f>
        <v>0.211550901235595</v>
      </c>
      <c r="M505" s="489">
        <f>(1+INDEX($AD$21:$AD$97,B505))*(1+INDEX($AD$21:$AD$97,C505))*(1+INDEX($AD$21:$AD$97,D505))*(1+INDEX($AD$21:$AD$97,E505))*(1+INDEX($AD$21:$AD$97,F505))-1</f>
        <v>0.2263274114085</v>
      </c>
      <c r="N505" s="489">
        <f>(1+INDEX($AE$21:$AE$97,B505))*(1+INDEX($AE$21:$AE$97,C505))*(1+INDEX($AE$21:$AE$97,D505))*(1+INDEX($AE$21:$AE$97,E505))*(1+INDEX($AE$21:$AE$97,F505))-1</f>
        <v>0.207421585217159</v>
      </c>
      <c r="O505" s="489">
        <f>(1+INDEX($AF$21:$AF$97,B505))*(1+INDEX($AF$21:$AF$97,C505))*(1+INDEX($AF$21:$AF$97,D505))*(1+INDEX($AF$21:$AF$97,E505))*(1+INDEX($AF$21:$AF$97,F505))-1</f>
        <v>0.263211867920274</v>
      </c>
      <c r="P505" s="489">
        <f>LN((1+L505)/(1+H505))</f>
        <v>-0.0188421450148239</v>
      </c>
      <c r="Q505" s="489">
        <f>LN((1+M505)/(1+H505))</f>
        <v>-0.00671956198420524</v>
      </c>
      <c r="R505" s="489">
        <f>LN((1+N505)/(1+H505))</f>
        <v>-0.0222562558015785</v>
      </c>
      <c r="S505" s="542">
        <f>LN((1+O505)/(1+H505))</f>
        <v>0.0229141585801342</v>
      </c>
    </row>
    <row r="506">
      <c r="A506" s="320" t="n">
        <v>405</v>
      </c>
      <c r="B506" s="174" t="n">
        <v>66</v>
      </c>
      <c r="C506" s="174" t="n">
        <v>27</v>
      </c>
      <c r="D506" s="174" t="n">
        <v>25</v>
      </c>
      <c r="E506" s="174" t="n">
        <v>8</v>
      </c>
      <c r="F506" s="174" t="n">
        <v>28</v>
      </c>
      <c r="G506" s="68">
        <f>(1+INDEX($Z$21:$Z$97,B506))*(1+INDEX($Z$21:$Z$97,C506))*(1+INDEX($Z$21:$Z$97,D506))*(1+INDEX($Z$21:$Z$97,E506))*(1+INDEX($Z$21:$Z$97,F506))-1</f>
        <v>0.4427261361168</v>
      </c>
      <c r="H506" s="68">
        <f>(1+INDEX($AA$21:$AA$97,B506))*(1+INDEX($AA$21:$AA$97,C506))*(1+INDEX($AA$21:$AA$97,D506))*(1+INDEX($AA$21:$AA$97,E506))*(1+INDEX($AA$21:$AA$97,F506))-1</f>
        <v>0.436088221447343</v>
      </c>
      <c r="I506" s="68">
        <f>(1+INDEX($AB$21:$AB$97,B506))*(1+INDEX($AB$21:$AB$97,C506))*(1+INDEX($AB$21:$AB$97,D506))*(1+INDEX($AB$21:$AB$97,E506))*(1+INDEX($AB$21:$AB$97,F506))-1</f>
        <v>0.462814440064693</v>
      </c>
      <c r="J506" s="489">
        <f>LN((1+G506)/(1+H506))</f>
        <v>0.0046115696316575</v>
      </c>
      <c r="K506" s="489">
        <f>LN((1+I506)/(1+H506))</f>
        <v>0.0184393744807105</v>
      </c>
      <c r="L506" s="489">
        <f>(1+INDEX($AC$21:$AC$97,B506))*(1+INDEX($AC$21:$AC$97,C506))*(1+INDEX($AC$21:$AC$97,D506))*(1+INDEX($AC$21:$AC$97,E506))*(1+INDEX($AC$21:$AC$97,F506))-1</f>
        <v>0.444223397313347</v>
      </c>
      <c r="M506" s="489">
        <f>(1+INDEX($AD$21:$AD$97,B506))*(1+INDEX($AD$21:$AD$97,C506))*(1+INDEX($AD$21:$AD$97,D506))*(1+INDEX($AD$21:$AD$97,E506))*(1+INDEX($AD$21:$AD$97,F506))-1</f>
        <v>0.474309386773779</v>
      </c>
      <c r="N506" s="489">
        <f>(1+INDEX($AE$21:$AE$97,B506))*(1+INDEX($AE$21:$AE$97,C506))*(1+INDEX($AE$21:$AE$97,D506))*(1+INDEX($AE$21:$AE$97,E506))*(1+INDEX($AE$21:$AE$97,F506))-1</f>
        <v>0.456820917076248</v>
      </c>
      <c r="O506" s="489">
        <f>(1+INDEX($AF$21:$AF$97,B506))*(1+INDEX($AF$21:$AF$97,C506))*(1+INDEX($AF$21:$AF$97,D506))*(1+INDEX($AF$21:$AF$97,E506))*(1+INDEX($AF$21:$AF$97,F506))-1</f>
        <v>0.515469310579245</v>
      </c>
      <c r="P506" s="489">
        <f>LN((1+L506)/(1+H506))</f>
        <v>0.00564883149817314</v>
      </c>
      <c r="Q506" s="489">
        <f>LN((1+M506)/(1+H506))</f>
        <v>0.0262667635021556</v>
      </c>
      <c r="R506" s="489">
        <f>LN((1+N506)/(1+H506))</f>
        <v>0.014333703275604</v>
      </c>
      <c r="S506" s="542">
        <f>LN((1+O506)/(1+H506))</f>
        <v>0.0538022626633284</v>
      </c>
    </row>
    <row r="507">
      <c r="A507" s="320" t="n">
        <v>406</v>
      </c>
      <c r="B507" s="174" t="n">
        <v>31</v>
      </c>
      <c r="C507" s="174" t="n">
        <v>29</v>
      </c>
      <c r="D507" s="174" t="n">
        <v>48</v>
      </c>
      <c r="E507" s="174" t="n">
        <v>8</v>
      </c>
      <c r="F507" s="174" t="n">
        <v>73</v>
      </c>
      <c r="G507" s="68">
        <f>(1+INDEX($Z$21:$Z$97,B507))*(1+INDEX($Z$21:$Z$97,C507))*(1+INDEX($Z$21:$Z$97,D507))*(1+INDEX($Z$21:$Z$97,E507))*(1+INDEX($Z$21:$Z$97,F507))-1</f>
        <v>0.0674307656362225</v>
      </c>
      <c r="H507" s="68">
        <f>(1+INDEX($AA$21:$AA$97,B507))*(1+INDEX($AA$21:$AA$97,C507))*(1+INDEX($AA$21:$AA$97,D507))*(1+INDEX($AA$21:$AA$97,E507))*(1+INDEX($AA$21:$AA$97,F507))-1</f>
        <v>0.12223428139359</v>
      </c>
      <c r="I507" s="68">
        <f>(1+INDEX($AB$21:$AB$97,B507))*(1+INDEX($AB$21:$AB$97,C507))*(1+INDEX($AB$21:$AB$97,D507))*(1+INDEX($AB$21:$AB$97,E507))*(1+INDEX($AB$21:$AB$97,F507))-1</f>
        <v>0.122776033173927</v>
      </c>
      <c r="J507" s="489">
        <f>LN((1+G507)/(1+H507))</f>
        <v>-0.0500669847790255</v>
      </c>
      <c r="K507" s="489">
        <f>LN((1+I507)/(1+H507))</f>
        <v>0.000482627440361686</v>
      </c>
      <c r="L507" s="489">
        <f>(1+INDEX($AC$21:$AC$97,B507))*(1+INDEX($AC$21:$AC$97,C507))*(1+INDEX($AC$21:$AC$97,D507))*(1+INDEX($AC$21:$AC$97,E507))*(1+INDEX($AC$21:$AC$97,F507))-1</f>
        <v>0.0984516503465234</v>
      </c>
      <c r="M507" s="489">
        <f>(1+INDEX($AD$21:$AD$97,B507))*(1+INDEX($AD$21:$AD$97,C507))*(1+INDEX($AD$21:$AD$97,D507))*(1+INDEX($AD$21:$AD$97,E507))*(1+INDEX($AD$21:$AD$97,F507))-1</f>
        <v>0.13046936973988</v>
      </c>
      <c r="N507" s="489">
        <f>(1+INDEX($AE$21:$AE$97,B507))*(1+INDEX($AE$21:$AE$97,C507))*(1+INDEX($AE$21:$AE$97,D507))*(1+INDEX($AE$21:$AE$97,E507))*(1+INDEX($AE$21:$AE$97,F507))-1</f>
        <v>0.0966742810580934</v>
      </c>
      <c r="O507" s="489">
        <f>(1+INDEX($AF$21:$AF$97,B507))*(1+INDEX($AF$21:$AF$97,C507))*(1+INDEX($AF$21:$AF$97,D507))*(1+INDEX($AF$21:$AF$97,E507))*(1+INDEX($AF$21:$AF$97,F507))-1</f>
        <v>0.133913496442302</v>
      </c>
      <c r="P507" s="489">
        <f>LN((1+L507)/(1+H507))</f>
        <v>-0.0214199946255198</v>
      </c>
      <c r="Q507" s="489">
        <f>LN((1+M507)/(1+H507))</f>
        <v>0.00731132568310309</v>
      </c>
      <c r="R507" s="489">
        <f>LN((1+N507)/(1+H507))</f>
        <v>-0.0230393729503935</v>
      </c>
      <c r="S507" s="542">
        <f>LN((1+O507)/(1+H507))</f>
        <v>0.010353328349517</v>
      </c>
    </row>
    <row r="508">
      <c r="A508" s="320" t="n">
        <v>407</v>
      </c>
      <c r="B508" s="174" t="n">
        <v>63</v>
      </c>
      <c r="C508" s="174" t="n">
        <v>10</v>
      </c>
      <c r="D508" s="174" t="n">
        <v>28</v>
      </c>
      <c r="E508" s="174" t="n">
        <v>65</v>
      </c>
      <c r="F508" s="174" t="n">
        <v>13</v>
      </c>
      <c r="G508" s="68">
        <f>(1+INDEX($Z$21:$Z$97,B508))*(1+INDEX($Z$21:$Z$97,C508))*(1+INDEX($Z$21:$Z$97,D508))*(1+INDEX($Z$21:$Z$97,E508))*(1+INDEX($Z$21:$Z$97,F508))-1</f>
        <v>0.211153186602491</v>
      </c>
      <c r="H508" s="68">
        <f>(1+INDEX($AA$21:$AA$97,B508))*(1+INDEX($AA$21:$AA$97,C508))*(1+INDEX($AA$21:$AA$97,D508))*(1+INDEX($AA$21:$AA$97,E508))*(1+INDEX($AA$21:$AA$97,F508))-1</f>
        <v>0.195022339430709</v>
      </c>
      <c r="I508" s="68">
        <f>(1+INDEX($AB$21:$AB$97,B508))*(1+INDEX($AB$21:$AB$97,C508))*(1+INDEX($AB$21:$AB$97,D508))*(1+INDEX($AB$21:$AB$97,E508))*(1+INDEX($AB$21:$AB$97,F508))-1</f>
        <v>0.215118205175225</v>
      </c>
      <c r="J508" s="489">
        <f>LN((1+G508)/(1+H508))</f>
        <v>0.0134080732338135</v>
      </c>
      <c r="K508" s="489">
        <f>LN((1+I508)/(1+H508))</f>
        <v>0.0166764809773654</v>
      </c>
      <c r="L508" s="489">
        <f>(1+INDEX($AC$21:$AC$97,B508))*(1+INDEX($AC$21:$AC$97,C508))*(1+INDEX($AC$21:$AC$97,D508))*(1+INDEX($AC$21:$AC$97,E508))*(1+INDEX($AC$21:$AC$97,F508))-1</f>
        <v>0.215836084861741</v>
      </c>
      <c r="M508" s="489">
        <f>(1+INDEX($AD$21:$AD$97,B508))*(1+INDEX($AD$21:$AD$97,C508))*(1+INDEX($AD$21:$AD$97,D508))*(1+INDEX($AD$21:$AD$97,E508))*(1+INDEX($AD$21:$AD$97,F508))-1</f>
        <v>0.210754793227551</v>
      </c>
      <c r="N508" s="489">
        <f>(1+INDEX($AE$21:$AE$97,B508))*(1+INDEX($AE$21:$AE$97,C508))*(1+INDEX($AE$21:$AE$97,D508))*(1+INDEX($AE$21:$AE$97,E508))*(1+INDEX($AE$21:$AE$97,F508))-1</f>
        <v>0.206204572949936</v>
      </c>
      <c r="O508" s="489">
        <f>(1+INDEX($AF$21:$AF$97,B508))*(1+INDEX($AF$21:$AF$97,C508))*(1+INDEX($AF$21:$AF$97,D508))*(1+INDEX($AF$21:$AF$97,E508))*(1+INDEX($AF$21:$AF$97,F508))-1</f>
        <v>0.214700656699419</v>
      </c>
      <c r="P508" s="489">
        <f>LN((1+L508)/(1+H508))</f>
        <v>0.0172670965313697</v>
      </c>
      <c r="Q508" s="489">
        <f>LN((1+M508)/(1+H508))</f>
        <v>0.0130790818915739</v>
      </c>
      <c r="R508" s="489">
        <f>LN((1+N508)/(1+H508))</f>
        <v>0.0093138339382731</v>
      </c>
      <c r="S508" s="542">
        <f>LN((1+O508)/(1+H508))</f>
        <v>0.0163327940577625</v>
      </c>
    </row>
    <row r="509">
      <c r="A509" s="320" t="n">
        <v>408</v>
      </c>
      <c r="B509" s="174" t="n">
        <v>70</v>
      </c>
      <c r="C509" s="174" t="n">
        <v>44</v>
      </c>
      <c r="D509" s="174" t="n">
        <v>73</v>
      </c>
      <c r="E509" s="174" t="n">
        <v>46</v>
      </c>
      <c r="F509" s="174" t="n">
        <v>3</v>
      </c>
      <c r="G509" s="68">
        <f>(1+INDEX($Z$21:$Z$97,B509))*(1+INDEX($Z$21:$Z$97,C509))*(1+INDEX($Z$21:$Z$97,D509))*(1+INDEX($Z$21:$Z$97,E509))*(1+INDEX($Z$21:$Z$97,F509))-1</f>
        <v>0.552444396013532</v>
      </c>
      <c r="H509" s="68">
        <f>(1+INDEX($AA$21:$AA$97,B509))*(1+INDEX($AA$21:$AA$97,C509))*(1+INDEX($AA$21:$AA$97,D509))*(1+INDEX($AA$21:$AA$97,E509))*(1+INDEX($AA$21:$AA$97,F509))-1</f>
        <v>0.49834258458642</v>
      </c>
      <c r="I509" s="68">
        <f>(1+INDEX($AB$21:$AB$97,B509))*(1+INDEX($AB$21:$AB$97,C509))*(1+INDEX($AB$21:$AB$97,D509))*(1+INDEX($AB$21:$AB$97,E509))*(1+INDEX($AB$21:$AB$97,F509))-1</f>
        <v>0.563027841848116</v>
      </c>
      <c r="J509" s="489">
        <f>LN((1+G509)/(1+H509))</f>
        <v>0.0354711648129417</v>
      </c>
      <c r="K509" s="489">
        <f>LN((1+I509)/(1+H509))</f>
        <v>0.0422653107644235</v>
      </c>
      <c r="L509" s="489">
        <f>(1+INDEX($AC$21:$AC$97,B509))*(1+INDEX($AC$21:$AC$97,C509))*(1+INDEX($AC$21:$AC$97,D509))*(1+INDEX($AC$21:$AC$97,E509))*(1+INDEX($AC$21:$AC$97,F509))-1</f>
        <v>0.545774718616745</v>
      </c>
      <c r="M509" s="489">
        <f>(1+INDEX($AD$21:$AD$97,B509))*(1+INDEX($AD$21:$AD$97,C509))*(1+INDEX($AD$21:$AD$97,D509))*(1+INDEX($AD$21:$AD$97,E509))*(1+INDEX($AD$21:$AD$97,F509))-1</f>
        <v>0.543506848173049</v>
      </c>
      <c r="N509" s="489">
        <f>(1+INDEX($AE$21:$AE$97,B509))*(1+INDEX($AE$21:$AE$97,C509))*(1+INDEX($AE$21:$AE$97,D509))*(1+INDEX($AE$21:$AE$97,E509))*(1+INDEX($AE$21:$AE$97,F509))-1</f>
        <v>0.526666851429264</v>
      </c>
      <c r="O509" s="489">
        <f>(1+INDEX($AF$21:$AF$97,B509))*(1+INDEX($AF$21:$AF$97,C509))*(1+INDEX($AF$21:$AF$97,D509))*(1+INDEX($AF$21:$AF$97,E509))*(1+INDEX($AF$21:$AF$97,F509))-1</f>
        <v>0.516739915577963</v>
      </c>
      <c r="P509" s="489">
        <f>LN((1+L509)/(1+H509))</f>
        <v>0.0311656670717104</v>
      </c>
      <c r="Q509" s="489">
        <f>LN((1+M509)/(1+H509))</f>
        <v>0.0296974481333822</v>
      </c>
      <c r="R509" s="489">
        <f>LN((1+N509)/(1+H509))</f>
        <v>0.018727276882639</v>
      </c>
      <c r="S509" s="542">
        <f>LN((1+O509)/(1+H509))</f>
        <v>0.012203685515133</v>
      </c>
    </row>
    <row r="510">
      <c r="A510" s="320" t="n">
        <v>409</v>
      </c>
      <c r="B510" s="174" t="n">
        <v>73</v>
      </c>
      <c r="C510" s="174" t="n">
        <v>29</v>
      </c>
      <c r="D510" s="174" t="n">
        <v>9</v>
      </c>
      <c r="E510" s="174" t="n">
        <v>14</v>
      </c>
      <c r="F510" s="174" t="n">
        <v>9</v>
      </c>
      <c r="G510" s="68">
        <f>(1+INDEX($Z$21:$Z$97,B510))*(1+INDEX($Z$21:$Z$97,C510))*(1+INDEX($Z$21:$Z$97,D510))*(1+INDEX($Z$21:$Z$97,E510))*(1+INDEX($Z$21:$Z$97,F510))-1</f>
        <v>-0.0801927118979625</v>
      </c>
      <c r="H510" s="68">
        <f>(1+INDEX($AA$21:$AA$97,B510))*(1+INDEX($AA$21:$AA$97,C510))*(1+INDEX($AA$21:$AA$97,D510))*(1+INDEX($AA$21:$AA$97,E510))*(1+INDEX($AA$21:$AA$97,F510))-1</f>
        <v>-0.0251813532938328</v>
      </c>
      <c r="I510" s="68">
        <f>(1+INDEX($AB$21:$AB$97,B510))*(1+INDEX($AB$21:$AB$97,C510))*(1+INDEX($AB$21:$AB$97,D510))*(1+INDEX($AB$21:$AB$97,E510))*(1+INDEX($AB$21:$AB$97,F510))-1</f>
        <v>-0.0509174118239278</v>
      </c>
      <c r="J510" s="489">
        <f>LN((1+G510)/(1+H510))</f>
        <v>-0.0580872716717948</v>
      </c>
      <c r="K510" s="489">
        <f>LN((1+I510)/(1+H510))</f>
        <v>-0.0267556289663904</v>
      </c>
      <c r="L510" s="489">
        <f>(1+INDEX($AC$21:$AC$97,B510))*(1+INDEX($AC$21:$AC$97,C510))*(1+INDEX($AC$21:$AC$97,D510))*(1+INDEX($AC$21:$AC$97,E510))*(1+INDEX($AC$21:$AC$97,F510))-1</f>
        <v>-0.0739453201909347</v>
      </c>
      <c r="M510" s="489">
        <f>(1+INDEX($AD$21:$AD$97,B510))*(1+INDEX($AD$21:$AD$97,C510))*(1+INDEX($AD$21:$AD$97,D510))*(1+INDEX($AD$21:$AD$97,E510))*(1+INDEX($AD$21:$AD$97,F510))-1</f>
        <v>-0.0241545818900191</v>
      </c>
      <c r="N510" s="489">
        <f>(1+INDEX($AE$21:$AE$97,B510))*(1+INDEX($AE$21:$AE$97,C510))*(1+INDEX($AE$21:$AE$97,D510))*(1+INDEX($AE$21:$AE$97,E510))*(1+INDEX($AE$21:$AE$97,F510))-1</f>
        <v>-0.0842481964140982</v>
      </c>
      <c r="O510" s="489">
        <f>(1+INDEX($AF$21:$AF$97,B510))*(1+INDEX($AF$21:$AF$97,C510))*(1+INDEX($AF$21:$AF$97,D510))*(1+INDEX($AF$21:$AF$97,E510))*(1+INDEX($AF$21:$AF$97,F510))-1</f>
        <v>0.018255088955083</v>
      </c>
      <c r="P510" s="489">
        <f>LN((1+L510)/(1+H510))</f>
        <v>-0.0513181679461224</v>
      </c>
      <c r="Q510" s="489">
        <f>LN((1+M510)/(1+H510))</f>
        <v>0.00105274046634798</v>
      </c>
      <c r="R510" s="489">
        <f>LN((1+N510)/(1+H510))</f>
        <v>-0.0625060791440249</v>
      </c>
      <c r="S510" s="542">
        <f>LN((1+O510)/(1+H510))</f>
        <v>0.0435942939434645</v>
      </c>
    </row>
    <row r="511">
      <c r="A511" s="320" t="n">
        <v>410</v>
      </c>
      <c r="B511" s="174" t="n">
        <v>46</v>
      </c>
      <c r="C511" s="174" t="n">
        <v>7</v>
      </c>
      <c r="D511" s="174" t="n">
        <v>69</v>
      </c>
      <c r="E511" s="174" t="n">
        <v>56</v>
      </c>
      <c r="F511" s="174" t="n">
        <v>66</v>
      </c>
      <c r="G511" s="68">
        <f>(1+INDEX($Z$21:$Z$97,B511))*(1+INDEX($Z$21:$Z$97,C511))*(1+INDEX($Z$21:$Z$97,D511))*(1+INDEX($Z$21:$Z$97,E511))*(1+INDEX($Z$21:$Z$97,F511))-1</f>
        <v>0.212205198779577</v>
      </c>
      <c r="H511" s="68">
        <f>(1+INDEX($AA$21:$AA$97,B511))*(1+INDEX($AA$21:$AA$97,C511))*(1+INDEX($AA$21:$AA$97,D511))*(1+INDEX($AA$21:$AA$97,E511))*(1+INDEX($AA$21:$AA$97,F511))-1</f>
        <v>0.240759266200239</v>
      </c>
      <c r="I511" s="68">
        <f>(1+INDEX($AB$21:$AB$97,B511))*(1+INDEX($AB$21:$AB$97,C511))*(1+INDEX($AB$21:$AB$97,D511))*(1+INDEX($AB$21:$AB$97,E511))*(1+INDEX($AB$21:$AB$97,F511))-1</f>
        <v>0.243961771811916</v>
      </c>
      <c r="J511" s="489">
        <f>LN((1+G511)/(1+H511))</f>
        <v>-0.0232823244423471</v>
      </c>
      <c r="K511" s="489">
        <f>LN((1+I511)/(1+H511))</f>
        <v>0.00257776010749746</v>
      </c>
      <c r="L511" s="489">
        <f>(1+INDEX($AC$21:$AC$97,B511))*(1+INDEX($AC$21:$AC$97,C511))*(1+INDEX($AC$21:$AC$97,D511))*(1+INDEX($AC$21:$AC$97,E511))*(1+INDEX($AC$21:$AC$97,F511))-1</f>
        <v>0.230268071278891</v>
      </c>
      <c r="M511" s="489">
        <f>(1+INDEX($AD$21:$AD$97,B511))*(1+INDEX($AD$21:$AD$97,C511))*(1+INDEX($AD$21:$AD$97,D511))*(1+INDEX($AD$21:$AD$97,E511))*(1+INDEX($AD$21:$AD$97,F511))-1</f>
        <v>0.232160618993255</v>
      </c>
      <c r="N511" s="489">
        <f>(1+INDEX($AE$21:$AE$97,B511))*(1+INDEX($AE$21:$AE$97,C511))*(1+INDEX($AE$21:$AE$97,D511))*(1+INDEX($AE$21:$AE$97,E511))*(1+INDEX($AE$21:$AE$97,F511))-1</f>
        <v>0.23678774260511</v>
      </c>
      <c r="O511" s="489">
        <f>(1+INDEX($AF$21:$AF$97,B511))*(1+INDEX($AF$21:$AF$97,C511))*(1+INDEX($AF$21:$AF$97,D511))*(1+INDEX($AF$21:$AF$97,E511))*(1+INDEX($AF$21:$AF$97,F511))-1</f>
        <v>0.269679345728479</v>
      </c>
      <c r="P511" s="489">
        <f>LN((1+L511)/(1+H511))</f>
        <v>-0.00849141391544783</v>
      </c>
      <c r="Q511" s="489">
        <f>LN((1+M511)/(1+H511))</f>
        <v>-0.0069542745095574</v>
      </c>
      <c r="R511" s="489">
        <f>LN((1+N511)/(1+H511))</f>
        <v>-0.00320601545221965</v>
      </c>
      <c r="S511" s="542">
        <f>LN((1+O511)/(1+H511))</f>
        <v>0.0230408812301847</v>
      </c>
    </row>
    <row r="512">
      <c r="A512" s="320" t="n">
        <v>411</v>
      </c>
      <c r="B512" s="174" t="n">
        <v>30</v>
      </c>
      <c r="C512" s="174" t="n">
        <v>61</v>
      </c>
      <c r="D512" s="174" t="n">
        <v>52</v>
      </c>
      <c r="E512" s="174" t="n">
        <v>57</v>
      </c>
      <c r="F512" s="174" t="n">
        <v>61</v>
      </c>
      <c r="G512" s="68">
        <f>(1+INDEX($Z$21:$Z$97,B512))*(1+INDEX($Z$21:$Z$97,C512))*(1+INDEX($Z$21:$Z$97,D512))*(1+INDEX($Z$21:$Z$97,E512))*(1+INDEX($Z$21:$Z$97,F512))-1</f>
        <v>0.955302981196538</v>
      </c>
      <c r="H512" s="68">
        <f>(1+INDEX($AA$21:$AA$97,B512))*(1+INDEX($AA$21:$AA$97,C512))*(1+INDEX($AA$21:$AA$97,D512))*(1+INDEX($AA$21:$AA$97,E512))*(1+INDEX($AA$21:$AA$97,F512))-1</f>
        <v>0.862855790281665</v>
      </c>
      <c r="I512" s="68">
        <f>(1+INDEX($AB$21:$AB$97,B512))*(1+INDEX($AB$21:$AB$97,C512))*(1+INDEX($AB$21:$AB$97,D512))*(1+INDEX($AB$21:$AB$97,E512))*(1+INDEX($AB$21:$AB$97,F512))-1</f>
        <v>0.917751531148953</v>
      </c>
      <c r="J512" s="489">
        <f>LN((1+G512)/(1+H512))</f>
        <v>0.0484344776565428</v>
      </c>
      <c r="K512" s="489">
        <f>LN((1+I512)/(1+H512))</f>
        <v>0.0290427408988618</v>
      </c>
      <c r="L512" s="489">
        <f>(1+INDEX($AC$21:$AC$97,B512))*(1+INDEX($AC$21:$AC$97,C512))*(1+INDEX($AC$21:$AC$97,D512))*(1+INDEX($AC$21:$AC$97,E512))*(1+INDEX($AC$21:$AC$97,F512))-1</f>
        <v>0.992996657094253</v>
      </c>
      <c r="M512" s="489">
        <f>(1+INDEX($AD$21:$AD$97,B512))*(1+INDEX($AD$21:$AD$97,C512))*(1+INDEX($AD$21:$AD$97,D512))*(1+INDEX($AD$21:$AD$97,E512))*(1+INDEX($AD$21:$AD$97,F512))-1</f>
        <v>0.827362461273478</v>
      </c>
      <c r="N512" s="489">
        <f>(1+INDEX($AE$21:$AE$97,B512))*(1+INDEX($AE$21:$AE$97,C512))*(1+INDEX($AE$21:$AE$97,D512))*(1+INDEX($AE$21:$AE$97,E512))*(1+INDEX($AE$21:$AE$97,F512))-1</f>
        <v>1.00438130731929</v>
      </c>
      <c r="O512" s="489">
        <f>(1+INDEX($AF$21:$AF$97,B512))*(1+INDEX($AF$21:$AF$97,C512))*(1+INDEX($AF$21:$AF$97,D512))*(1+INDEX($AF$21:$AF$97,E512))*(1+INDEX($AF$21:$AF$97,F512))-1</f>
        <v>0.793458445326439</v>
      </c>
      <c r="P512" s="489">
        <f>LN((1+L512)/(1+H512))</f>
        <v>0.0675286825386085</v>
      </c>
      <c r="Q512" s="489">
        <f>LN((1+M512)/(1+H512))</f>
        <v>-0.0192370321466285</v>
      </c>
      <c r="R512" s="489">
        <f>LN((1+N512)/(1+H512))</f>
        <v>0.0732247568692646</v>
      </c>
      <c r="S512" s="542">
        <f>LN((1+O512)/(1+H512))</f>
        <v>-0.0379648332431041</v>
      </c>
    </row>
    <row r="513">
      <c r="A513" s="320" t="n">
        <v>412</v>
      </c>
      <c r="B513" s="174" t="n">
        <v>44</v>
      </c>
      <c r="C513" s="174" t="n">
        <v>52</v>
      </c>
      <c r="D513" s="174" t="n">
        <v>29</v>
      </c>
      <c r="E513" s="174" t="n">
        <v>62</v>
      </c>
      <c r="F513" s="174" t="n">
        <v>75</v>
      </c>
      <c r="G513" s="68">
        <f>(1+INDEX($Z$21:$Z$97,B513))*(1+INDEX($Z$21:$Z$97,C513))*(1+INDEX($Z$21:$Z$97,D513))*(1+INDEX($Z$21:$Z$97,E513))*(1+INDEX($Z$21:$Z$97,F513))-1</f>
        <v>0.506389722938568</v>
      </c>
      <c r="H513" s="68">
        <f>(1+INDEX($AA$21:$AA$97,B513))*(1+INDEX($AA$21:$AA$97,C513))*(1+INDEX($AA$21:$AA$97,D513))*(1+INDEX($AA$21:$AA$97,E513))*(1+INDEX($AA$21:$AA$97,F513))-1</f>
        <v>0.516914346179157</v>
      </c>
      <c r="I513" s="68">
        <f>(1+INDEX($AB$21:$AB$97,B513))*(1+INDEX($AB$21:$AB$97,C513))*(1+INDEX($AB$21:$AB$97,D513))*(1+INDEX($AB$21:$AB$97,E513))*(1+INDEX($AB$21:$AB$97,F513))-1</f>
        <v>0.587408463516169</v>
      </c>
      <c r="J513" s="489">
        <f>LN((1+G513)/(1+H513))</f>
        <v>-0.00696236006340085</v>
      </c>
      <c r="K513" s="489">
        <f>LN((1+I513)/(1+H513))</f>
        <v>0.0454245532100652</v>
      </c>
      <c r="L513" s="489">
        <f>(1+INDEX($AC$21:$AC$97,B513))*(1+INDEX($AC$21:$AC$97,C513))*(1+INDEX($AC$21:$AC$97,D513))*(1+INDEX($AC$21:$AC$97,E513))*(1+INDEX($AC$21:$AC$97,F513))-1</f>
        <v>0.601665004699205</v>
      </c>
      <c r="M513" s="489">
        <f>(1+INDEX($AD$21:$AD$97,B513))*(1+INDEX($AD$21:$AD$97,C513))*(1+INDEX($AD$21:$AD$97,D513))*(1+INDEX($AD$21:$AD$97,E513))*(1+INDEX($AD$21:$AD$97,F513))-1</f>
        <v>0.539174802328736</v>
      </c>
      <c r="N513" s="489">
        <f>(1+INDEX($AE$21:$AE$97,B513))*(1+INDEX($AE$21:$AE$97,C513))*(1+INDEX($AE$21:$AE$97,D513))*(1+INDEX($AE$21:$AE$97,E513))*(1+INDEX($AE$21:$AE$97,F513))-1</f>
        <v>0.57989885378483</v>
      </c>
      <c r="O513" s="489">
        <f>(1+INDEX($AF$21:$AF$97,B513))*(1+INDEX($AF$21:$AF$97,C513))*(1+INDEX($AF$21:$AF$97,D513))*(1+INDEX($AF$21:$AF$97,E513))*(1+INDEX($AF$21:$AF$97,F513))-1</f>
        <v>0.497456238808613</v>
      </c>
      <c r="P513" s="489">
        <f>LN((1+L513)/(1+H513))</f>
        <v>0.054365479969847</v>
      </c>
      <c r="Q513" s="489">
        <f>LN((1+M513)/(1+H513))</f>
        <v>0.0145681940319036</v>
      </c>
      <c r="R513" s="489">
        <f>LN((1+N513)/(1+H513))</f>
        <v>0.0406825922628646</v>
      </c>
      <c r="S513" s="542">
        <f>LN((1+O513)/(1+H513))</f>
        <v>-0.0129104083868213</v>
      </c>
    </row>
    <row r="514">
      <c r="A514" s="320" t="n">
        <v>413</v>
      </c>
      <c r="B514" s="174" t="n">
        <v>50</v>
      </c>
      <c r="C514" s="174" t="n">
        <v>23</v>
      </c>
      <c r="D514" s="174" t="n">
        <v>49</v>
      </c>
      <c r="E514" s="174" t="n">
        <v>63</v>
      </c>
      <c r="F514" s="174" t="n">
        <v>30</v>
      </c>
      <c r="G514" s="68">
        <f>(1+INDEX($Z$21:$Z$97,B514))*(1+INDEX($Z$21:$Z$97,C514))*(1+INDEX($Z$21:$Z$97,D514))*(1+INDEX($Z$21:$Z$97,E514))*(1+INDEX($Z$21:$Z$97,F514))-1</f>
        <v>0.438490723869884</v>
      </c>
      <c r="H514" s="68">
        <f>(1+INDEX($AA$21:$AA$97,B514))*(1+INDEX($AA$21:$AA$97,C514))*(1+INDEX($AA$21:$AA$97,D514))*(1+INDEX($AA$21:$AA$97,E514))*(1+INDEX($AA$21:$AA$97,F514))-1</f>
        <v>0.358676532810347</v>
      </c>
      <c r="I514" s="68">
        <f>(1+INDEX($AB$21:$AB$97,B514))*(1+INDEX($AB$21:$AB$97,C514))*(1+INDEX($AB$21:$AB$97,D514))*(1+INDEX($AB$21:$AB$97,E514))*(1+INDEX($AB$21:$AB$97,F514))-1</f>
        <v>0.428963471222053</v>
      </c>
      <c r="J514" s="489">
        <f>LN((1+G514)/(1+H514))</f>
        <v>0.0570833672118215</v>
      </c>
      <c r="K514" s="489">
        <f>LN((1+I514)/(1+H514))</f>
        <v>0.0504382478425175</v>
      </c>
      <c r="L514" s="489">
        <f>(1+INDEX($AC$21:$AC$97,B514))*(1+INDEX($AC$21:$AC$97,C514))*(1+INDEX($AC$21:$AC$97,D514))*(1+INDEX($AC$21:$AC$97,E514))*(1+INDEX($AC$21:$AC$97,F514))-1</f>
        <v>0.405964616175049</v>
      </c>
      <c r="M514" s="489">
        <f>(1+INDEX($AD$21:$AD$97,B514))*(1+INDEX($AD$21:$AD$97,C514))*(1+INDEX($AD$21:$AD$97,D514))*(1+INDEX($AD$21:$AD$97,E514))*(1+INDEX($AD$21:$AD$97,F514))-1</f>
        <v>0.404151130438022</v>
      </c>
      <c r="N514" s="489">
        <f>(1+INDEX($AE$21:$AE$97,B514))*(1+INDEX($AE$21:$AE$97,C514))*(1+INDEX($AE$21:$AE$97,D514))*(1+INDEX($AE$21:$AE$97,E514))*(1+INDEX($AE$21:$AE$97,F514))-1</f>
        <v>0.396450495351826</v>
      </c>
      <c r="O514" s="489">
        <f>(1+INDEX($AF$21:$AF$97,B514))*(1+INDEX($AF$21:$AF$97,C514))*(1+INDEX($AF$21:$AF$97,D514))*(1+INDEX($AF$21:$AF$97,E514))*(1+INDEX($AF$21:$AF$97,F514))-1</f>
        <v>0.377085203838688</v>
      </c>
      <c r="P514" s="489">
        <f>LN((1+L514)/(1+H514))</f>
        <v>0.0342125384640438</v>
      </c>
      <c r="Q514" s="489">
        <f>LN((1+M514)/(1+H514))</f>
        <v>0.0329218542700104</v>
      </c>
      <c r="R514" s="489">
        <f>LN((1+N514)/(1+H514))</f>
        <v>0.0274225683863982</v>
      </c>
      <c r="S514" s="542">
        <f>LN((1+O514)/(1+H514))</f>
        <v>0.0134580059556462</v>
      </c>
    </row>
    <row r="515">
      <c r="A515" s="320" t="n">
        <v>414</v>
      </c>
      <c r="B515" s="174" t="n">
        <v>19</v>
      </c>
      <c r="C515" s="174" t="n">
        <v>34</v>
      </c>
      <c r="D515" s="174" t="n">
        <v>56</v>
      </c>
      <c r="E515" s="174" t="n">
        <v>31</v>
      </c>
      <c r="F515" s="174" t="n">
        <v>62</v>
      </c>
      <c r="G515" s="68">
        <f>(1+INDEX($Z$21:$Z$97,B515))*(1+INDEX($Z$21:$Z$97,C515))*(1+INDEX($Z$21:$Z$97,D515))*(1+INDEX($Z$21:$Z$97,E515))*(1+INDEX($Z$21:$Z$97,F515))-1</f>
        <v>0.160113026762363</v>
      </c>
      <c r="H515" s="68">
        <f>(1+INDEX($AA$21:$AA$97,B515))*(1+INDEX($AA$21:$AA$97,C515))*(1+INDEX($AA$21:$AA$97,D515))*(1+INDEX($AA$21:$AA$97,E515))*(1+INDEX($AA$21:$AA$97,F515))-1</f>
        <v>0.207191667581709</v>
      </c>
      <c r="I515" s="68">
        <f>(1+INDEX($AB$21:$AB$97,B515))*(1+INDEX($AB$21:$AB$97,C515))*(1+INDEX($AB$21:$AB$97,D515))*(1+INDEX($AB$21:$AB$97,E515))*(1+INDEX($AB$21:$AB$97,F515))-1</f>
        <v>0.212293585176229</v>
      </c>
      <c r="J515" s="489">
        <f>LN((1+G515)/(1+H515))</f>
        <v>-0.0397792889436657</v>
      </c>
      <c r="K515" s="489">
        <f>LN((1+I515)/(1+H515))</f>
        <v>0.00421736412789624</v>
      </c>
      <c r="L515" s="489">
        <f>(1+INDEX($AC$21:$AC$97,B515))*(1+INDEX($AC$21:$AC$97,C515))*(1+INDEX($AC$21:$AC$97,D515))*(1+INDEX($AC$21:$AC$97,E515))*(1+INDEX($AC$21:$AC$97,F515))-1</f>
        <v>0.212136772133933</v>
      </c>
      <c r="M515" s="489">
        <f>(1+INDEX($AD$21:$AD$97,B515))*(1+INDEX($AD$21:$AD$97,C515))*(1+INDEX($AD$21:$AD$97,D515))*(1+INDEX($AD$21:$AD$97,E515))*(1+INDEX($AD$21:$AD$97,F515))-1</f>
        <v>0.204635510905445</v>
      </c>
      <c r="N515" s="489">
        <f>(1+INDEX($AE$21:$AE$97,B515))*(1+INDEX($AE$21:$AE$97,C515))*(1+INDEX($AE$21:$AE$97,D515))*(1+INDEX($AE$21:$AE$97,E515))*(1+INDEX($AE$21:$AE$97,F515))-1</f>
        <v>0.211648884479601</v>
      </c>
      <c r="O515" s="489">
        <f>(1+INDEX($AF$21:$AF$97,B515))*(1+INDEX($AF$21:$AF$97,C515))*(1+INDEX($AF$21:$AF$97,D515))*(1+INDEX($AF$21:$AF$97,E515))*(1+INDEX($AF$21:$AF$97,F515))-1</f>
        <v>0.184537744210115</v>
      </c>
      <c r="P515" s="489">
        <f>LN((1+L515)/(1+H515))</f>
        <v>0.00408800339617494</v>
      </c>
      <c r="Q515" s="489">
        <f>LN((1+M515)/(1+H515))</f>
        <v>-0.00211968556963529</v>
      </c>
      <c r="R515" s="489">
        <f>LN((1+N515)/(1+H515))</f>
        <v>0.00368542022254299</v>
      </c>
      <c r="S515" s="542">
        <f>LN((1+O515)/(1+H515))</f>
        <v>-0.0189441169710658</v>
      </c>
    </row>
    <row r="516">
      <c r="A516" s="320" t="n">
        <v>415</v>
      </c>
      <c r="B516" s="174" t="n">
        <v>14</v>
      </c>
      <c r="C516" s="174" t="n">
        <v>62</v>
      </c>
      <c r="D516" s="174" t="n">
        <v>8</v>
      </c>
      <c r="E516" s="174" t="n">
        <v>17</v>
      </c>
      <c r="F516" s="174" t="n">
        <v>51</v>
      </c>
      <c r="G516" s="68">
        <f>(1+INDEX($Z$21:$Z$97,B516))*(1+INDEX($Z$21:$Z$97,C516))*(1+INDEX($Z$21:$Z$97,D516))*(1+INDEX($Z$21:$Z$97,E516))*(1+INDEX($Z$21:$Z$97,F516))-1</f>
        <v>-0.0290540095057459</v>
      </c>
      <c r="H516" s="68">
        <f>(1+INDEX($AA$21:$AA$97,B516))*(1+INDEX($AA$21:$AA$97,C516))*(1+INDEX($AA$21:$AA$97,D516))*(1+INDEX($AA$21:$AA$97,E516))*(1+INDEX($AA$21:$AA$97,F516))-1</f>
        <v>-0.0217463560748455</v>
      </c>
      <c r="I516" s="68">
        <f>(1+INDEX($AB$21:$AB$97,B516))*(1+INDEX($AB$21:$AB$97,C516))*(1+INDEX($AB$21:$AB$97,D516))*(1+INDEX($AB$21:$AB$97,E516))*(1+INDEX($AB$21:$AB$97,F516))-1</f>
        <v>-0.0421054837268435</v>
      </c>
      <c r="J516" s="489">
        <f>LN((1+G516)/(1+H516))</f>
        <v>-0.00749814184189399</v>
      </c>
      <c r="K516" s="489">
        <f>LN((1+I516)/(1+H516))</f>
        <v>-0.021031322392109</v>
      </c>
      <c r="L516" s="489">
        <f>(1+INDEX($AC$21:$AC$97,B516))*(1+INDEX($AC$21:$AC$97,C516))*(1+INDEX($AC$21:$AC$97,D516))*(1+INDEX($AC$21:$AC$97,E516))*(1+INDEX($AC$21:$AC$97,F516))-1</f>
        <v>-0.0563008030737557</v>
      </c>
      <c r="M516" s="489">
        <f>(1+INDEX($AD$21:$AD$97,B516))*(1+INDEX($AD$21:$AD$97,C516))*(1+INDEX($AD$21:$AD$97,D516))*(1+INDEX($AD$21:$AD$97,E516))*(1+INDEX($AD$21:$AD$97,F516))-1</f>
        <v>-0.0441822144036539</v>
      </c>
      <c r="N516" s="489">
        <f>(1+INDEX($AE$21:$AE$97,B516))*(1+INDEX($AE$21:$AE$97,C516))*(1+INDEX($AE$21:$AE$97,D516))*(1+INDEX($AE$21:$AE$97,E516))*(1+INDEX($AE$21:$AE$97,F516))-1</f>
        <v>-0.0595161554283467</v>
      </c>
      <c r="O516" s="489">
        <f>(1+INDEX($AF$21:$AF$97,B516))*(1+INDEX($AF$21:$AF$97,C516))*(1+INDEX($AF$21:$AF$97,D516))*(1+INDEX($AF$21:$AF$97,E516))*(1+INDEX($AF$21:$AF$97,F516))-1</f>
        <v>-0.0370264034240921</v>
      </c>
      <c r="P516" s="489">
        <f>LN((1+L516)/(1+H516))</f>
        <v>-0.0359615179834804</v>
      </c>
      <c r="Q516" s="489">
        <f>LN((1+M516)/(1+H516))</f>
        <v>-0.023201691982131</v>
      </c>
      <c r="R516" s="489">
        <f>LN((1+N516)/(1+H516))</f>
        <v>-0.0393745149216297</v>
      </c>
      <c r="S516" s="542">
        <f>LN((1+O516)/(1+H516))</f>
        <v>-0.0157429924898624</v>
      </c>
    </row>
    <row r="517">
      <c r="A517" s="320" t="n">
        <v>416</v>
      </c>
      <c r="B517" s="174" t="n">
        <v>68</v>
      </c>
      <c r="C517" s="174" t="n">
        <v>12</v>
      </c>
      <c r="D517" s="174" t="n">
        <v>20</v>
      </c>
      <c r="E517" s="174" t="n">
        <v>59</v>
      </c>
      <c r="F517" s="174" t="n">
        <v>49</v>
      </c>
      <c r="G517" s="68">
        <f>(1+INDEX($Z$21:$Z$97,B517))*(1+INDEX($Z$21:$Z$97,C517))*(1+INDEX($Z$21:$Z$97,D517))*(1+INDEX($Z$21:$Z$97,E517))*(1+INDEX($Z$21:$Z$97,F517))-1</f>
        <v>0.699441739186024</v>
      </c>
      <c r="H517" s="68">
        <f>(1+INDEX($AA$21:$AA$97,B517))*(1+INDEX($AA$21:$AA$97,C517))*(1+INDEX($AA$21:$AA$97,D517))*(1+INDEX($AA$21:$AA$97,E517))*(1+INDEX($AA$21:$AA$97,F517))-1</f>
        <v>0.617453282537789</v>
      </c>
      <c r="I517" s="68">
        <f>(1+INDEX($AB$21:$AB$97,B517))*(1+INDEX($AB$21:$AB$97,C517))*(1+INDEX($AB$21:$AB$97,D517))*(1+INDEX($AB$21:$AB$97,E517))*(1+INDEX($AB$21:$AB$97,F517))-1</f>
        <v>0.641724607221694</v>
      </c>
      <c r="J517" s="489">
        <f>LN((1+G517)/(1+H517))</f>
        <v>0.0494469439522881</v>
      </c>
      <c r="K517" s="489">
        <f>LN((1+I517)/(1+H517))</f>
        <v>0.0148944146078383</v>
      </c>
      <c r="L517" s="489">
        <f>(1+INDEX($AC$21:$AC$97,B517))*(1+INDEX($AC$21:$AC$97,C517))*(1+INDEX($AC$21:$AC$97,D517))*(1+INDEX($AC$21:$AC$97,E517))*(1+INDEX($AC$21:$AC$97,F517))-1</f>
        <v>0.657331463164023</v>
      </c>
      <c r="M517" s="489">
        <f>(1+INDEX($AD$21:$AD$97,B517))*(1+INDEX($AD$21:$AD$97,C517))*(1+INDEX($AD$21:$AD$97,D517))*(1+INDEX($AD$21:$AD$97,E517))*(1+INDEX($AD$21:$AD$97,F517))-1</f>
        <v>0.625943495213332</v>
      </c>
      <c r="N517" s="489">
        <f>(1+INDEX($AE$21:$AE$97,B517))*(1+INDEX($AE$21:$AE$97,C517))*(1+INDEX($AE$21:$AE$97,D517))*(1+INDEX($AE$21:$AE$97,E517))*(1+INDEX($AE$21:$AE$97,F517))-1</f>
        <v>0.662733279652055</v>
      </c>
      <c r="O517" s="489">
        <f>(1+INDEX($AF$21:$AF$97,B517))*(1+INDEX($AF$21:$AF$97,C517))*(1+INDEX($AF$21:$AF$97,D517))*(1+INDEX($AF$21:$AF$97,E517))*(1+INDEX($AF$21:$AF$97,F517))-1</f>
        <v>0.605593602643693</v>
      </c>
      <c r="P517" s="489">
        <f>LN((1+L517)/(1+H517))</f>
        <v>0.0243558920945781</v>
      </c>
      <c r="Q517" s="489">
        <f>LN((1+M517)/(1+H517))</f>
        <v>0.00523539526608952</v>
      </c>
      <c r="R517" s="489">
        <f>LN((1+N517)/(1+H517))</f>
        <v>0.0276099378274445</v>
      </c>
      <c r="S517" s="542">
        <f>LN((1+O517)/(1+H517))</f>
        <v>-0.00735933037462783</v>
      </c>
    </row>
    <row r="518">
      <c r="A518" s="320" t="n">
        <v>417</v>
      </c>
      <c r="B518" s="174" t="n">
        <v>38</v>
      </c>
      <c r="C518" s="174" t="n">
        <v>30</v>
      </c>
      <c r="D518" s="174" t="n">
        <v>7</v>
      </c>
      <c r="E518" s="174" t="n">
        <v>70</v>
      </c>
      <c r="F518" s="174" t="n">
        <v>40</v>
      </c>
      <c r="G518" s="68">
        <f>(1+INDEX($Z$21:$Z$97,B518))*(1+INDEX($Z$21:$Z$97,C518))*(1+INDEX($Z$21:$Z$97,D518))*(1+INDEX($Z$21:$Z$97,E518))*(1+INDEX($Z$21:$Z$97,F518))-1</f>
        <v>0.231387356410791</v>
      </c>
      <c r="H518" s="68">
        <f>(1+INDEX($AA$21:$AA$97,B518))*(1+INDEX($AA$21:$AA$97,C518))*(1+INDEX($AA$21:$AA$97,D518))*(1+INDEX($AA$21:$AA$97,E518))*(1+INDEX($AA$21:$AA$97,F518))-1</f>
        <v>0.243400892113959</v>
      </c>
      <c r="I518" s="68">
        <f>(1+INDEX($AB$21:$AB$97,B518))*(1+INDEX($AB$21:$AB$97,C518))*(1+INDEX($AB$21:$AB$97,D518))*(1+INDEX($AB$21:$AB$97,E518))*(1+INDEX($AB$21:$AB$97,F518))-1</f>
        <v>0.239622798129755</v>
      </c>
      <c r="J518" s="489">
        <f>LN((1+G518)/(1+H518))</f>
        <v>-0.00970881454410172</v>
      </c>
      <c r="K518" s="489">
        <f>LN((1+I518)/(1+H518))</f>
        <v>-0.00304314204870642</v>
      </c>
      <c r="L518" s="489">
        <f>(1+INDEX($AC$21:$AC$97,B518))*(1+INDEX($AC$21:$AC$97,C518))*(1+INDEX($AC$21:$AC$97,D518))*(1+INDEX($AC$21:$AC$97,E518))*(1+INDEX($AC$21:$AC$97,F518))-1</f>
        <v>0.230112156005538</v>
      </c>
      <c r="M518" s="489">
        <f>(1+INDEX($AD$21:$AD$97,B518))*(1+INDEX($AD$21:$AD$97,C518))*(1+INDEX($AD$21:$AD$97,D518))*(1+INDEX($AD$21:$AD$97,E518))*(1+INDEX($AD$21:$AD$97,F518))-1</f>
        <v>0.230310080992767</v>
      </c>
      <c r="N518" s="489">
        <f>(1+INDEX($AE$21:$AE$97,B518))*(1+INDEX($AE$21:$AE$97,C518))*(1+INDEX($AE$21:$AE$97,D518))*(1+INDEX($AE$21:$AE$97,E518))*(1+INDEX($AE$21:$AE$97,F518))-1</f>
        <v>0.22897352606953</v>
      </c>
      <c r="O518" s="489">
        <f>(1+INDEX($AF$21:$AF$97,B518))*(1+INDEX($AF$21:$AF$97,C518))*(1+INDEX($AF$21:$AF$97,D518))*(1+INDEX($AF$21:$AF$97,E518))*(1+INDEX($AF$21:$AF$97,F518))-1</f>
        <v>0.241452803799136</v>
      </c>
      <c r="P518" s="489">
        <f>LN((1+L518)/(1+H518))</f>
        <v>-0.0107449313606205</v>
      </c>
      <c r="Q518" s="489">
        <f>LN((1+M518)/(1+H518))</f>
        <v>-0.0105840443513265</v>
      </c>
      <c r="R518" s="489">
        <f>LN((1+N518)/(1+H518))</f>
        <v>-0.0116709910141579</v>
      </c>
      <c r="S518" s="542">
        <f>LN((1+O518)/(1+H518))</f>
        <v>-0.00156797055468248</v>
      </c>
    </row>
    <row r="519">
      <c r="A519" s="320" t="n">
        <v>418</v>
      </c>
      <c r="B519" s="174" t="n">
        <v>26</v>
      </c>
      <c r="C519" s="174" t="n">
        <v>20</v>
      </c>
      <c r="D519" s="174" t="n">
        <v>28</v>
      </c>
      <c r="E519" s="174" t="n">
        <v>21</v>
      </c>
      <c r="F519" s="174" t="n">
        <v>8</v>
      </c>
      <c r="G519" s="68">
        <f>(1+INDEX($Z$21:$Z$97,B519))*(1+INDEX($Z$21:$Z$97,C519))*(1+INDEX($Z$21:$Z$97,D519))*(1+INDEX($Z$21:$Z$97,E519))*(1+INDEX($Z$21:$Z$97,F519))-1</f>
        <v>0.124131199409541</v>
      </c>
      <c r="H519" s="68">
        <f>(1+INDEX($AA$21:$AA$97,B519))*(1+INDEX($AA$21:$AA$97,C519))*(1+INDEX($AA$21:$AA$97,D519))*(1+INDEX($AA$21:$AA$97,E519))*(1+INDEX($AA$21:$AA$97,F519))-1</f>
        <v>0.178759855181896</v>
      </c>
      <c r="I519" s="68">
        <f>(1+INDEX($AB$21:$AB$97,B519))*(1+INDEX($AB$21:$AB$97,C519))*(1+INDEX($AB$21:$AB$97,D519))*(1+INDEX($AB$21:$AB$97,E519))*(1+INDEX($AB$21:$AB$97,F519))-1</f>
        <v>0.164382781658839</v>
      </c>
      <c r="J519" s="489">
        <f>LN((1+G519)/(1+H519))</f>
        <v>-0.0474524455233821</v>
      </c>
      <c r="K519" s="489">
        <f>LN((1+I519)/(1+H519))</f>
        <v>-0.0122717701640903</v>
      </c>
      <c r="L519" s="489">
        <f>(1+INDEX($AC$21:$AC$97,B519))*(1+INDEX($AC$21:$AC$97,C519))*(1+INDEX($AC$21:$AC$97,D519))*(1+INDEX($AC$21:$AC$97,E519))*(1+INDEX($AC$21:$AC$97,F519))-1</f>
        <v>0.138322084966111</v>
      </c>
      <c r="M519" s="489">
        <f>(1+INDEX($AD$21:$AD$97,B519))*(1+INDEX($AD$21:$AD$97,C519))*(1+INDEX($AD$21:$AD$97,D519))*(1+INDEX($AD$21:$AD$97,E519))*(1+INDEX($AD$21:$AD$97,F519))-1</f>
        <v>0.175868791693632</v>
      </c>
      <c r="N519" s="489">
        <f>(1+INDEX($AE$21:$AE$97,B519))*(1+INDEX($AE$21:$AE$97,C519))*(1+INDEX($AE$21:$AE$97,D519))*(1+INDEX($AE$21:$AE$97,E519))*(1+INDEX($AE$21:$AE$97,F519))-1</f>
        <v>0.143943317968863</v>
      </c>
      <c r="O519" s="489">
        <f>(1+INDEX($AF$21:$AF$97,B519))*(1+INDEX($AF$21:$AF$97,C519))*(1+INDEX($AF$21:$AF$97,D519))*(1+INDEX($AF$21:$AF$97,E519))*(1+INDEX($AF$21:$AF$97,F519))-1</f>
        <v>0.216576702097311</v>
      </c>
      <c r="P519" s="489">
        <f>LN((1+L519)/(1+H519))</f>
        <v>-0.0349075927658363</v>
      </c>
      <c r="Q519" s="489">
        <f>LN((1+M519)/(1+H519))</f>
        <v>-0.00245564407356062</v>
      </c>
      <c r="R519" s="489">
        <f>LN((1+N519)/(1+H519))</f>
        <v>-0.0299815711362373</v>
      </c>
      <c r="S519" s="542">
        <f>LN((1+O519)/(1+H519))</f>
        <v>0.0315780170743504</v>
      </c>
    </row>
    <row r="520">
      <c r="A520" s="320" t="n">
        <v>419</v>
      </c>
      <c r="B520" s="174" t="n">
        <v>76</v>
      </c>
      <c r="C520" s="174" t="n">
        <v>49</v>
      </c>
      <c r="D520" s="174" t="n">
        <v>17</v>
      </c>
      <c r="E520" s="174" t="n">
        <v>42</v>
      </c>
      <c r="F520" s="174" t="n">
        <v>62</v>
      </c>
      <c r="G520" s="68">
        <f>(1+INDEX($Z$21:$Z$97,B520))*(1+INDEX($Z$21:$Z$97,C520))*(1+INDEX($Z$21:$Z$97,D520))*(1+INDEX($Z$21:$Z$97,E520))*(1+INDEX($Z$21:$Z$97,F520))-1</f>
        <v>0.249440670523859</v>
      </c>
      <c r="H520" s="68">
        <f>(1+INDEX($AA$21:$AA$97,B520))*(1+INDEX($AA$21:$AA$97,C520))*(1+INDEX($AA$21:$AA$97,D520))*(1+INDEX($AA$21:$AA$97,E520))*(1+INDEX($AA$21:$AA$97,F520))-1</f>
        <v>0.22627885466536</v>
      </c>
      <c r="I520" s="68">
        <f>(1+INDEX($AB$21:$AB$97,B520))*(1+INDEX($AB$21:$AB$97,C520))*(1+INDEX($AB$21:$AB$97,D520))*(1+INDEX($AB$21:$AB$97,E520))*(1+INDEX($AB$21:$AB$97,F520))-1</f>
        <v>0.25803442901249</v>
      </c>
      <c r="J520" s="489">
        <f>LN((1+G520)/(1+H520))</f>
        <v>0.0187117251531773</v>
      </c>
      <c r="K520" s="489">
        <f>LN((1+I520)/(1+H520))</f>
        <v>0.0255662635197772</v>
      </c>
      <c r="L520" s="489">
        <f>(1+INDEX($AC$21:$AC$97,B520))*(1+INDEX($AC$21:$AC$97,C520))*(1+INDEX($AC$21:$AC$97,D520))*(1+INDEX($AC$21:$AC$97,E520))*(1+INDEX($AC$21:$AC$97,F520))-1</f>
        <v>0.254086474203724</v>
      </c>
      <c r="M520" s="489">
        <f>(1+INDEX($AD$21:$AD$97,B520))*(1+INDEX($AD$21:$AD$97,C520))*(1+INDEX($AD$21:$AD$97,D520))*(1+INDEX($AD$21:$AD$97,E520))*(1+INDEX($AD$21:$AD$97,F520))-1</f>
        <v>0.232101626840755</v>
      </c>
      <c r="N520" s="489">
        <f>(1+INDEX($AE$21:$AE$97,B520))*(1+INDEX($AE$21:$AE$97,C520))*(1+INDEX($AE$21:$AE$97,D520))*(1+INDEX($AE$21:$AE$97,E520))*(1+INDEX($AE$21:$AE$97,F520))-1</f>
        <v>0.244228170865541</v>
      </c>
      <c r="O520" s="489">
        <f>(1+INDEX($AF$21:$AF$97,B520))*(1+INDEX($AF$21:$AF$97,C520))*(1+INDEX($AF$21:$AF$97,D520))*(1+INDEX($AF$21:$AF$97,E520))*(1+INDEX($AF$21:$AF$97,F520))-1</f>
        <v>0.20878178047223</v>
      </c>
      <c r="P520" s="489">
        <f>LN((1+L520)/(1+H520))</f>
        <v>0.0224231360899254</v>
      </c>
      <c r="Q520" s="489">
        <f>LN((1+M520)/(1+H520))</f>
        <v>0.00473708858964861</v>
      </c>
      <c r="R520" s="489">
        <f>LN((1+N520)/(1+H520))</f>
        <v>0.0145311321541986</v>
      </c>
      <c r="S520" s="542">
        <f>LN((1+O520)/(1+H520))</f>
        <v>-0.0143712029844243</v>
      </c>
    </row>
    <row r="521">
      <c r="A521" s="320" t="n">
        <v>420</v>
      </c>
      <c r="B521" s="174" t="n">
        <v>23</v>
      </c>
      <c r="C521" s="174" t="n">
        <v>61</v>
      </c>
      <c r="D521" s="174" t="n">
        <v>63</v>
      </c>
      <c r="E521" s="174" t="n">
        <v>51</v>
      </c>
      <c r="F521" s="174" t="n">
        <v>20</v>
      </c>
      <c r="G521" s="68">
        <f>(1+INDEX($Z$21:$Z$97,B521))*(1+INDEX($Z$21:$Z$97,C521))*(1+INDEX($Z$21:$Z$97,D521))*(1+INDEX($Z$21:$Z$97,E521))*(1+INDEX($Z$21:$Z$97,F521))-1</f>
        <v>0.227925189125213</v>
      </c>
      <c r="H521" s="68">
        <f>(1+INDEX($AA$21:$AA$97,B521))*(1+INDEX($AA$21:$AA$97,C521))*(1+INDEX($AA$21:$AA$97,D521))*(1+INDEX($AA$21:$AA$97,E521))*(1+INDEX($AA$21:$AA$97,F521))-1</f>
        <v>0.203139876676313</v>
      </c>
      <c r="I521" s="68">
        <f>(1+INDEX($AB$21:$AB$97,B521))*(1+INDEX($AB$21:$AB$97,C521))*(1+INDEX($AB$21:$AB$97,D521))*(1+INDEX($AB$21:$AB$97,E521))*(1+INDEX($AB$21:$AB$97,F521))-1</f>
        <v>0.214618118305169</v>
      </c>
      <c r="J521" s="489">
        <f>LN((1+G521)/(1+H521))</f>
        <v>0.0203912035141618</v>
      </c>
      <c r="K521" s="489">
        <f>LN((1+I521)/(1+H521))</f>
        <v>0.009495018019154</v>
      </c>
      <c r="L521" s="489">
        <f>(1+INDEX($AC$21:$AC$97,B521))*(1+INDEX($AC$21:$AC$97,C521))*(1+INDEX($AC$21:$AC$97,D521))*(1+INDEX($AC$21:$AC$97,E521))*(1+INDEX($AC$21:$AC$97,F521))-1</f>
        <v>0.219407489779192</v>
      </c>
      <c r="M521" s="489">
        <f>(1+INDEX($AD$21:$AD$97,B521))*(1+INDEX($AD$21:$AD$97,C521))*(1+INDEX($AD$21:$AD$97,D521))*(1+INDEX($AD$21:$AD$97,E521))*(1+INDEX($AD$21:$AD$97,F521))-1</f>
        <v>0.178855142502251</v>
      </c>
      <c r="N521" s="489">
        <f>(1+INDEX($AE$21:$AE$97,B521))*(1+INDEX($AE$21:$AE$97,C521))*(1+INDEX($AE$21:$AE$97,D521))*(1+INDEX($AE$21:$AE$97,E521))*(1+INDEX($AE$21:$AE$97,F521))-1</f>
        <v>0.22001943846206</v>
      </c>
      <c r="O521" s="489">
        <f>(1+INDEX($AF$21:$AF$97,B521))*(1+INDEX($AF$21:$AF$97,C521))*(1+INDEX($AF$21:$AF$97,D521))*(1+INDEX($AF$21:$AF$97,E521))*(1+INDEX($AF$21:$AF$97,F521))-1</f>
        <v>0.165128974466888</v>
      </c>
      <c r="P521" s="489">
        <f>LN((1+L521)/(1+H521))</f>
        <v>0.0134303732095061</v>
      </c>
      <c r="Q521" s="489">
        <f>LN((1+M521)/(1+H521))</f>
        <v>-0.0203909541544331</v>
      </c>
      <c r="R521" s="489">
        <f>LN((1+N521)/(1+H521))</f>
        <v>0.0139320883366284</v>
      </c>
      <c r="S521" s="542">
        <f>LN((1+O521)/(1+H521))</f>
        <v>-0.0321029148603093</v>
      </c>
    </row>
    <row r="522">
      <c r="A522" s="320" t="n">
        <v>421</v>
      </c>
      <c r="B522" s="174" t="n">
        <v>12</v>
      </c>
      <c r="C522" s="174" t="n">
        <v>58</v>
      </c>
      <c r="D522" s="174" t="n">
        <v>60</v>
      </c>
      <c r="E522" s="174" t="n">
        <v>13</v>
      </c>
      <c r="F522" s="174" t="n">
        <v>43</v>
      </c>
      <c r="G522" s="68">
        <f>(1+INDEX($Z$21:$Z$97,B522))*(1+INDEX($Z$21:$Z$97,C522))*(1+INDEX($Z$21:$Z$97,D522))*(1+INDEX($Z$21:$Z$97,E522))*(1+INDEX($Z$21:$Z$97,F522))-1</f>
        <v>1.12566203828213</v>
      </c>
      <c r="H522" s="68">
        <f>(1+INDEX($AA$21:$AA$97,B522))*(1+INDEX($AA$21:$AA$97,C522))*(1+INDEX($AA$21:$AA$97,D522))*(1+INDEX($AA$21:$AA$97,E522))*(1+INDEX($AA$21:$AA$97,F522))-1</f>
        <v>0.9867069349175</v>
      </c>
      <c r="I522" s="68">
        <f>(1+INDEX($AB$21:$AB$97,B522))*(1+INDEX($AB$21:$AB$97,C522))*(1+INDEX($AB$21:$AB$97,D522))*(1+INDEX($AB$21:$AB$97,E522))*(1+INDEX($AB$21:$AB$97,F522))-1</f>
        <v>1.04211787243833</v>
      </c>
      <c r="J522" s="489">
        <f>LN((1+G522)/(1+H522))</f>
        <v>0.0676048398249392</v>
      </c>
      <c r="K522" s="489">
        <f>LN((1+I522)/(1+H522))</f>
        <v>0.0275089806338543</v>
      </c>
      <c r="L522" s="489">
        <f>(1+INDEX($AC$21:$AC$97,B522))*(1+INDEX($AC$21:$AC$97,C522))*(1+INDEX($AC$21:$AC$97,D522))*(1+INDEX($AC$21:$AC$97,E522))*(1+INDEX($AC$21:$AC$97,F522))-1</f>
        <v>1.12922781140013</v>
      </c>
      <c r="M522" s="489">
        <f>(1+INDEX($AD$21:$AD$97,B522))*(1+INDEX($AD$21:$AD$97,C522))*(1+INDEX($AD$21:$AD$97,D522))*(1+INDEX($AD$21:$AD$97,E522))*(1+INDEX($AD$21:$AD$97,F522))-1</f>
        <v>1.00147660845205</v>
      </c>
      <c r="N522" s="489">
        <f>(1+INDEX($AE$21:$AE$97,B522))*(1+INDEX($AE$21:$AE$97,C522))*(1+INDEX($AE$21:$AE$97,D522))*(1+INDEX($AE$21:$AE$97,E522))*(1+INDEX($AE$21:$AE$97,F522))-1</f>
        <v>1.11895580154943</v>
      </c>
      <c r="O522" s="489">
        <f>(1+INDEX($AF$21:$AF$97,B522))*(1+INDEX($AF$21:$AF$97,C522))*(1+INDEX($AF$21:$AF$97,D522))*(1+INDEX($AF$21:$AF$97,E522))*(1+INDEX($AF$21:$AF$97,F522))-1</f>
        <v>0.904469495741148</v>
      </c>
      <c r="P522" s="489">
        <f>LN((1+L522)/(1+H522))</f>
        <v>0.0692809226749003</v>
      </c>
      <c r="Q522" s="489">
        <f>LN((1+M522)/(1+H522))</f>
        <v>0.00740675091597562</v>
      </c>
      <c r="R522" s="489">
        <f>LN((1+N522)/(1+H522))</f>
        <v>0.0644449594466229</v>
      </c>
      <c r="S522" s="542">
        <f>LN((1+O522)/(1+H522))</f>
        <v>-0.0422749715874821</v>
      </c>
    </row>
    <row r="523">
      <c r="A523" s="320" t="n">
        <v>422</v>
      </c>
      <c r="B523" s="174" t="n">
        <v>11</v>
      </c>
      <c r="C523" s="174" t="n">
        <v>48</v>
      </c>
      <c r="D523" s="174" t="n">
        <v>37</v>
      </c>
      <c r="E523" s="174" t="n">
        <v>25</v>
      </c>
      <c r="F523" s="174" t="n">
        <v>68</v>
      </c>
      <c r="G523" s="68">
        <f>(1+INDEX($Z$21:$Z$97,B523))*(1+INDEX($Z$21:$Z$97,C523))*(1+INDEX($Z$21:$Z$97,D523))*(1+INDEX($Z$21:$Z$97,E523))*(1+INDEX($Z$21:$Z$97,F523))-1</f>
        <v>0.226472857958974</v>
      </c>
      <c r="H523" s="68">
        <f>(1+INDEX($AA$21:$AA$97,B523))*(1+INDEX($AA$21:$AA$97,C523))*(1+INDEX($AA$21:$AA$97,D523))*(1+INDEX($AA$21:$AA$97,E523))*(1+INDEX($AA$21:$AA$97,F523))-1</f>
        <v>0.185895288923263</v>
      </c>
      <c r="I523" s="68">
        <f>(1+INDEX($AB$21:$AB$97,B523))*(1+INDEX($AB$21:$AB$97,C523))*(1+INDEX($AB$21:$AB$97,D523))*(1+INDEX($AB$21:$AB$97,E523))*(1+INDEX($AB$21:$AB$97,F523))-1</f>
        <v>0.173790823349661</v>
      </c>
      <c r="J523" s="489">
        <f>LN((1+G523)/(1+H523))</f>
        <v>0.0336444473952295</v>
      </c>
      <c r="K523" s="489">
        <f>LN((1+I523)/(1+H523))</f>
        <v>-0.0102594761935669</v>
      </c>
      <c r="L523" s="489">
        <f>(1+INDEX($AC$21:$AC$97,B523))*(1+INDEX($AC$21:$AC$97,C523))*(1+INDEX($AC$21:$AC$97,D523))*(1+INDEX($AC$21:$AC$97,E523))*(1+INDEX($AC$21:$AC$97,F523))-1</f>
        <v>0.161274197484876</v>
      </c>
      <c r="M523" s="489">
        <f>(1+INDEX($AD$21:$AD$97,B523))*(1+INDEX($AD$21:$AD$97,C523))*(1+INDEX($AD$21:$AD$97,D523))*(1+INDEX($AD$21:$AD$97,E523))*(1+INDEX($AD$21:$AD$97,F523))-1</f>
        <v>0.205262473345047</v>
      </c>
      <c r="N523" s="489">
        <f>(1+INDEX($AE$21:$AE$97,B523))*(1+INDEX($AE$21:$AE$97,C523))*(1+INDEX($AE$21:$AE$97,D523))*(1+INDEX($AE$21:$AE$97,E523))*(1+INDEX($AE$21:$AE$97,F523))-1</f>
        <v>0.165453723205282</v>
      </c>
      <c r="O523" s="489">
        <f>(1+INDEX($AF$21:$AF$97,B523))*(1+INDEX($AF$21:$AF$97,C523))*(1+INDEX($AF$21:$AF$97,D523))*(1+INDEX($AF$21:$AF$97,E523))*(1+INDEX($AF$21:$AF$97,F523))-1</f>
        <v>0.232574919983972</v>
      </c>
      <c r="P523" s="489">
        <f>LN((1+L523)/(1+H523))</f>
        <v>-0.020980159030259</v>
      </c>
      <c r="Q523" s="489">
        <f>LN((1+M523)/(1+H523))</f>
        <v>0.0161993560209166</v>
      </c>
      <c r="R523" s="489">
        <f>LN((1+N523)/(1+H523))</f>
        <v>-0.0173875342298685</v>
      </c>
      <c r="S523" s="542">
        <f>LN((1+O523)/(1+H523))</f>
        <v>0.0386074046868199</v>
      </c>
    </row>
    <row r="524">
      <c r="A524" s="320" t="n">
        <v>423</v>
      </c>
      <c r="B524" s="174" t="n">
        <v>49</v>
      </c>
      <c r="C524" s="174" t="n">
        <v>46</v>
      </c>
      <c r="D524" s="174" t="n">
        <v>21</v>
      </c>
      <c r="E524" s="174" t="n">
        <v>25</v>
      </c>
      <c r="F524" s="174" t="n">
        <v>40</v>
      </c>
      <c r="G524" s="68">
        <f>(1+INDEX($Z$21:$Z$97,B524))*(1+INDEX($Z$21:$Z$97,C524))*(1+INDEX($Z$21:$Z$97,D524))*(1+INDEX($Z$21:$Z$97,E524))*(1+INDEX($Z$21:$Z$97,F524))-1</f>
        <v>0.523380253981636</v>
      </c>
      <c r="H524" s="68">
        <f>(1+INDEX($AA$21:$AA$97,B524))*(1+INDEX($AA$21:$AA$97,C524))*(1+INDEX($AA$21:$AA$97,D524))*(1+INDEX($AA$21:$AA$97,E524))*(1+INDEX($AA$21:$AA$97,F524))-1</f>
        <v>0.454969106017507</v>
      </c>
      <c r="I524" s="68">
        <f>(1+INDEX($AB$21:$AB$97,B524))*(1+INDEX($AB$21:$AB$97,C524))*(1+INDEX($AB$21:$AB$97,D524))*(1+INDEX($AB$21:$AB$97,E524))*(1+INDEX($AB$21:$AB$97,F524))-1</f>
        <v>0.517299173311571</v>
      </c>
      <c r="J524" s="489">
        <f>LN((1+G524)/(1+H524))</f>
        <v>0.0459470496441338</v>
      </c>
      <c r="K524" s="489">
        <f>LN((1+I524)/(1+H524))</f>
        <v>0.0419472272867579</v>
      </c>
      <c r="L524" s="489">
        <f>(1+INDEX($AC$21:$AC$97,B524))*(1+INDEX($AC$21:$AC$97,C524))*(1+INDEX($AC$21:$AC$97,D524))*(1+INDEX($AC$21:$AC$97,E524))*(1+INDEX($AC$21:$AC$97,F524))-1</f>
        <v>0.493028698423807</v>
      </c>
      <c r="M524" s="489">
        <f>(1+INDEX($AD$21:$AD$97,B524))*(1+INDEX($AD$21:$AD$97,C524))*(1+INDEX($AD$21:$AD$97,D524))*(1+INDEX($AD$21:$AD$97,E524))*(1+INDEX($AD$21:$AD$97,F524))-1</f>
        <v>0.504361929174241</v>
      </c>
      <c r="N524" s="489">
        <f>(1+INDEX($AE$21:$AE$97,B524))*(1+INDEX($AE$21:$AE$97,C524))*(1+INDEX($AE$21:$AE$97,D524))*(1+INDEX($AE$21:$AE$97,E524))*(1+INDEX($AE$21:$AE$97,F524))-1</f>
        <v>0.480264264740573</v>
      </c>
      <c r="O524" s="489">
        <f>(1+INDEX($AF$21:$AF$97,B524))*(1+INDEX($AF$21:$AF$97,C524))*(1+INDEX($AF$21:$AF$97,D524))*(1+INDEX($AF$21:$AF$97,E524))*(1+INDEX($AF$21:$AF$97,F524))-1</f>
        <v>0.478225574135661</v>
      </c>
      <c r="P524" s="489">
        <f>LN((1+L524)/(1+H524))</f>
        <v>0.025822072937074</v>
      </c>
      <c r="Q524" s="489">
        <f>LN((1+M524)/(1+H524))</f>
        <v>0.033384173554821</v>
      </c>
      <c r="R524" s="489">
        <f>LN((1+N524)/(1+H524))</f>
        <v>0.0172359616733434</v>
      </c>
      <c r="S524" s="542">
        <f>LN((1+O524)/(1+H524))</f>
        <v>0.0158577646615992</v>
      </c>
    </row>
    <row r="525">
      <c r="A525" s="320" t="n">
        <v>424</v>
      </c>
      <c r="B525" s="174" t="n">
        <v>76</v>
      </c>
      <c r="C525" s="174" t="n">
        <v>7</v>
      </c>
      <c r="D525" s="174" t="n">
        <v>22</v>
      </c>
      <c r="E525" s="174" t="n">
        <v>4</v>
      </c>
      <c r="F525" s="174" t="n">
        <v>51</v>
      </c>
      <c r="G525" s="68">
        <f>(1+INDEX($Z$21:$Z$97,B525))*(1+INDEX($Z$21:$Z$97,C525))*(1+INDEX($Z$21:$Z$97,D525))*(1+INDEX($Z$21:$Z$97,E525))*(1+INDEX($Z$21:$Z$97,F525))-1</f>
        <v>0.107521146742263</v>
      </c>
      <c r="H525" s="68">
        <f>(1+INDEX($AA$21:$AA$97,B525))*(1+INDEX($AA$21:$AA$97,C525))*(1+INDEX($AA$21:$AA$97,D525))*(1+INDEX($AA$21:$AA$97,E525))*(1+INDEX($AA$21:$AA$97,F525))-1</f>
        <v>0.128053920167567</v>
      </c>
      <c r="I525" s="68">
        <f>(1+INDEX($AB$21:$AB$97,B525))*(1+INDEX($AB$21:$AB$97,C525))*(1+INDEX($AB$21:$AB$97,D525))*(1+INDEX($AB$21:$AB$97,E525))*(1+INDEX($AB$21:$AB$97,F525))-1</f>
        <v>0.112851815244465</v>
      </c>
      <c r="J525" s="489">
        <f>LN((1+G525)/(1+H525))</f>
        <v>-0.0183696366215974</v>
      </c>
      <c r="K525" s="489">
        <f>LN((1+I525)/(1+H525))</f>
        <v>-0.0135680300129815</v>
      </c>
      <c r="L525" s="489">
        <f>(1+INDEX($AC$21:$AC$97,B525))*(1+INDEX($AC$21:$AC$97,C525))*(1+INDEX($AC$21:$AC$97,D525))*(1+INDEX($AC$21:$AC$97,E525))*(1+INDEX($AC$21:$AC$97,F525))-1</f>
        <v>0.0990811321484504</v>
      </c>
      <c r="M525" s="489">
        <f>(1+INDEX($AD$21:$AD$97,B525))*(1+INDEX($AD$21:$AD$97,C525))*(1+INDEX($AD$21:$AD$97,D525))*(1+INDEX($AD$21:$AD$97,E525))*(1+INDEX($AD$21:$AD$97,F525))-1</f>
        <v>0.111012755228779</v>
      </c>
      <c r="N525" s="489">
        <f>(1+INDEX($AE$21:$AE$97,B525))*(1+INDEX($AE$21:$AE$97,C525))*(1+INDEX($AE$21:$AE$97,D525))*(1+INDEX($AE$21:$AE$97,E525))*(1+INDEX($AE$21:$AE$97,F525))-1</f>
        <v>0.0802516121347288</v>
      </c>
      <c r="O525" s="489">
        <f>(1+INDEX($AF$21:$AF$97,B525))*(1+INDEX($AF$21:$AF$97,C525))*(1+INDEX($AF$21:$AF$97,D525))*(1+INDEX($AF$21:$AF$97,E525))*(1+INDEX($AF$21:$AF$97,F525))-1</f>
        <v>0.131659208932716</v>
      </c>
      <c r="P525" s="489">
        <f>LN((1+L525)/(1+H525))</f>
        <v>-0.0260194571927798</v>
      </c>
      <c r="Q525" s="489">
        <f>LN((1+M525)/(1+H525))</f>
        <v>-0.0152219620548258</v>
      </c>
      <c r="R525" s="489">
        <f>LN((1+N525)/(1+H525))</f>
        <v>-0.0432999652997234</v>
      </c>
      <c r="S525" s="542">
        <f>LN((1+O525)/(1+H525))</f>
        <v>0.00319092877570649</v>
      </c>
    </row>
    <row r="526">
      <c r="A526" s="320" t="n">
        <v>425</v>
      </c>
      <c r="B526" s="174" t="n">
        <v>63</v>
      </c>
      <c r="C526" s="174" t="n">
        <v>35</v>
      </c>
      <c r="D526" s="174" t="n">
        <v>62</v>
      </c>
      <c r="E526" s="174" t="n">
        <v>74</v>
      </c>
      <c r="F526" s="174" t="n">
        <v>27</v>
      </c>
      <c r="G526" s="68">
        <f>(1+INDEX($Z$21:$Z$97,B526))*(1+INDEX($Z$21:$Z$97,C526))*(1+INDEX($Z$21:$Z$97,D526))*(1+INDEX($Z$21:$Z$97,E526))*(1+INDEX($Z$21:$Z$97,F526))-1</f>
        <v>0.254851745495252</v>
      </c>
      <c r="H526" s="68">
        <f>(1+INDEX($AA$21:$AA$97,B526))*(1+INDEX($AA$21:$AA$97,C526))*(1+INDEX($AA$21:$AA$97,D526))*(1+INDEX($AA$21:$AA$97,E526))*(1+INDEX($AA$21:$AA$97,F526))-1</f>
        <v>0.260143707634678</v>
      </c>
      <c r="I526" s="68">
        <f>(1+INDEX($AB$21:$AB$97,B526))*(1+INDEX($AB$21:$AB$97,C526))*(1+INDEX($AB$21:$AB$97,D526))*(1+INDEX($AB$21:$AB$97,E526))*(1+INDEX($AB$21:$AB$97,F526))-1</f>
        <v>0.302070553670691</v>
      </c>
      <c r="J526" s="489">
        <f>LN((1+G526)/(1+H526))</f>
        <v>-0.00420833361183546</v>
      </c>
      <c r="K526" s="489">
        <f>LN((1+I526)/(1+H526))</f>
        <v>0.0327299628673136</v>
      </c>
      <c r="L526" s="489">
        <f>(1+INDEX($AC$21:$AC$97,B526))*(1+INDEX($AC$21:$AC$97,C526))*(1+INDEX($AC$21:$AC$97,D526))*(1+INDEX($AC$21:$AC$97,E526))*(1+INDEX($AC$21:$AC$97,F526))-1</f>
        <v>0.320826369764018</v>
      </c>
      <c r="M526" s="489">
        <f>(1+INDEX($AD$21:$AD$97,B526))*(1+INDEX($AD$21:$AD$97,C526))*(1+INDEX($AD$21:$AD$97,D526))*(1+INDEX($AD$21:$AD$97,E526))*(1+INDEX($AD$21:$AD$97,F526))-1</f>
        <v>0.258588291562651</v>
      </c>
      <c r="N526" s="489">
        <f>(1+INDEX($AE$21:$AE$97,B526))*(1+INDEX($AE$21:$AE$97,C526))*(1+INDEX($AE$21:$AE$97,D526))*(1+INDEX($AE$21:$AE$97,E526))*(1+INDEX($AE$21:$AE$97,F526))-1</f>
        <v>0.316837969587085</v>
      </c>
      <c r="O526" s="489">
        <f>(1+INDEX($AF$21:$AF$97,B526))*(1+INDEX($AF$21:$AF$97,C526))*(1+INDEX($AF$21:$AF$97,D526))*(1+INDEX($AF$21:$AF$97,E526))*(1+INDEX($AF$21:$AF$97,F526))-1</f>
        <v>0.200853160914246</v>
      </c>
      <c r="P526" s="489">
        <f>LN((1+L526)/(1+H526))</f>
        <v>0.0470318102803632</v>
      </c>
      <c r="Q526" s="489">
        <f>LN((1+M526)/(1+H526))</f>
        <v>-0.00123507881763102</v>
      </c>
      <c r="R526" s="489">
        <f>LN((1+N526)/(1+H526))</f>
        <v>0.044007617127982</v>
      </c>
      <c r="S526" s="542">
        <f>LN((1+O526)/(1+H526))</f>
        <v>-0.0481934965331976</v>
      </c>
    </row>
    <row r="527">
      <c r="A527" s="320" t="n">
        <v>426</v>
      </c>
      <c r="B527" s="174" t="n">
        <v>49</v>
      </c>
      <c r="C527" s="174" t="n">
        <v>45</v>
      </c>
      <c r="D527" s="174" t="n">
        <v>13</v>
      </c>
      <c r="E527" s="174" t="n">
        <v>37</v>
      </c>
      <c r="F527" s="174" t="n">
        <v>39</v>
      </c>
      <c r="G527" s="68">
        <f>(1+INDEX($Z$21:$Z$97,B527))*(1+INDEX($Z$21:$Z$97,C527))*(1+INDEX($Z$21:$Z$97,D527))*(1+INDEX($Z$21:$Z$97,E527))*(1+INDEX($Z$21:$Z$97,F527))-1</f>
        <v>0.499959375350993</v>
      </c>
      <c r="H527" s="68">
        <f>(1+INDEX($AA$21:$AA$97,B527))*(1+INDEX($AA$21:$AA$97,C527))*(1+INDEX($AA$21:$AA$97,D527))*(1+INDEX($AA$21:$AA$97,E527))*(1+INDEX($AA$21:$AA$97,F527))-1</f>
        <v>0.389413115542839</v>
      </c>
      <c r="I527" s="68">
        <f>(1+INDEX($AB$21:$AB$97,B527))*(1+INDEX($AB$21:$AB$97,C527))*(1+INDEX($AB$21:$AB$97,D527))*(1+INDEX($AB$21:$AB$97,E527))*(1+INDEX($AB$21:$AB$97,F527))-1</f>
        <v>0.435439763432571</v>
      </c>
      <c r="J527" s="489">
        <f>LN((1+G527)/(1+H527))</f>
        <v>0.0765565856929549</v>
      </c>
      <c r="K527" s="489">
        <f>LN((1+I527)/(1+H527))</f>
        <v>0.0325898186683246</v>
      </c>
      <c r="L527" s="489">
        <f>(1+INDEX($AC$21:$AC$97,B527))*(1+INDEX($AC$21:$AC$97,C527))*(1+INDEX($AC$21:$AC$97,D527))*(1+INDEX($AC$21:$AC$97,E527))*(1+INDEX($AC$21:$AC$97,F527))-1</f>
        <v>0.416766879543055</v>
      </c>
      <c r="M527" s="489">
        <f>(1+INDEX($AD$21:$AD$97,B527))*(1+INDEX($AD$21:$AD$97,C527))*(1+INDEX($AD$21:$AD$97,D527))*(1+INDEX($AD$21:$AD$97,E527))*(1+INDEX($AD$21:$AD$97,F527))-1</f>
        <v>0.448792596655373</v>
      </c>
      <c r="N527" s="489">
        <f>(1+INDEX($AE$21:$AE$97,B527))*(1+INDEX($AE$21:$AE$97,C527))*(1+INDEX($AE$21:$AE$97,D527))*(1+INDEX($AE$21:$AE$97,E527))*(1+INDEX($AE$21:$AE$97,F527))-1</f>
        <v>0.406627060720937</v>
      </c>
      <c r="O527" s="489">
        <f>(1+INDEX($AF$21:$AF$97,B527))*(1+INDEX($AF$21:$AF$97,C527))*(1+INDEX($AF$21:$AF$97,D527))*(1+INDEX($AF$21:$AF$97,E527))*(1+INDEX($AF$21:$AF$97,F527))-1</f>
        <v>0.413668722835611</v>
      </c>
      <c r="P527" s="489">
        <f>LN((1+L527)/(1+H527))</f>
        <v>0.0194959913182284</v>
      </c>
      <c r="Q527" s="489">
        <f>LN((1+M527)/(1+H527))</f>
        <v>0.0418490786410259</v>
      </c>
      <c r="R527" s="489">
        <f>LN((1+N527)/(1+H527))</f>
        <v>0.0123132441487192</v>
      </c>
      <c r="S527" s="542">
        <f>LN((1+O527)/(1+H527))</f>
        <v>0.0173068173676446</v>
      </c>
    </row>
    <row r="528">
      <c r="A528" s="320" t="n">
        <v>427</v>
      </c>
      <c r="B528" s="174" t="n">
        <v>54</v>
      </c>
      <c r="C528" s="174" t="n">
        <v>76</v>
      </c>
      <c r="D528" s="174" t="n">
        <v>49</v>
      </c>
      <c r="E528" s="174" t="n">
        <v>4</v>
      </c>
      <c r="F528" s="174" t="n">
        <v>16</v>
      </c>
      <c r="G528" s="68">
        <f>(1+INDEX($Z$21:$Z$97,B528))*(1+INDEX($Z$21:$Z$97,C528))*(1+INDEX($Z$21:$Z$97,D528))*(1+INDEX($Z$21:$Z$97,E528))*(1+INDEX($Z$21:$Z$97,F528))-1</f>
        <v>0.259084664132951</v>
      </c>
      <c r="H528" s="68">
        <f>(1+INDEX($AA$21:$AA$97,B528))*(1+INDEX($AA$21:$AA$97,C528))*(1+INDEX($AA$21:$AA$97,D528))*(1+INDEX($AA$21:$AA$97,E528))*(1+INDEX($AA$21:$AA$97,F528))-1</f>
        <v>0.23133422163482</v>
      </c>
      <c r="I528" s="68">
        <f>(1+INDEX($AB$21:$AB$97,B528))*(1+INDEX($AB$21:$AB$97,C528))*(1+INDEX($AB$21:$AB$97,D528))*(1+INDEX($AB$21:$AB$97,E528))*(1+INDEX($AB$21:$AB$97,F528))-1</f>
        <v>0.250327442148006</v>
      </c>
      <c r="J528" s="489">
        <f>LN((1+G528)/(1+H528))</f>
        <v>0.0222866854052811</v>
      </c>
      <c r="K528" s="489">
        <f>LN((1+I528)/(1+H528))</f>
        <v>0.0153071562057419</v>
      </c>
      <c r="L528" s="489">
        <f>(1+INDEX($AC$21:$AC$97,B528))*(1+INDEX($AC$21:$AC$97,C528))*(1+INDEX($AC$21:$AC$97,D528))*(1+INDEX($AC$21:$AC$97,E528))*(1+INDEX($AC$21:$AC$97,F528))-1</f>
        <v>0.229206739290644</v>
      </c>
      <c r="M528" s="489">
        <f>(1+INDEX($AD$21:$AD$97,B528))*(1+INDEX($AD$21:$AD$97,C528))*(1+INDEX($AD$21:$AD$97,D528))*(1+INDEX($AD$21:$AD$97,E528))*(1+INDEX($AD$21:$AD$97,F528))-1</f>
        <v>0.259898960818922</v>
      </c>
      <c r="N528" s="489">
        <f>(1+INDEX($AE$21:$AE$97,B528))*(1+INDEX($AE$21:$AE$97,C528))*(1+INDEX($AE$21:$AE$97,D528))*(1+INDEX($AE$21:$AE$97,E528))*(1+INDEX($AE$21:$AE$97,F528))-1</f>
        <v>0.209279488871672</v>
      </c>
      <c r="O528" s="489">
        <f>(1+INDEX($AF$21:$AF$97,B528))*(1+INDEX($AF$21:$AF$97,C528))*(1+INDEX($AF$21:$AF$97,D528))*(1+INDEX($AF$21:$AF$97,E528))*(1+INDEX($AF$21:$AF$97,F528))-1</f>
        <v>0.273974218984</v>
      </c>
      <c r="P528" s="489">
        <f>LN((1+L528)/(1+H528))</f>
        <v>-0.00172928059978058</v>
      </c>
      <c r="Q528" s="489">
        <f>LN((1+M528)/(1+H528))</f>
        <v>0.0229332133987697</v>
      </c>
      <c r="R528" s="489">
        <f>LN((1+N528)/(1+H528))</f>
        <v>-0.0180735960157034</v>
      </c>
      <c r="S528" s="542">
        <f>LN((1+O528)/(1+H528))</f>
        <v>0.0340430061459319</v>
      </c>
    </row>
    <row r="529">
      <c r="A529" s="320" t="n">
        <v>428</v>
      </c>
      <c r="B529" s="174" t="n">
        <v>58</v>
      </c>
      <c r="C529" s="174" t="n">
        <v>21</v>
      </c>
      <c r="D529" s="174" t="n">
        <v>36</v>
      </c>
      <c r="E529" s="174" t="n">
        <v>53</v>
      </c>
      <c r="F529" s="174" t="n">
        <v>30</v>
      </c>
      <c r="G529" s="68">
        <f>(1+INDEX($Z$21:$Z$97,B529))*(1+INDEX($Z$21:$Z$97,C529))*(1+INDEX($Z$21:$Z$97,D529))*(1+INDEX($Z$21:$Z$97,E529))*(1+INDEX($Z$21:$Z$97,F529))-1</f>
        <v>0.386988565612484</v>
      </c>
      <c r="H529" s="68">
        <f>(1+INDEX($AA$21:$AA$97,B529))*(1+INDEX($AA$21:$AA$97,C529))*(1+INDEX($AA$21:$AA$97,D529))*(1+INDEX($AA$21:$AA$97,E529))*(1+INDEX($AA$21:$AA$97,F529))-1</f>
        <v>0.432106145555607</v>
      </c>
      <c r="I529" s="68">
        <f>(1+INDEX($AB$21:$AB$97,B529))*(1+INDEX($AB$21:$AB$97,C529))*(1+INDEX($AB$21:$AB$97,D529))*(1+INDEX($AB$21:$AB$97,E529))*(1+INDEX($AB$21:$AB$97,F529))-1</f>
        <v>0.4179469018198</v>
      </c>
      <c r="J529" s="489">
        <f>LN((1+G529)/(1+H529))</f>
        <v>-0.0320112924548512</v>
      </c>
      <c r="K529" s="489">
        <f>LN((1+I529)/(1+H529))</f>
        <v>-0.00993620819917577</v>
      </c>
      <c r="L529" s="489">
        <f>(1+INDEX($AC$21:$AC$97,B529))*(1+INDEX($AC$21:$AC$97,C529))*(1+INDEX($AC$21:$AC$97,D529))*(1+INDEX($AC$21:$AC$97,E529))*(1+INDEX($AC$21:$AC$97,F529))-1</f>
        <v>0.433872372627976</v>
      </c>
      <c r="M529" s="489">
        <f>(1+INDEX($AD$21:$AD$97,B529))*(1+INDEX($AD$21:$AD$97,C529))*(1+INDEX($AD$21:$AD$97,D529))*(1+INDEX($AD$21:$AD$97,E529))*(1+INDEX($AD$21:$AD$97,F529))-1</f>
        <v>0.424684474709294</v>
      </c>
      <c r="N529" s="489">
        <f>(1+INDEX($AE$21:$AE$97,B529))*(1+INDEX($AE$21:$AE$97,C529))*(1+INDEX($AE$21:$AE$97,D529))*(1+INDEX($AE$21:$AE$97,E529))*(1+INDEX($AE$21:$AE$97,F529))-1</f>
        <v>0.445984148093828</v>
      </c>
      <c r="O529" s="489">
        <f>(1+INDEX($AF$21:$AF$97,B529))*(1+INDEX($AF$21:$AF$97,C529))*(1+INDEX($AF$21:$AF$97,D529))*(1+INDEX($AF$21:$AF$97,E529))*(1+INDEX($AF$21:$AF$97,F529))-1</f>
        <v>0.411668675249107</v>
      </c>
      <c r="P529" s="489">
        <f>LN((1+L529)/(1+H529))</f>
        <v>0.00123254747707544</v>
      </c>
      <c r="Q529" s="489">
        <f>LN((1+M529)/(1+H529))</f>
        <v>-0.0051958218360799</v>
      </c>
      <c r="R529" s="489">
        <f>LN((1+N529)/(1+H529))</f>
        <v>0.00964397130301774</v>
      </c>
      <c r="S529" s="542">
        <f>LN((1+O529)/(1+H529))</f>
        <v>-0.0143737275031521</v>
      </c>
    </row>
    <row r="530">
      <c r="A530" s="320" t="n">
        <v>429</v>
      </c>
      <c r="B530" s="174" t="n">
        <v>35</v>
      </c>
      <c r="C530" s="174" t="n">
        <v>74</v>
      </c>
      <c r="D530" s="174" t="n">
        <v>30</v>
      </c>
      <c r="E530" s="174" t="n">
        <v>44</v>
      </c>
      <c r="F530" s="174" t="n">
        <v>6</v>
      </c>
      <c r="G530" s="68">
        <f>(1+INDEX($Z$21:$Z$97,B530))*(1+INDEX($Z$21:$Z$97,C530))*(1+INDEX($Z$21:$Z$97,D530))*(1+INDEX($Z$21:$Z$97,E530))*(1+INDEX($Z$21:$Z$97,F530))-1</f>
        <v>0.309573569636357</v>
      </c>
      <c r="H530" s="68">
        <f>(1+INDEX($AA$21:$AA$97,B530))*(1+INDEX($AA$21:$AA$97,C530))*(1+INDEX($AA$21:$AA$97,D530))*(1+INDEX($AA$21:$AA$97,E530))*(1+INDEX($AA$21:$AA$97,F530))-1</f>
        <v>0.3241755624241</v>
      </c>
      <c r="I530" s="68">
        <f>(1+INDEX($AB$21:$AB$97,B530))*(1+INDEX($AB$21:$AB$97,C530))*(1+INDEX($AB$21:$AB$97,D530))*(1+INDEX($AB$21:$AB$97,E530))*(1+INDEX($AB$21:$AB$97,F530))-1</f>
        <v>0.33778569124028</v>
      </c>
      <c r="J530" s="489">
        <f>LN((1+G530)/(1+H530))</f>
        <v>-0.0110884838838409</v>
      </c>
      <c r="K530" s="489">
        <f>LN((1+I530)/(1+H530))</f>
        <v>0.0102257291634932</v>
      </c>
      <c r="L530" s="489">
        <f>(1+INDEX($AC$21:$AC$97,B530))*(1+INDEX($AC$21:$AC$97,C530))*(1+INDEX($AC$21:$AC$97,D530))*(1+INDEX($AC$21:$AC$97,E530))*(1+INDEX($AC$21:$AC$97,F530))-1</f>
        <v>0.325604437880568</v>
      </c>
      <c r="M530" s="489">
        <f>(1+INDEX($AD$21:$AD$97,B530))*(1+INDEX($AD$21:$AD$97,C530))*(1+INDEX($AD$21:$AD$97,D530))*(1+INDEX($AD$21:$AD$97,E530))*(1+INDEX($AD$21:$AD$97,F530))-1</f>
        <v>0.326785026868879</v>
      </c>
      <c r="N530" s="489">
        <f>(1+INDEX($AE$21:$AE$97,B530))*(1+INDEX($AE$21:$AE$97,C530))*(1+INDEX($AE$21:$AE$97,D530))*(1+INDEX($AE$21:$AE$97,E530))*(1+INDEX($AE$21:$AE$97,F530))-1</f>
        <v>0.311066871913574</v>
      </c>
      <c r="O530" s="489">
        <f>(1+INDEX($AF$21:$AF$97,B530))*(1+INDEX($AF$21:$AF$97,C530))*(1+INDEX($AF$21:$AF$97,D530))*(1+INDEX($AF$21:$AF$97,E530))*(1+INDEX($AF$21:$AF$97,F530))-1</f>
        <v>0.32524585274158</v>
      </c>
      <c r="P530" s="489">
        <f>LN((1+L530)/(1+H530))</f>
        <v>0.00107848621002597</v>
      </c>
      <c r="Q530" s="489">
        <f>LN((1+M530)/(1+H530))</f>
        <v>0.00196869413911484</v>
      </c>
      <c r="R530" s="489">
        <f>LN((1+N530)/(1+H530))</f>
        <v>-0.00994883693711379</v>
      </c>
      <c r="S530" s="542">
        <f>LN((1+O530)/(1+H530))</f>
        <v>0.000807942722569243</v>
      </c>
    </row>
    <row r="531">
      <c r="A531" s="320" t="n">
        <v>430</v>
      </c>
      <c r="B531" s="174" t="n">
        <v>40</v>
      </c>
      <c r="C531" s="174" t="n">
        <v>36</v>
      </c>
      <c r="D531" s="174" t="n">
        <v>33</v>
      </c>
      <c r="E531" s="174" t="n">
        <v>46</v>
      </c>
      <c r="F531" s="174" t="n">
        <v>51</v>
      </c>
      <c r="G531" s="68">
        <f>(1+INDEX($Z$21:$Z$97,B531))*(1+INDEX($Z$21:$Z$97,C531))*(1+INDEX($Z$21:$Z$97,D531))*(1+INDEX($Z$21:$Z$97,E531))*(1+INDEX($Z$21:$Z$97,F531))-1</f>
        <v>0.710921776252788</v>
      </c>
      <c r="H531" s="68">
        <f>(1+INDEX($AA$21:$AA$97,B531))*(1+INDEX($AA$21:$AA$97,C531))*(1+INDEX($AA$21:$AA$97,D531))*(1+INDEX($AA$21:$AA$97,E531))*(1+INDEX($AA$21:$AA$97,F531))-1</f>
        <v>0.657233026711303</v>
      </c>
      <c r="I531" s="68">
        <f>(1+INDEX($AB$21:$AB$97,B531))*(1+INDEX($AB$21:$AB$97,C531))*(1+INDEX($AB$21:$AB$97,D531))*(1+INDEX($AB$21:$AB$97,E531))*(1+INDEX($AB$21:$AB$97,F531))-1</f>
        <v>0.745180308116842</v>
      </c>
      <c r="J531" s="489">
        <f>LN((1+G531)/(1+H531))</f>
        <v>0.0318829154719929</v>
      </c>
      <c r="K531" s="489">
        <f>LN((1+I531)/(1+H531))</f>
        <v>0.0517085185027918</v>
      </c>
      <c r="L531" s="489">
        <f>(1+INDEX($AC$21:$AC$97,B531))*(1+INDEX($AC$21:$AC$97,C531))*(1+INDEX($AC$21:$AC$97,D531))*(1+INDEX($AC$21:$AC$97,E531))*(1+INDEX($AC$21:$AC$97,F531))-1</f>
        <v>0.730013939944063</v>
      </c>
      <c r="M531" s="489">
        <f>(1+INDEX($AD$21:$AD$97,B531))*(1+INDEX($AD$21:$AD$97,C531))*(1+INDEX($AD$21:$AD$97,D531))*(1+INDEX($AD$21:$AD$97,E531))*(1+INDEX($AD$21:$AD$97,F531))-1</f>
        <v>0.74665755353147</v>
      </c>
      <c r="N531" s="489">
        <f>(1+INDEX($AE$21:$AE$97,B531))*(1+INDEX($AE$21:$AE$97,C531))*(1+INDEX($AE$21:$AE$97,D531))*(1+INDEX($AE$21:$AE$97,E531))*(1+INDEX($AE$21:$AE$97,F531))-1</f>
        <v>0.721959490900547</v>
      </c>
      <c r="O531" s="489">
        <f>(1+INDEX($AF$21:$AF$97,B531))*(1+INDEX($AF$21:$AF$97,C531))*(1+INDEX($AF$21:$AF$97,D531))*(1+INDEX($AF$21:$AF$97,E531))*(1+INDEX($AF$21:$AF$97,F531))-1</f>
        <v>0.645916233011584</v>
      </c>
      <c r="P531" s="489">
        <f>LN((1+L531)/(1+H531))</f>
        <v>0.0429801060010544</v>
      </c>
      <c r="Q531" s="489">
        <f>LN((1+M531)/(1+H531))</f>
        <v>0.0525546319601113</v>
      </c>
      <c r="R531" s="489">
        <f>LN((1+N531)/(1+H531))</f>
        <v>0.0383135210335322</v>
      </c>
      <c r="S531" s="542">
        <f>LN((1+O531)/(1+H531))</f>
        <v>-0.0068521505319103</v>
      </c>
    </row>
    <row r="532">
      <c r="A532" s="320" t="n">
        <v>431</v>
      </c>
      <c r="B532" s="174" t="n">
        <v>41</v>
      </c>
      <c r="C532" s="174" t="n">
        <v>59</v>
      </c>
      <c r="D532" s="174" t="n">
        <v>73</v>
      </c>
      <c r="E532" s="174" t="n">
        <v>24</v>
      </c>
      <c r="F532" s="174" t="n">
        <v>63</v>
      </c>
      <c r="G532" s="68">
        <f>(1+INDEX($Z$21:$Z$97,B532))*(1+INDEX($Z$21:$Z$97,C532))*(1+INDEX($Z$21:$Z$97,D532))*(1+INDEX($Z$21:$Z$97,E532))*(1+INDEX($Z$21:$Z$97,F532))-1</f>
        <v>0.496769840039924</v>
      </c>
      <c r="H532" s="68">
        <f>(1+INDEX($AA$21:$AA$97,B532))*(1+INDEX($AA$21:$AA$97,C532))*(1+INDEX($AA$21:$AA$97,D532))*(1+INDEX($AA$21:$AA$97,E532))*(1+INDEX($AA$21:$AA$97,F532))-1</f>
        <v>0.457306506408127</v>
      </c>
      <c r="I532" s="68">
        <f>(1+INDEX($AB$21:$AB$97,B532))*(1+INDEX($AB$21:$AB$97,C532))*(1+INDEX($AB$21:$AB$97,D532))*(1+INDEX($AB$21:$AB$97,E532))*(1+INDEX($AB$21:$AB$97,F532))-1</f>
        <v>0.518673906238958</v>
      </c>
      <c r="J532" s="489">
        <f>LN((1+G532)/(1+H532))</f>
        <v>0.0267194729007091</v>
      </c>
      <c r="K532" s="489">
        <f>LN((1+I532)/(1+H532))</f>
        <v>0.0412476507154931</v>
      </c>
      <c r="L532" s="489">
        <f>(1+INDEX($AC$21:$AC$97,B532))*(1+INDEX($AC$21:$AC$97,C532))*(1+INDEX($AC$21:$AC$97,D532))*(1+INDEX($AC$21:$AC$97,E532))*(1+INDEX($AC$21:$AC$97,F532))-1</f>
        <v>0.545841964515986</v>
      </c>
      <c r="M532" s="489">
        <f>(1+INDEX($AD$21:$AD$97,B532))*(1+INDEX($AD$21:$AD$97,C532))*(1+INDEX($AD$21:$AD$97,D532))*(1+INDEX($AD$21:$AD$97,E532))*(1+INDEX($AD$21:$AD$97,F532))-1</f>
        <v>0.467066101078383</v>
      </c>
      <c r="N532" s="489">
        <f>(1+INDEX($AE$21:$AE$97,B532))*(1+INDEX($AE$21:$AE$97,C532))*(1+INDEX($AE$21:$AE$97,D532))*(1+INDEX($AE$21:$AE$97,E532))*(1+INDEX($AE$21:$AE$97,F532))-1</f>
        <v>0.524326788204274</v>
      </c>
      <c r="O532" s="489">
        <f>(1+INDEX($AF$21:$AF$97,B532))*(1+INDEX($AF$21:$AF$97,C532))*(1+INDEX($AF$21:$AF$97,D532))*(1+INDEX($AF$21:$AF$97,E532))*(1+INDEX($AF$21:$AF$97,F532))-1</f>
        <v>0.411336303546757</v>
      </c>
      <c r="P532" s="489">
        <f>LN((1+L532)/(1+H532))</f>
        <v>0.0589788495161326</v>
      </c>
      <c r="Q532" s="489">
        <f>LN((1+M532)/(1+H532))</f>
        <v>0.00667468357409618</v>
      </c>
      <c r="R532" s="489">
        <f>LN((1+N532)/(1+H532))</f>
        <v>0.0449629889855189</v>
      </c>
      <c r="S532" s="542">
        <f>LN((1+O532)/(1+H532))</f>
        <v>-0.0320528846615284</v>
      </c>
    </row>
    <row r="533">
      <c r="A533" s="320" t="n">
        <v>432</v>
      </c>
      <c r="B533" s="174" t="n">
        <v>5</v>
      </c>
      <c r="C533" s="174" t="n">
        <v>49</v>
      </c>
      <c r="D533" s="174" t="n">
        <v>24</v>
      </c>
      <c r="E533" s="174" t="n">
        <v>37</v>
      </c>
      <c r="F533" s="174" t="n">
        <v>34</v>
      </c>
      <c r="G533" s="68">
        <f>(1+INDEX($Z$21:$Z$97,B533))*(1+INDEX($Z$21:$Z$97,C533))*(1+INDEX($Z$21:$Z$97,D533))*(1+INDEX($Z$21:$Z$97,E533))*(1+INDEX($Z$21:$Z$97,F533))-1</f>
        <v>0.286010393065365</v>
      </c>
      <c r="H533" s="68">
        <f>(1+INDEX($AA$21:$AA$97,B533))*(1+INDEX($AA$21:$AA$97,C533))*(1+INDEX($AA$21:$AA$97,D533))*(1+INDEX($AA$21:$AA$97,E533))*(1+INDEX($AA$21:$AA$97,F533))-1</f>
        <v>0.282451614443197</v>
      </c>
      <c r="I533" s="68">
        <f>(1+INDEX($AB$21:$AB$97,B533))*(1+INDEX($AB$21:$AB$97,C533))*(1+INDEX($AB$21:$AB$97,D533))*(1+INDEX($AB$21:$AB$97,E533))*(1+INDEX($AB$21:$AB$97,F533))-1</f>
        <v>0.296774638130484</v>
      </c>
      <c r="J533" s="489">
        <f>LN((1+G533)/(1+H533))</f>
        <v>0.00277113766070642</v>
      </c>
      <c r="K533" s="489">
        <f>LN((1+I533)/(1+H533))</f>
        <v>0.0111065641552951</v>
      </c>
      <c r="L533" s="489">
        <f>(1+INDEX($AC$21:$AC$97,B533))*(1+INDEX($AC$21:$AC$97,C533))*(1+INDEX($AC$21:$AC$97,D533))*(1+INDEX($AC$21:$AC$97,E533))*(1+INDEX($AC$21:$AC$97,F533))-1</f>
        <v>0.28583919782042</v>
      </c>
      <c r="M533" s="489">
        <f>(1+INDEX($AD$21:$AD$97,B533))*(1+INDEX($AD$21:$AD$97,C533))*(1+INDEX($AD$21:$AD$97,D533))*(1+INDEX($AD$21:$AD$97,E533))*(1+INDEX($AD$21:$AD$97,F533))-1</f>
        <v>0.306570806146741</v>
      </c>
      <c r="N533" s="489">
        <f>(1+INDEX($AE$21:$AE$97,B533))*(1+INDEX($AE$21:$AE$97,C533))*(1+INDEX($AE$21:$AE$97,D533))*(1+INDEX($AE$21:$AE$97,E533))*(1+INDEX($AE$21:$AE$97,F533))-1</f>
        <v>0.271970694279004</v>
      </c>
      <c r="O533" s="489">
        <f>(1+INDEX($AF$21:$AF$97,B533))*(1+INDEX($AF$21:$AF$97,C533))*(1+INDEX($AF$21:$AF$97,D533))*(1+INDEX($AF$21:$AF$97,E533))*(1+INDEX($AF$21:$AF$97,F533))-1</f>
        <v>0.277410927495274</v>
      </c>
      <c r="P533" s="489">
        <f>LN((1+L533)/(1+H533))</f>
        <v>0.00263800760068679</v>
      </c>
      <c r="Q533" s="489">
        <f>LN((1+M533)/(1+H533))</f>
        <v>0.0186324299788752</v>
      </c>
      <c r="R533" s="489">
        <f>LN((1+N533)/(1+H533))</f>
        <v>-0.00820614425772201</v>
      </c>
      <c r="S533" s="542">
        <f>LN((1+O533)/(1+H533))</f>
        <v>-0.0039382532306783</v>
      </c>
    </row>
    <row r="534">
      <c r="A534" s="320" t="n">
        <v>433</v>
      </c>
      <c r="B534" s="174" t="n">
        <v>12</v>
      </c>
      <c r="C534" s="174" t="n">
        <v>76</v>
      </c>
      <c r="D534" s="174" t="n">
        <v>66</v>
      </c>
      <c r="E534" s="174" t="n">
        <v>77</v>
      </c>
      <c r="F534" s="174" t="n">
        <v>63</v>
      </c>
      <c r="G534" s="68">
        <f>(1+INDEX($Z$21:$Z$97,B534))*(1+INDEX($Z$21:$Z$97,C534))*(1+INDEX($Z$21:$Z$97,D534))*(1+INDEX($Z$21:$Z$97,E534))*(1+INDEX($Z$21:$Z$97,F534))-1</f>
        <v>0.333447669552897</v>
      </c>
      <c r="H534" s="68">
        <f>(1+INDEX($AA$21:$AA$97,B534))*(1+INDEX($AA$21:$AA$97,C534))*(1+INDEX($AA$21:$AA$97,D534))*(1+INDEX($AA$21:$AA$97,E534))*(1+INDEX($AA$21:$AA$97,F534))-1</f>
        <v>0.271878931246846</v>
      </c>
      <c r="I534" s="68">
        <f>(1+INDEX($AB$21:$AB$97,B534))*(1+INDEX($AB$21:$AB$97,C534))*(1+INDEX($AB$21:$AB$97,D534))*(1+INDEX($AB$21:$AB$97,E534))*(1+INDEX($AB$21:$AB$97,F534))-1</f>
        <v>0.311128853429752</v>
      </c>
      <c r="J534" s="489">
        <f>LN((1+G534)/(1+H534))</f>
        <v>0.0472725403892894</v>
      </c>
      <c r="K534" s="489">
        <f>LN((1+I534)/(1+H534))</f>
        <v>0.0303932057701111</v>
      </c>
      <c r="L534" s="489">
        <f>(1+INDEX($AC$21:$AC$97,B534))*(1+INDEX($AC$21:$AC$97,C534))*(1+INDEX($AC$21:$AC$97,D534))*(1+INDEX($AC$21:$AC$97,E534))*(1+INDEX($AC$21:$AC$97,F534))-1</f>
        <v>0.322656310233212</v>
      </c>
      <c r="M534" s="489">
        <f>(1+INDEX($AD$21:$AD$97,B534))*(1+INDEX($AD$21:$AD$97,C534))*(1+INDEX($AD$21:$AD$97,D534))*(1+INDEX($AD$21:$AD$97,E534))*(1+INDEX($AD$21:$AD$97,F534))-1</f>
        <v>0.288591827052077</v>
      </c>
      <c r="N534" s="489">
        <f>(1+INDEX($AE$21:$AE$97,B534))*(1+INDEX($AE$21:$AE$97,C534))*(1+INDEX($AE$21:$AE$97,D534))*(1+INDEX($AE$21:$AE$97,E534))*(1+INDEX($AE$21:$AE$97,F534))-1</f>
        <v>0.295188851854296</v>
      </c>
      <c r="O534" s="489">
        <f>(1+INDEX($AF$21:$AF$97,B534))*(1+INDEX($AF$21:$AF$97,C534))*(1+INDEX($AF$21:$AF$97,D534))*(1+INDEX($AF$21:$AF$97,E534))*(1+INDEX($AF$21:$AF$97,F534))-1</f>
        <v>0.285255688454382</v>
      </c>
      <c r="P534" s="489">
        <f>LN((1+L534)/(1+H534))</f>
        <v>0.0391467902083955</v>
      </c>
      <c r="Q534" s="489">
        <f>LN((1+M534)/(1+H534))</f>
        <v>0.0130547346497538</v>
      </c>
      <c r="R534" s="489">
        <f>LN((1+N534)/(1+H534))</f>
        <v>0.0181612355161762</v>
      </c>
      <c r="S534" s="542">
        <f>LN((1+O534)/(1+H534))</f>
        <v>0.0104623973446938</v>
      </c>
    </row>
    <row r="535">
      <c r="A535" s="320" t="n">
        <v>434</v>
      </c>
      <c r="B535" s="174" t="n">
        <v>60</v>
      </c>
      <c r="C535" s="174" t="n">
        <v>30</v>
      </c>
      <c r="D535" s="174" t="n">
        <v>59</v>
      </c>
      <c r="E535" s="174" t="n">
        <v>23</v>
      </c>
      <c r="F535" s="174" t="n">
        <v>22</v>
      </c>
      <c r="G535" s="68">
        <f>(1+INDEX($Z$21:$Z$97,B535))*(1+INDEX($Z$21:$Z$97,C535))*(1+INDEX($Z$21:$Z$97,D535))*(1+INDEX($Z$21:$Z$97,E535))*(1+INDEX($Z$21:$Z$97,F535))-1</f>
        <v>0.823989948770552</v>
      </c>
      <c r="H535" s="68">
        <f>(1+INDEX($AA$21:$AA$97,B535))*(1+INDEX($AA$21:$AA$97,C535))*(1+INDEX($AA$21:$AA$97,D535))*(1+INDEX($AA$21:$AA$97,E535))*(1+INDEX($AA$21:$AA$97,F535))-1</f>
        <v>0.803682695608173</v>
      </c>
      <c r="I535" s="68">
        <f>(1+INDEX($AB$21:$AB$97,B535))*(1+INDEX($AB$21:$AB$97,C535))*(1+INDEX($AB$21:$AB$97,D535))*(1+INDEX($AB$21:$AB$97,E535))*(1+INDEX($AB$21:$AB$97,F535))-1</f>
        <v>0.84032077631735</v>
      </c>
      <c r="J535" s="489">
        <f>LN((1+G535)/(1+H535))</f>
        <v>0.0111958642768645</v>
      </c>
      <c r="K535" s="489">
        <f>LN((1+I535)/(1+H535))</f>
        <v>0.0201093745637718</v>
      </c>
      <c r="L535" s="489">
        <f>(1+INDEX($AC$21:$AC$97,B535))*(1+INDEX($AC$21:$AC$97,C535))*(1+INDEX($AC$21:$AC$97,D535))*(1+INDEX($AC$21:$AC$97,E535))*(1+INDEX($AC$21:$AC$97,F535))-1</f>
        <v>0.883049724057334</v>
      </c>
      <c r="M535" s="489">
        <f>(1+INDEX($AD$21:$AD$97,B535))*(1+INDEX($AD$21:$AD$97,C535))*(1+INDEX($AD$21:$AD$97,D535))*(1+INDEX($AD$21:$AD$97,E535))*(1+INDEX($AD$21:$AD$97,F535))-1</f>
        <v>0.791341113271918</v>
      </c>
      <c r="N535" s="489">
        <f>(1+INDEX($AE$21:$AE$97,B535))*(1+INDEX($AE$21:$AE$97,C535))*(1+INDEX($AE$21:$AE$97,D535))*(1+INDEX($AE$21:$AE$97,E535))*(1+INDEX($AE$21:$AE$97,F535))-1</f>
        <v>0.896442785532707</v>
      </c>
      <c r="O535" s="489">
        <f>(1+INDEX($AF$21:$AF$97,B535))*(1+INDEX($AF$21:$AF$97,C535))*(1+INDEX($AF$21:$AF$97,D535))*(1+INDEX($AF$21:$AF$97,E535))*(1+INDEX($AF$21:$AF$97,F535))-1</f>
        <v>0.720421374226632</v>
      </c>
      <c r="P535" s="489">
        <f>LN((1+L535)/(1+H535))</f>
        <v>0.0430621393368414</v>
      </c>
      <c r="Q535" s="489">
        <f>LN((1+M535)/(1+H535))</f>
        <v>-0.00686595220255118</v>
      </c>
      <c r="R535" s="489">
        <f>LN((1+N535)/(1+H535))</f>
        <v>0.0501493964231234</v>
      </c>
      <c r="S535" s="542">
        <f>LN((1+O535)/(1+H535))</f>
        <v>-0.047261270980715</v>
      </c>
    </row>
    <row r="536">
      <c r="A536" s="320" t="n">
        <v>435</v>
      </c>
      <c r="B536" s="174" t="n">
        <v>41</v>
      </c>
      <c r="C536" s="174" t="n">
        <v>45</v>
      </c>
      <c r="D536" s="174" t="n">
        <v>19</v>
      </c>
      <c r="E536" s="174" t="n">
        <v>11</v>
      </c>
      <c r="F536" s="174" t="n">
        <v>42</v>
      </c>
      <c r="G536" s="68">
        <f>(1+INDEX($Z$21:$Z$97,B536))*(1+INDEX($Z$21:$Z$97,C536))*(1+INDEX($Z$21:$Z$97,D536))*(1+INDEX($Z$21:$Z$97,E536))*(1+INDEX($Z$21:$Z$97,F536))-1</f>
        <v>0.213345671553315</v>
      </c>
      <c r="H536" s="68">
        <f>(1+INDEX($AA$21:$AA$97,B536))*(1+INDEX($AA$21:$AA$97,C536))*(1+INDEX($AA$21:$AA$97,D536))*(1+INDEX($AA$21:$AA$97,E536))*(1+INDEX($AA$21:$AA$97,F536))-1</f>
        <v>0.207971809449373</v>
      </c>
      <c r="I536" s="68">
        <f>(1+INDEX($AB$21:$AB$97,B536))*(1+INDEX($AB$21:$AB$97,C536))*(1+INDEX($AB$21:$AB$97,D536))*(1+INDEX($AB$21:$AB$97,E536))*(1+INDEX($AB$21:$AB$97,F536))-1</f>
        <v>0.201889930382849</v>
      </c>
      <c r="J536" s="489">
        <f>LN((1+G536)/(1+H536))</f>
        <v>0.00443879909967015</v>
      </c>
      <c r="K536" s="489">
        <f>LN((1+I536)/(1+H536))</f>
        <v>-0.0050475028326083</v>
      </c>
      <c r="L536" s="489">
        <f>(1+INDEX($AC$21:$AC$97,B536))*(1+INDEX($AC$21:$AC$97,C536))*(1+INDEX($AC$21:$AC$97,D536))*(1+INDEX($AC$21:$AC$97,E536))*(1+INDEX($AC$21:$AC$97,F536))-1</f>
        <v>0.195030864595444</v>
      </c>
      <c r="M536" s="489">
        <f>(1+INDEX($AD$21:$AD$97,B536))*(1+INDEX($AD$21:$AD$97,C536))*(1+INDEX($AD$21:$AD$97,D536))*(1+INDEX($AD$21:$AD$97,E536))*(1+INDEX($AD$21:$AD$97,F536))-1</f>
        <v>0.218838835648478</v>
      </c>
      <c r="N536" s="489">
        <f>(1+INDEX($AE$21:$AE$97,B536))*(1+INDEX($AE$21:$AE$97,C536))*(1+INDEX($AE$21:$AE$97,D536))*(1+INDEX($AE$21:$AE$97,E536))*(1+INDEX($AE$21:$AE$97,F536))-1</f>
        <v>0.179734144592455</v>
      </c>
      <c r="O536" s="489">
        <f>(1+INDEX($AF$21:$AF$97,B536))*(1+INDEX($AF$21:$AF$97,C536))*(1+INDEX($AF$21:$AF$97,D536))*(1+INDEX($AF$21:$AF$97,E536))*(1+INDEX($AF$21:$AF$97,F536))-1</f>
        <v>0.260953195045423</v>
      </c>
      <c r="P536" s="489">
        <f>LN((1+L536)/(1+H536))</f>
        <v>-0.0107707495285128</v>
      </c>
      <c r="Q536" s="489">
        <f>LN((1+M536)/(1+H536))</f>
        <v>0.00895586877022096</v>
      </c>
      <c r="R536" s="489">
        <f>LN((1+N536)/(1+H536))</f>
        <v>-0.0236536507911768</v>
      </c>
      <c r="S536" s="542">
        <f>LN((1+O536)/(1+H536))</f>
        <v>0.0429251762709805</v>
      </c>
    </row>
    <row r="537">
      <c r="A537" s="320" t="n">
        <v>436</v>
      </c>
      <c r="B537" s="174" t="n">
        <v>26</v>
      </c>
      <c r="C537" s="174" t="n">
        <v>57</v>
      </c>
      <c r="D537" s="174" t="n">
        <v>29</v>
      </c>
      <c r="E537" s="174" t="n">
        <v>47</v>
      </c>
      <c r="F537" s="174" t="n">
        <v>27</v>
      </c>
      <c r="G537" s="68">
        <f>(1+INDEX($Z$21:$Z$97,B537))*(1+INDEX($Z$21:$Z$97,C537))*(1+INDEX($Z$21:$Z$97,D537))*(1+INDEX($Z$21:$Z$97,E537))*(1+INDEX($Z$21:$Z$97,F537))-1</f>
        <v>1.20244360488945</v>
      </c>
      <c r="H537" s="68">
        <f>(1+INDEX($AA$21:$AA$97,B537))*(1+INDEX($AA$21:$AA$97,C537))*(1+INDEX($AA$21:$AA$97,D537))*(1+INDEX($AA$21:$AA$97,E537))*(1+INDEX($AA$21:$AA$97,F537))-1</f>
        <v>1.09360211991506</v>
      </c>
      <c r="I537" s="68">
        <f>(1+INDEX($AB$21:$AB$97,B537))*(1+INDEX($AB$21:$AB$97,C537))*(1+INDEX($AB$21:$AB$97,D537))*(1+INDEX($AB$21:$AB$97,E537))*(1+INDEX($AB$21:$AB$97,F537))-1</f>
        <v>1.26484827361693</v>
      </c>
      <c r="J537" s="489">
        <f>LN((1+G537)/(1+H537))</f>
        <v>0.05068138865329</v>
      </c>
      <c r="K537" s="489">
        <f>LN((1+I537)/(1+H537))</f>
        <v>0.0786216845230755</v>
      </c>
      <c r="L537" s="489">
        <f>(1+INDEX($AC$21:$AC$97,B537))*(1+INDEX($AC$21:$AC$97,C537))*(1+INDEX($AC$21:$AC$97,D537))*(1+INDEX($AC$21:$AC$97,E537))*(1+INDEX($AC$21:$AC$97,F537))-1</f>
        <v>1.28535665141013</v>
      </c>
      <c r="M537" s="489">
        <f>(1+INDEX($AD$21:$AD$97,B537))*(1+INDEX($AD$21:$AD$97,C537))*(1+INDEX($AD$21:$AD$97,D537))*(1+INDEX($AD$21:$AD$97,E537))*(1+INDEX($AD$21:$AD$97,F537))-1</f>
        <v>1.20801033687255</v>
      </c>
      <c r="N537" s="489">
        <f>(1+INDEX($AE$21:$AE$97,B537))*(1+INDEX($AE$21:$AE$97,C537))*(1+INDEX($AE$21:$AE$97,D537))*(1+INDEX($AE$21:$AE$97,E537))*(1+INDEX($AE$21:$AE$97,F537))-1</f>
        <v>1.27167064245482</v>
      </c>
      <c r="O537" s="489">
        <f>(1+INDEX($AF$21:$AF$97,B537))*(1+INDEX($AF$21:$AF$97,C537))*(1+INDEX($AF$21:$AF$97,D537))*(1+INDEX($AF$21:$AF$97,E537))*(1+INDEX($AF$21:$AF$97,F537))-1</f>
        <v>1.1418683331984</v>
      </c>
      <c r="P537" s="489">
        <f>LN((1+L537)/(1+H537))</f>
        <v>0.0876360111318998</v>
      </c>
      <c r="Q537" s="489">
        <f>LN((1+M537)/(1+H537))</f>
        <v>0.0532057251559156</v>
      </c>
      <c r="R537" s="489">
        <f>LN((1+N537)/(1+H537))</f>
        <v>0.0816294418398121</v>
      </c>
      <c r="S537" s="542">
        <f>LN((1+O537)/(1+H537))</f>
        <v>0.0227924162386292</v>
      </c>
    </row>
    <row r="538">
      <c r="A538" s="320" t="n">
        <v>437</v>
      </c>
      <c r="B538" s="174" t="n">
        <v>31</v>
      </c>
      <c r="C538" s="174" t="n">
        <v>51</v>
      </c>
      <c r="D538" s="174" t="n">
        <v>54</v>
      </c>
      <c r="E538" s="174" t="n">
        <v>7</v>
      </c>
      <c r="F538" s="174" t="n">
        <v>32</v>
      </c>
      <c r="G538" s="68">
        <f>(1+INDEX($Z$21:$Z$97,B538))*(1+INDEX($Z$21:$Z$97,C538))*(1+INDEX($Z$21:$Z$97,D538))*(1+INDEX($Z$21:$Z$97,E538))*(1+INDEX($Z$21:$Z$97,F538))-1</f>
        <v>0.178579788111125</v>
      </c>
      <c r="H538" s="68">
        <f>(1+INDEX($AA$21:$AA$97,B538))*(1+INDEX($AA$21:$AA$97,C538))*(1+INDEX($AA$21:$AA$97,D538))*(1+INDEX($AA$21:$AA$97,E538))*(1+INDEX($AA$21:$AA$97,F538))-1</f>
        <v>0.215748870764304</v>
      </c>
      <c r="I538" s="68">
        <f>(1+INDEX($AB$21:$AB$97,B538))*(1+INDEX($AB$21:$AB$97,C538))*(1+INDEX($AB$21:$AB$97,D538))*(1+INDEX($AB$21:$AB$97,E538))*(1+INDEX($AB$21:$AB$97,F538))-1</f>
        <v>0.221342663444818</v>
      </c>
      <c r="J538" s="489">
        <f>LN((1+G538)/(1+H538))</f>
        <v>-0.0310500972536945</v>
      </c>
      <c r="K538" s="489">
        <f>LN((1+I538)/(1+H538))</f>
        <v>0.00459055593542699</v>
      </c>
      <c r="L538" s="489">
        <f>(1+INDEX($AC$21:$AC$97,B538))*(1+INDEX($AC$21:$AC$97,C538))*(1+INDEX($AC$21:$AC$97,D538))*(1+INDEX($AC$21:$AC$97,E538))*(1+INDEX($AC$21:$AC$97,F538))-1</f>
        <v>0.196128422273377</v>
      </c>
      <c r="M538" s="489">
        <f>(1+INDEX($AD$21:$AD$97,B538))*(1+INDEX($AD$21:$AD$97,C538))*(1+INDEX($AD$21:$AD$97,D538))*(1+INDEX($AD$21:$AD$97,E538))*(1+INDEX($AD$21:$AD$97,F538))-1</f>
        <v>0.236489899184764</v>
      </c>
      <c r="N538" s="489">
        <f>(1+INDEX($AE$21:$AE$97,B538))*(1+INDEX($AE$21:$AE$97,C538))*(1+INDEX($AE$21:$AE$97,D538))*(1+INDEX($AE$21:$AE$97,E538))*(1+INDEX($AE$21:$AE$97,F538))-1</f>
        <v>0.19318664561764</v>
      </c>
      <c r="O538" s="489">
        <f>(1+INDEX($AF$21:$AF$97,B538))*(1+INDEX($AF$21:$AF$97,C538))*(1+INDEX($AF$21:$AF$97,D538))*(1+INDEX($AF$21:$AF$97,E538))*(1+INDEX($AF$21:$AF$97,F538))-1</f>
        <v>0.219423391838567</v>
      </c>
      <c r="P538" s="489">
        <f>LN((1+L538)/(1+H538))</f>
        <v>-0.0162702152158338</v>
      </c>
      <c r="Q538" s="489">
        <f>LN((1+M538)/(1+H538))</f>
        <v>0.0169163976073297</v>
      </c>
      <c r="R538" s="489">
        <f>LN((1+N538)/(1+H538))</f>
        <v>-0.018732659940482</v>
      </c>
      <c r="S538" s="542">
        <f>LN((1+O538)/(1+H538))</f>
        <v>0.0030178759174649</v>
      </c>
    </row>
    <row r="539">
      <c r="A539" s="320" t="n">
        <v>438</v>
      </c>
      <c r="B539" s="174" t="n">
        <v>38</v>
      </c>
      <c r="C539" s="174" t="n">
        <v>69</v>
      </c>
      <c r="D539" s="174" t="n">
        <v>68</v>
      </c>
      <c r="E539" s="174" t="n">
        <v>41</v>
      </c>
      <c r="F539" s="174" t="n">
        <v>40</v>
      </c>
      <c r="G539" s="68">
        <f>(1+INDEX($Z$21:$Z$97,B539))*(1+INDEX($Z$21:$Z$97,C539))*(1+INDEX($Z$21:$Z$97,D539))*(1+INDEX($Z$21:$Z$97,E539))*(1+INDEX($Z$21:$Z$97,F539))-1</f>
        <v>0.61462719128665</v>
      </c>
      <c r="H539" s="68">
        <f>(1+INDEX($AA$21:$AA$97,B539))*(1+INDEX($AA$21:$AA$97,C539))*(1+INDEX($AA$21:$AA$97,D539))*(1+INDEX($AA$21:$AA$97,E539))*(1+INDEX($AA$21:$AA$97,F539))-1</f>
        <v>0.58145541560049</v>
      </c>
      <c r="I539" s="68">
        <f>(1+INDEX($AB$21:$AB$97,B539))*(1+INDEX($AB$21:$AB$97,C539))*(1+INDEX($AB$21:$AB$97,D539))*(1+INDEX($AB$21:$AB$97,E539))*(1+INDEX($AB$21:$AB$97,F539))-1</f>
        <v>0.61393355358141</v>
      </c>
      <c r="J539" s="489">
        <f>LN((1+G539)/(1+H539))</f>
        <v>0.0207585165624671</v>
      </c>
      <c r="K539" s="489">
        <f>LN((1+I539)/(1+H539))</f>
        <v>0.0203288280599264</v>
      </c>
      <c r="L539" s="489">
        <f>(1+INDEX($AC$21:$AC$97,B539))*(1+INDEX($AC$21:$AC$97,C539))*(1+INDEX($AC$21:$AC$97,D539))*(1+INDEX($AC$21:$AC$97,E539))*(1+INDEX($AC$21:$AC$97,F539))-1</f>
        <v>0.6267705057875</v>
      </c>
      <c r="M539" s="489">
        <f>(1+INDEX($AD$21:$AD$97,B539))*(1+INDEX($AD$21:$AD$97,C539))*(1+INDEX($AD$21:$AD$97,D539))*(1+INDEX($AD$21:$AD$97,E539))*(1+INDEX($AD$21:$AD$97,F539))-1</f>
        <v>0.608924247873685</v>
      </c>
      <c r="N539" s="489">
        <f>(1+INDEX($AE$21:$AE$97,B539))*(1+INDEX($AE$21:$AE$97,C539))*(1+INDEX($AE$21:$AE$97,D539))*(1+INDEX($AE$21:$AE$97,E539))*(1+INDEX($AE$21:$AE$97,F539))-1</f>
        <v>0.633791187721194</v>
      </c>
      <c r="O539" s="489">
        <f>(1+INDEX($AF$21:$AF$97,B539))*(1+INDEX($AF$21:$AF$97,C539))*(1+INDEX($AF$21:$AF$97,D539))*(1+INDEX($AF$21:$AF$97,E539))*(1+INDEX($AF$21:$AF$97,F539))-1</f>
        <v>0.592009019946079</v>
      </c>
      <c r="P539" s="489">
        <f>LN((1+L539)/(1+H539))</f>
        <v>0.0282511925290271</v>
      </c>
      <c r="Q539" s="489">
        <f>LN((1+M539)/(1+H539))</f>
        <v>0.0172202144937889</v>
      </c>
      <c r="R539" s="489">
        <f>LN((1+N539)/(1+H539))</f>
        <v>0.0325576240237925</v>
      </c>
      <c r="S539" s="542">
        <f>LN((1+O539)/(1+H539))</f>
        <v>0.00665118104579587</v>
      </c>
    </row>
    <row r="540">
      <c r="A540" s="320" t="n">
        <v>439</v>
      </c>
      <c r="B540" s="174" t="n">
        <v>26</v>
      </c>
      <c r="C540" s="174" t="n">
        <v>50</v>
      </c>
      <c r="D540" s="174" t="n">
        <v>37</v>
      </c>
      <c r="E540" s="174" t="n">
        <v>55</v>
      </c>
      <c r="F540" s="174" t="n">
        <v>2</v>
      </c>
      <c r="G540" s="68">
        <f>(1+INDEX($Z$21:$Z$97,B540))*(1+INDEX($Z$21:$Z$97,C540))*(1+INDEX($Z$21:$Z$97,D540))*(1+INDEX($Z$21:$Z$97,E540))*(1+INDEX($Z$21:$Z$97,F540))-1</f>
        <v>0.389913637371262</v>
      </c>
      <c r="H540" s="68">
        <f>(1+INDEX($AA$21:$AA$97,B540))*(1+INDEX($AA$21:$AA$97,C540))*(1+INDEX($AA$21:$AA$97,D540))*(1+INDEX($AA$21:$AA$97,E540))*(1+INDEX($AA$21:$AA$97,F540))-1</f>
        <v>0.343691667620422</v>
      </c>
      <c r="I540" s="68">
        <f>(1+INDEX($AB$21:$AB$97,B540))*(1+INDEX($AB$21:$AB$97,C540))*(1+INDEX($AB$21:$AB$97,D540))*(1+INDEX($AB$21:$AB$97,E540))*(1+INDEX($AB$21:$AB$97,F540))-1</f>
        <v>0.368417560150156</v>
      </c>
      <c r="J540" s="489">
        <f>LN((1+G540)/(1+H540))</f>
        <v>0.0338208120161381</v>
      </c>
      <c r="K540" s="489">
        <f>LN((1+I540)/(1+H540))</f>
        <v>0.0182342048451749</v>
      </c>
      <c r="L540" s="489">
        <f>(1+INDEX($AC$21:$AC$97,B540))*(1+INDEX($AC$21:$AC$97,C540))*(1+INDEX($AC$21:$AC$97,D540))*(1+INDEX($AC$21:$AC$97,E540))*(1+INDEX($AC$21:$AC$97,F540))-1</f>
        <v>0.348397148315378</v>
      </c>
      <c r="M540" s="489">
        <f>(1+INDEX($AD$21:$AD$97,B540))*(1+INDEX($AD$21:$AD$97,C540))*(1+INDEX($AD$21:$AD$97,D540))*(1+INDEX($AD$21:$AD$97,E540))*(1+INDEX($AD$21:$AD$97,F540))-1</f>
        <v>0.396564765715475</v>
      </c>
      <c r="N540" s="489">
        <f>(1+INDEX($AE$21:$AE$97,B540))*(1+INDEX($AE$21:$AE$97,C540))*(1+INDEX($AE$21:$AE$97,D540))*(1+INDEX($AE$21:$AE$97,E540))*(1+INDEX($AE$21:$AE$97,F540))-1</f>
        <v>0.349959417592449</v>
      </c>
      <c r="O540" s="489">
        <f>(1+INDEX($AF$21:$AF$97,B540))*(1+INDEX($AF$21:$AF$97,C540))*(1+INDEX($AF$21:$AF$97,D540))*(1+INDEX($AF$21:$AF$97,E540))*(1+INDEX($AF$21:$AF$97,F540))-1</f>
        <v>0.399926269735196</v>
      </c>
      <c r="P540" s="489">
        <f>LN((1+L540)/(1+H540))</f>
        <v>0.00349578770139897</v>
      </c>
      <c r="Q540" s="489">
        <f>LN((1+M540)/(1+H540))</f>
        <v>0.0385946806873204</v>
      </c>
      <c r="R540" s="489">
        <f>LN((1+N540)/(1+H540))</f>
        <v>0.00465372914721867</v>
      </c>
      <c r="S540" s="542">
        <f>LN((1+O540)/(1+H540))</f>
        <v>0.0409987689508841</v>
      </c>
    </row>
    <row r="541">
      <c r="A541" s="320" t="n">
        <v>440</v>
      </c>
      <c r="B541" s="174" t="n">
        <v>6</v>
      </c>
      <c r="C541" s="174" t="n">
        <v>41</v>
      </c>
      <c r="D541" s="174" t="n">
        <v>3</v>
      </c>
      <c r="E541" s="174" t="n">
        <v>22</v>
      </c>
      <c r="F541" s="174" t="n">
        <v>18</v>
      </c>
      <c r="G541" s="68">
        <f>(1+INDEX($Z$21:$Z$97,B541))*(1+INDEX($Z$21:$Z$97,C541))*(1+INDEX($Z$21:$Z$97,D541))*(1+INDEX($Z$21:$Z$97,E541))*(1+INDEX($Z$21:$Z$97,F541))-1</f>
        <v>0.206709108956954</v>
      </c>
      <c r="H541" s="68">
        <f>(1+INDEX($AA$21:$AA$97,B541))*(1+INDEX($AA$21:$AA$97,C541))*(1+INDEX($AA$21:$AA$97,D541))*(1+INDEX($AA$21:$AA$97,E541))*(1+INDEX($AA$21:$AA$97,F541))-1</f>
        <v>0.175662447235797</v>
      </c>
      <c r="I541" s="68">
        <f>(1+INDEX($AB$21:$AB$97,B541))*(1+INDEX($AB$21:$AB$97,C541))*(1+INDEX($AB$21:$AB$97,D541))*(1+INDEX($AB$21:$AB$97,E541))*(1+INDEX($AB$21:$AB$97,F541))-1</f>
        <v>0.153484818838628</v>
      </c>
      <c r="J541" s="489">
        <f>LN((1+G541)/(1+H541))</f>
        <v>0.0260651361090913</v>
      </c>
      <c r="K541" s="489">
        <f>LN((1+I541)/(1+H541))</f>
        <v>-0.0190441360204072</v>
      </c>
      <c r="L541" s="489">
        <f>(1+INDEX($AC$21:$AC$97,B541))*(1+INDEX($AC$21:$AC$97,C541))*(1+INDEX($AC$21:$AC$97,D541))*(1+INDEX($AC$21:$AC$97,E541))*(1+INDEX($AC$21:$AC$97,F541))-1</f>
        <v>0.142250482894712</v>
      </c>
      <c r="M541" s="489">
        <f>(1+INDEX($AD$21:$AD$97,B541))*(1+INDEX($AD$21:$AD$97,C541))*(1+INDEX($AD$21:$AD$97,D541))*(1+INDEX($AD$21:$AD$97,E541))*(1+INDEX($AD$21:$AD$97,F541))-1</f>
        <v>0.144576894948574</v>
      </c>
      <c r="N541" s="489">
        <f>(1+INDEX($AE$21:$AE$97,B541))*(1+INDEX($AE$21:$AE$97,C541))*(1+INDEX($AE$21:$AE$97,D541))*(1+INDEX($AE$21:$AE$97,E541))*(1+INDEX($AE$21:$AE$97,F541))-1</f>
        <v>0.130058839521483</v>
      </c>
      <c r="O541" s="489">
        <f>(1+INDEX($AF$21:$AF$97,B541))*(1+INDEX($AF$21:$AF$97,C541))*(1+INDEX($AF$21:$AF$97,D541))*(1+INDEX($AF$21:$AF$97,E541))*(1+INDEX($AF$21:$AF$97,F541))-1</f>
        <v>0.20125271347725</v>
      </c>
      <c r="P541" s="489">
        <f>LN((1+L541)/(1+H541))</f>
        <v>-0.0288313493920456</v>
      </c>
      <c r="Q541" s="489">
        <f>LN((1+M541)/(1+H541))</f>
        <v>-0.0267967289576815</v>
      </c>
      <c r="R541" s="489">
        <f>LN((1+N541)/(1+H541))</f>
        <v>-0.039562071869035</v>
      </c>
      <c r="S541" s="542">
        <f>LN((1+O541)/(1+H541))</f>
        <v>0.0215331665671944</v>
      </c>
    </row>
    <row r="542">
      <c r="A542" s="320" t="n">
        <v>441</v>
      </c>
      <c r="B542" s="174" t="n">
        <v>42</v>
      </c>
      <c r="C542" s="174" t="n">
        <v>77</v>
      </c>
      <c r="D542" s="174" t="n">
        <v>14</v>
      </c>
      <c r="E542" s="174" t="n">
        <v>4</v>
      </c>
      <c r="F542" s="174" t="n">
        <v>67</v>
      </c>
      <c r="G542" s="68">
        <f>(1+INDEX($Z$21:$Z$97,B542))*(1+INDEX($Z$21:$Z$97,C542))*(1+INDEX($Z$21:$Z$97,D542))*(1+INDEX($Z$21:$Z$97,E542))*(1+INDEX($Z$21:$Z$97,F542))-1</f>
        <v>0.472406697890127</v>
      </c>
      <c r="H542" s="68">
        <f>(1+INDEX($AA$21:$AA$97,B542))*(1+INDEX($AA$21:$AA$97,C542))*(1+INDEX($AA$21:$AA$97,D542))*(1+INDEX($AA$21:$AA$97,E542))*(1+INDEX($AA$21:$AA$97,F542))-1</f>
        <v>0.44292851166245</v>
      </c>
      <c r="I542" s="68">
        <f>(1+INDEX($AB$21:$AB$97,B542))*(1+INDEX($AB$21:$AB$97,C542))*(1+INDEX($AB$21:$AB$97,D542))*(1+INDEX($AB$21:$AB$97,E542))*(1+INDEX($AB$21:$AB$97,F542))-1</f>
        <v>0.469197458241328</v>
      </c>
      <c r="J542" s="489">
        <f>LN((1+G542)/(1+H542))</f>
        <v>0.0202235343762984</v>
      </c>
      <c r="K542" s="489">
        <f>LN((1+I542)/(1+H542))</f>
        <v>0.0180415678357836</v>
      </c>
      <c r="L542" s="489">
        <f>(1+INDEX($AC$21:$AC$97,B542))*(1+INDEX($AC$21:$AC$97,C542))*(1+INDEX($AC$21:$AC$97,D542))*(1+INDEX($AC$21:$AC$97,E542))*(1+INDEX($AC$21:$AC$97,F542))-1</f>
        <v>0.486145962565195</v>
      </c>
      <c r="M542" s="489">
        <f>(1+INDEX($AD$21:$AD$97,B542))*(1+INDEX($AD$21:$AD$97,C542))*(1+INDEX($AD$21:$AD$97,D542))*(1+INDEX($AD$21:$AD$97,E542))*(1+INDEX($AD$21:$AD$97,F542))-1</f>
        <v>0.457106662176066</v>
      </c>
      <c r="N542" s="489">
        <f>(1+INDEX($AE$21:$AE$97,B542))*(1+INDEX($AE$21:$AE$97,C542))*(1+INDEX($AE$21:$AE$97,D542))*(1+INDEX($AE$21:$AE$97,E542))*(1+INDEX($AE$21:$AE$97,F542))-1</f>
        <v>0.454643162354525</v>
      </c>
      <c r="O542" s="489">
        <f>(1+INDEX($AF$21:$AF$97,B542))*(1+INDEX($AF$21:$AF$97,C542))*(1+INDEX($AF$21:$AF$97,D542))*(1+INDEX($AF$21:$AF$97,E542))*(1+INDEX($AF$21:$AF$97,F542))-1</f>
        <v>0.450638003699393</v>
      </c>
      <c r="P542" s="489">
        <f>LN((1+L542)/(1+H542))</f>
        <v>0.0295114295195576</v>
      </c>
      <c r="Q542" s="489">
        <f>LN((1+M542)/(1+H542))</f>
        <v>0.0097779941462589</v>
      </c>
      <c r="R542" s="489">
        <f>LN((1+N542)/(1+H542))</f>
        <v>0.00808588420701566</v>
      </c>
      <c r="S542" s="542">
        <f>LN((1+O542)/(1+H542))</f>
        <v>0.00532872511400123</v>
      </c>
    </row>
    <row r="543">
      <c r="A543" s="320" t="n">
        <v>442</v>
      </c>
      <c r="B543" s="174" t="n">
        <v>71</v>
      </c>
      <c r="C543" s="174" t="n">
        <v>10</v>
      </c>
      <c r="D543" s="174" t="n">
        <v>30</v>
      </c>
      <c r="E543" s="174" t="n">
        <v>24</v>
      </c>
      <c r="F543" s="174" t="n">
        <v>5</v>
      </c>
      <c r="G543" s="68">
        <f>(1+INDEX($Z$21:$Z$97,B543))*(1+INDEX($Z$21:$Z$97,C543))*(1+INDEX($Z$21:$Z$97,D543))*(1+INDEX($Z$21:$Z$97,E543))*(1+INDEX($Z$21:$Z$97,F543))-1</f>
        <v>0.235197598362505</v>
      </c>
      <c r="H543" s="68">
        <f>(1+INDEX($AA$21:$AA$97,B543))*(1+INDEX($AA$21:$AA$97,C543))*(1+INDEX($AA$21:$AA$97,D543))*(1+INDEX($AA$21:$AA$97,E543))*(1+INDEX($AA$21:$AA$97,F543))-1</f>
        <v>0.241759497174946</v>
      </c>
      <c r="I543" s="68">
        <f>(1+INDEX($AB$21:$AB$97,B543))*(1+INDEX($AB$21:$AB$97,C543))*(1+INDEX($AB$21:$AB$97,D543))*(1+INDEX($AB$21:$AB$97,E543))*(1+INDEX($AB$21:$AB$97,F543))-1</f>
        <v>0.222594881391487</v>
      </c>
      <c r="J543" s="489">
        <f>LN((1+G543)/(1+H543))</f>
        <v>-0.00529836723866162</v>
      </c>
      <c r="K543" s="489">
        <f>LN((1+I543)/(1+H543))</f>
        <v>-0.0155537712489103</v>
      </c>
      <c r="L543" s="489">
        <f>(1+INDEX($AC$21:$AC$97,B543))*(1+INDEX($AC$21:$AC$97,C543))*(1+INDEX($AC$21:$AC$97,D543))*(1+INDEX($AC$21:$AC$97,E543))*(1+INDEX($AC$21:$AC$97,F543))-1</f>
        <v>0.208555491323365</v>
      </c>
      <c r="M543" s="489">
        <f>(1+INDEX($AD$21:$AD$97,B543))*(1+INDEX($AD$21:$AD$97,C543))*(1+INDEX($AD$21:$AD$97,D543))*(1+INDEX($AD$21:$AD$97,E543))*(1+INDEX($AD$21:$AD$97,F543))-1</f>
        <v>0.24478463975218</v>
      </c>
      <c r="N543" s="489">
        <f>(1+INDEX($AE$21:$AE$97,B543))*(1+INDEX($AE$21:$AE$97,C543))*(1+INDEX($AE$21:$AE$97,D543))*(1+INDEX($AE$21:$AE$97,E543))*(1+INDEX($AE$21:$AE$97,F543))-1</f>
        <v>0.195001322111133</v>
      </c>
      <c r="O543" s="489">
        <f>(1+INDEX($AF$21:$AF$97,B543))*(1+INDEX($AF$21:$AF$97,C543))*(1+INDEX($AF$21:$AF$97,D543))*(1+INDEX($AF$21:$AF$97,E543))*(1+INDEX($AF$21:$AF$97,F543))-1</f>
        <v>0.286497279759587</v>
      </c>
      <c r="P543" s="489">
        <f>LN((1+L543)/(1+H543))</f>
        <v>-0.0271034855666808</v>
      </c>
      <c r="Q543" s="489">
        <f>LN((1+M543)/(1+H543))</f>
        <v>0.00243321164088118</v>
      </c>
      <c r="R543" s="489">
        <f>LN((1+N543)/(1+H543))</f>
        <v>-0.0383820314422613</v>
      </c>
      <c r="S543" s="542">
        <f>LN((1+O543)/(1+H543))</f>
        <v>0.0353939150927747</v>
      </c>
    </row>
    <row r="544">
      <c r="A544" s="320" t="n">
        <v>443</v>
      </c>
      <c r="B544" s="174" t="n">
        <v>4</v>
      </c>
      <c r="C544" s="174" t="n">
        <v>43</v>
      </c>
      <c r="D544" s="174" t="n">
        <v>22</v>
      </c>
      <c r="E544" s="174" t="n">
        <v>28</v>
      </c>
      <c r="F544" s="174" t="n">
        <v>36</v>
      </c>
      <c r="G544" s="68">
        <f>(1+INDEX($Z$21:$Z$97,B544))*(1+INDEX($Z$21:$Z$97,C544))*(1+INDEX($Z$21:$Z$97,D544))*(1+INDEX($Z$21:$Z$97,E544))*(1+INDEX($Z$21:$Z$97,F544))-1</f>
        <v>0.454163282458154</v>
      </c>
      <c r="H544" s="68">
        <f>(1+INDEX($AA$21:$AA$97,B544))*(1+INDEX($AA$21:$AA$97,C544))*(1+INDEX($AA$21:$AA$97,D544))*(1+INDEX($AA$21:$AA$97,E544))*(1+INDEX($AA$21:$AA$97,F544))-1</f>
        <v>0.468239908018009</v>
      </c>
      <c r="I544" s="68">
        <f>(1+INDEX($AB$21:$AB$97,B544))*(1+INDEX($AB$21:$AB$97,C544))*(1+INDEX($AB$21:$AB$97,D544))*(1+INDEX($AB$21:$AB$97,E544))*(1+INDEX($AB$21:$AB$97,F544))-1</f>
        <v>0.495638549147901</v>
      </c>
      <c r="J544" s="489">
        <f>LN((1+G544)/(1+H544))</f>
        <v>-0.00963367031196691</v>
      </c>
      <c r="K544" s="489">
        <f>LN((1+I544)/(1+H544))</f>
        <v>0.0184888969070774</v>
      </c>
      <c r="L544" s="489">
        <f>(1+INDEX($AC$21:$AC$97,B544))*(1+INDEX($AC$21:$AC$97,C544))*(1+INDEX($AC$21:$AC$97,D544))*(1+INDEX($AC$21:$AC$97,E544))*(1+INDEX($AC$21:$AC$97,F544))-1</f>
        <v>0.494533733063593</v>
      </c>
      <c r="M544" s="489">
        <f>(1+INDEX($AD$21:$AD$97,B544))*(1+INDEX($AD$21:$AD$97,C544))*(1+INDEX($AD$21:$AD$97,D544))*(1+INDEX($AD$21:$AD$97,E544))*(1+INDEX($AD$21:$AD$97,F544))-1</f>
        <v>0.496358887701197</v>
      </c>
      <c r="N544" s="489">
        <f>(1+INDEX($AE$21:$AE$97,B544))*(1+INDEX($AE$21:$AE$97,C544))*(1+INDEX($AE$21:$AE$97,D544))*(1+INDEX($AE$21:$AE$97,E544))*(1+INDEX($AE$21:$AE$97,F544))-1</f>
        <v>0.487591376991689</v>
      </c>
      <c r="O544" s="489">
        <f>(1+INDEX($AF$21:$AF$97,B544))*(1+INDEX($AF$21:$AF$97,C544))*(1+INDEX($AF$21:$AF$97,D544))*(1+INDEX($AF$21:$AF$97,E544))*(1+INDEX($AF$21:$AF$97,F544))-1</f>
        <v>0.489019507361494</v>
      </c>
      <c r="P544" s="489">
        <f>LN((1+L544)/(1+H544))</f>
        <v>0.0177499320379588</v>
      </c>
      <c r="Q544" s="489">
        <f>LN((1+M544)/(1+H544))</f>
        <v>0.0189704070570144</v>
      </c>
      <c r="R544" s="489">
        <f>LN((1+N544)/(1+H544))</f>
        <v>0.0130939445409995</v>
      </c>
      <c r="S544" s="542">
        <f>LN((1+O544)/(1+H544))</f>
        <v>0.0140535126772945</v>
      </c>
    </row>
    <row r="545">
      <c r="A545" s="320" t="n">
        <v>444</v>
      </c>
      <c r="B545" s="174" t="n">
        <v>5</v>
      </c>
      <c r="C545" s="174" t="n">
        <v>16</v>
      </c>
      <c r="D545" s="174" t="n">
        <v>73</v>
      </c>
      <c r="E545" s="174" t="n">
        <v>25</v>
      </c>
      <c r="F545" s="174" t="n">
        <v>74</v>
      </c>
      <c r="G545" s="68">
        <f>(1+INDEX($Z$21:$Z$97,B545))*(1+INDEX($Z$21:$Z$97,C545))*(1+INDEX($Z$21:$Z$97,D545))*(1+INDEX($Z$21:$Z$97,E545))*(1+INDEX($Z$21:$Z$97,F545))-1</f>
        <v>0.255635520914419</v>
      </c>
      <c r="H545" s="68">
        <f>(1+INDEX($AA$21:$AA$97,B545))*(1+INDEX($AA$21:$AA$97,C545))*(1+INDEX($AA$21:$AA$97,D545))*(1+INDEX($AA$21:$AA$97,E545))*(1+INDEX($AA$21:$AA$97,F545))-1</f>
        <v>0.234295122499788</v>
      </c>
      <c r="I545" s="68">
        <f>(1+INDEX($AB$21:$AB$97,B545))*(1+INDEX($AB$21:$AB$97,C545))*(1+INDEX($AB$21:$AB$97,D545))*(1+INDEX($AB$21:$AB$97,E545))*(1+INDEX($AB$21:$AB$97,F545))-1</f>
        <v>0.24739087394213</v>
      </c>
      <c r="J545" s="489">
        <f>LN((1+G545)/(1+H545))</f>
        <v>0.0171417794506147</v>
      </c>
      <c r="K545" s="489">
        <f>LN((1+I545)/(1+H545))</f>
        <v>0.010554012892152</v>
      </c>
      <c r="L545" s="489">
        <f>(1+INDEX($AC$21:$AC$97,B545))*(1+INDEX($AC$21:$AC$97,C545))*(1+INDEX($AC$21:$AC$97,D545))*(1+INDEX($AC$21:$AC$97,E545))*(1+INDEX($AC$21:$AC$97,F545))-1</f>
        <v>0.229851186023579</v>
      </c>
      <c r="M545" s="489">
        <f>(1+INDEX($AD$21:$AD$97,B545))*(1+INDEX($AD$21:$AD$97,C545))*(1+INDEX($AD$21:$AD$97,D545))*(1+INDEX($AD$21:$AD$97,E545))*(1+INDEX($AD$21:$AD$97,F545))-1</f>
        <v>0.244547024672334</v>
      </c>
      <c r="N545" s="489">
        <f>(1+INDEX($AE$21:$AE$97,B545))*(1+INDEX($AE$21:$AE$97,C545))*(1+INDEX($AE$21:$AE$97,D545))*(1+INDEX($AE$21:$AE$97,E545))*(1+INDEX($AE$21:$AE$97,F545))-1</f>
        <v>0.209758256759728</v>
      </c>
      <c r="O545" s="489">
        <f>(1+INDEX($AF$21:$AF$97,B545))*(1+INDEX($AF$21:$AF$97,C545))*(1+INDEX($AF$21:$AF$97,D545))*(1+INDEX($AF$21:$AF$97,E545))*(1+INDEX($AF$21:$AF$97,F545))-1</f>
        <v>0.248141212460826</v>
      </c>
      <c r="P545" s="489">
        <f>LN((1+L545)/(1+H545))</f>
        <v>-0.00360688103515004</v>
      </c>
      <c r="Q545" s="489">
        <f>LN((1+M545)/(1+H545))</f>
        <v>0.00827157198062564</v>
      </c>
      <c r="R545" s="489">
        <f>LN((1+N545)/(1+H545))</f>
        <v>-0.0200795042807314</v>
      </c>
      <c r="S545" s="542">
        <f>LN((1+O545)/(1+H545))</f>
        <v>0.0111553584291587</v>
      </c>
    </row>
    <row r="546">
      <c r="A546" s="320" t="n">
        <v>445</v>
      </c>
      <c r="B546" s="174" t="n">
        <v>71</v>
      </c>
      <c r="C546" s="174" t="n">
        <v>65</v>
      </c>
      <c r="D546" s="174" t="n">
        <v>69</v>
      </c>
      <c r="E546" s="174" t="n">
        <v>53</v>
      </c>
      <c r="F546" s="174" t="n">
        <v>69</v>
      </c>
      <c r="G546" s="68">
        <f>(1+INDEX($Z$21:$Z$97,B546))*(1+INDEX($Z$21:$Z$97,C546))*(1+INDEX($Z$21:$Z$97,D546))*(1+INDEX($Z$21:$Z$97,E546))*(1+INDEX($Z$21:$Z$97,F546))-1</f>
        <v>0.432513532695874</v>
      </c>
      <c r="H546" s="68">
        <f>(1+INDEX($AA$21:$AA$97,B546))*(1+INDEX($AA$21:$AA$97,C546))*(1+INDEX($AA$21:$AA$97,D546))*(1+INDEX($AA$21:$AA$97,E546))*(1+INDEX($AA$21:$AA$97,F546))-1</f>
        <v>0.468184996446322</v>
      </c>
      <c r="I546" s="68">
        <f>(1+INDEX($AB$21:$AB$97,B546))*(1+INDEX($AB$21:$AB$97,C546))*(1+INDEX($AB$21:$AB$97,D546))*(1+INDEX($AB$21:$AB$97,E546))*(1+INDEX($AB$21:$AB$97,F546))-1</f>
        <v>0.484985759380352</v>
      </c>
      <c r="J546" s="489">
        <f>LN((1+G546)/(1+H546))</f>
        <v>-0.0245963251599027</v>
      </c>
      <c r="K546" s="489">
        <f>LN((1+I546)/(1+H546))</f>
        <v>0.0113782409356683</v>
      </c>
      <c r="L546" s="489">
        <f>(1+INDEX($AC$21:$AC$97,B546))*(1+INDEX($AC$21:$AC$97,C546))*(1+INDEX($AC$21:$AC$97,D546))*(1+INDEX($AC$21:$AC$97,E546))*(1+INDEX($AC$21:$AC$97,F546))-1</f>
        <v>0.479948301429702</v>
      </c>
      <c r="M546" s="489">
        <f>(1+INDEX($AD$21:$AD$97,B546))*(1+INDEX($AD$21:$AD$97,C546))*(1+INDEX($AD$21:$AD$97,D546))*(1+INDEX($AD$21:$AD$97,E546))*(1+INDEX($AD$21:$AD$97,F546))-1</f>
        <v>0.485627064349503</v>
      </c>
      <c r="N546" s="489">
        <f>(1+INDEX($AE$21:$AE$97,B546))*(1+INDEX($AE$21:$AE$97,C546))*(1+INDEX($AE$21:$AE$97,D546))*(1+INDEX($AE$21:$AE$97,E546))*(1+INDEX($AE$21:$AE$97,F546))-1</f>
        <v>0.507912838421466</v>
      </c>
      <c r="O546" s="489">
        <f>(1+INDEX($AF$21:$AF$97,B546))*(1+INDEX($AF$21:$AF$97,C546))*(1+INDEX($AF$21:$AF$97,D546))*(1+INDEX($AF$21:$AF$97,E546))*(1+INDEX($AF$21:$AF$97,F546))-1</f>
        <v>0.481870859256796</v>
      </c>
      <c r="P546" s="489">
        <f>LN((1+L546)/(1+H546))</f>
        <v>0.00798021406933567</v>
      </c>
      <c r="Q546" s="489">
        <f>LN((1+M546)/(1+H546))</f>
        <v>0.0118100070507214</v>
      </c>
      <c r="R546" s="489">
        <f>LN((1+N546)/(1+H546))</f>
        <v>0.026699526829897</v>
      </c>
      <c r="S546" s="542">
        <f>LN((1+O546)/(1+H546))</f>
        <v>0.00927844194403841</v>
      </c>
    </row>
    <row r="547">
      <c r="A547" s="320" t="n">
        <v>446</v>
      </c>
      <c r="B547" s="174" t="n">
        <v>25</v>
      </c>
      <c r="C547" s="174" t="n">
        <v>20</v>
      </c>
      <c r="D547" s="174" t="n">
        <v>36</v>
      </c>
      <c r="E547" s="174" t="n">
        <v>17</v>
      </c>
      <c r="F547" s="174" t="n">
        <v>74</v>
      </c>
      <c r="G547" s="68">
        <f>(1+INDEX($Z$21:$Z$97,B547))*(1+INDEX($Z$21:$Z$97,C547))*(1+INDEX($Z$21:$Z$97,D547))*(1+INDEX($Z$21:$Z$97,E547))*(1+INDEX($Z$21:$Z$97,F547))-1</f>
        <v>0.353926299621028</v>
      </c>
      <c r="H547" s="68">
        <f>(1+INDEX($AA$21:$AA$97,B547))*(1+INDEX($AA$21:$AA$97,C547))*(1+INDEX($AA$21:$AA$97,D547))*(1+INDEX($AA$21:$AA$97,E547))*(1+INDEX($AA$21:$AA$97,F547))-1</f>
        <v>0.311400018588233</v>
      </c>
      <c r="I547" s="68">
        <f>(1+INDEX($AB$21:$AB$97,B547))*(1+INDEX($AB$21:$AB$97,C547))*(1+INDEX($AB$21:$AB$97,D547))*(1+INDEX($AB$21:$AB$97,E547))*(1+INDEX($AB$21:$AB$97,F547))-1</f>
        <v>0.325625873637861</v>
      </c>
      <c r="J547" s="489">
        <f>LN((1+G547)/(1+H547))</f>
        <v>0.0319134583923917</v>
      </c>
      <c r="K547" s="489">
        <f>LN((1+I547)/(1+H547))</f>
        <v>0.0107894223533303</v>
      </c>
      <c r="L547" s="489">
        <f>(1+INDEX($AC$21:$AC$97,B547))*(1+INDEX($AC$21:$AC$97,C547))*(1+INDEX($AC$21:$AC$97,D547))*(1+INDEX($AC$21:$AC$97,E547))*(1+INDEX($AC$21:$AC$97,F547))-1</f>
        <v>0.298932620629611</v>
      </c>
      <c r="M547" s="489">
        <f>(1+INDEX($AD$21:$AD$97,B547))*(1+INDEX($AD$21:$AD$97,C547))*(1+INDEX($AD$21:$AD$97,D547))*(1+INDEX($AD$21:$AD$97,E547))*(1+INDEX($AD$21:$AD$97,F547))-1</f>
        <v>0.333477452010342</v>
      </c>
      <c r="N547" s="489">
        <f>(1+INDEX($AE$21:$AE$97,B547))*(1+INDEX($AE$21:$AE$97,C547))*(1+INDEX($AE$21:$AE$97,D547))*(1+INDEX($AE$21:$AE$97,E547))*(1+INDEX($AE$21:$AE$97,F547))-1</f>
        <v>0.309036717674472</v>
      </c>
      <c r="O547" s="489">
        <f>(1+INDEX($AF$21:$AF$97,B547))*(1+INDEX($AF$21:$AF$97,C547))*(1+INDEX($AF$21:$AF$97,D547))*(1+INDEX($AF$21:$AF$97,E547))*(1+INDEX($AF$21:$AF$97,F547))-1</f>
        <v>0.328422136624487</v>
      </c>
      <c r="P547" s="489">
        <f>LN((1+L547)/(1+H547))</f>
        <v>-0.00955241686362338</v>
      </c>
      <c r="Q547" s="489">
        <f>LN((1+M547)/(1+H547))</f>
        <v>0.016694872596617</v>
      </c>
      <c r="R547" s="489">
        <f>LN((1+N547)/(1+H547))</f>
        <v>-0.0018037463158768</v>
      </c>
      <c r="S547" s="542">
        <f>LN((1+O547)/(1+H547))</f>
        <v>0.0128965914855154</v>
      </c>
    </row>
    <row r="548">
      <c r="A548" s="320" t="n">
        <v>447</v>
      </c>
      <c r="B548" s="174" t="n">
        <v>53</v>
      </c>
      <c r="C548" s="174" t="n">
        <v>29</v>
      </c>
      <c r="D548" s="174" t="n">
        <v>26</v>
      </c>
      <c r="E548" s="174" t="n">
        <v>42</v>
      </c>
      <c r="F548" s="174" t="n">
        <v>50</v>
      </c>
      <c r="G548" s="68">
        <f>(1+INDEX($Z$21:$Z$97,B548))*(1+INDEX($Z$21:$Z$97,C548))*(1+INDEX($Z$21:$Z$97,D548))*(1+INDEX($Z$21:$Z$97,E548))*(1+INDEX($Z$21:$Z$97,F548))-1</f>
        <v>0.55016321038528</v>
      </c>
      <c r="H548" s="68">
        <f>(1+INDEX($AA$21:$AA$97,B548))*(1+INDEX($AA$21:$AA$97,C548))*(1+INDEX($AA$21:$AA$97,D548))*(1+INDEX($AA$21:$AA$97,E548))*(1+INDEX($AA$21:$AA$97,F548))-1</f>
        <v>0.560733012373093</v>
      </c>
      <c r="I548" s="68">
        <f>(1+INDEX($AB$21:$AB$97,B548))*(1+INDEX($AB$21:$AB$97,C548))*(1+INDEX($AB$21:$AB$97,D548))*(1+INDEX($AB$21:$AB$97,E548))*(1+INDEX($AB$21:$AB$97,F548))-1</f>
        <v>0.619302458202701</v>
      </c>
      <c r="J548" s="489">
        <f>LN((1+G548)/(1+H548))</f>
        <v>-0.00679536821830308</v>
      </c>
      <c r="K548" s="489">
        <f>LN((1+I548)/(1+H548))</f>
        <v>0.0368398845322874</v>
      </c>
      <c r="L548" s="489">
        <f>(1+INDEX($AC$21:$AC$97,B548))*(1+INDEX($AC$21:$AC$97,C548))*(1+INDEX($AC$21:$AC$97,D548))*(1+INDEX($AC$21:$AC$97,E548))*(1+INDEX($AC$21:$AC$97,F548))-1</f>
        <v>0.61535901917681</v>
      </c>
      <c r="M548" s="489">
        <f>(1+INDEX($AD$21:$AD$97,B548))*(1+INDEX($AD$21:$AD$97,C548))*(1+INDEX($AD$21:$AD$97,D548))*(1+INDEX($AD$21:$AD$97,E548))*(1+INDEX($AD$21:$AD$97,F548))-1</f>
        <v>0.627174627069497</v>
      </c>
      <c r="N548" s="489">
        <f>(1+INDEX($AE$21:$AE$97,B548))*(1+INDEX($AE$21:$AE$97,C548))*(1+INDEX($AE$21:$AE$97,D548))*(1+INDEX($AE$21:$AE$97,E548))*(1+INDEX($AE$21:$AE$97,F548))-1</f>
        <v>0.606835006990032</v>
      </c>
      <c r="O548" s="489">
        <f>(1+INDEX($AF$21:$AF$97,B548))*(1+INDEX($AF$21:$AF$97,C548))*(1+INDEX($AF$21:$AF$97,D548))*(1+INDEX($AF$21:$AF$97,E548))*(1+INDEX($AF$21:$AF$97,F548))-1</f>
        <v>0.608047712874572</v>
      </c>
      <c r="P548" s="489">
        <f>LN((1+L548)/(1+H548))</f>
        <v>0.0344016442359724</v>
      </c>
      <c r="Q548" s="489">
        <f>LN((1+M548)/(1+H548))</f>
        <v>0.0416895625611542</v>
      </c>
      <c r="R548" s="489">
        <f>LN((1+N548)/(1+H548))</f>
        <v>0.0291108194117609</v>
      </c>
      <c r="S548" s="542">
        <f>LN((1+O548)/(1+H548))</f>
        <v>0.0298652518733661</v>
      </c>
    </row>
    <row r="549">
      <c r="A549" s="320" t="n">
        <v>448</v>
      </c>
      <c r="B549" s="174" t="n">
        <v>49</v>
      </c>
      <c r="C549" s="174" t="n">
        <v>41</v>
      </c>
      <c r="D549" s="174" t="n">
        <v>19</v>
      </c>
      <c r="E549" s="174" t="n">
        <v>76</v>
      </c>
      <c r="F549" s="174" t="n">
        <v>3</v>
      </c>
      <c r="G549" s="68">
        <f>(1+INDEX($Z$21:$Z$97,B549))*(1+INDEX($Z$21:$Z$97,C549))*(1+INDEX($Z$21:$Z$97,D549))*(1+INDEX($Z$21:$Z$97,E549))*(1+INDEX($Z$21:$Z$97,F549))-1</f>
        <v>0.474346209178308</v>
      </c>
      <c r="H549" s="68">
        <f>(1+INDEX($AA$21:$AA$97,B549))*(1+INDEX($AA$21:$AA$97,C549))*(1+INDEX($AA$21:$AA$97,D549))*(1+INDEX($AA$21:$AA$97,E549))*(1+INDEX($AA$21:$AA$97,F549))-1</f>
        <v>0.400362385959146</v>
      </c>
      <c r="I549" s="68">
        <f>(1+INDEX($AB$21:$AB$97,B549))*(1+INDEX($AB$21:$AB$97,C549))*(1+INDEX($AB$21:$AB$97,D549))*(1+INDEX($AB$21:$AB$97,E549))*(1+INDEX($AB$21:$AB$97,F549))-1</f>
        <v>0.432621416057802</v>
      </c>
      <c r="J549" s="489">
        <f>LN((1+G549)/(1+H549))</f>
        <v>0.0514835932738832</v>
      </c>
      <c r="K549" s="489">
        <f>LN((1+I549)/(1+H549))</f>
        <v>0.0227748739307669</v>
      </c>
      <c r="L549" s="489">
        <f>(1+INDEX($AC$21:$AC$97,B549))*(1+INDEX($AC$21:$AC$97,C549))*(1+INDEX($AC$21:$AC$97,D549))*(1+INDEX($AC$21:$AC$97,E549))*(1+INDEX($AC$21:$AC$97,F549))-1</f>
        <v>0.421852025561393</v>
      </c>
      <c r="M549" s="489">
        <f>(1+INDEX($AD$21:$AD$97,B549))*(1+INDEX($AD$21:$AD$97,C549))*(1+INDEX($AD$21:$AD$97,D549))*(1+INDEX($AD$21:$AD$97,E549))*(1+INDEX($AD$21:$AD$97,F549))-1</f>
        <v>0.430053814533183</v>
      </c>
      <c r="N549" s="489">
        <f>(1+INDEX($AE$21:$AE$97,B549))*(1+INDEX($AE$21:$AE$97,C549))*(1+INDEX($AE$21:$AE$97,D549))*(1+INDEX($AE$21:$AE$97,E549))*(1+INDEX($AE$21:$AE$97,F549))-1</f>
        <v>0.407433477082216</v>
      </c>
      <c r="O549" s="489">
        <f>(1+INDEX($AF$21:$AF$97,B549))*(1+INDEX($AF$21:$AF$97,C549))*(1+INDEX($AF$21:$AF$97,D549))*(1+INDEX($AF$21:$AF$97,E549))*(1+INDEX($AF$21:$AF$97,F549))-1</f>
        <v>0.433547370514749</v>
      </c>
      <c r="P549" s="489">
        <f>LN((1+L549)/(1+H549))</f>
        <v>0.0152292149399517</v>
      </c>
      <c r="Q549" s="489">
        <f>LN((1+M549)/(1+H549))</f>
        <v>0.0209810258646622</v>
      </c>
      <c r="R549" s="489">
        <f>LN((1+N549)/(1+H549))</f>
        <v>0.00503676650074527</v>
      </c>
      <c r="S549" s="542">
        <f>LN((1+O549)/(1+H549))</f>
        <v>0.0234210009094006</v>
      </c>
    </row>
    <row r="550">
      <c r="A550" s="320" t="n">
        <v>449</v>
      </c>
      <c r="B550" s="174" t="n">
        <v>55</v>
      </c>
      <c r="C550" s="174" t="n">
        <v>36</v>
      </c>
      <c r="D550" s="174" t="n">
        <v>61</v>
      </c>
      <c r="E550" s="174" t="n">
        <v>26</v>
      </c>
      <c r="F550" s="174" t="n">
        <v>9</v>
      </c>
      <c r="G550" s="68">
        <f>(1+INDEX($Z$21:$Z$97,B550))*(1+INDEX($Z$21:$Z$97,C550))*(1+INDEX($Z$21:$Z$97,D550))*(1+INDEX($Z$21:$Z$97,E550))*(1+INDEX($Z$21:$Z$97,F550))-1</f>
        <v>0.0957117122140621</v>
      </c>
      <c r="H550" s="68">
        <f>(1+INDEX($AA$21:$AA$97,B550))*(1+INDEX($AA$21:$AA$97,C550))*(1+INDEX($AA$21:$AA$97,D550))*(1+INDEX($AA$21:$AA$97,E550))*(1+INDEX($AA$21:$AA$97,F550))-1</f>
        <v>0.141980823323571</v>
      </c>
      <c r="I550" s="68">
        <f>(1+INDEX($AB$21:$AB$97,B550))*(1+INDEX($AB$21:$AB$97,C550))*(1+INDEX($AB$21:$AB$97,D550))*(1+INDEX($AB$21:$AB$97,E550))*(1+INDEX($AB$21:$AB$97,F550))-1</f>
        <v>0.122520009294458</v>
      </c>
      <c r="J550" s="489">
        <f>LN((1+G550)/(1+H550))</f>
        <v>-0.0413602012821431</v>
      </c>
      <c r="K550" s="489">
        <f>LN((1+I550)/(1+H550))</f>
        <v>-0.0171881527793375</v>
      </c>
      <c r="L550" s="489">
        <f>(1+INDEX($AC$21:$AC$97,B550))*(1+INDEX($AC$21:$AC$97,C550))*(1+INDEX($AC$21:$AC$97,D550))*(1+INDEX($AC$21:$AC$97,E550))*(1+INDEX($AC$21:$AC$97,F550))-1</f>
        <v>0.120791670157737</v>
      </c>
      <c r="M550" s="489">
        <f>(1+INDEX($AD$21:$AD$97,B550))*(1+INDEX($AD$21:$AD$97,C550))*(1+INDEX($AD$21:$AD$97,D550))*(1+INDEX($AD$21:$AD$97,E550))*(1+INDEX($AD$21:$AD$97,F550))-1</f>
        <v>0.130328013284473</v>
      </c>
      <c r="N550" s="489">
        <f>(1+INDEX($AE$21:$AE$97,B550))*(1+INDEX($AE$21:$AE$97,C550))*(1+INDEX($AE$21:$AE$97,D550))*(1+INDEX($AE$21:$AE$97,E550))*(1+INDEX($AE$21:$AE$97,F550))-1</f>
        <v>0.127586072234625</v>
      </c>
      <c r="O550" s="489">
        <f>(1+INDEX($AF$21:$AF$97,B550))*(1+INDEX($AF$21:$AF$97,C550))*(1+INDEX($AF$21:$AF$97,D550))*(1+INDEX($AF$21:$AF$97,E550))*(1+INDEX($AF$21:$AF$97,F550))-1</f>
        <v>0.163573241060123</v>
      </c>
      <c r="P550" s="489">
        <f>LN((1+L550)/(1+H550))</f>
        <v>-0.0187290349443269</v>
      </c>
      <c r="Q550" s="489">
        <f>LN((1+M550)/(1+H550))</f>
        <v>-0.0102564510619557</v>
      </c>
      <c r="R550" s="489">
        <f>LN((1+N550)/(1+H550))</f>
        <v>-0.0126851904150373</v>
      </c>
      <c r="S550" s="542">
        <f>LN((1+O550)/(1+H550))</f>
        <v>0.0187313317850655</v>
      </c>
    </row>
    <row r="551">
      <c r="A551" s="320" t="n">
        <v>450</v>
      </c>
      <c r="B551" s="174" t="n">
        <v>48</v>
      </c>
      <c r="C551" s="174" t="n">
        <v>48</v>
      </c>
      <c r="D551" s="174" t="n">
        <v>52</v>
      </c>
      <c r="E551" s="174" t="n">
        <v>56</v>
      </c>
      <c r="F551" s="174" t="n">
        <v>59</v>
      </c>
      <c r="G551" s="68">
        <f>(1+INDEX($Z$21:$Z$97,B551))*(1+INDEX($Z$21:$Z$97,C551))*(1+INDEX($Z$21:$Z$97,D551))*(1+INDEX($Z$21:$Z$97,E551))*(1+INDEX($Z$21:$Z$97,F551))-1</f>
        <v>0.470725200150136</v>
      </c>
      <c r="H551" s="68">
        <f>(1+INDEX($AA$21:$AA$97,B551))*(1+INDEX($AA$21:$AA$97,C551))*(1+INDEX($AA$21:$AA$97,D551))*(1+INDEX($AA$21:$AA$97,E551))*(1+INDEX($AA$21:$AA$97,F551))-1</f>
        <v>0.441323882107191</v>
      </c>
      <c r="I551" s="68">
        <f>(1+INDEX($AB$21:$AB$97,B551))*(1+INDEX($AB$21:$AB$97,C551))*(1+INDEX($AB$21:$AB$97,D551))*(1+INDEX($AB$21:$AB$97,E551))*(1+INDEX($AB$21:$AB$97,F551))-1</f>
        <v>0.47744068238489</v>
      </c>
      <c r="J551" s="489">
        <f>LN((1+G551)/(1+H551))</f>
        <v>0.0201935587697588</v>
      </c>
      <c r="K551" s="489">
        <f>LN((1+I551)/(1+H551))</f>
        <v>0.0247492683987408</v>
      </c>
      <c r="L551" s="489">
        <f>(1+INDEX($AC$21:$AC$97,B551))*(1+INDEX($AC$21:$AC$97,C551))*(1+INDEX($AC$21:$AC$97,D551))*(1+INDEX($AC$21:$AC$97,E551))*(1+INDEX($AC$21:$AC$97,F551))-1</f>
        <v>0.477304241789621</v>
      </c>
      <c r="M551" s="489">
        <f>(1+INDEX($AD$21:$AD$97,B551))*(1+INDEX($AD$21:$AD$97,C551))*(1+INDEX($AD$21:$AD$97,D551))*(1+INDEX($AD$21:$AD$97,E551))*(1+INDEX($AD$21:$AD$97,F551))-1</f>
        <v>0.462858435794161</v>
      </c>
      <c r="N551" s="489">
        <f>(1+INDEX($AE$21:$AE$97,B551))*(1+INDEX($AE$21:$AE$97,C551))*(1+INDEX($AE$21:$AE$97,D551))*(1+INDEX($AE$21:$AE$97,E551))*(1+INDEX($AE$21:$AE$97,F551))-1</f>
        <v>0.47916432035553</v>
      </c>
      <c r="O551" s="489">
        <f>(1+INDEX($AF$21:$AF$97,B551))*(1+INDEX($AF$21:$AF$97,C551))*(1+INDEX($AF$21:$AF$97,D551))*(1+INDEX($AF$21:$AF$97,E551))*(1+INDEX($AF$21:$AF$97,F551))-1</f>
        <v>0.440576014262046</v>
      </c>
      <c r="P551" s="489">
        <f>LN((1+L551)/(1+H551))</f>
        <v>0.0246569148461554</v>
      </c>
      <c r="Q551" s="489">
        <f>LN((1+M551)/(1+H551))</f>
        <v>0.0148303005919015</v>
      </c>
      <c r="R551" s="489">
        <f>LN((1+N551)/(1+H551))</f>
        <v>0.0259152260862305</v>
      </c>
      <c r="S551" s="542">
        <f>LN((1+O551)/(1+H551))</f>
        <v>-0.000519010297946137</v>
      </c>
    </row>
    <row r="552">
      <c r="A552" s="320" t="n">
        <v>451</v>
      </c>
      <c r="B552" s="174" t="n">
        <v>6</v>
      </c>
      <c r="C552" s="174" t="n">
        <v>5</v>
      </c>
      <c r="D552" s="174" t="n">
        <v>70</v>
      </c>
      <c r="E552" s="174" t="n">
        <v>8</v>
      </c>
      <c r="F552" s="174" t="n">
        <v>16</v>
      </c>
      <c r="G552" s="68">
        <f>(1+INDEX($Z$21:$Z$97,B552))*(1+INDEX($Z$21:$Z$97,C552))*(1+INDEX($Z$21:$Z$97,D552))*(1+INDEX($Z$21:$Z$97,E552))*(1+INDEX($Z$21:$Z$97,F552))-1</f>
        <v>-0.262294342199042</v>
      </c>
      <c r="H552" s="68">
        <f>(1+INDEX($AA$21:$AA$97,B552))*(1+INDEX($AA$21:$AA$97,C552))*(1+INDEX($AA$21:$AA$97,D552))*(1+INDEX($AA$21:$AA$97,E552))*(1+INDEX($AA$21:$AA$97,F552))-1</f>
        <v>-0.204327244067966</v>
      </c>
      <c r="I552" s="68">
        <f>(1+INDEX($AB$21:$AB$97,B552))*(1+INDEX($AB$21:$AB$97,C552))*(1+INDEX($AB$21:$AB$97,D552))*(1+INDEX($AB$21:$AB$97,E552))*(1+INDEX($AB$21:$AB$97,F552))-1</f>
        <v>-0.258621804636277</v>
      </c>
      <c r="J552" s="489">
        <f>LN((1+G552)/(1+H552))</f>
        <v>-0.0756430833015913</v>
      </c>
      <c r="K552" s="489">
        <f>LN((1+I552)/(1+H552))</f>
        <v>-0.070677110476941</v>
      </c>
      <c r="L552" s="489">
        <f>(1+INDEX($AC$21:$AC$97,B552))*(1+INDEX($AC$21:$AC$97,C552))*(1+INDEX($AC$21:$AC$97,D552))*(1+INDEX($AC$21:$AC$97,E552))*(1+INDEX($AC$21:$AC$97,F552))-1</f>
        <v>-0.27518777327942</v>
      </c>
      <c r="M552" s="489">
        <f>(1+INDEX($AD$21:$AD$97,B552))*(1+INDEX($AD$21:$AD$97,C552))*(1+INDEX($AD$21:$AD$97,D552))*(1+INDEX($AD$21:$AD$97,E552))*(1+INDEX($AD$21:$AD$97,F552))-1</f>
        <v>-0.260712175167586</v>
      </c>
      <c r="N552" s="489">
        <f>(1+INDEX($AE$21:$AE$97,B552))*(1+INDEX($AE$21:$AE$97,C552))*(1+INDEX($AE$21:$AE$97,D552))*(1+INDEX($AE$21:$AE$97,E552))*(1+INDEX($AE$21:$AE$97,F552))-1</f>
        <v>-0.285145316848109</v>
      </c>
      <c r="O552" s="489">
        <f>(1+INDEX($AF$21:$AF$97,B552))*(1+INDEX($AF$21:$AF$97,C552))*(1+INDEX($AF$21:$AF$97,D552))*(1+INDEX($AF$21:$AF$97,E552))*(1+INDEX($AF$21:$AF$97,F552))-1</f>
        <v>-0.191471352269253</v>
      </c>
      <c r="P552" s="489">
        <f>LN((1+L552)/(1+H552))</f>
        <v>-0.0932753669948781</v>
      </c>
      <c r="Q552" s="489">
        <f>LN((1+M552)/(1+H552))</f>
        <v>-0.0735006667571292</v>
      </c>
      <c r="R552" s="489">
        <f>LN((1+N552)/(1+H552))</f>
        <v>-0.107108708986205</v>
      </c>
      <c r="S552" s="542">
        <f>LN((1+O552)/(1+H552))</f>
        <v>0.0160281208981664</v>
      </c>
    </row>
    <row r="553">
      <c r="A553" s="320" t="n">
        <v>452</v>
      </c>
      <c r="B553" s="174" t="n">
        <v>22</v>
      </c>
      <c r="C553" s="174" t="n">
        <v>10</v>
      </c>
      <c r="D553" s="174" t="n">
        <v>72</v>
      </c>
      <c r="E553" s="174" t="n">
        <v>57</v>
      </c>
      <c r="F553" s="174" t="n">
        <v>9</v>
      </c>
      <c r="G553" s="68">
        <f>(1+INDEX($Z$21:$Z$97,B553))*(1+INDEX($Z$21:$Z$97,C553))*(1+INDEX($Z$21:$Z$97,D553))*(1+INDEX($Z$21:$Z$97,E553))*(1+INDEX($Z$21:$Z$97,F553))-1</f>
        <v>0.0198306910508486</v>
      </c>
      <c r="H553" s="68">
        <f>(1+INDEX($AA$21:$AA$97,B553))*(1+INDEX($AA$21:$AA$97,C553))*(1+INDEX($AA$21:$AA$97,D553))*(1+INDEX($AA$21:$AA$97,E553))*(1+INDEX($AA$21:$AA$97,F553))-1</f>
        <v>0.0651836280964773</v>
      </c>
      <c r="I553" s="68">
        <f>(1+INDEX($AB$21:$AB$97,B553))*(1+INDEX($AB$21:$AB$97,C553))*(1+INDEX($AB$21:$AB$97,D553))*(1+INDEX($AB$21:$AB$97,E553))*(1+INDEX($AB$21:$AB$97,F553))-1</f>
        <v>0.04049274203953</v>
      </c>
      <c r="J553" s="489">
        <f>LN((1+G553)/(1+H553))</f>
        <v>-0.043510580693887</v>
      </c>
      <c r="K553" s="489">
        <f>LN((1+I553)/(1+H553))</f>
        <v>-0.0234528136738425</v>
      </c>
      <c r="L553" s="489">
        <f>(1+INDEX($AC$21:$AC$97,B553))*(1+INDEX($AC$21:$AC$97,C553))*(1+INDEX($AC$21:$AC$97,D553))*(1+INDEX($AC$21:$AC$97,E553))*(1+INDEX($AC$21:$AC$97,F553))-1</f>
        <v>0.0202876519079318</v>
      </c>
      <c r="M553" s="489">
        <f>(1+INDEX($AD$21:$AD$97,B553))*(1+INDEX($AD$21:$AD$97,C553))*(1+INDEX($AD$21:$AD$97,D553))*(1+INDEX($AD$21:$AD$97,E553))*(1+INDEX($AD$21:$AD$97,F553))-1</f>
        <v>0.0670440266117476</v>
      </c>
      <c r="N553" s="489">
        <f>(1+INDEX($AE$21:$AE$97,B553))*(1+INDEX($AE$21:$AE$97,C553))*(1+INDEX($AE$21:$AE$97,D553))*(1+INDEX($AE$21:$AE$97,E553))*(1+INDEX($AE$21:$AE$97,F553))-1</f>
        <v>0.012782710083681</v>
      </c>
      <c r="O553" s="489">
        <f>(1+INDEX($AF$21:$AF$97,B553))*(1+INDEX($AF$21:$AF$97,C553))*(1+INDEX($AF$21:$AF$97,D553))*(1+INDEX($AF$21:$AF$97,E553))*(1+INDEX($AF$21:$AF$97,F553))-1</f>
        <v>0.120258665752299</v>
      </c>
      <c r="P553" s="489">
        <f>LN((1+L553)/(1+H553))</f>
        <v>-0.0430626058337007</v>
      </c>
      <c r="Q553" s="489">
        <f>LN((1+M553)/(1+H553))</f>
        <v>0.00174502847597698</v>
      </c>
      <c r="R553" s="489">
        <f>LN((1+N553)/(1+H553))</f>
        <v>-0.0504455041868176</v>
      </c>
      <c r="S553" s="542">
        <f>LN((1+O553)/(1+H553))</f>
        <v>0.0504124051598429</v>
      </c>
    </row>
    <row r="554">
      <c r="A554" s="320" t="n">
        <v>453</v>
      </c>
      <c r="B554" s="174" t="n">
        <v>4</v>
      </c>
      <c r="C554" s="174" t="n">
        <v>26</v>
      </c>
      <c r="D554" s="174" t="n">
        <v>53</v>
      </c>
      <c r="E554" s="174" t="n">
        <v>18</v>
      </c>
      <c r="F554" s="174" t="n">
        <v>14</v>
      </c>
      <c r="G554" s="68">
        <f>(1+INDEX($Z$21:$Z$97,B554))*(1+INDEX($Z$21:$Z$97,C554))*(1+INDEX($Z$21:$Z$97,D554))*(1+INDEX($Z$21:$Z$97,E554))*(1+INDEX($Z$21:$Z$97,F554))-1</f>
        <v>0.415332456203284</v>
      </c>
      <c r="H554" s="68">
        <f>(1+INDEX($AA$21:$AA$97,B554))*(1+INDEX($AA$21:$AA$97,C554))*(1+INDEX($AA$21:$AA$97,D554))*(1+INDEX($AA$21:$AA$97,E554))*(1+INDEX($AA$21:$AA$97,F554))-1</f>
        <v>0.391304513735837</v>
      </c>
      <c r="I554" s="68">
        <f>(1+INDEX($AB$21:$AB$97,B554))*(1+INDEX($AB$21:$AB$97,C554))*(1+INDEX($AB$21:$AB$97,D554))*(1+INDEX($AB$21:$AB$97,E554))*(1+INDEX($AB$21:$AB$97,F554))-1</f>
        <v>0.394949204446109</v>
      </c>
      <c r="J554" s="489">
        <f>LN((1+G554)/(1+H554))</f>
        <v>0.0171226487606578</v>
      </c>
      <c r="K554" s="489">
        <f>LN((1+I554)/(1+H554))</f>
        <v>0.00261619590873778</v>
      </c>
      <c r="L554" s="489">
        <f>(1+INDEX($AC$21:$AC$97,B554))*(1+INDEX($AC$21:$AC$97,C554))*(1+INDEX($AC$21:$AC$97,D554))*(1+INDEX($AC$21:$AC$97,E554))*(1+INDEX($AC$21:$AC$97,F554))-1</f>
        <v>0.392174864708722</v>
      </c>
      <c r="M554" s="489">
        <f>(1+INDEX($AD$21:$AD$97,B554))*(1+INDEX($AD$21:$AD$97,C554))*(1+INDEX($AD$21:$AD$97,D554))*(1+INDEX($AD$21:$AD$97,E554))*(1+INDEX($AD$21:$AD$97,F554))-1</f>
        <v>0.4048202667498</v>
      </c>
      <c r="N554" s="489">
        <f>(1+INDEX($AE$21:$AE$97,B554))*(1+INDEX($AE$21:$AE$97,C554))*(1+INDEX($AE$21:$AE$97,D554))*(1+INDEX($AE$21:$AE$97,E554))*(1+INDEX($AE$21:$AE$97,F554))-1</f>
        <v>0.382815353700082</v>
      </c>
      <c r="O554" s="489">
        <f>(1+INDEX($AF$21:$AF$97,B554))*(1+INDEX($AF$21:$AF$97,C554))*(1+INDEX($AF$21:$AF$97,D554))*(1+INDEX($AF$21:$AF$97,E554))*(1+INDEX($AF$21:$AF$97,F554))-1</f>
        <v>0.411476939470386</v>
      </c>
      <c r="P554" s="489">
        <f>LN((1+L554)/(1+H554))</f>
        <v>0.000625369103137381</v>
      </c>
      <c r="Q554" s="489">
        <f>LN((1+M554)/(1+H554))</f>
        <v>0.00966756446303626</v>
      </c>
      <c r="R554" s="489">
        <f>LN((1+N554)/(1+H554))</f>
        <v>-0.00612027377340528</v>
      </c>
      <c r="S554" s="542">
        <f>LN((1+O554)/(1+H554))</f>
        <v>0.0143948248546333</v>
      </c>
    </row>
    <row r="555">
      <c r="A555" s="320" t="n">
        <v>454</v>
      </c>
      <c r="B555" s="174" t="n">
        <v>66</v>
      </c>
      <c r="C555" s="174" t="n">
        <v>43</v>
      </c>
      <c r="D555" s="174" t="n">
        <v>31</v>
      </c>
      <c r="E555" s="174" t="n">
        <v>52</v>
      </c>
      <c r="F555" s="174" t="n">
        <v>67</v>
      </c>
      <c r="G555" s="68">
        <f>(1+INDEX($Z$21:$Z$97,B555))*(1+INDEX($Z$21:$Z$97,C555))*(1+INDEX($Z$21:$Z$97,D555))*(1+INDEX($Z$21:$Z$97,E555))*(1+INDEX($Z$21:$Z$97,F555))-1</f>
        <v>0.689406239109115</v>
      </c>
      <c r="H555" s="68">
        <f>(1+INDEX($AA$21:$AA$97,B555))*(1+INDEX($AA$21:$AA$97,C555))*(1+INDEX($AA$21:$AA$97,D555))*(1+INDEX($AA$21:$AA$97,E555))*(1+INDEX($AA$21:$AA$97,F555))-1</f>
        <v>0.681132548342448</v>
      </c>
      <c r="I555" s="68">
        <f>(1+INDEX($AB$21:$AB$97,B555))*(1+INDEX($AB$21:$AB$97,C555))*(1+INDEX($AB$21:$AB$97,D555))*(1+INDEX($AB$21:$AB$97,E555))*(1+INDEX($AB$21:$AB$97,F555))-1</f>
        <v>0.742819489865859</v>
      </c>
      <c r="J555" s="489">
        <f>LN((1+G555)/(1+H555))</f>
        <v>0.00490942719039432</v>
      </c>
      <c r="K555" s="489">
        <f>LN((1+I555)/(1+H555))</f>
        <v>0.0360364960694532</v>
      </c>
      <c r="L555" s="489">
        <f>(1+INDEX($AC$21:$AC$97,B555))*(1+INDEX($AC$21:$AC$97,C555))*(1+INDEX($AC$21:$AC$97,D555))*(1+INDEX($AC$21:$AC$97,E555))*(1+INDEX($AC$21:$AC$97,F555))-1</f>
        <v>0.753221919304322</v>
      </c>
      <c r="M555" s="489">
        <f>(1+INDEX($AD$21:$AD$97,B555))*(1+INDEX($AD$21:$AD$97,C555))*(1+INDEX($AD$21:$AD$97,D555))*(1+INDEX($AD$21:$AD$97,E555))*(1+INDEX($AD$21:$AD$97,F555))-1</f>
        <v>0.730270522760171</v>
      </c>
      <c r="N555" s="489">
        <f>(1+INDEX($AE$21:$AE$97,B555))*(1+INDEX($AE$21:$AE$97,C555))*(1+INDEX($AE$21:$AE$97,D555))*(1+INDEX($AE$21:$AE$97,E555))*(1+INDEX($AE$21:$AE$97,F555))-1</f>
        <v>0.760150000204964</v>
      </c>
      <c r="O555" s="489">
        <f>(1+INDEX($AF$21:$AF$97,B555))*(1+INDEX($AF$21:$AF$97,C555))*(1+INDEX($AF$21:$AF$97,D555))*(1+INDEX($AF$21:$AF$97,E555))*(1+INDEX($AF$21:$AF$97,F555))-1</f>
        <v>0.706512287464588</v>
      </c>
      <c r="P555" s="489">
        <f>LN((1+L555)/(1+H555))</f>
        <v>0.0419874897337414</v>
      </c>
      <c r="Q555" s="489">
        <f>LN((1+M555)/(1+H555))</f>
        <v>0.0288100656168599</v>
      </c>
      <c r="R555" s="489">
        <f>LN((1+N555)/(1+H555))</f>
        <v>0.0459313306018533</v>
      </c>
      <c r="S555" s="542">
        <f>LN((1+O555)/(1+H555))</f>
        <v>0.014983987522403</v>
      </c>
    </row>
    <row r="556">
      <c r="A556" s="320" t="n">
        <v>455</v>
      </c>
      <c r="B556" s="174" t="n">
        <v>60</v>
      </c>
      <c r="C556" s="174" t="n">
        <v>9</v>
      </c>
      <c r="D556" s="174" t="n">
        <v>28</v>
      </c>
      <c r="E556" s="174" t="n">
        <v>55</v>
      </c>
      <c r="F556" s="174" t="n">
        <v>2</v>
      </c>
      <c r="G556" s="68">
        <f>(1+INDEX($Z$21:$Z$97,B556))*(1+INDEX($Z$21:$Z$97,C556))*(1+INDEX($Z$21:$Z$97,D556))*(1+INDEX($Z$21:$Z$97,E556))*(1+INDEX($Z$21:$Z$97,F556))-1</f>
        <v>0.274304217117111</v>
      </c>
      <c r="H556" s="68">
        <f>(1+INDEX($AA$21:$AA$97,B556))*(1+INDEX($AA$21:$AA$97,C556))*(1+INDEX($AA$21:$AA$97,D556))*(1+INDEX($AA$21:$AA$97,E556))*(1+INDEX($AA$21:$AA$97,F556))-1</f>
        <v>0.323361124838614</v>
      </c>
      <c r="I556" s="68">
        <f>(1+INDEX($AB$21:$AB$97,B556))*(1+INDEX($AB$21:$AB$97,C556))*(1+INDEX($AB$21:$AB$97,D556))*(1+INDEX($AB$21:$AB$97,E556))*(1+INDEX($AB$21:$AB$97,F556))-1</f>
        <v>0.302114538537228</v>
      </c>
      <c r="J556" s="489">
        <f>LN((1+G556)/(1+H556))</f>
        <v>-0.0377744893576045</v>
      </c>
      <c r="K556" s="489">
        <f>LN((1+I556)/(1+H556))</f>
        <v>-0.0161852958040744</v>
      </c>
      <c r="L556" s="489">
        <f>(1+INDEX($AC$21:$AC$97,B556))*(1+INDEX($AC$21:$AC$97,C556))*(1+INDEX($AC$21:$AC$97,D556))*(1+INDEX($AC$21:$AC$97,E556))*(1+INDEX($AC$21:$AC$97,F556))-1</f>
        <v>0.304856108846533</v>
      </c>
      <c r="M556" s="489">
        <f>(1+INDEX($AD$21:$AD$97,B556))*(1+INDEX($AD$21:$AD$97,C556))*(1+INDEX($AD$21:$AD$97,D556))*(1+INDEX($AD$21:$AD$97,E556))*(1+INDEX($AD$21:$AD$97,F556))-1</f>
        <v>0.318655066001238</v>
      </c>
      <c r="N556" s="489">
        <f>(1+INDEX($AE$21:$AE$97,B556))*(1+INDEX($AE$21:$AE$97,C556))*(1+INDEX($AE$21:$AE$97,D556))*(1+INDEX($AE$21:$AE$97,E556))*(1+INDEX($AE$21:$AE$97,F556))-1</f>
        <v>0.318796057766776</v>
      </c>
      <c r="O556" s="489">
        <f>(1+INDEX($AF$21:$AF$97,B556))*(1+INDEX($AF$21:$AF$97,C556))*(1+INDEX($AF$21:$AF$97,D556))*(1+INDEX($AF$21:$AF$97,E556))*(1+INDEX($AF$21:$AF$97,F556))-1</f>
        <v>0.355254450878261</v>
      </c>
      <c r="P556" s="489">
        <f>LN((1+L556)/(1+H556))</f>
        <v>-0.014082033672822</v>
      </c>
      <c r="Q556" s="489">
        <f>LN((1+M556)/(1+H556))</f>
        <v>-0.00356247916333103</v>
      </c>
      <c r="R556" s="489">
        <f>LN((1+N556)/(1+H556))</f>
        <v>-0.00345556399481765</v>
      </c>
      <c r="S556" s="542">
        <f>LN((1+O556)/(1+H556))</f>
        <v>0.0238144163800252</v>
      </c>
    </row>
    <row r="557">
      <c r="A557" s="320" t="n">
        <v>456</v>
      </c>
      <c r="B557" s="174" t="n">
        <v>39</v>
      </c>
      <c r="C557" s="174" t="n">
        <v>73</v>
      </c>
      <c r="D557" s="174" t="n">
        <v>14</v>
      </c>
      <c r="E557" s="174" t="n">
        <v>76</v>
      </c>
      <c r="F557" s="174" t="n">
        <v>25</v>
      </c>
      <c r="G557" s="68">
        <f>(1+INDEX($Z$21:$Z$97,B557))*(1+INDEX($Z$21:$Z$97,C557))*(1+INDEX($Z$21:$Z$97,D557))*(1+INDEX($Z$21:$Z$97,E557))*(1+INDEX($Z$21:$Z$97,F557))-1</f>
        <v>0.544668881561966</v>
      </c>
      <c r="H557" s="68">
        <f>(1+INDEX($AA$21:$AA$97,B557))*(1+INDEX($AA$21:$AA$97,C557))*(1+INDEX($AA$21:$AA$97,D557))*(1+INDEX($AA$21:$AA$97,E557))*(1+INDEX($AA$21:$AA$97,F557))-1</f>
        <v>0.448937568666141</v>
      </c>
      <c r="I557" s="68">
        <f>(1+INDEX($AB$21:$AB$97,B557))*(1+INDEX($AB$21:$AB$97,C557))*(1+INDEX($AB$21:$AB$97,D557))*(1+INDEX($AB$21:$AB$97,E557))*(1+INDEX($AB$21:$AB$97,F557))-1</f>
        <v>0.513993614631373</v>
      </c>
      <c r="J557" s="489">
        <f>LN((1+G557)/(1+H557))</f>
        <v>0.0639789946359414</v>
      </c>
      <c r="K557" s="489">
        <f>LN((1+I557)/(1+H557))</f>
        <v>0.0439203608540733</v>
      </c>
      <c r="L557" s="489">
        <f>(1+INDEX($AC$21:$AC$97,B557))*(1+INDEX($AC$21:$AC$97,C557))*(1+INDEX($AC$21:$AC$97,D557))*(1+INDEX($AC$21:$AC$97,E557))*(1+INDEX($AC$21:$AC$97,F557))-1</f>
        <v>0.495877175318175</v>
      </c>
      <c r="M557" s="489">
        <f>(1+INDEX($AD$21:$AD$97,B557))*(1+INDEX($AD$21:$AD$97,C557))*(1+INDEX($AD$21:$AD$97,D557))*(1+INDEX($AD$21:$AD$97,E557))*(1+INDEX($AD$21:$AD$97,F557))-1</f>
        <v>0.524497294925094</v>
      </c>
      <c r="N557" s="489">
        <f>(1+INDEX($AE$21:$AE$97,B557))*(1+INDEX($AE$21:$AE$97,C557))*(1+INDEX($AE$21:$AE$97,D557))*(1+INDEX($AE$21:$AE$97,E557))*(1+INDEX($AE$21:$AE$97,F557))-1</f>
        <v>0.46880393824681</v>
      </c>
      <c r="O557" s="489">
        <f>(1+INDEX($AF$21:$AF$97,B557))*(1+INDEX($AF$21:$AF$97,C557))*(1+INDEX($AF$21:$AF$97,D557))*(1+INDEX($AF$21:$AF$97,E557))*(1+INDEX($AF$21:$AF$97,F557))-1</f>
        <v>0.470617015980445</v>
      </c>
      <c r="P557" s="489">
        <f>LN((1+L557)/(1+H557))</f>
        <v>0.0318821975180241</v>
      </c>
      <c r="Q557" s="489">
        <f>LN((1+M557)/(1+H557))</f>
        <v>0.0508341364395575</v>
      </c>
      <c r="R557" s="489">
        <f>LN((1+N557)/(1+H557))</f>
        <v>0.0136178455450885</v>
      </c>
      <c r="S557" s="542">
        <f>LN((1+O557)/(1+H557))</f>
        <v>0.014851474883521</v>
      </c>
    </row>
    <row r="558">
      <c r="A558" s="320" t="n">
        <v>457</v>
      </c>
      <c r="B558" s="174" t="n">
        <v>35</v>
      </c>
      <c r="C558" s="174" t="n">
        <v>20</v>
      </c>
      <c r="D558" s="174" t="n">
        <v>6</v>
      </c>
      <c r="E558" s="174" t="n">
        <v>68</v>
      </c>
      <c r="F558" s="174" t="n">
        <v>15</v>
      </c>
      <c r="G558" s="68">
        <f>(1+INDEX($Z$21:$Z$97,B558))*(1+INDEX($Z$21:$Z$97,C558))*(1+INDEX($Z$21:$Z$97,D558))*(1+INDEX($Z$21:$Z$97,E558))*(1+INDEX($Z$21:$Z$97,F558))-1</f>
        <v>0.085921915350889</v>
      </c>
      <c r="H558" s="68">
        <f>(1+INDEX($AA$21:$AA$97,B558))*(1+INDEX($AA$21:$AA$97,C558))*(1+INDEX($AA$21:$AA$97,D558))*(1+INDEX($AA$21:$AA$97,E558))*(1+INDEX($AA$21:$AA$97,F558))-1</f>
        <v>0.122026386707149</v>
      </c>
      <c r="I558" s="68">
        <f>(1+INDEX($AB$21:$AB$97,B558))*(1+INDEX($AB$21:$AB$97,C558))*(1+INDEX($AB$21:$AB$97,D558))*(1+INDEX($AB$21:$AB$97,E558))*(1+INDEX($AB$21:$AB$97,F558))-1</f>
        <v>0.1014192334347</v>
      </c>
      <c r="J558" s="489">
        <f>LN((1+G558)/(1+H558))</f>
        <v>-0.0327070066117375</v>
      </c>
      <c r="K558" s="489">
        <f>LN((1+I558)/(1+H558))</f>
        <v>-0.0185367639791406</v>
      </c>
      <c r="L558" s="489">
        <f>(1+INDEX($AC$21:$AC$97,B558))*(1+INDEX($AC$21:$AC$97,C558))*(1+INDEX($AC$21:$AC$97,D558))*(1+INDEX($AC$21:$AC$97,E558))*(1+INDEX($AC$21:$AC$97,F558))-1</f>
        <v>0.0873741696507648</v>
      </c>
      <c r="M558" s="489">
        <f>(1+INDEX($AD$21:$AD$97,B558))*(1+INDEX($AD$21:$AD$97,C558))*(1+INDEX($AD$21:$AD$97,D558))*(1+INDEX($AD$21:$AD$97,E558))*(1+INDEX($AD$21:$AD$97,F558))-1</f>
        <v>0.0999056742357971</v>
      </c>
      <c r="N558" s="489">
        <f>(1+INDEX($AE$21:$AE$97,B558))*(1+INDEX($AE$21:$AE$97,C558))*(1+INDEX($AE$21:$AE$97,D558))*(1+INDEX($AE$21:$AE$97,E558))*(1+INDEX($AE$21:$AE$97,F558))-1</f>
        <v>0.0795144872567817</v>
      </c>
      <c r="O558" s="489">
        <f>(1+INDEX($AF$21:$AF$97,B558))*(1+INDEX($AF$21:$AF$97,C558))*(1+INDEX($AF$21:$AF$97,D558))*(1+INDEX($AF$21:$AF$97,E558))*(1+INDEX($AF$21:$AF$97,F558))-1</f>
        <v>0.11249421080145</v>
      </c>
      <c r="P558" s="489">
        <f>LN((1+L558)/(1+H558))</f>
        <v>-0.0313705531702989</v>
      </c>
      <c r="Q558" s="489">
        <f>LN((1+M558)/(1+H558))</f>
        <v>-0.0199118989554814</v>
      </c>
      <c r="R558" s="489">
        <f>LN((1+N558)/(1+H558))</f>
        <v>-0.0386249331658323</v>
      </c>
      <c r="S558" s="542">
        <f>LN((1+O558)/(1+H558))</f>
        <v>-0.00853179311753449</v>
      </c>
    </row>
    <row r="559">
      <c r="A559" s="320" t="n">
        <v>458</v>
      </c>
      <c r="B559" s="174" t="n">
        <v>40</v>
      </c>
      <c r="C559" s="174" t="n">
        <v>32</v>
      </c>
      <c r="D559" s="174" t="n">
        <v>72</v>
      </c>
      <c r="E559" s="174" t="n">
        <v>33</v>
      </c>
      <c r="F559" s="174" t="n">
        <v>65</v>
      </c>
      <c r="G559" s="68">
        <f>(1+INDEX($Z$21:$Z$97,B559))*(1+INDEX($Z$21:$Z$97,C559))*(1+INDEX($Z$21:$Z$97,D559))*(1+INDEX($Z$21:$Z$97,E559))*(1+INDEX($Z$21:$Z$97,F559))-1</f>
        <v>0.649370603509741</v>
      </c>
      <c r="H559" s="68">
        <f>(1+INDEX($AA$21:$AA$97,B559))*(1+INDEX($AA$21:$AA$97,C559))*(1+INDEX($AA$21:$AA$97,D559))*(1+INDEX($AA$21:$AA$97,E559))*(1+INDEX($AA$21:$AA$97,F559))-1</f>
        <v>0.641092025838629</v>
      </c>
      <c r="I559" s="68">
        <f>(1+INDEX($AB$21:$AB$97,B559))*(1+INDEX($AB$21:$AB$97,C559))*(1+INDEX($AB$21:$AB$97,D559))*(1+INDEX($AB$21:$AB$97,E559))*(1+INDEX($AB$21:$AB$97,F559))-1</f>
        <v>0.740846675936844</v>
      </c>
      <c r="J559" s="489">
        <f>LN((1+G559)/(1+H559))</f>
        <v>0.00503187306544071</v>
      </c>
      <c r="K559" s="489">
        <f>LN((1+I559)/(1+H559))</f>
        <v>0.0590097005860762</v>
      </c>
      <c r="L559" s="489">
        <f>(1+INDEX($AC$21:$AC$97,B559))*(1+INDEX($AC$21:$AC$97,C559))*(1+INDEX($AC$21:$AC$97,D559))*(1+INDEX($AC$21:$AC$97,E559))*(1+INDEX($AC$21:$AC$97,F559))-1</f>
        <v>0.719467517585889</v>
      </c>
      <c r="M559" s="489">
        <f>(1+INDEX($AD$21:$AD$97,B559))*(1+INDEX($AD$21:$AD$97,C559))*(1+INDEX($AD$21:$AD$97,D559))*(1+INDEX($AD$21:$AD$97,E559))*(1+INDEX($AD$21:$AD$97,F559))-1</f>
        <v>0.739835159936845</v>
      </c>
      <c r="N559" s="489">
        <f>(1+INDEX($AE$21:$AE$97,B559))*(1+INDEX($AE$21:$AE$97,C559))*(1+INDEX($AE$21:$AE$97,D559))*(1+INDEX($AE$21:$AE$97,E559))*(1+INDEX($AE$21:$AE$97,F559))-1</f>
        <v>0.715188352155799</v>
      </c>
      <c r="O559" s="489">
        <f>(1+INDEX($AF$21:$AF$97,B559))*(1+INDEX($AF$21:$AF$97,C559))*(1+INDEX($AF$21:$AF$97,D559))*(1+INDEX($AF$21:$AF$97,E559))*(1+INDEX($AF$21:$AF$97,F559))-1</f>
        <v>0.620492530213714</v>
      </c>
      <c r="P559" s="489">
        <f>LN((1+L559)/(1+H559))</f>
        <v>0.0466527704385832</v>
      </c>
      <c r="Q559" s="489">
        <f>LN((1+M559)/(1+H559))</f>
        <v>0.0584284834130214</v>
      </c>
      <c r="R559" s="489">
        <f>LN((1+N559)/(1+H559))</f>
        <v>0.044161011260116</v>
      </c>
      <c r="S559" s="542">
        <f>LN((1+O559)/(1+H559))</f>
        <v>-0.0126317556248749</v>
      </c>
    </row>
    <row r="560">
      <c r="A560" s="320" t="n">
        <v>459</v>
      </c>
      <c r="B560" s="174" t="n">
        <v>47</v>
      </c>
      <c r="C560" s="174" t="n">
        <v>52</v>
      </c>
      <c r="D560" s="174" t="n">
        <v>66</v>
      </c>
      <c r="E560" s="174" t="n">
        <v>20</v>
      </c>
      <c r="F560" s="174" t="n">
        <v>12</v>
      </c>
      <c r="G560" s="68">
        <f>(1+INDEX($Z$21:$Z$97,B560))*(1+INDEX($Z$21:$Z$97,C560))*(1+INDEX($Z$21:$Z$97,D560))*(1+INDEX($Z$21:$Z$97,E560))*(1+INDEX($Z$21:$Z$97,F560))-1</f>
        <v>0.66271774070515</v>
      </c>
      <c r="H560" s="68">
        <f>(1+INDEX($AA$21:$AA$97,B560))*(1+INDEX($AA$21:$AA$97,C560))*(1+INDEX($AA$21:$AA$97,D560))*(1+INDEX($AA$21:$AA$97,E560))*(1+INDEX($AA$21:$AA$97,F560))-1</f>
        <v>0.575371297511706</v>
      </c>
      <c r="I560" s="68">
        <f>(1+INDEX($AB$21:$AB$97,B560))*(1+INDEX($AB$21:$AB$97,C560))*(1+INDEX($AB$21:$AB$97,D560))*(1+INDEX($AB$21:$AB$97,E560))*(1+INDEX($AB$21:$AB$97,F560))-1</f>
        <v>0.620411533210455</v>
      </c>
      <c r="J560" s="489">
        <f>LN((1+G560)/(1+H560))</f>
        <v>0.0539624678784138</v>
      </c>
      <c r="K560" s="489">
        <f>LN((1+I560)/(1+H560))</f>
        <v>0.0281891608832566</v>
      </c>
      <c r="L560" s="489">
        <f>(1+INDEX($AC$21:$AC$97,B560))*(1+INDEX($AC$21:$AC$97,C560))*(1+INDEX($AC$21:$AC$97,D560))*(1+INDEX($AC$21:$AC$97,E560))*(1+INDEX($AC$21:$AC$97,F560))-1</f>
        <v>0.617308119697493</v>
      </c>
      <c r="M560" s="489">
        <f>(1+INDEX($AD$21:$AD$97,B560))*(1+INDEX($AD$21:$AD$97,C560))*(1+INDEX($AD$21:$AD$97,D560))*(1+INDEX($AD$21:$AD$97,E560))*(1+INDEX($AD$21:$AD$97,F560))-1</f>
        <v>0.611584003489161</v>
      </c>
      <c r="N560" s="489">
        <f>(1+INDEX($AE$21:$AE$97,B560))*(1+INDEX($AE$21:$AE$97,C560))*(1+INDEX($AE$21:$AE$97,D560))*(1+INDEX($AE$21:$AE$97,E560))*(1+INDEX($AE$21:$AE$97,F560))-1</f>
        <v>0.612056317911206</v>
      </c>
      <c r="O560" s="489">
        <f>(1+INDEX($AF$21:$AF$97,B560))*(1+INDEX($AF$21:$AF$97,C560))*(1+INDEX($AF$21:$AF$97,D560))*(1+INDEX($AF$21:$AF$97,E560))*(1+INDEX($AF$21:$AF$97,F560))-1</f>
        <v>0.622684561973042</v>
      </c>
      <c r="P560" s="489">
        <f>LN((1+L560)/(1+H560))</f>
        <v>0.0262721237113673</v>
      </c>
      <c r="Q560" s="489">
        <f>LN((1+M560)/(1+H560))</f>
        <v>0.0227265594828649</v>
      </c>
      <c r="R560" s="489">
        <f>LN((1+N560)/(1+H560))</f>
        <v>0.0230195911975318</v>
      </c>
      <c r="S560" s="542">
        <f>LN((1+O560)/(1+H560))</f>
        <v>0.0295909257820274</v>
      </c>
    </row>
    <row r="561">
      <c r="A561" s="320" t="n">
        <v>460</v>
      </c>
      <c r="B561" s="174" t="n">
        <v>59</v>
      </c>
      <c r="C561" s="174" t="n">
        <v>69</v>
      </c>
      <c r="D561" s="174" t="n">
        <v>12</v>
      </c>
      <c r="E561" s="174" t="n">
        <v>69</v>
      </c>
      <c r="F561" s="174" t="n">
        <v>64</v>
      </c>
      <c r="G561" s="68">
        <f>(1+INDEX($Z$21:$Z$97,B561))*(1+INDEX($Z$21:$Z$97,C561))*(1+INDEX($Z$21:$Z$97,D561))*(1+INDEX($Z$21:$Z$97,E561))*(1+INDEX($Z$21:$Z$97,F561))-1</f>
        <v>0.666806760980864</v>
      </c>
      <c r="H561" s="68">
        <f>(1+INDEX($AA$21:$AA$97,B561))*(1+INDEX($AA$21:$AA$97,C561))*(1+INDEX($AA$21:$AA$97,D561))*(1+INDEX($AA$21:$AA$97,E561))*(1+INDEX($AA$21:$AA$97,F561))-1</f>
        <v>0.614890576410226</v>
      </c>
      <c r="I561" s="68">
        <f>(1+INDEX($AB$21:$AB$97,B561))*(1+INDEX($AB$21:$AB$97,C561))*(1+INDEX($AB$21:$AB$97,D561))*(1+INDEX($AB$21:$AB$97,E561))*(1+INDEX($AB$21:$AB$97,F561))-1</f>
        <v>0.63948483668707</v>
      </c>
      <c r="J561" s="489">
        <f>LN((1+G561)/(1+H561))</f>
        <v>0.0316424769875267</v>
      </c>
      <c r="K561" s="489">
        <f>LN((1+I561)/(1+H561))</f>
        <v>0.0151148686831137</v>
      </c>
      <c r="L561" s="489">
        <f>(1+INDEX($AC$21:$AC$97,B561))*(1+INDEX($AC$21:$AC$97,C561))*(1+INDEX($AC$21:$AC$97,D561))*(1+INDEX($AC$21:$AC$97,E561))*(1+INDEX($AC$21:$AC$97,F561))-1</f>
        <v>0.687775031816994</v>
      </c>
      <c r="M561" s="489">
        <f>(1+INDEX($AD$21:$AD$97,B561))*(1+INDEX($AD$21:$AD$97,C561))*(1+INDEX($AD$21:$AD$97,D561))*(1+INDEX($AD$21:$AD$97,E561))*(1+INDEX($AD$21:$AD$97,F561))-1</f>
        <v>0.586551063611803</v>
      </c>
      <c r="N561" s="489">
        <f>(1+INDEX($AE$21:$AE$97,B561))*(1+INDEX($AE$21:$AE$97,C561))*(1+INDEX($AE$21:$AE$97,D561))*(1+INDEX($AE$21:$AE$97,E561))*(1+INDEX($AE$21:$AE$97,F561))-1</f>
        <v>0.701373496919675</v>
      </c>
      <c r="O561" s="489">
        <f>(1+INDEX($AF$21:$AF$97,B561))*(1+INDEX($AF$21:$AF$97,C561))*(1+INDEX($AF$21:$AF$97,D561))*(1+INDEX($AF$21:$AF$97,E561))*(1+INDEX($AF$21:$AF$97,F561))-1</f>
        <v>0.566243012444228</v>
      </c>
      <c r="P561" s="489">
        <f>LN((1+L561)/(1+H561))</f>
        <v>0.0441439124675068</v>
      </c>
      <c r="Q561" s="489">
        <f>LN((1+M561)/(1+H561))</f>
        <v>-0.0177046819817485</v>
      </c>
      <c r="R561" s="489">
        <f>LN((1+N561)/(1+H561))</f>
        <v>0.052168664384943</v>
      </c>
      <c r="S561" s="542">
        <f>LN((1+O561)/(1+H561))</f>
        <v>-0.0305874339447418</v>
      </c>
    </row>
    <row r="562">
      <c r="A562" s="320" t="n">
        <v>461</v>
      </c>
      <c r="B562" s="174" t="n">
        <v>67</v>
      </c>
      <c r="C562" s="174" t="n">
        <v>36</v>
      </c>
      <c r="D562" s="174" t="n">
        <v>29</v>
      </c>
      <c r="E562" s="174" t="n">
        <v>9</v>
      </c>
      <c r="F562" s="174" t="n">
        <v>61</v>
      </c>
      <c r="G562" s="68">
        <f>(1+INDEX($Z$21:$Z$97,B562))*(1+INDEX($Z$21:$Z$97,C562))*(1+INDEX($Z$21:$Z$97,D562))*(1+INDEX($Z$21:$Z$97,E562))*(1+INDEX($Z$21:$Z$97,F562))-1</f>
        <v>0.211076908205919</v>
      </c>
      <c r="H562" s="68">
        <f>(1+INDEX($AA$21:$AA$97,B562))*(1+INDEX($AA$21:$AA$97,C562))*(1+INDEX($AA$21:$AA$97,D562))*(1+INDEX($AA$21:$AA$97,E562))*(1+INDEX($AA$21:$AA$97,F562))-1</f>
        <v>0.266428361453837</v>
      </c>
      <c r="I562" s="68">
        <f>(1+INDEX($AB$21:$AB$97,B562))*(1+INDEX($AB$21:$AB$97,C562))*(1+INDEX($AB$21:$AB$97,D562))*(1+INDEX($AB$21:$AB$97,E562))*(1+INDEX($AB$21:$AB$97,F562))-1</f>
        <v>0.239515716235339</v>
      </c>
      <c r="J562" s="489">
        <f>LN((1+G562)/(1+H562))</f>
        <v>-0.0446906541009473</v>
      </c>
      <c r="K562" s="489">
        <f>LN((1+I562)/(1+H562))</f>
        <v>-0.0214798727613891</v>
      </c>
      <c r="L562" s="489">
        <f>(1+INDEX($AC$21:$AC$97,B562))*(1+INDEX($AC$21:$AC$97,C562))*(1+INDEX($AC$21:$AC$97,D562))*(1+INDEX($AC$21:$AC$97,E562))*(1+INDEX($AC$21:$AC$97,F562))-1</f>
        <v>0.256323671107285</v>
      </c>
      <c r="M562" s="489">
        <f>(1+INDEX($AD$21:$AD$97,B562))*(1+INDEX($AD$21:$AD$97,C562))*(1+INDEX($AD$21:$AD$97,D562))*(1+INDEX($AD$21:$AD$97,E562))*(1+INDEX($AD$21:$AD$97,F562))-1</f>
        <v>0.232027472105484</v>
      </c>
      <c r="N562" s="489">
        <f>(1+INDEX($AE$21:$AE$97,B562))*(1+INDEX($AE$21:$AE$97,C562))*(1+INDEX($AE$21:$AE$97,D562))*(1+INDEX($AE$21:$AE$97,E562))*(1+INDEX($AE$21:$AE$97,F562))-1</f>
        <v>0.273700201790622</v>
      </c>
      <c r="O562" s="489">
        <f>(1+INDEX($AF$21:$AF$97,B562))*(1+INDEX($AF$21:$AF$97,C562))*(1+INDEX($AF$21:$AF$97,D562))*(1+INDEX($AF$21:$AF$97,E562))*(1+INDEX($AF$21:$AF$97,F562))-1</f>
        <v>0.259066699770307</v>
      </c>
      <c r="P562" s="489">
        <f>LN((1+L562)/(1+H562))</f>
        <v>-0.00801088989688443</v>
      </c>
      <c r="Q562" s="489">
        <f>LN((1+M562)/(1+H562))</f>
        <v>-0.0275394610205181</v>
      </c>
      <c r="R562" s="489">
        <f>LN((1+N562)/(1+H562))</f>
        <v>0.00572558437210265</v>
      </c>
      <c r="S562" s="542">
        <f>LN((1+O562)/(1+H562))</f>
        <v>-0.00582989263927785</v>
      </c>
    </row>
    <row r="563">
      <c r="A563" s="320" t="n">
        <v>462</v>
      </c>
      <c r="B563" s="174" t="n">
        <v>3</v>
      </c>
      <c r="C563" s="174" t="n">
        <v>11</v>
      </c>
      <c r="D563" s="174" t="n">
        <v>60</v>
      </c>
      <c r="E563" s="174" t="n">
        <v>3</v>
      </c>
      <c r="F563" s="174" t="n">
        <v>11</v>
      </c>
      <c r="G563" s="68">
        <f>(1+INDEX($Z$21:$Z$97,B563))*(1+INDEX($Z$21:$Z$97,C563))*(1+INDEX($Z$21:$Z$97,D563))*(1+INDEX($Z$21:$Z$97,E563))*(1+INDEX($Z$21:$Z$97,F563))-1</f>
        <v>0.472817048957745</v>
      </c>
      <c r="H563" s="68">
        <f>(1+INDEX($AA$21:$AA$97,B563))*(1+INDEX($AA$21:$AA$97,C563))*(1+INDEX($AA$21:$AA$97,D563))*(1+INDEX($AA$21:$AA$97,E563))*(1+INDEX($AA$21:$AA$97,F563))-1</f>
        <v>0.379122866924477</v>
      </c>
      <c r="I563" s="68">
        <f>(1+INDEX($AB$21:$AB$97,B563))*(1+INDEX($AB$21:$AB$97,C563))*(1+INDEX($AB$21:$AB$97,D563))*(1+INDEX($AB$21:$AB$97,E563))*(1+INDEX($AB$21:$AB$97,F563))-1</f>
        <v>0.334894645246067</v>
      </c>
      <c r="J563" s="489">
        <f>LN((1+G563)/(1+H563))</f>
        <v>0.0657292333413259</v>
      </c>
      <c r="K563" s="489">
        <f>LN((1+I563)/(1+H563))</f>
        <v>-0.0325953220901532</v>
      </c>
      <c r="L563" s="489">
        <f>(1+INDEX($AC$21:$AC$97,B563))*(1+INDEX($AC$21:$AC$97,C563))*(1+INDEX($AC$21:$AC$97,D563))*(1+INDEX($AC$21:$AC$97,E563))*(1+INDEX($AC$21:$AC$97,F563))-1</f>
        <v>0.356173229928902</v>
      </c>
      <c r="M563" s="489">
        <f>(1+INDEX($AD$21:$AD$97,B563))*(1+INDEX($AD$21:$AD$97,C563))*(1+INDEX($AD$21:$AD$97,D563))*(1+INDEX($AD$21:$AD$97,E563))*(1+INDEX($AD$21:$AD$97,F563))-1</f>
        <v>0.368355404802452</v>
      </c>
      <c r="N563" s="489">
        <f>(1+INDEX($AE$21:$AE$97,B563))*(1+INDEX($AE$21:$AE$97,C563))*(1+INDEX($AE$21:$AE$97,D563))*(1+INDEX($AE$21:$AE$97,E563))*(1+INDEX($AE$21:$AE$97,F563))-1</f>
        <v>0.347219052602584</v>
      </c>
      <c r="O563" s="489">
        <f>(1+INDEX($AF$21:$AF$97,B563))*(1+INDEX($AF$21:$AF$97,C563))*(1+INDEX($AF$21:$AF$97,D563))*(1+INDEX($AF$21:$AF$97,E563))*(1+INDEX($AF$21:$AF$97,F563))-1</f>
        <v>0.426521270384841</v>
      </c>
      <c r="P563" s="489">
        <f>LN((1+L563)/(1+H563))</f>
        <v>-0.0167807613657354</v>
      </c>
      <c r="Q563" s="489">
        <f>LN((1+M563)/(1+H563))</f>
        <v>-0.00783810911885904</v>
      </c>
      <c r="R563" s="489">
        <f>LN((1+N563)/(1+H563))</f>
        <v>-0.0234051866323472</v>
      </c>
      <c r="S563" s="542">
        <f>LN((1+O563)/(1+H563))</f>
        <v>0.0337911090408841</v>
      </c>
    </row>
    <row r="564">
      <c r="A564" s="320" t="n">
        <v>463</v>
      </c>
      <c r="B564" s="174" t="n">
        <v>25</v>
      </c>
      <c r="C564" s="174" t="n">
        <v>33</v>
      </c>
      <c r="D564" s="174" t="n">
        <v>19</v>
      </c>
      <c r="E564" s="174" t="n">
        <v>45</v>
      </c>
      <c r="F564" s="174" t="n">
        <v>5</v>
      </c>
      <c r="G564" s="68">
        <f>(1+INDEX($Z$21:$Z$97,B564))*(1+INDEX($Z$21:$Z$97,C564))*(1+INDEX($Z$21:$Z$97,D564))*(1+INDEX($Z$21:$Z$97,E564))*(1+INDEX($Z$21:$Z$97,F564))-1</f>
        <v>0.274795011054447</v>
      </c>
      <c r="H564" s="68">
        <f>(1+INDEX($AA$21:$AA$97,B564))*(1+INDEX($AA$21:$AA$97,C564))*(1+INDEX($AA$21:$AA$97,D564))*(1+INDEX($AA$21:$AA$97,E564))*(1+INDEX($AA$21:$AA$97,F564))-1</f>
        <v>0.28909904231787</v>
      </c>
      <c r="I564" s="68">
        <f>(1+INDEX($AB$21:$AB$97,B564))*(1+INDEX($AB$21:$AB$97,C564))*(1+INDEX($AB$21:$AB$97,D564))*(1+INDEX($AB$21:$AB$97,E564))*(1+INDEX($AB$21:$AB$97,F564))-1</f>
        <v>0.29997023727247</v>
      </c>
      <c r="J564" s="489">
        <f>LN((1+G564)/(1+H564))</f>
        <v>-0.0111581675180612</v>
      </c>
      <c r="K564" s="489">
        <f>LN((1+I564)/(1+H564))</f>
        <v>0.008397812240527</v>
      </c>
      <c r="L564" s="489">
        <f>(1+INDEX($AC$21:$AC$97,B564))*(1+INDEX($AC$21:$AC$97,C564))*(1+INDEX($AC$21:$AC$97,D564))*(1+INDEX($AC$21:$AC$97,E564))*(1+INDEX($AC$21:$AC$97,F564))-1</f>
        <v>0.281206171166974</v>
      </c>
      <c r="M564" s="489">
        <f>(1+INDEX($AD$21:$AD$97,B564))*(1+INDEX($AD$21:$AD$97,C564))*(1+INDEX($AD$21:$AD$97,D564))*(1+INDEX($AD$21:$AD$97,E564))*(1+INDEX($AD$21:$AD$97,F564))-1</f>
        <v>0.301862841271596</v>
      </c>
      <c r="N564" s="489">
        <f>(1+INDEX($AE$21:$AE$97,B564))*(1+INDEX($AE$21:$AE$97,C564))*(1+INDEX($AE$21:$AE$97,D564))*(1+INDEX($AE$21:$AE$97,E564))*(1+INDEX($AE$21:$AE$97,F564))-1</f>
        <v>0.264854826077073</v>
      </c>
      <c r="O564" s="489">
        <f>(1+INDEX($AF$21:$AF$97,B564))*(1+INDEX($AF$21:$AF$97,C564))*(1+INDEX($AF$21:$AF$97,D564))*(1+INDEX($AF$21:$AF$97,E564))*(1+INDEX($AF$21:$AF$97,F564))-1</f>
        <v>0.290763699037865</v>
      </c>
      <c r="P564" s="489">
        <f>LN((1+L564)/(1+H564))</f>
        <v>-0.00614160210929049</v>
      </c>
      <c r="Q564" s="489">
        <f>LN((1+M564)/(1+H564))</f>
        <v>0.00985263603267872</v>
      </c>
      <c r="R564" s="489">
        <f>LN((1+N564)/(1+H564))</f>
        <v>-0.0189862039596775</v>
      </c>
      <c r="S564" s="542">
        <f>LN((1+O564)/(1+H564))</f>
        <v>0.00129050040092075</v>
      </c>
    </row>
    <row r="565">
      <c r="A565" s="320" t="n">
        <v>464</v>
      </c>
      <c r="B565" s="174" t="n">
        <v>28</v>
      </c>
      <c r="C565" s="174" t="n">
        <v>26</v>
      </c>
      <c r="D565" s="174" t="n">
        <v>65</v>
      </c>
      <c r="E565" s="174" t="n">
        <v>48</v>
      </c>
      <c r="F565" s="174" t="n">
        <v>15</v>
      </c>
      <c r="G565" s="68">
        <f>(1+INDEX($Z$21:$Z$97,B565))*(1+INDEX($Z$21:$Z$97,C565))*(1+INDEX($Z$21:$Z$97,D565))*(1+INDEX($Z$21:$Z$97,E565))*(1+INDEX($Z$21:$Z$97,F565))-1</f>
        <v>0.476010388097631</v>
      </c>
      <c r="H565" s="68">
        <f>(1+INDEX($AA$21:$AA$97,B565))*(1+INDEX($AA$21:$AA$97,C565))*(1+INDEX($AA$21:$AA$97,D565))*(1+INDEX($AA$21:$AA$97,E565))*(1+INDEX($AA$21:$AA$97,F565))-1</f>
        <v>0.454174246079452</v>
      </c>
      <c r="I565" s="68">
        <f>(1+INDEX($AB$21:$AB$97,B565))*(1+INDEX($AB$21:$AB$97,C565))*(1+INDEX($AB$21:$AB$97,D565))*(1+INDEX($AB$21:$AB$97,E565))*(1+INDEX($AB$21:$AB$97,F565))-1</f>
        <v>0.528526243594074</v>
      </c>
      <c r="J565" s="489">
        <f>LN((1+G565)/(1+H565))</f>
        <v>0.0149045531095521</v>
      </c>
      <c r="K565" s="489">
        <f>LN((1+I565)/(1+H565))</f>
        <v>0.049865820659588</v>
      </c>
      <c r="L565" s="489">
        <f>(1+INDEX($AC$21:$AC$97,B565))*(1+INDEX($AC$21:$AC$97,C565))*(1+INDEX($AC$21:$AC$97,D565))*(1+INDEX($AC$21:$AC$97,E565))*(1+INDEX($AC$21:$AC$97,F565))-1</f>
        <v>0.507675744524168</v>
      </c>
      <c r="M565" s="489">
        <f>(1+INDEX($AD$21:$AD$97,B565))*(1+INDEX($AD$21:$AD$97,C565))*(1+INDEX($AD$21:$AD$97,D565))*(1+INDEX($AD$21:$AD$97,E565))*(1+INDEX($AD$21:$AD$97,F565))-1</f>
        <v>0.51566348693613</v>
      </c>
      <c r="N565" s="489">
        <f>(1+INDEX($AE$21:$AE$97,B565))*(1+INDEX($AE$21:$AE$97,C565))*(1+INDEX($AE$21:$AE$97,D565))*(1+INDEX($AE$21:$AE$97,E565))*(1+INDEX($AE$21:$AE$97,F565))-1</f>
        <v>0.501580494405373</v>
      </c>
      <c r="O565" s="489">
        <f>(1+INDEX($AF$21:$AF$97,B565))*(1+INDEX($AF$21:$AF$97,C565))*(1+INDEX($AF$21:$AF$97,D565))*(1+INDEX($AF$21:$AF$97,E565))*(1+INDEX($AF$21:$AF$97,F565))-1</f>
        <v>0.480064967850003</v>
      </c>
      <c r="P565" s="489">
        <f>LN((1+L565)/(1+H565))</f>
        <v>0.0361310118893172</v>
      </c>
      <c r="Q565" s="489">
        <f>LN((1+M565)/(1+H565))</f>
        <v>0.0414150772132111</v>
      </c>
      <c r="R565" s="489">
        <f>LN((1+N565)/(1+H565))</f>
        <v>0.0320800052814204</v>
      </c>
      <c r="S565" s="542">
        <f>LN((1+O565)/(1+H565))</f>
        <v>0.0176477729580313</v>
      </c>
    </row>
    <row r="566">
      <c r="A566" s="320" t="n">
        <v>465</v>
      </c>
      <c r="B566" s="174" t="n">
        <v>76</v>
      </c>
      <c r="C566" s="174" t="n">
        <v>57</v>
      </c>
      <c r="D566" s="174" t="n">
        <v>15</v>
      </c>
      <c r="E566" s="174" t="n">
        <v>20</v>
      </c>
      <c r="F566" s="174" t="n">
        <v>65</v>
      </c>
      <c r="G566" s="68">
        <f>(1+INDEX($Z$21:$Z$97,B566))*(1+INDEX($Z$21:$Z$97,C566))*(1+INDEX($Z$21:$Z$97,D566))*(1+INDEX($Z$21:$Z$97,E566))*(1+INDEX($Z$21:$Z$97,F566))-1</f>
        <v>0.281210427125356</v>
      </c>
      <c r="H566" s="68">
        <f>(1+INDEX($AA$21:$AA$97,B566))*(1+INDEX($AA$21:$AA$97,C566))*(1+INDEX($AA$21:$AA$97,D566))*(1+INDEX($AA$21:$AA$97,E566))*(1+INDEX($AA$21:$AA$97,F566))-1</f>
        <v>0.24665742484488</v>
      </c>
      <c r="I566" s="68">
        <f>(1+INDEX($AB$21:$AB$97,B566))*(1+INDEX($AB$21:$AB$97,C566))*(1+INDEX($AB$21:$AB$97,D566))*(1+INDEX($AB$21:$AB$97,E566))*(1+INDEX($AB$21:$AB$97,F566))-1</f>
        <v>0.269402738307827</v>
      </c>
      <c r="J566" s="489">
        <f>LN((1+G566)/(1+H566))</f>
        <v>0.02733936777671</v>
      </c>
      <c r="K566" s="489">
        <f>LN((1+I566)/(1+H566))</f>
        <v>0.0180805955501146</v>
      </c>
      <c r="L566" s="489">
        <f>(1+INDEX($AC$21:$AC$97,B566))*(1+INDEX($AC$21:$AC$97,C566))*(1+INDEX($AC$21:$AC$97,D566))*(1+INDEX($AC$21:$AC$97,E566))*(1+INDEX($AC$21:$AC$97,F566))-1</f>
        <v>0.252868335143455</v>
      </c>
      <c r="M566" s="489">
        <f>(1+INDEX($AD$21:$AD$97,B566))*(1+INDEX($AD$21:$AD$97,C566))*(1+INDEX($AD$21:$AD$97,D566))*(1+INDEX($AD$21:$AD$97,E566))*(1+INDEX($AD$21:$AD$97,F566))-1</f>
        <v>0.265420558195912</v>
      </c>
      <c r="N566" s="489">
        <f>(1+INDEX($AE$21:$AE$97,B566))*(1+INDEX($AE$21:$AE$97,C566))*(1+INDEX($AE$21:$AE$97,D566))*(1+INDEX($AE$21:$AE$97,E566))*(1+INDEX($AE$21:$AE$97,F566))-1</f>
        <v>0.241877337983939</v>
      </c>
      <c r="O566" s="489">
        <f>(1+INDEX($AF$21:$AF$97,B566))*(1+INDEX($AF$21:$AF$97,C566))*(1+INDEX($AF$21:$AF$97,D566))*(1+INDEX($AF$21:$AF$97,E566))*(1+INDEX($AF$21:$AF$97,F566))-1</f>
        <v>0.270431063473305</v>
      </c>
      <c r="P566" s="489">
        <f>LN((1+L566)/(1+H566))</f>
        <v>0.00496968119388274</v>
      </c>
      <c r="Q566" s="489">
        <f>LN((1+M566)/(1+H566))</f>
        <v>0.0149386144949236</v>
      </c>
      <c r="R566" s="489">
        <f>LN((1+N566)/(1+H566))</f>
        <v>-0.00384169255843973</v>
      </c>
      <c r="S566" s="542">
        <f>LN((1+O566)/(1+H566))</f>
        <v>0.0188903534334433</v>
      </c>
    </row>
    <row r="567">
      <c r="A567" s="320" t="n">
        <v>466</v>
      </c>
      <c r="B567" s="174" t="n">
        <v>3</v>
      </c>
      <c r="C567" s="174" t="n">
        <v>32</v>
      </c>
      <c r="D567" s="174" t="n">
        <v>61</v>
      </c>
      <c r="E567" s="174" t="n">
        <v>23</v>
      </c>
      <c r="F567" s="174" t="n">
        <v>10</v>
      </c>
      <c r="G567" s="68">
        <f>(1+INDEX($Z$21:$Z$97,B567))*(1+INDEX($Z$21:$Z$97,C567))*(1+INDEX($Z$21:$Z$97,D567))*(1+INDEX($Z$21:$Z$97,E567))*(1+INDEX($Z$21:$Z$97,F567))-1</f>
        <v>0.383030795308183</v>
      </c>
      <c r="H567" s="68">
        <f>(1+INDEX($AA$21:$AA$97,B567))*(1+INDEX($AA$21:$AA$97,C567))*(1+INDEX($AA$21:$AA$97,D567))*(1+INDEX($AA$21:$AA$97,E567))*(1+INDEX($AA$21:$AA$97,F567))-1</f>
        <v>0.355159734861333</v>
      </c>
      <c r="I567" s="68">
        <f>(1+INDEX($AB$21:$AB$97,B567))*(1+INDEX($AB$21:$AB$97,C567))*(1+INDEX($AB$21:$AB$97,D567))*(1+INDEX($AB$21:$AB$97,E567))*(1+INDEX($AB$21:$AB$97,F567))-1</f>
        <v>0.349426919284984</v>
      </c>
      <c r="J567" s="489">
        <f>LN((1+G567)/(1+H567))</f>
        <v>0.0203579865785983</v>
      </c>
      <c r="K567" s="489">
        <f>LN((1+I567)/(1+H567))</f>
        <v>-0.0042393348006691</v>
      </c>
      <c r="L567" s="489">
        <f>(1+INDEX($AC$21:$AC$97,B567))*(1+INDEX($AC$21:$AC$97,C567))*(1+INDEX($AC$21:$AC$97,D567))*(1+INDEX($AC$21:$AC$97,E567))*(1+INDEX($AC$21:$AC$97,F567))-1</f>
        <v>0.352321234659275</v>
      </c>
      <c r="M567" s="489">
        <f>(1+INDEX($AD$21:$AD$97,B567))*(1+INDEX($AD$21:$AD$97,C567))*(1+INDEX($AD$21:$AD$97,D567))*(1+INDEX($AD$21:$AD$97,E567))*(1+INDEX($AD$21:$AD$97,F567))-1</f>
        <v>0.358507768095039</v>
      </c>
      <c r="N567" s="489">
        <f>(1+INDEX($AE$21:$AE$97,B567))*(1+INDEX($AE$21:$AE$97,C567))*(1+INDEX($AE$21:$AE$97,D567))*(1+INDEX($AE$21:$AE$97,E567))*(1+INDEX($AE$21:$AE$97,F567))-1</f>
        <v>0.349831993556894</v>
      </c>
      <c r="O567" s="489">
        <f>(1+INDEX($AF$21:$AF$97,B567))*(1+INDEX($AF$21:$AF$97,C567))*(1+INDEX($AF$21:$AF$97,D567))*(1+INDEX($AF$21:$AF$97,E567))*(1+INDEX($AF$21:$AF$97,F567))-1</f>
        <v>0.350809625868476</v>
      </c>
      <c r="P567" s="489">
        <f>LN((1+L567)/(1+H567))</f>
        <v>-0.00209678389171965</v>
      </c>
      <c r="Q567" s="489">
        <f>LN((1+M567)/(1+H567))</f>
        <v>0.00246753511904544</v>
      </c>
      <c r="R567" s="489">
        <f>LN((1+N567)/(1+H567))</f>
        <v>-0.00393919740145644</v>
      </c>
      <c r="S567" s="542">
        <f>LN((1+O567)/(1+H567))</f>
        <v>-0.00321519733624654</v>
      </c>
    </row>
    <row r="568">
      <c r="A568" s="320" t="n">
        <v>467</v>
      </c>
      <c r="B568" s="174" t="n">
        <v>16</v>
      </c>
      <c r="C568" s="174" t="n">
        <v>70</v>
      </c>
      <c r="D568" s="174" t="n">
        <v>29</v>
      </c>
      <c r="E568" s="174" t="n">
        <v>13</v>
      </c>
      <c r="F568" s="174" t="n">
        <v>63</v>
      </c>
      <c r="G568" s="68">
        <f>(1+INDEX($Z$21:$Z$97,B568))*(1+INDEX($Z$21:$Z$97,C568))*(1+INDEX($Z$21:$Z$97,D568))*(1+INDEX($Z$21:$Z$97,E568))*(1+INDEX($Z$21:$Z$97,F568))-1</f>
        <v>0.486190530587048</v>
      </c>
      <c r="H568" s="68">
        <f>(1+INDEX($AA$21:$AA$97,B568))*(1+INDEX($AA$21:$AA$97,C568))*(1+INDEX($AA$21:$AA$97,D568))*(1+INDEX($AA$21:$AA$97,E568))*(1+INDEX($AA$21:$AA$97,F568))-1</f>
        <v>0.418024710208623</v>
      </c>
      <c r="I568" s="68">
        <f>(1+INDEX($AB$21:$AB$97,B568))*(1+INDEX($AB$21:$AB$97,C568))*(1+INDEX($AB$21:$AB$97,D568))*(1+INDEX($AB$21:$AB$97,E568))*(1+INDEX($AB$21:$AB$97,F568))-1</f>
        <v>0.470622532965211</v>
      </c>
      <c r="J568" s="489">
        <f>LN((1+G568)/(1+H568))</f>
        <v>0.0469513011033381</v>
      </c>
      <c r="K568" s="489">
        <f>LN((1+I568)/(1+H568))</f>
        <v>0.036420948899092</v>
      </c>
      <c r="L568" s="489">
        <f>(1+INDEX($AC$21:$AC$97,B568))*(1+INDEX($AC$21:$AC$97,C568))*(1+INDEX($AC$21:$AC$97,D568))*(1+INDEX($AC$21:$AC$97,E568))*(1+INDEX($AC$21:$AC$97,F568))-1</f>
        <v>0.473989370441078</v>
      </c>
      <c r="M568" s="489">
        <f>(1+INDEX($AD$21:$AD$97,B568))*(1+INDEX($AD$21:$AD$97,C568))*(1+INDEX($AD$21:$AD$97,D568))*(1+INDEX($AD$21:$AD$97,E568))*(1+INDEX($AD$21:$AD$97,F568))-1</f>
        <v>0.441793097615409</v>
      </c>
      <c r="N568" s="489">
        <f>(1+INDEX($AE$21:$AE$97,B568))*(1+INDEX($AE$21:$AE$97,C568))*(1+INDEX($AE$21:$AE$97,D568))*(1+INDEX($AE$21:$AE$97,E568))*(1+INDEX($AE$21:$AE$97,F568))-1</f>
        <v>0.465085977883268</v>
      </c>
      <c r="O568" s="489">
        <f>(1+INDEX($AF$21:$AF$97,B568))*(1+INDEX($AF$21:$AF$97,C568))*(1+INDEX($AF$21:$AF$97,D568))*(1+INDEX($AF$21:$AF$97,E568))*(1+INDEX($AF$21:$AF$97,F568))-1</f>
        <v>0.410712325082944</v>
      </c>
      <c r="P568" s="489">
        <f>LN((1+L568)/(1+H568))</f>
        <v>0.0387077283141807</v>
      </c>
      <c r="Q568" s="489">
        <f>LN((1+M568)/(1+H568))</f>
        <v>0.0166226915811493</v>
      </c>
      <c r="R568" s="489">
        <f>LN((1+N568)/(1+H568))</f>
        <v>0.0326490746646129</v>
      </c>
      <c r="S568" s="542">
        <f>LN((1+O568)/(1+H568))</f>
        <v>-0.00517008214098831</v>
      </c>
    </row>
    <row r="569">
      <c r="A569" s="320" t="n">
        <v>468</v>
      </c>
      <c r="B569" s="174" t="n">
        <v>55</v>
      </c>
      <c r="C569" s="174" t="n">
        <v>6</v>
      </c>
      <c r="D569" s="174" t="n">
        <v>56</v>
      </c>
      <c r="E569" s="174" t="n">
        <v>21</v>
      </c>
      <c r="F569" s="174" t="n">
        <v>76</v>
      </c>
      <c r="G569" s="68">
        <f>(1+INDEX($Z$21:$Z$97,B569))*(1+INDEX($Z$21:$Z$97,C569))*(1+INDEX($Z$21:$Z$97,D569))*(1+INDEX($Z$21:$Z$97,E569))*(1+INDEX($Z$21:$Z$97,F569))-1</f>
        <v>-0.0811271175647372</v>
      </c>
      <c r="H569" s="68">
        <f>(1+INDEX($AA$21:$AA$97,B569))*(1+INDEX($AA$21:$AA$97,C569))*(1+INDEX($AA$21:$AA$97,D569))*(1+INDEX($AA$21:$AA$97,E569))*(1+INDEX($AA$21:$AA$97,F569))-1</f>
        <v>-0.0344289290793232</v>
      </c>
      <c r="I569" s="68">
        <f>(1+INDEX($AB$21:$AB$97,B569))*(1+INDEX($AB$21:$AB$97,C569))*(1+INDEX($AB$21:$AB$97,D569))*(1+INDEX($AB$21:$AB$97,E569))*(1+INDEX($AB$21:$AB$97,F569))-1</f>
        <v>-0.0620418239141641</v>
      </c>
      <c r="J569" s="489">
        <f>LN((1+G569)/(1+H569))</f>
        <v>-0.0495719184689981</v>
      </c>
      <c r="K569" s="489">
        <f>LN((1+I569)/(1+H569))</f>
        <v>-0.0290143500242659</v>
      </c>
      <c r="L569" s="489">
        <f>(1+INDEX($AC$21:$AC$97,B569))*(1+INDEX($AC$21:$AC$97,C569))*(1+INDEX($AC$21:$AC$97,D569))*(1+INDEX($AC$21:$AC$97,E569))*(1+INDEX($AC$21:$AC$97,F569))-1</f>
        <v>-0.079928552226339</v>
      </c>
      <c r="M569" s="489">
        <f>(1+INDEX($AD$21:$AD$97,B569))*(1+INDEX($AD$21:$AD$97,C569))*(1+INDEX($AD$21:$AD$97,D569))*(1+INDEX($AD$21:$AD$97,E569))*(1+INDEX($AD$21:$AD$97,F569))-1</f>
        <v>-0.0529318982468349</v>
      </c>
      <c r="N569" s="489">
        <f>(1+INDEX($AE$21:$AE$97,B569))*(1+INDEX($AE$21:$AE$97,C569))*(1+INDEX($AE$21:$AE$97,D569))*(1+INDEX($AE$21:$AE$97,E569))*(1+INDEX($AE$21:$AE$97,F569))-1</f>
        <v>-0.0947682688613765</v>
      </c>
      <c r="O569" s="489">
        <f>(1+INDEX($AF$21:$AF$97,B569))*(1+INDEX($AF$21:$AF$97,C569))*(1+INDEX($AF$21:$AF$97,D569))*(1+INDEX($AF$21:$AF$97,E569))*(1+INDEX($AF$21:$AF$97,F569))-1</f>
        <v>0.00505496701157449</v>
      </c>
      <c r="P569" s="489">
        <f>LN((1+L569)/(1+H569))</f>
        <v>-0.0482683819905669</v>
      </c>
      <c r="Q569" s="489">
        <f>LN((1+M569)/(1+H569))</f>
        <v>-0.0193487058911941</v>
      </c>
      <c r="R569" s="489">
        <f>LN((1+N569)/(1+H569))</f>
        <v>-0.0645287422119471</v>
      </c>
      <c r="S569" s="542">
        <f>LN((1+O569)/(1+H569))</f>
        <v>0.0400778028996267</v>
      </c>
    </row>
    <row r="570">
      <c r="A570" s="320" t="n">
        <v>469</v>
      </c>
      <c r="B570" s="174" t="n">
        <v>44</v>
      </c>
      <c r="C570" s="174" t="n">
        <v>25</v>
      </c>
      <c r="D570" s="174" t="n">
        <v>64</v>
      </c>
      <c r="E570" s="174" t="n">
        <v>49</v>
      </c>
      <c r="F570" s="174" t="n">
        <v>21</v>
      </c>
      <c r="G570" s="68">
        <f>(1+INDEX($Z$21:$Z$97,B570))*(1+INDEX($Z$21:$Z$97,C570))*(1+INDEX($Z$21:$Z$97,D570))*(1+INDEX($Z$21:$Z$97,E570))*(1+INDEX($Z$21:$Z$97,F570))-1</f>
        <v>0.271153862731631</v>
      </c>
      <c r="H570" s="68">
        <f>(1+INDEX($AA$21:$AA$97,B570))*(1+INDEX($AA$21:$AA$97,C570))*(1+INDEX($AA$21:$AA$97,D570))*(1+INDEX($AA$21:$AA$97,E570))*(1+INDEX($AA$21:$AA$97,F570))-1</f>
        <v>0.211910463896263</v>
      </c>
      <c r="I570" s="68">
        <f>(1+INDEX($AB$21:$AB$97,B570))*(1+INDEX($AB$21:$AB$97,C570))*(1+INDEX($AB$21:$AB$97,D570))*(1+INDEX($AB$21:$AB$97,E570))*(1+INDEX($AB$21:$AB$97,F570))-1</f>
        <v>0.252782651538507</v>
      </c>
      <c r="J570" s="489">
        <f>LN((1+G570)/(1+H570))</f>
        <v>0.047727031072534</v>
      </c>
      <c r="K570" s="489">
        <f>LN((1+I570)/(1+H570))</f>
        <v>0.0331691881630816</v>
      </c>
      <c r="L570" s="489">
        <f>(1+INDEX($AC$21:$AC$97,B570))*(1+INDEX($AC$21:$AC$97,C570))*(1+INDEX($AC$21:$AC$97,D570))*(1+INDEX($AC$21:$AC$97,E570))*(1+INDEX($AC$21:$AC$97,F570))-1</f>
        <v>0.226819800652227</v>
      </c>
      <c r="M570" s="489">
        <f>(1+INDEX($AD$21:$AD$97,B570))*(1+INDEX($AD$21:$AD$97,C570))*(1+INDEX($AD$21:$AD$97,D570))*(1+INDEX($AD$21:$AD$97,E570))*(1+INDEX($AD$21:$AD$97,F570))-1</f>
        <v>0.240057571780757</v>
      </c>
      <c r="N570" s="489">
        <f>(1+INDEX($AE$21:$AE$97,B570))*(1+INDEX($AE$21:$AE$97,C570))*(1+INDEX($AE$21:$AE$97,D570))*(1+INDEX($AE$21:$AE$97,E570))*(1+INDEX($AE$21:$AE$97,F570))-1</f>
        <v>0.22022131413824</v>
      </c>
      <c r="O570" s="489">
        <f>(1+INDEX($AF$21:$AF$97,B570))*(1+INDEX($AF$21:$AF$97,C570))*(1+INDEX($AF$21:$AF$97,D570))*(1+INDEX($AF$21:$AF$97,E570))*(1+INDEX($AF$21:$AF$97,F570))-1</f>
        <v>0.234436821544934</v>
      </c>
      <c r="P570" s="489">
        <f>LN((1+L570)/(1+H570))</f>
        <v>0.0122272829642031</v>
      </c>
      <c r="Q570" s="489">
        <f>LN((1+M570)/(1+H570))</f>
        <v>0.022959797149404</v>
      </c>
      <c r="R570" s="489">
        <f>LN((1+N570)/(1+H570))</f>
        <v>0.00683423707940177</v>
      </c>
      <c r="S570" s="542">
        <f>LN((1+O570)/(1+H570))</f>
        <v>0.0184168408849282</v>
      </c>
    </row>
    <row r="571">
      <c r="A571" s="320" t="n">
        <v>470</v>
      </c>
      <c r="B571" s="174" t="n">
        <v>33</v>
      </c>
      <c r="C571" s="174" t="n">
        <v>30</v>
      </c>
      <c r="D571" s="174" t="n">
        <v>37</v>
      </c>
      <c r="E571" s="174" t="n">
        <v>66</v>
      </c>
      <c r="F571" s="174" t="n">
        <v>40</v>
      </c>
      <c r="G571" s="68">
        <f>(1+INDEX($Z$21:$Z$97,B571))*(1+INDEX($Z$21:$Z$97,C571))*(1+INDEX($Z$21:$Z$97,D571))*(1+INDEX($Z$21:$Z$97,E571))*(1+INDEX($Z$21:$Z$97,F571))-1</f>
        <v>0.575273392963301</v>
      </c>
      <c r="H571" s="68">
        <f>(1+INDEX($AA$21:$AA$97,B571))*(1+INDEX($AA$21:$AA$97,C571))*(1+INDEX($AA$21:$AA$97,D571))*(1+INDEX($AA$21:$AA$97,E571))*(1+INDEX($AA$21:$AA$97,F571))-1</f>
        <v>0.540030362445079</v>
      </c>
      <c r="I571" s="68">
        <f>(1+INDEX($AB$21:$AB$97,B571))*(1+INDEX($AB$21:$AB$97,C571))*(1+INDEX($AB$21:$AB$97,D571))*(1+INDEX($AB$21:$AB$97,E571))*(1+INDEX($AB$21:$AB$97,F571))-1</f>
        <v>0.583788008969261</v>
      </c>
      <c r="J571" s="489">
        <f>LN((1+G571)/(1+H571))</f>
        <v>0.0226267079430706</v>
      </c>
      <c r="K571" s="489">
        <f>LN((1+I571)/(1+H571))</f>
        <v>0.0280173196097995</v>
      </c>
      <c r="L571" s="489">
        <f>(1+INDEX($AC$21:$AC$97,B571))*(1+INDEX($AC$21:$AC$97,C571))*(1+INDEX($AC$21:$AC$97,D571))*(1+INDEX($AC$21:$AC$97,E571))*(1+INDEX($AC$21:$AC$97,F571))-1</f>
        <v>0.579564353068758</v>
      </c>
      <c r="M571" s="489">
        <f>(1+INDEX($AD$21:$AD$97,B571))*(1+INDEX($AD$21:$AD$97,C571))*(1+INDEX($AD$21:$AD$97,D571))*(1+INDEX($AD$21:$AD$97,E571))*(1+INDEX($AD$21:$AD$97,F571))-1</f>
        <v>0.598612197763277</v>
      </c>
      <c r="N571" s="489">
        <f>(1+INDEX($AE$21:$AE$97,B571))*(1+INDEX($AE$21:$AE$97,C571))*(1+INDEX($AE$21:$AE$97,D571))*(1+INDEX($AE$21:$AE$97,E571))*(1+INDEX($AE$21:$AE$97,F571))-1</f>
        <v>0.586510196017644</v>
      </c>
      <c r="O571" s="489">
        <f>(1+INDEX($AF$21:$AF$97,B571))*(1+INDEX($AF$21:$AF$97,C571))*(1+INDEX($AF$21:$AF$97,D571))*(1+INDEX($AF$21:$AF$97,E571))*(1+INDEX($AF$21:$AF$97,F571))-1</f>
        <v>0.55548772679712</v>
      </c>
      <c r="P571" s="489">
        <f>LN((1+L571)/(1+H571))</f>
        <v>0.0253469510090387</v>
      </c>
      <c r="Q571" s="489">
        <f>LN((1+M571)/(1+H571))</f>
        <v>0.0373337443546023</v>
      </c>
      <c r="R571" s="489">
        <f>LN((1+N571)/(1+H571))</f>
        <v>0.0297346266524691</v>
      </c>
      <c r="S571" s="542">
        <f>LN((1+O571)/(1+H571))</f>
        <v>0.0099870150218864</v>
      </c>
    </row>
    <row r="572">
      <c r="A572" s="320" t="n">
        <v>471</v>
      </c>
      <c r="B572" s="174" t="n">
        <v>21</v>
      </c>
      <c r="C572" s="174" t="n">
        <v>31</v>
      </c>
      <c r="D572" s="174" t="n">
        <v>5</v>
      </c>
      <c r="E572" s="174" t="n">
        <v>19</v>
      </c>
      <c r="F572" s="174" t="n">
        <v>8</v>
      </c>
      <c r="G572" s="68">
        <f>(1+INDEX($Z$21:$Z$97,B572))*(1+INDEX($Z$21:$Z$97,C572))*(1+INDEX($Z$21:$Z$97,D572))*(1+INDEX($Z$21:$Z$97,E572))*(1+INDEX($Z$21:$Z$97,F572))-1</f>
        <v>-0.200688659375259</v>
      </c>
      <c r="H572" s="68">
        <f>(1+INDEX($AA$21:$AA$97,B572))*(1+INDEX($AA$21:$AA$97,C572))*(1+INDEX($AA$21:$AA$97,D572))*(1+INDEX($AA$21:$AA$97,E572))*(1+INDEX($AA$21:$AA$97,F572))-1</f>
        <v>-0.13217398245474</v>
      </c>
      <c r="I572" s="68">
        <f>(1+INDEX($AB$21:$AB$97,B572))*(1+INDEX($AB$21:$AB$97,C572))*(1+INDEX($AB$21:$AB$97,D572))*(1+INDEX($AB$21:$AB$97,E572))*(1+INDEX($AB$21:$AB$97,F572))-1</f>
        <v>-0.187429292275479</v>
      </c>
      <c r="J572" s="489">
        <f>LN((1+G572)/(1+H572))</f>
        <v>-0.0822407212264655</v>
      </c>
      <c r="K572" s="489">
        <f>LN((1+I572)/(1+H572))</f>
        <v>-0.0657883186442202</v>
      </c>
      <c r="L572" s="489">
        <f>(1+INDEX($AC$21:$AC$97,B572))*(1+INDEX($AC$21:$AC$97,C572))*(1+INDEX($AC$21:$AC$97,D572))*(1+INDEX($AC$21:$AC$97,E572))*(1+INDEX($AC$21:$AC$97,F572))-1</f>
        <v>-0.205726664860999</v>
      </c>
      <c r="M572" s="489">
        <f>(1+INDEX($AD$21:$AD$97,B572))*(1+INDEX($AD$21:$AD$97,C572))*(1+INDEX($AD$21:$AD$97,D572))*(1+INDEX($AD$21:$AD$97,E572))*(1+INDEX($AD$21:$AD$97,F572))-1</f>
        <v>-0.175066262707495</v>
      </c>
      <c r="N572" s="489">
        <f>(1+INDEX($AE$21:$AE$97,B572))*(1+INDEX($AE$21:$AE$97,C572))*(1+INDEX($AE$21:$AE$97,D572))*(1+INDEX($AE$21:$AE$97,E572))*(1+INDEX($AE$21:$AE$97,F572))-1</f>
        <v>-0.207271769324447</v>
      </c>
      <c r="O572" s="489">
        <f>(1+INDEX($AF$21:$AF$97,B572))*(1+INDEX($AF$21:$AF$97,C572))*(1+INDEX($AF$21:$AF$97,D572))*(1+INDEX($AF$21:$AF$97,E572))*(1+INDEX($AF$21:$AF$97,F572))-1</f>
        <v>-0.119996264534307</v>
      </c>
      <c r="P572" s="489">
        <f>LN((1+L572)/(1+H572))</f>
        <v>-0.088563601142175</v>
      </c>
      <c r="Q572" s="489">
        <f>LN((1+M572)/(1+H572))</f>
        <v>-0.0506881892777293</v>
      </c>
      <c r="R572" s="489">
        <f>LN((1+N572)/(1+H572))</f>
        <v>-0.0905108014284638</v>
      </c>
      <c r="S572" s="542">
        <f>LN((1+O572)/(1+H572))</f>
        <v>0.0139348983572366</v>
      </c>
    </row>
    <row r="573">
      <c r="A573" s="320" t="n">
        <v>472</v>
      </c>
      <c r="B573" s="174" t="n">
        <v>62</v>
      </c>
      <c r="C573" s="174" t="n">
        <v>24</v>
      </c>
      <c r="D573" s="174" t="n">
        <v>58</v>
      </c>
      <c r="E573" s="174" t="n">
        <v>21</v>
      </c>
      <c r="F573" s="174" t="n">
        <v>19</v>
      </c>
      <c r="G573" s="68">
        <f>(1+INDEX($Z$21:$Z$97,B573))*(1+INDEX($Z$21:$Z$97,C573))*(1+INDEX($Z$21:$Z$97,D573))*(1+INDEX($Z$21:$Z$97,E573))*(1+INDEX($Z$21:$Z$97,F573))-1</f>
        <v>0.258802688714394</v>
      </c>
      <c r="H573" s="68">
        <f>(1+INDEX($AA$21:$AA$97,B573))*(1+INDEX($AA$21:$AA$97,C573))*(1+INDEX($AA$21:$AA$97,D573))*(1+INDEX($AA$21:$AA$97,E573))*(1+INDEX($AA$21:$AA$97,F573))-1</f>
        <v>0.269535958199848</v>
      </c>
      <c r="I573" s="68">
        <f>(1+INDEX($AB$21:$AB$97,B573))*(1+INDEX($AB$21:$AB$97,C573))*(1+INDEX($AB$21:$AB$97,D573))*(1+INDEX($AB$21:$AB$97,E573))*(1+INDEX($AB$21:$AB$97,F573))-1</f>
        <v>0.26645616084245</v>
      </c>
      <c r="J573" s="489">
        <f>LN((1+G573)/(1+H573))</f>
        <v>-0.00849042431573165</v>
      </c>
      <c r="K573" s="489">
        <f>LN((1+I573)/(1+H573))</f>
        <v>-0.00242887101135336</v>
      </c>
      <c r="L573" s="489">
        <f>(1+INDEX($AC$21:$AC$97,B573))*(1+INDEX($AC$21:$AC$97,C573))*(1+INDEX($AC$21:$AC$97,D573))*(1+INDEX($AC$21:$AC$97,E573))*(1+INDEX($AC$21:$AC$97,F573))-1</f>
        <v>0.283735835040779</v>
      </c>
      <c r="M573" s="489">
        <f>(1+INDEX($AD$21:$AD$97,B573))*(1+INDEX($AD$21:$AD$97,C573))*(1+INDEX($AD$21:$AD$97,D573))*(1+INDEX($AD$21:$AD$97,E573))*(1+INDEX($AD$21:$AD$97,F573))-1</f>
        <v>0.233725261977895</v>
      </c>
      <c r="N573" s="489">
        <f>(1+INDEX($AE$21:$AE$97,B573))*(1+INDEX($AE$21:$AE$97,C573))*(1+INDEX($AE$21:$AE$97,D573))*(1+INDEX($AE$21:$AE$97,E573))*(1+INDEX($AE$21:$AE$97,F573))-1</f>
        <v>0.279068444996583</v>
      </c>
      <c r="O573" s="489">
        <f>(1+INDEX($AF$21:$AF$97,B573))*(1+INDEX($AF$21:$AF$97,C573))*(1+INDEX($AF$21:$AF$97,D573))*(1+INDEX($AF$21:$AF$97,E573))*(1+INDEX($AF$21:$AF$97,F573))-1</f>
        <v>0.218318621644804</v>
      </c>
      <c r="P573" s="489">
        <f>LN((1+L573)/(1+H573))</f>
        <v>0.0111230016955752</v>
      </c>
      <c r="Q573" s="489">
        <f>LN((1+M573)/(1+H573))</f>
        <v>-0.0286131859733194</v>
      </c>
      <c r="R573" s="489">
        <f>LN((1+N573)/(1+H573))</f>
        <v>0.00748058917051004</v>
      </c>
      <c r="S573" s="542">
        <f>LN((1+O573)/(1+H573))</f>
        <v>-0.041179717252719</v>
      </c>
    </row>
    <row r="574">
      <c r="A574" s="320" t="n">
        <v>473</v>
      </c>
      <c r="B574" s="174" t="n">
        <v>2</v>
      </c>
      <c r="C574" s="174" t="n">
        <v>74</v>
      </c>
      <c r="D574" s="174" t="n">
        <v>31</v>
      </c>
      <c r="E574" s="174" t="n">
        <v>14</v>
      </c>
      <c r="F574" s="174" t="n">
        <v>42</v>
      </c>
      <c r="G574" s="68">
        <f>(1+INDEX($Z$21:$Z$97,B574))*(1+INDEX($Z$21:$Z$97,C574))*(1+INDEX($Z$21:$Z$97,D574))*(1+INDEX($Z$21:$Z$97,E574))*(1+INDEX($Z$21:$Z$97,F574))-1</f>
        <v>0.706992823576309</v>
      </c>
      <c r="H574" s="68">
        <f>(1+INDEX($AA$21:$AA$97,B574))*(1+INDEX($AA$21:$AA$97,C574))*(1+INDEX($AA$21:$AA$97,D574))*(1+INDEX($AA$21:$AA$97,E574))*(1+INDEX($AA$21:$AA$97,F574))-1</f>
        <v>0.62804959458364</v>
      </c>
      <c r="I574" s="68">
        <f>(1+INDEX($AB$21:$AB$97,B574))*(1+INDEX($AB$21:$AB$97,C574))*(1+INDEX($AB$21:$AB$97,D574))*(1+INDEX($AB$21:$AB$97,E574))*(1+INDEX($AB$21:$AB$97,F574))-1</f>
        <v>0.684321731075291</v>
      </c>
      <c r="J574" s="489">
        <f>LN((1+G574)/(1+H574))</f>
        <v>0.0473505090690157</v>
      </c>
      <c r="K574" s="489">
        <f>LN((1+I574)/(1+H574))</f>
        <v>0.0339802186596891</v>
      </c>
      <c r="L574" s="489">
        <f>(1+INDEX($AC$21:$AC$97,B574))*(1+INDEX($AC$21:$AC$97,C574))*(1+INDEX($AC$21:$AC$97,D574))*(1+INDEX($AC$21:$AC$97,E574))*(1+INDEX($AC$21:$AC$97,F574))-1</f>
        <v>0.677582670904439</v>
      </c>
      <c r="M574" s="489">
        <f>(1+INDEX($AD$21:$AD$97,B574))*(1+INDEX($AD$21:$AD$97,C574))*(1+INDEX($AD$21:$AD$97,D574))*(1+INDEX($AD$21:$AD$97,E574))*(1+INDEX($AD$21:$AD$97,F574))-1</f>
        <v>0.701665522921069</v>
      </c>
      <c r="N574" s="489">
        <f>(1+INDEX($AE$21:$AE$97,B574))*(1+INDEX($AE$21:$AE$97,C574))*(1+INDEX($AE$21:$AE$97,D574))*(1+INDEX($AE$21:$AE$97,E574))*(1+INDEX($AE$21:$AE$97,F574))-1</f>
        <v>0.671507271555804</v>
      </c>
      <c r="O574" s="489">
        <f>(1+INDEX($AF$21:$AF$97,B574))*(1+INDEX($AF$21:$AF$97,C574))*(1+INDEX($AF$21:$AF$97,D574))*(1+INDEX($AF$21:$AF$97,E574))*(1+INDEX($AF$21:$AF$97,F574))-1</f>
        <v>0.643001480472211</v>
      </c>
      <c r="P574" s="489">
        <f>LN((1+L574)/(1+H574))</f>
        <v>0.0299711402378712</v>
      </c>
      <c r="Q574" s="489">
        <f>LN((1+M574)/(1+H574))</f>
        <v>0.0442247601959089</v>
      </c>
      <c r="R574" s="489">
        <f>LN((1+N574)/(1+H574))</f>
        <v>0.0263430465663047</v>
      </c>
      <c r="S574" s="542">
        <f>LN((1+O574)/(1+H574))</f>
        <v>0.00914200951355818</v>
      </c>
    </row>
    <row r="575">
      <c r="A575" s="320" t="n">
        <v>474</v>
      </c>
      <c r="B575" s="174" t="n">
        <v>51</v>
      </c>
      <c r="C575" s="174" t="n">
        <v>26</v>
      </c>
      <c r="D575" s="174" t="n">
        <v>15</v>
      </c>
      <c r="E575" s="174" t="n">
        <v>21</v>
      </c>
      <c r="F575" s="174" t="n">
        <v>17</v>
      </c>
      <c r="G575" s="68">
        <f>(1+INDEX($Z$21:$Z$97,B575))*(1+INDEX($Z$21:$Z$97,C575))*(1+INDEX($Z$21:$Z$97,D575))*(1+INDEX($Z$21:$Z$97,E575))*(1+INDEX($Z$21:$Z$97,F575))-1</f>
        <v>0.433254124170719</v>
      </c>
      <c r="H575" s="68">
        <f>(1+INDEX($AA$21:$AA$97,B575))*(1+INDEX($AA$21:$AA$97,C575))*(1+INDEX($AA$21:$AA$97,D575))*(1+INDEX($AA$21:$AA$97,E575))*(1+INDEX($AA$21:$AA$97,F575))-1</f>
        <v>0.384506168448742</v>
      </c>
      <c r="I575" s="68">
        <f>(1+INDEX($AB$21:$AB$97,B575))*(1+INDEX($AB$21:$AB$97,C575))*(1+INDEX($AB$21:$AB$97,D575))*(1+INDEX($AB$21:$AB$97,E575))*(1+INDEX($AB$21:$AB$97,F575))-1</f>
        <v>0.421446461780416</v>
      </c>
      <c r="J575" s="489">
        <f>LN((1+G575)/(1+H575))</f>
        <v>0.0346039513169271</v>
      </c>
      <c r="K575" s="489">
        <f>LN((1+I575)/(1+H575))</f>
        <v>0.0263314692321671</v>
      </c>
      <c r="L575" s="489">
        <f>(1+INDEX($AC$21:$AC$97,B575))*(1+INDEX($AC$21:$AC$97,C575))*(1+INDEX($AC$21:$AC$97,D575))*(1+INDEX($AC$21:$AC$97,E575))*(1+INDEX($AC$21:$AC$97,F575))-1</f>
        <v>0.390249842652291</v>
      </c>
      <c r="M575" s="489">
        <f>(1+INDEX($AD$21:$AD$97,B575))*(1+INDEX($AD$21:$AD$97,C575))*(1+INDEX($AD$21:$AD$97,D575))*(1+INDEX($AD$21:$AD$97,E575))*(1+INDEX($AD$21:$AD$97,F575))-1</f>
        <v>0.426843243266706</v>
      </c>
      <c r="N575" s="489">
        <f>(1+INDEX($AE$21:$AE$97,B575))*(1+INDEX($AE$21:$AE$97,C575))*(1+INDEX($AE$21:$AE$97,D575))*(1+INDEX($AE$21:$AE$97,E575))*(1+INDEX($AE$21:$AE$97,F575))-1</f>
        <v>0.381045256755523</v>
      </c>
      <c r="O575" s="489">
        <f>(1+INDEX($AF$21:$AF$97,B575))*(1+INDEX($AF$21:$AF$97,C575))*(1+INDEX($AF$21:$AF$97,D575))*(1+INDEX($AF$21:$AF$97,E575))*(1+INDEX($AF$21:$AF$97,F575))-1</f>
        <v>0.401314763963797</v>
      </c>
      <c r="P575" s="489">
        <f>LN((1+L575)/(1+H575))</f>
        <v>0.0041399549251026</v>
      </c>
      <c r="Q575" s="489">
        <f>LN((1+M575)/(1+H575))</f>
        <v>0.0301209629307835</v>
      </c>
      <c r="R575" s="489">
        <f>LN((1+N575)/(1+H575))</f>
        <v>-0.00250287408752034</v>
      </c>
      <c r="S575" s="542">
        <f>LN((1+O575)/(1+H575))</f>
        <v>0.0120673940626261</v>
      </c>
    </row>
    <row r="576">
      <c r="A576" s="320" t="n">
        <v>475</v>
      </c>
      <c r="B576" s="174" t="n">
        <v>25</v>
      </c>
      <c r="C576" s="174" t="n">
        <v>73</v>
      </c>
      <c r="D576" s="174" t="n">
        <v>37</v>
      </c>
      <c r="E576" s="174" t="n">
        <v>67</v>
      </c>
      <c r="F576" s="174" t="n">
        <v>44</v>
      </c>
      <c r="G576" s="68">
        <f>(1+INDEX($Z$21:$Z$97,B576))*(1+INDEX($Z$21:$Z$97,C576))*(1+INDEX($Z$21:$Z$97,D576))*(1+INDEX($Z$21:$Z$97,E576))*(1+INDEX($Z$21:$Z$97,F576))-1</f>
        <v>0.358269252108963</v>
      </c>
      <c r="H576" s="68">
        <f>(1+INDEX($AA$21:$AA$97,B576))*(1+INDEX($AA$21:$AA$97,C576))*(1+INDEX($AA$21:$AA$97,D576))*(1+INDEX($AA$21:$AA$97,E576))*(1+INDEX($AA$21:$AA$97,F576))-1</f>
        <v>0.332048523304782</v>
      </c>
      <c r="I576" s="68">
        <f>(1+INDEX($AB$21:$AB$97,B576))*(1+INDEX($AB$21:$AB$97,C576))*(1+INDEX($AB$21:$AB$97,D576))*(1+INDEX($AB$21:$AB$97,E576))*(1+INDEX($AB$21:$AB$97,F576))-1</f>
        <v>0.359357284687719</v>
      </c>
      <c r="J576" s="489">
        <f>LN((1+G576)/(1+H576))</f>
        <v>0.0194932801882021</v>
      </c>
      <c r="K576" s="489">
        <f>LN((1+I576)/(1+H576))</f>
        <v>0.0202940028939583</v>
      </c>
      <c r="L576" s="489">
        <f>(1+INDEX($AC$21:$AC$97,B576))*(1+INDEX($AC$21:$AC$97,C576))*(1+INDEX($AC$21:$AC$97,D576))*(1+INDEX($AC$21:$AC$97,E576))*(1+INDEX($AC$21:$AC$97,F576))-1</f>
        <v>0.351612300121533</v>
      </c>
      <c r="M576" s="489">
        <f>(1+INDEX($AD$21:$AD$97,B576))*(1+INDEX($AD$21:$AD$97,C576))*(1+INDEX($AD$21:$AD$97,D576))*(1+INDEX($AD$21:$AD$97,E576))*(1+INDEX($AD$21:$AD$97,F576))-1</f>
        <v>0.363454834628366</v>
      </c>
      <c r="N576" s="489">
        <f>(1+INDEX($AE$21:$AE$97,B576))*(1+INDEX($AE$21:$AE$97,C576))*(1+INDEX($AE$21:$AE$97,D576))*(1+INDEX($AE$21:$AE$97,E576))*(1+INDEX($AE$21:$AE$97,F576))-1</f>
        <v>0.347972671445701</v>
      </c>
      <c r="O576" s="489">
        <f>(1+INDEX($AF$21:$AF$97,B576))*(1+INDEX($AF$21:$AF$97,C576))*(1+INDEX($AF$21:$AF$97,D576))*(1+INDEX($AF$21:$AF$97,E576))*(1+INDEX($AF$21:$AF$97,F576))-1</f>
        <v>0.345227963612336</v>
      </c>
      <c r="P576" s="489">
        <f>LN((1+L576)/(1+H576))</f>
        <v>0.014580175869872</v>
      </c>
      <c r="Q576" s="489">
        <f>LN((1+M576)/(1+H576))</f>
        <v>0.0233037978077098</v>
      </c>
      <c r="R576" s="489">
        <f>LN((1+N576)/(1+H576))</f>
        <v>0.0118837385141985</v>
      </c>
      <c r="S576" s="542">
        <f>LN((1+O576)/(1+H576))</f>
        <v>0.00984548800447431</v>
      </c>
    </row>
    <row r="577">
      <c r="A577" s="320" t="n">
        <v>476</v>
      </c>
      <c r="B577" s="174" t="n">
        <v>61</v>
      </c>
      <c r="C577" s="174" t="n">
        <v>66</v>
      </c>
      <c r="D577" s="174" t="n">
        <v>21</v>
      </c>
      <c r="E577" s="174" t="n">
        <v>46</v>
      </c>
      <c r="F577" s="174" t="n">
        <v>77</v>
      </c>
      <c r="G577" s="68">
        <f>(1+INDEX($Z$21:$Z$97,B577))*(1+INDEX($Z$21:$Z$97,C577))*(1+INDEX($Z$21:$Z$97,D577))*(1+INDEX($Z$21:$Z$97,E577))*(1+INDEX($Z$21:$Z$97,F577))-1</f>
        <v>0.425465041825879</v>
      </c>
      <c r="H577" s="68">
        <f>(1+INDEX($AA$21:$AA$97,B577))*(1+INDEX($AA$21:$AA$97,C577))*(1+INDEX($AA$21:$AA$97,D577))*(1+INDEX($AA$21:$AA$97,E577))*(1+INDEX($AA$21:$AA$97,F577))-1</f>
        <v>0.407946026450184</v>
      </c>
      <c r="I577" s="68">
        <f>(1+INDEX($AB$21:$AB$97,B577))*(1+INDEX($AB$21:$AB$97,C577))*(1+INDEX($AB$21:$AB$97,D577))*(1+INDEX($AB$21:$AB$97,E577))*(1+INDEX($AB$21:$AB$97,F577))-1</f>
        <v>0.442783484027429</v>
      </c>
      <c r="J577" s="489">
        <f>LN((1+G577)/(1+H577))</f>
        <v>0.0123661821085701</v>
      </c>
      <c r="K577" s="489">
        <f>LN((1+I577)/(1+H577))</f>
        <v>0.0244422993006928</v>
      </c>
      <c r="L577" s="489">
        <f>(1+INDEX($AC$21:$AC$97,B577))*(1+INDEX($AC$21:$AC$97,C577))*(1+INDEX($AC$21:$AC$97,D577))*(1+INDEX($AC$21:$AC$97,E577))*(1+INDEX($AC$21:$AC$97,F577))-1</f>
        <v>0.452984564619751</v>
      </c>
      <c r="M577" s="489">
        <f>(1+INDEX($AD$21:$AD$97,B577))*(1+INDEX($AD$21:$AD$97,C577))*(1+INDEX($AD$21:$AD$97,D577))*(1+INDEX($AD$21:$AD$97,E577))*(1+INDEX($AD$21:$AD$97,F577))-1</f>
        <v>0.399543831561752</v>
      </c>
      <c r="N577" s="489">
        <f>(1+INDEX($AE$21:$AE$97,B577))*(1+INDEX($AE$21:$AE$97,C577))*(1+INDEX($AE$21:$AE$97,D577))*(1+INDEX($AE$21:$AE$97,E577))*(1+INDEX($AE$21:$AE$97,F577))-1</f>
        <v>0.447201553385608</v>
      </c>
      <c r="O577" s="489">
        <f>(1+INDEX($AF$21:$AF$97,B577))*(1+INDEX($AF$21:$AF$97,C577))*(1+INDEX($AF$21:$AF$97,D577))*(1+INDEX($AF$21:$AF$97,E577))*(1+INDEX($AF$21:$AF$97,F577))-1</f>
        <v>0.392161607361258</v>
      </c>
      <c r="P577" s="489">
        <f>LN((1+L577)/(1+H577))</f>
        <v>0.0314878379067249</v>
      </c>
      <c r="Q577" s="489">
        <f>LN((1+M577)/(1+H577))</f>
        <v>-0.00598557458718071</v>
      </c>
      <c r="R577" s="489">
        <f>LN((1+N577)/(1+H577))</f>
        <v>0.0274998049574938</v>
      </c>
      <c r="S577" s="542">
        <f>LN((1+O577)/(1+H577))</f>
        <v>-0.011274271098271</v>
      </c>
    </row>
    <row r="578">
      <c r="A578" s="320" t="n">
        <v>477</v>
      </c>
      <c r="B578" s="174" t="n">
        <v>72</v>
      </c>
      <c r="C578" s="174" t="n">
        <v>34</v>
      </c>
      <c r="D578" s="174" t="n">
        <v>40</v>
      </c>
      <c r="E578" s="174" t="n">
        <v>55</v>
      </c>
      <c r="F578" s="174" t="n">
        <v>49</v>
      </c>
      <c r="G578" s="68">
        <f>(1+INDEX($Z$21:$Z$97,B578))*(1+INDEX($Z$21:$Z$97,C578))*(1+INDEX($Z$21:$Z$97,D578))*(1+INDEX($Z$21:$Z$97,E578))*(1+INDEX($Z$21:$Z$97,F578))-1</f>
        <v>0.476685410343656</v>
      </c>
      <c r="H578" s="68">
        <f>(1+INDEX($AA$21:$AA$97,B578))*(1+INDEX($AA$21:$AA$97,C578))*(1+INDEX($AA$21:$AA$97,D578))*(1+INDEX($AA$21:$AA$97,E578))*(1+INDEX($AA$21:$AA$97,F578))-1</f>
        <v>0.495492005308993</v>
      </c>
      <c r="I578" s="68">
        <f>(1+INDEX($AB$21:$AB$97,B578))*(1+INDEX($AB$21:$AB$97,C578))*(1+INDEX($AB$21:$AB$97,D578))*(1+INDEX($AB$21:$AB$97,E578))*(1+INDEX($AB$21:$AB$97,F578))-1</f>
        <v>0.563958251255831</v>
      </c>
      <c r="J578" s="489">
        <f>LN((1+G578)/(1+H578))</f>
        <v>-0.0126552646987201</v>
      </c>
      <c r="K578" s="489">
        <f>LN((1+I578)/(1+H578))</f>
        <v>0.0447646949543218</v>
      </c>
      <c r="L578" s="489">
        <f>(1+INDEX($AC$21:$AC$97,B578))*(1+INDEX($AC$21:$AC$97,C578))*(1+INDEX($AC$21:$AC$97,D578))*(1+INDEX($AC$21:$AC$97,E578))*(1+INDEX($AC$21:$AC$97,F578))-1</f>
        <v>0.547881788960997</v>
      </c>
      <c r="M578" s="489">
        <f>(1+INDEX($AD$21:$AD$97,B578))*(1+INDEX($AD$21:$AD$97,C578))*(1+INDEX($AD$21:$AD$97,D578))*(1+INDEX($AD$21:$AD$97,E578))*(1+INDEX($AD$21:$AD$97,F578))-1</f>
        <v>0.567775238786607</v>
      </c>
      <c r="N578" s="489">
        <f>(1+INDEX($AE$21:$AE$97,B578))*(1+INDEX($AE$21:$AE$97,C578))*(1+INDEX($AE$21:$AE$97,D578))*(1+INDEX($AE$21:$AE$97,E578))*(1+INDEX($AE$21:$AE$97,F578))-1</f>
        <v>0.535946123241944</v>
      </c>
      <c r="O578" s="489">
        <f>(1+INDEX($AF$21:$AF$97,B578))*(1+INDEX($AF$21:$AF$97,C578))*(1+INDEX($AF$21:$AF$97,D578))*(1+INDEX($AF$21:$AF$97,E578))*(1+INDEX($AF$21:$AF$97,F578))-1</f>
        <v>0.509569636478792</v>
      </c>
      <c r="P578" s="489">
        <f>LN((1+L578)/(1+H578))</f>
        <v>0.0344321552893144</v>
      </c>
      <c r="Q578" s="489">
        <f>LN((1+M578)/(1+H578))</f>
        <v>0.0472023158010226</v>
      </c>
      <c r="R578" s="489">
        <f>LN((1+N578)/(1+H578))</f>
        <v>0.0266913048538657</v>
      </c>
      <c r="S578" s="542">
        <f>LN((1+O578)/(1+H578))</f>
        <v>0.00936934800754234</v>
      </c>
    </row>
    <row r="579">
      <c r="A579" s="320" t="n">
        <v>478</v>
      </c>
      <c r="B579" s="174" t="n">
        <v>65</v>
      </c>
      <c r="C579" s="174" t="n">
        <v>53</v>
      </c>
      <c r="D579" s="174" t="n">
        <v>41</v>
      </c>
      <c r="E579" s="174" t="n">
        <v>67</v>
      </c>
      <c r="F579" s="174" t="n">
        <v>47</v>
      </c>
      <c r="G579" s="68">
        <f>(1+INDEX($Z$21:$Z$97,B579))*(1+INDEX($Z$21:$Z$97,C579))*(1+INDEX($Z$21:$Z$97,D579))*(1+INDEX($Z$21:$Z$97,E579))*(1+INDEX($Z$21:$Z$97,F579))-1</f>
        <v>0.308618837776645</v>
      </c>
      <c r="H579" s="68">
        <f>(1+INDEX($AA$21:$AA$97,B579))*(1+INDEX($AA$21:$AA$97,C579))*(1+INDEX($AA$21:$AA$97,D579))*(1+INDEX($AA$21:$AA$97,E579))*(1+INDEX($AA$21:$AA$97,F579))-1</f>
        <v>0.340899931999643</v>
      </c>
      <c r="I579" s="68">
        <f>(1+INDEX($AB$21:$AB$97,B579))*(1+INDEX($AB$21:$AB$97,C579))*(1+INDEX($AB$21:$AB$97,D579))*(1+INDEX($AB$21:$AB$97,E579))*(1+INDEX($AB$21:$AB$97,F579))-1</f>
        <v>0.355026761935827</v>
      </c>
      <c r="J579" s="489">
        <f>LN((1+G579)/(1+H579))</f>
        <v>-0.0243687208745622</v>
      </c>
      <c r="K579" s="489">
        <f>LN((1+I579)/(1+H579))</f>
        <v>0.0104802250517867</v>
      </c>
      <c r="L579" s="489">
        <f>(1+INDEX($AC$21:$AC$97,B579))*(1+INDEX($AC$21:$AC$97,C579))*(1+INDEX($AC$21:$AC$97,D579))*(1+INDEX($AC$21:$AC$97,E579))*(1+INDEX($AC$21:$AC$97,F579))-1</f>
        <v>0.362863950397257</v>
      </c>
      <c r="M579" s="489">
        <f>(1+INDEX($AD$21:$AD$97,B579))*(1+INDEX($AD$21:$AD$97,C579))*(1+INDEX($AD$21:$AD$97,D579))*(1+INDEX($AD$21:$AD$97,E579))*(1+INDEX($AD$21:$AD$97,F579))-1</f>
        <v>0.343485380725639</v>
      </c>
      <c r="N579" s="489">
        <f>(1+INDEX($AE$21:$AE$97,B579))*(1+INDEX($AE$21:$AE$97,C579))*(1+INDEX($AE$21:$AE$97,D579))*(1+INDEX($AE$21:$AE$97,E579))*(1+INDEX($AE$21:$AE$97,F579))-1</f>
        <v>0.365922217180216</v>
      </c>
      <c r="O579" s="489">
        <f>(1+INDEX($AF$21:$AF$97,B579))*(1+INDEX($AF$21:$AF$97,C579))*(1+INDEX($AF$21:$AF$97,D579))*(1+INDEX($AF$21:$AF$97,E579))*(1+INDEX($AF$21:$AF$97,F579))-1</f>
        <v>0.355791114158749</v>
      </c>
      <c r="P579" s="489">
        <f>LN((1+L579)/(1+H579))</f>
        <v>0.0162473518518208</v>
      </c>
      <c r="Q579" s="489">
        <f>LN((1+M579)/(1+H579))</f>
        <v>0.00192628793876972</v>
      </c>
      <c r="R579" s="489">
        <f>LN((1+N579)/(1+H579))</f>
        <v>0.0184888379013742</v>
      </c>
      <c r="S579" s="542">
        <f>LN((1+O579)/(1+H579))</f>
        <v>0.0110441524553344</v>
      </c>
    </row>
    <row r="580">
      <c r="A580" s="320" t="n">
        <v>479</v>
      </c>
      <c r="B580" s="174" t="n">
        <v>54</v>
      </c>
      <c r="C580" s="174" t="n">
        <v>55</v>
      </c>
      <c r="D580" s="174" t="n">
        <v>75</v>
      </c>
      <c r="E580" s="174" t="n">
        <v>3</v>
      </c>
      <c r="F580" s="174" t="n">
        <v>49</v>
      </c>
      <c r="G580" s="68">
        <f>(1+INDEX($Z$21:$Z$97,B580))*(1+INDEX($Z$21:$Z$97,C580))*(1+INDEX($Z$21:$Z$97,D580))*(1+INDEX($Z$21:$Z$97,E580))*(1+INDEX($Z$21:$Z$97,F580))-1</f>
        <v>0.290617803988193</v>
      </c>
      <c r="H580" s="68">
        <f>(1+INDEX($AA$21:$AA$97,B580))*(1+INDEX($AA$21:$AA$97,C580))*(1+INDEX($AA$21:$AA$97,D580))*(1+INDEX($AA$21:$AA$97,E580))*(1+INDEX($AA$21:$AA$97,F580))-1</f>
        <v>0.272529809926141</v>
      </c>
      <c r="I580" s="68">
        <f>(1+INDEX($AB$21:$AB$97,B580))*(1+INDEX($AB$21:$AB$97,C580))*(1+INDEX($AB$21:$AB$97,D580))*(1+INDEX($AB$21:$AB$97,E580))*(1+INDEX($AB$21:$AB$97,F580))-1</f>
        <v>0.300383147523208</v>
      </c>
      <c r="J580" s="489">
        <f>LN((1+G580)/(1+H580))</f>
        <v>0.0141141261131111</v>
      </c>
      <c r="K580" s="489">
        <f>LN((1+I580)/(1+H580))</f>
        <v>0.0216520544712405</v>
      </c>
      <c r="L580" s="489">
        <f>(1+INDEX($AC$21:$AC$97,B580))*(1+INDEX($AC$21:$AC$97,C580))*(1+INDEX($AC$21:$AC$97,D580))*(1+INDEX($AC$21:$AC$97,E580))*(1+INDEX($AC$21:$AC$97,F580))-1</f>
        <v>0.277080492383141</v>
      </c>
      <c r="M580" s="489">
        <f>(1+INDEX($AD$21:$AD$97,B580))*(1+INDEX($AD$21:$AD$97,C580))*(1+INDEX($AD$21:$AD$97,D580))*(1+INDEX($AD$21:$AD$97,E580))*(1+INDEX($AD$21:$AD$97,F580))-1</f>
        <v>0.319352414066446</v>
      </c>
      <c r="N580" s="489">
        <f>(1+INDEX($AE$21:$AE$97,B580))*(1+INDEX($AE$21:$AE$97,C580))*(1+INDEX($AE$21:$AE$97,D580))*(1+INDEX($AE$21:$AE$97,E580))*(1+INDEX($AE$21:$AE$97,F580))-1</f>
        <v>0.263036559276148</v>
      </c>
      <c r="O580" s="489">
        <f>(1+INDEX($AF$21:$AF$97,B580))*(1+INDEX($AF$21:$AF$97,C580))*(1+INDEX($AF$21:$AF$97,D580))*(1+INDEX($AF$21:$AF$97,E580))*(1+INDEX($AF$21:$AF$97,F580))-1</f>
        <v>0.337203108302589</v>
      </c>
      <c r="P580" s="489">
        <f>LN((1+L580)/(1+H580))</f>
        <v>0.00356971203423798</v>
      </c>
      <c r="Q580" s="489">
        <f>LN((1+M580)/(1+H580))</f>
        <v>0.0361341253765352</v>
      </c>
      <c r="R580" s="489">
        <f>LN((1+N580)/(1+H580))</f>
        <v>-0.00748810610824064</v>
      </c>
      <c r="S580" s="542">
        <f>LN((1+O580)/(1+H580))</f>
        <v>0.0495733046108001</v>
      </c>
    </row>
    <row r="581">
      <c r="A581" s="320" t="n">
        <v>480</v>
      </c>
      <c r="B581" s="174" t="n">
        <v>32</v>
      </c>
      <c r="C581" s="174" t="n">
        <v>17</v>
      </c>
      <c r="D581" s="174" t="n">
        <v>19</v>
      </c>
      <c r="E581" s="174" t="n">
        <v>29</v>
      </c>
      <c r="F581" s="174" t="n">
        <v>31</v>
      </c>
      <c r="G581" s="68">
        <f>(1+INDEX($Z$21:$Z$97,B581))*(1+INDEX($Z$21:$Z$97,C581))*(1+INDEX($Z$21:$Z$97,D581))*(1+INDEX($Z$21:$Z$97,E581))*(1+INDEX($Z$21:$Z$97,F581))-1</f>
        <v>0.431191302912864</v>
      </c>
      <c r="H581" s="68">
        <f>(1+INDEX($AA$21:$AA$97,B581))*(1+INDEX($AA$21:$AA$97,C581))*(1+INDEX($AA$21:$AA$97,D581))*(1+INDEX($AA$21:$AA$97,E581))*(1+INDEX($AA$21:$AA$97,F581))-1</f>
        <v>0.44198665806531</v>
      </c>
      <c r="I581" s="68">
        <f>(1+INDEX($AB$21:$AB$97,B581))*(1+INDEX($AB$21:$AB$97,C581))*(1+INDEX($AB$21:$AB$97,D581))*(1+INDEX($AB$21:$AB$97,E581))*(1+INDEX($AB$21:$AB$97,F581))-1</f>
        <v>0.468721938596834</v>
      </c>
      <c r="J581" s="489">
        <f>LN((1+G581)/(1+H581))</f>
        <v>-0.00751461002387244</v>
      </c>
      <c r="K581" s="489">
        <f>LN((1+I581)/(1+H581))</f>
        <v>0.018370806653559</v>
      </c>
      <c r="L581" s="489">
        <f>(1+INDEX($AC$21:$AC$97,B581))*(1+INDEX($AC$21:$AC$97,C581))*(1+INDEX($AC$21:$AC$97,D581))*(1+INDEX($AC$21:$AC$97,E581))*(1+INDEX($AC$21:$AC$97,F581))-1</f>
        <v>0.447305554635128</v>
      </c>
      <c r="M581" s="489">
        <f>(1+INDEX($AD$21:$AD$97,B581))*(1+INDEX($AD$21:$AD$97,C581))*(1+INDEX($AD$21:$AD$97,D581))*(1+INDEX($AD$21:$AD$97,E581))*(1+INDEX($AD$21:$AD$97,F581))-1</f>
        <v>0.47085163100807</v>
      </c>
      <c r="N581" s="489">
        <f>(1+INDEX($AE$21:$AE$97,B581))*(1+INDEX($AE$21:$AE$97,C581))*(1+INDEX($AE$21:$AE$97,D581))*(1+INDEX($AE$21:$AE$97,E581))*(1+INDEX($AE$21:$AE$97,F581))-1</f>
        <v>0.456460651565724</v>
      </c>
      <c r="O581" s="489">
        <f>(1+INDEX($AF$21:$AF$97,B581))*(1+INDEX($AF$21:$AF$97,C581))*(1+INDEX($AF$21:$AF$97,D581))*(1+INDEX($AF$21:$AF$97,E581))*(1+INDEX($AF$21:$AF$97,F581))-1</f>
        <v>0.431782974948043</v>
      </c>
      <c r="P581" s="489">
        <f>LN((1+L581)/(1+H581))</f>
        <v>0.00368180314533278</v>
      </c>
      <c r="Q581" s="489">
        <f>LN((1+M581)/(1+H581))</f>
        <v>0.0198197874212943</v>
      </c>
      <c r="R581" s="489">
        <f>LN((1+N581)/(1+H581))</f>
        <v>0.00998749486820404</v>
      </c>
      <c r="S581" s="542">
        <f>LN((1+O581)/(1+H581))</f>
        <v>-0.00710128319227787</v>
      </c>
    </row>
    <row r="582">
      <c r="A582" s="320" t="n">
        <v>481</v>
      </c>
      <c r="B582" s="174" t="n">
        <v>10</v>
      </c>
      <c r="C582" s="174" t="n">
        <v>40</v>
      </c>
      <c r="D582" s="174" t="n">
        <v>39</v>
      </c>
      <c r="E582" s="174" t="n">
        <v>70</v>
      </c>
      <c r="F582" s="174" t="n">
        <v>53</v>
      </c>
      <c r="G582" s="68">
        <f>(1+INDEX($Z$21:$Z$97,B582))*(1+INDEX($Z$21:$Z$97,C582))*(1+INDEX($Z$21:$Z$97,D582))*(1+INDEX($Z$21:$Z$97,E582))*(1+INDEX($Z$21:$Z$97,F582))-1</f>
        <v>0.0922854685221162</v>
      </c>
      <c r="H582" s="68">
        <f>(1+INDEX($AA$21:$AA$97,B582))*(1+INDEX($AA$21:$AA$97,C582))*(1+INDEX($AA$21:$AA$97,D582))*(1+INDEX($AA$21:$AA$97,E582))*(1+INDEX($AA$21:$AA$97,F582))-1</f>
        <v>0.129708958467001</v>
      </c>
      <c r="I582" s="68">
        <f>(1+INDEX($AB$21:$AB$97,B582))*(1+INDEX($AB$21:$AB$97,C582))*(1+INDEX($AB$21:$AB$97,D582))*(1+INDEX($AB$21:$AB$97,E582))*(1+INDEX($AB$21:$AB$97,F582))-1</f>
        <v>0.103637079427486</v>
      </c>
      <c r="J582" s="489">
        <f>LN((1+G582)/(1+H582))</f>
        <v>-0.0336877794519926</v>
      </c>
      <c r="K582" s="489">
        <f>LN((1+I582)/(1+H582))</f>
        <v>-0.0233488792635813</v>
      </c>
      <c r="L582" s="489">
        <f>(1+INDEX($AC$21:$AC$97,B582))*(1+INDEX($AC$21:$AC$97,C582))*(1+INDEX($AC$21:$AC$97,D582))*(1+INDEX($AC$21:$AC$97,E582))*(1+INDEX($AC$21:$AC$97,F582))-1</f>
        <v>0.0967850559186294</v>
      </c>
      <c r="M582" s="489">
        <f>(1+INDEX($AD$21:$AD$97,B582))*(1+INDEX($AD$21:$AD$97,C582))*(1+INDEX($AD$21:$AD$97,D582))*(1+INDEX($AD$21:$AD$97,E582))*(1+INDEX($AD$21:$AD$97,F582))-1</f>
        <v>0.132412744041166</v>
      </c>
      <c r="N582" s="489">
        <f>(1+INDEX($AE$21:$AE$97,B582))*(1+INDEX($AE$21:$AE$97,C582))*(1+INDEX($AE$21:$AE$97,D582))*(1+INDEX($AE$21:$AE$97,E582))*(1+INDEX($AE$21:$AE$97,F582))-1</f>
        <v>0.0912491799514257</v>
      </c>
      <c r="O582" s="489">
        <f>(1+INDEX($AF$21:$AF$97,B582))*(1+INDEX($AF$21:$AF$97,C582))*(1+INDEX($AF$21:$AF$97,D582))*(1+INDEX($AF$21:$AF$97,E582))*(1+INDEX($AF$21:$AF$97,F582))-1</f>
        <v>0.16661737145142</v>
      </c>
      <c r="P582" s="489">
        <f>LN((1+L582)/(1+H582))</f>
        <v>-0.0295768166637238</v>
      </c>
      <c r="Q582" s="489">
        <f>LN((1+M582)/(1+H582))</f>
        <v>0.00239048753099073</v>
      </c>
      <c r="R582" s="489">
        <f>LN((1+N582)/(1+H582))</f>
        <v>-0.0346369639764687</v>
      </c>
      <c r="S582" s="542">
        <f>LN((1+O582)/(1+H582))</f>
        <v>0.032148385221429</v>
      </c>
    </row>
    <row r="583">
      <c r="A583" s="320" t="n">
        <v>482</v>
      </c>
      <c r="B583" s="174" t="n">
        <v>43</v>
      </c>
      <c r="C583" s="174" t="n">
        <v>1</v>
      </c>
      <c r="D583" s="174" t="n">
        <v>36</v>
      </c>
      <c r="E583" s="174" t="n">
        <v>42</v>
      </c>
      <c r="F583" s="174" t="n">
        <v>65</v>
      </c>
      <c r="G583" s="68">
        <f>(1+INDEX($Z$21:$Z$97,B583))*(1+INDEX($Z$21:$Z$97,C583))*(1+INDEX($Z$21:$Z$97,D583))*(1+INDEX($Z$21:$Z$97,E583))*(1+INDEX($Z$21:$Z$97,F583))-1</f>
        <v>0.344965605236328</v>
      </c>
      <c r="H583" s="68">
        <f>(1+INDEX($AA$21:$AA$97,B583))*(1+INDEX($AA$21:$AA$97,C583))*(1+INDEX($AA$21:$AA$97,D583))*(1+INDEX($AA$21:$AA$97,E583))*(1+INDEX($AA$21:$AA$97,F583))-1</f>
        <v>0.306103582325015</v>
      </c>
      <c r="I583" s="68">
        <f>(1+INDEX($AB$21:$AB$97,B583))*(1+INDEX($AB$21:$AB$97,C583))*(1+INDEX($AB$21:$AB$97,D583))*(1+INDEX($AB$21:$AB$97,E583))*(1+INDEX($AB$21:$AB$97,F583))-1</f>
        <v>0.329328079482365</v>
      </c>
      <c r="J583" s="489">
        <f>LN((1+G583)/(1+H583))</f>
        <v>0.0293201000495192</v>
      </c>
      <c r="K583" s="489">
        <f>LN((1+I583)/(1+H583))</f>
        <v>0.0176252708164023</v>
      </c>
      <c r="L583" s="489">
        <f>(1+INDEX($AC$21:$AC$97,B583))*(1+INDEX($AC$21:$AC$97,C583))*(1+INDEX($AC$21:$AC$97,D583))*(1+INDEX($AC$21:$AC$97,E583))*(1+INDEX($AC$21:$AC$97,F583))-1</f>
        <v>0.322705345559286</v>
      </c>
      <c r="M583" s="489">
        <f>(1+INDEX($AD$21:$AD$97,B583))*(1+INDEX($AD$21:$AD$97,C583))*(1+INDEX($AD$21:$AD$97,D583))*(1+INDEX($AD$21:$AD$97,E583))*(1+INDEX($AD$21:$AD$97,F583))-1</f>
        <v>0.340445042391121</v>
      </c>
      <c r="N583" s="489">
        <f>(1+INDEX($AE$21:$AE$97,B583))*(1+INDEX($AE$21:$AE$97,C583))*(1+INDEX($AE$21:$AE$97,D583))*(1+INDEX($AE$21:$AE$97,E583))*(1+INDEX($AE$21:$AE$97,F583))-1</f>
        <v>0.331808442228551</v>
      </c>
      <c r="O583" s="489">
        <f>(1+INDEX($AF$21:$AF$97,B583))*(1+INDEX($AF$21:$AF$97,C583))*(1+INDEX($AF$21:$AF$97,D583))*(1+INDEX($AF$21:$AF$97,E583))*(1+INDEX($AF$21:$AF$97,F583))-1</f>
        <v>0.327371543697233</v>
      </c>
      <c r="P583" s="489">
        <f>LN((1+L583)/(1+H583))</f>
        <v>0.0126308030790164</v>
      </c>
      <c r="Q583" s="489">
        <f>LN((1+M583)/(1+H583))</f>
        <v>0.0259533396478828</v>
      </c>
      <c r="R583" s="489">
        <f>LN((1+N583)/(1+H583))</f>
        <v>0.0194894092732039</v>
      </c>
      <c r="S583" s="542">
        <f>LN((1+O583)/(1+H583))</f>
        <v>0.0161523635130859</v>
      </c>
    </row>
    <row r="584">
      <c r="A584" s="320" t="n">
        <v>483</v>
      </c>
      <c r="B584" s="174" t="n">
        <v>6</v>
      </c>
      <c r="C584" s="174" t="n">
        <v>37</v>
      </c>
      <c r="D584" s="174" t="n">
        <v>25</v>
      </c>
      <c r="E584" s="174" t="n">
        <v>75</v>
      </c>
      <c r="F584" s="174" t="n">
        <v>75</v>
      </c>
      <c r="G584" s="68">
        <f>(1+INDEX($Z$21:$Z$97,B584))*(1+INDEX($Z$21:$Z$97,C584))*(1+INDEX($Z$21:$Z$97,D584))*(1+INDEX($Z$21:$Z$97,E584))*(1+INDEX($Z$21:$Z$97,F584))-1</f>
        <v>0.168722942640315</v>
      </c>
      <c r="H584" s="68">
        <f>(1+INDEX($AA$21:$AA$97,B584))*(1+INDEX($AA$21:$AA$97,C584))*(1+INDEX($AA$21:$AA$97,D584))*(1+INDEX($AA$21:$AA$97,E584))*(1+INDEX($AA$21:$AA$97,F584))-1</f>
        <v>0.181212179594964</v>
      </c>
      <c r="I584" s="68">
        <f>(1+INDEX($AB$21:$AB$97,B584))*(1+INDEX($AB$21:$AB$97,C584))*(1+INDEX($AB$21:$AB$97,D584))*(1+INDEX($AB$21:$AB$97,E584))*(1+INDEX($AB$21:$AB$97,F584))-1</f>
        <v>0.190361609515681</v>
      </c>
      <c r="J584" s="489">
        <f>LN((1+G584)/(1+H584))</f>
        <v>-0.0106295313684522</v>
      </c>
      <c r="K584" s="489">
        <f>LN((1+I584)/(1+H584))</f>
        <v>0.00771595246666616</v>
      </c>
      <c r="L584" s="489">
        <f>(1+INDEX($AC$21:$AC$97,B584))*(1+INDEX($AC$21:$AC$97,C584))*(1+INDEX($AC$21:$AC$97,D584))*(1+INDEX($AC$21:$AC$97,E584))*(1+INDEX($AC$21:$AC$97,F584))-1</f>
        <v>0.178181404600744</v>
      </c>
      <c r="M584" s="489">
        <f>(1+INDEX($AD$21:$AD$97,B584))*(1+INDEX($AD$21:$AD$97,C584))*(1+INDEX($AD$21:$AD$97,D584))*(1+INDEX($AD$21:$AD$97,E584))*(1+INDEX($AD$21:$AD$97,F584))-1</f>
        <v>0.176848967468696</v>
      </c>
      <c r="N584" s="489">
        <f>(1+INDEX($AE$21:$AE$97,B584))*(1+INDEX($AE$21:$AE$97,C584))*(1+INDEX($AE$21:$AE$97,D584))*(1+INDEX($AE$21:$AE$97,E584))*(1+INDEX($AE$21:$AE$97,F584))-1</f>
        <v>0.157860862568979</v>
      </c>
      <c r="O584" s="489">
        <f>(1+INDEX($AF$21:$AF$97,B584))*(1+INDEX($AF$21:$AF$97,C584))*(1+INDEX($AF$21:$AF$97,D584))*(1+INDEX($AF$21:$AF$97,E584))*(1+INDEX($AF$21:$AF$97,F584))-1</f>
        <v>0.19366791061259</v>
      </c>
      <c r="P584" s="489">
        <f>LN((1+L584)/(1+H584))</f>
        <v>-0.00256911494676949</v>
      </c>
      <c r="Q584" s="489">
        <f>LN((1+M584)/(1+H584))</f>
        <v>-0.00370068190236086</v>
      </c>
      <c r="R584" s="489">
        <f>LN((1+N584)/(1+H584))</f>
        <v>-0.0199669633292729</v>
      </c>
      <c r="S584" s="542">
        <f>LN((1+O584)/(1+H584))</f>
        <v>0.0104896624301858</v>
      </c>
    </row>
    <row r="585">
      <c r="A585" s="320" t="n">
        <v>484</v>
      </c>
      <c r="B585" s="174" t="n">
        <v>13</v>
      </c>
      <c r="C585" s="174" t="n">
        <v>23</v>
      </c>
      <c r="D585" s="174" t="n">
        <v>43</v>
      </c>
      <c r="E585" s="174" t="n">
        <v>70</v>
      </c>
      <c r="F585" s="174" t="n">
        <v>52</v>
      </c>
      <c r="G585" s="68">
        <f>(1+INDEX($Z$21:$Z$97,B585))*(1+INDEX($Z$21:$Z$97,C585))*(1+INDEX($Z$21:$Z$97,D585))*(1+INDEX($Z$21:$Z$97,E585))*(1+INDEX($Z$21:$Z$97,F585))-1</f>
        <v>0.948785063308775</v>
      </c>
      <c r="H585" s="68">
        <f>(1+INDEX($AA$21:$AA$97,B585))*(1+INDEX($AA$21:$AA$97,C585))*(1+INDEX($AA$21:$AA$97,D585))*(1+INDEX($AA$21:$AA$97,E585))*(1+INDEX($AA$21:$AA$97,F585))-1</f>
        <v>0.823605939356599</v>
      </c>
      <c r="I585" s="68">
        <f>(1+INDEX($AB$21:$AB$97,B585))*(1+INDEX($AB$21:$AB$97,C585))*(1+INDEX($AB$21:$AB$97,D585))*(1+INDEX($AB$21:$AB$97,E585))*(1+INDEX($AB$21:$AB$97,F585))-1</f>
        <v>0.926071067442006</v>
      </c>
      <c r="J585" s="489">
        <f>LN((1+G585)/(1+H585))</f>
        <v>0.0663903076534704</v>
      </c>
      <c r="K585" s="489">
        <f>LN((1+I585)/(1+H585))</f>
        <v>0.054666385386279</v>
      </c>
      <c r="L585" s="489">
        <f>(1+INDEX($AC$21:$AC$97,B585))*(1+INDEX($AC$21:$AC$97,C585))*(1+INDEX($AC$21:$AC$97,D585))*(1+INDEX($AC$21:$AC$97,E585))*(1+INDEX($AC$21:$AC$97,F585))-1</f>
        <v>0.925875919557316</v>
      </c>
      <c r="M585" s="489">
        <f>(1+INDEX($AD$21:$AD$97,B585))*(1+INDEX($AD$21:$AD$97,C585))*(1+INDEX($AD$21:$AD$97,D585))*(1+INDEX($AD$21:$AD$97,E585))*(1+INDEX($AD$21:$AD$97,F585))-1</f>
        <v>0.911158970908853</v>
      </c>
      <c r="N585" s="489">
        <f>(1+INDEX($AE$21:$AE$97,B585))*(1+INDEX($AE$21:$AE$97,C585))*(1+INDEX($AE$21:$AE$97,D585))*(1+INDEX($AE$21:$AE$97,E585))*(1+INDEX($AE$21:$AE$97,F585))-1</f>
        <v>0.906767989594467</v>
      </c>
      <c r="O585" s="489">
        <f>(1+INDEX($AF$21:$AF$97,B585))*(1+INDEX($AF$21:$AF$97,C585))*(1+INDEX($AF$21:$AF$97,D585))*(1+INDEX($AF$21:$AF$97,E585))*(1+INDEX($AF$21:$AF$97,F585))-1</f>
        <v>0.854545771736068</v>
      </c>
      <c r="P585" s="489">
        <f>LN((1+L585)/(1+H585))</f>
        <v>0.0545650611024735</v>
      </c>
      <c r="Q585" s="489">
        <f>LN((1+M585)/(1+H585))</f>
        <v>0.0468940227947498</v>
      </c>
      <c r="R585" s="489">
        <f>LN((1+N585)/(1+H585))</f>
        <v>0.0445938304150501</v>
      </c>
      <c r="S585" s="542">
        <f>LN((1+O585)/(1+H585))</f>
        <v>0.0168239727936474</v>
      </c>
    </row>
    <row r="586">
      <c r="A586" s="320" t="n">
        <v>485</v>
      </c>
      <c r="B586" s="174" t="n">
        <v>54</v>
      </c>
      <c r="C586" s="174" t="n">
        <v>73</v>
      </c>
      <c r="D586" s="174" t="n">
        <v>40</v>
      </c>
      <c r="E586" s="174" t="n">
        <v>7</v>
      </c>
      <c r="F586" s="174" t="n">
        <v>47</v>
      </c>
      <c r="G586" s="68">
        <f>(1+INDEX($Z$21:$Z$97,B586))*(1+INDEX($Z$21:$Z$97,C586))*(1+INDEX($Z$21:$Z$97,D586))*(1+INDEX($Z$21:$Z$97,E586))*(1+INDEX($Z$21:$Z$97,F586))-1</f>
        <v>0.0834641218240948</v>
      </c>
      <c r="H586" s="68">
        <f>(1+INDEX($AA$21:$AA$97,B586))*(1+INDEX($AA$21:$AA$97,C586))*(1+INDEX($AA$21:$AA$97,D586))*(1+INDEX($AA$21:$AA$97,E586))*(1+INDEX($AA$21:$AA$97,F586))-1</f>
        <v>0.122915167970676</v>
      </c>
      <c r="I586" s="68">
        <f>(1+INDEX($AB$21:$AB$97,B586))*(1+INDEX($AB$21:$AB$97,C586))*(1+INDEX($AB$21:$AB$97,D586))*(1+INDEX($AB$21:$AB$97,E586))*(1+INDEX($AB$21:$AB$97,F586))-1</f>
        <v>0.132668474040311</v>
      </c>
      <c r="J586" s="489">
        <f>LN((1+G586)/(1+H586))</f>
        <v>-0.0357647041362466</v>
      </c>
      <c r="K586" s="489">
        <f>LN((1+I586)/(1+H586))</f>
        <v>0.00864819790005379</v>
      </c>
      <c r="L586" s="489">
        <f>(1+INDEX($AC$21:$AC$97,B586))*(1+INDEX($AC$21:$AC$97,C586))*(1+INDEX($AC$21:$AC$97,D586))*(1+INDEX($AC$21:$AC$97,E586))*(1+INDEX($AC$21:$AC$97,F586))-1</f>
        <v>0.119740012429788</v>
      </c>
      <c r="M586" s="489">
        <f>(1+INDEX($AD$21:$AD$97,B586))*(1+INDEX($AD$21:$AD$97,C586))*(1+INDEX($AD$21:$AD$97,D586))*(1+INDEX($AD$21:$AD$97,E586))*(1+INDEX($AD$21:$AD$97,F586))-1</f>
        <v>0.120657212209883</v>
      </c>
      <c r="N586" s="489">
        <f>(1+INDEX($AE$21:$AE$97,B586))*(1+INDEX($AE$21:$AE$97,C586))*(1+INDEX($AE$21:$AE$97,D586))*(1+INDEX($AE$21:$AE$97,E586))*(1+INDEX($AE$21:$AE$97,F586))-1</f>
        <v>0.101117018965898</v>
      </c>
      <c r="O586" s="489">
        <f>(1+INDEX($AF$21:$AF$97,B586))*(1+INDEX($AF$21:$AF$97,C586))*(1+INDEX($AF$21:$AF$97,D586))*(1+INDEX($AF$21:$AF$97,E586))*(1+INDEX($AF$21:$AF$97,F586))-1</f>
        <v>0.130291394731901</v>
      </c>
      <c r="P586" s="489">
        <f>LN((1+L586)/(1+H586))</f>
        <v>-0.00283160575925187</v>
      </c>
      <c r="Q586" s="489">
        <f>LN((1+M586)/(1+H586))</f>
        <v>-0.00201282253523357</v>
      </c>
      <c r="R586" s="489">
        <f>LN((1+N586)/(1+H586))</f>
        <v>-0.0196029960115801</v>
      </c>
      <c r="S586" s="542">
        <f>LN((1+O586)/(1+H586))</f>
        <v>0.0065473385648932</v>
      </c>
    </row>
    <row r="587">
      <c r="A587" s="320" t="n">
        <v>486</v>
      </c>
      <c r="B587" s="174" t="n">
        <v>25</v>
      </c>
      <c r="C587" s="174" t="n">
        <v>17</v>
      </c>
      <c r="D587" s="174" t="n">
        <v>74</v>
      </c>
      <c r="E587" s="174" t="n">
        <v>31</v>
      </c>
      <c r="F587" s="174" t="n">
        <v>61</v>
      </c>
      <c r="G587" s="68">
        <f>(1+INDEX($Z$21:$Z$97,B587))*(1+INDEX($Z$21:$Z$97,C587))*(1+INDEX($Z$21:$Z$97,D587))*(1+INDEX($Z$21:$Z$97,E587))*(1+INDEX($Z$21:$Z$97,F587))-1</f>
        <v>0.583881890164204</v>
      </c>
      <c r="H587" s="68">
        <f>(1+INDEX($AA$21:$AA$97,B587))*(1+INDEX($AA$21:$AA$97,C587))*(1+INDEX($AA$21:$AA$97,D587))*(1+INDEX($AA$21:$AA$97,E587))*(1+INDEX($AA$21:$AA$97,F587))-1</f>
        <v>0.535478391795662</v>
      </c>
      <c r="I587" s="68">
        <f>(1+INDEX($AB$21:$AB$97,B587))*(1+INDEX($AB$21:$AB$97,C587))*(1+INDEX($AB$21:$AB$97,D587))*(1+INDEX($AB$21:$AB$97,E587))*(1+INDEX($AB$21:$AB$97,F587))-1</f>
        <v>0.571189423077863</v>
      </c>
      <c r="J587" s="489">
        <f>LN((1+G587)/(1+H587))</f>
        <v>0.0310367379444136</v>
      </c>
      <c r="K587" s="489">
        <f>LN((1+I587)/(1+H587))</f>
        <v>0.0229909384701204</v>
      </c>
      <c r="L587" s="489">
        <f>(1+INDEX($AC$21:$AC$97,B587))*(1+INDEX($AC$21:$AC$97,C587))*(1+INDEX($AC$21:$AC$97,D587))*(1+INDEX($AC$21:$AC$97,E587))*(1+INDEX($AC$21:$AC$97,F587))-1</f>
        <v>0.573688783378133</v>
      </c>
      <c r="M587" s="489">
        <f>(1+INDEX($AD$21:$AD$97,B587))*(1+INDEX($AD$21:$AD$97,C587))*(1+INDEX($AD$21:$AD$97,D587))*(1+INDEX($AD$21:$AD$97,E587))*(1+INDEX($AD$21:$AD$97,F587))-1</f>
        <v>0.541491699380984</v>
      </c>
      <c r="N587" s="489">
        <f>(1+INDEX($AE$21:$AE$97,B587))*(1+INDEX($AE$21:$AE$97,C587))*(1+INDEX($AE$21:$AE$97,D587))*(1+INDEX($AE$21:$AE$97,E587))*(1+INDEX($AE$21:$AE$97,F587))-1</f>
        <v>0.584729833035088</v>
      </c>
      <c r="O587" s="489">
        <f>(1+INDEX($AF$21:$AF$97,B587))*(1+INDEX($AF$21:$AF$97,C587))*(1+INDEX($AF$21:$AF$97,D587))*(1+INDEX($AF$21:$AF$97,E587))*(1+INDEX($AF$21:$AF$97,F587))-1</f>
        <v>0.505109380967712</v>
      </c>
      <c r="P587" s="489">
        <f>LN((1+L587)/(1+H587))</f>
        <v>0.0245804186740576</v>
      </c>
      <c r="Q587" s="489">
        <f>LN((1+M587)/(1+H587))</f>
        <v>0.00390859518463494</v>
      </c>
      <c r="R587" s="489">
        <f>LN((1+N587)/(1+H587))</f>
        <v>0.0315719520793092</v>
      </c>
      <c r="S587" s="542">
        <f>LN((1+O587)/(1+H587))</f>
        <v>-0.0199764144337348</v>
      </c>
    </row>
    <row r="588">
      <c r="A588" s="320" t="n">
        <v>487</v>
      </c>
      <c r="B588" s="174" t="n">
        <v>48</v>
      </c>
      <c r="C588" s="174" t="n">
        <v>57</v>
      </c>
      <c r="D588" s="174" t="n">
        <v>28</v>
      </c>
      <c r="E588" s="174" t="n">
        <v>55</v>
      </c>
      <c r="F588" s="174" t="n">
        <v>43</v>
      </c>
      <c r="G588" s="68">
        <f>(1+INDEX($Z$21:$Z$97,B588))*(1+INDEX($Z$21:$Z$97,C588))*(1+INDEX($Z$21:$Z$97,D588))*(1+INDEX($Z$21:$Z$97,E588))*(1+INDEX($Z$21:$Z$97,F588))-1</f>
        <v>0.476235137526976</v>
      </c>
      <c r="H588" s="68">
        <f>(1+INDEX($AA$21:$AA$97,B588))*(1+INDEX($AA$21:$AA$97,C588))*(1+INDEX($AA$21:$AA$97,D588))*(1+INDEX($AA$21:$AA$97,E588))*(1+INDEX($AA$21:$AA$97,F588))-1</f>
        <v>0.467852706121955</v>
      </c>
      <c r="I588" s="68">
        <f>(1+INDEX($AB$21:$AB$97,B588))*(1+INDEX($AB$21:$AB$97,C588))*(1+INDEX($AB$21:$AB$97,D588))*(1+INDEX($AB$21:$AB$97,E588))*(1+INDEX($AB$21:$AB$97,F588))-1</f>
        <v>0.522427269946682</v>
      </c>
      <c r="J588" s="489">
        <f>LN((1+G588)/(1+H588))</f>
        <v>0.00569443202872251</v>
      </c>
      <c r="K588" s="489">
        <f>LN((1+I588)/(1+H588))</f>
        <v>0.0365053605818212</v>
      </c>
      <c r="L588" s="489">
        <f>(1+INDEX($AC$21:$AC$97,B588))*(1+INDEX($AC$21:$AC$97,C588))*(1+INDEX($AC$21:$AC$97,D588))*(1+INDEX($AC$21:$AC$97,E588))*(1+INDEX($AC$21:$AC$97,F588))-1</f>
        <v>0.516135315513863</v>
      </c>
      <c r="M588" s="489">
        <f>(1+INDEX($AD$21:$AD$97,B588))*(1+INDEX($AD$21:$AD$97,C588))*(1+INDEX($AD$21:$AD$97,D588))*(1+INDEX($AD$21:$AD$97,E588))*(1+INDEX($AD$21:$AD$97,F588))-1</f>
        <v>0.519920619355728</v>
      </c>
      <c r="N588" s="489">
        <f>(1+INDEX($AE$21:$AE$97,B588))*(1+INDEX($AE$21:$AE$97,C588))*(1+INDEX($AE$21:$AE$97,D588))*(1+INDEX($AE$21:$AE$97,E588))*(1+INDEX($AE$21:$AE$97,F588))-1</f>
        <v>0.511988090722276</v>
      </c>
      <c r="O588" s="489">
        <f>(1+INDEX($AF$21:$AF$97,B588))*(1+INDEX($AF$21:$AF$97,C588))*(1+INDEX($AF$21:$AF$97,D588))*(1+INDEX($AF$21:$AF$97,E588))*(1+INDEX($AF$21:$AF$97,F588))-1</f>
        <v>0.522291587812591</v>
      </c>
      <c r="P588" s="489">
        <f>LN((1+L588)/(1+H588))</f>
        <v>0.0323639527623246</v>
      </c>
      <c r="Q588" s="489">
        <f>LN((1+M588)/(1+H588))</f>
        <v>0.0348575206572833</v>
      </c>
      <c r="R588" s="489">
        <f>LN((1+N588)/(1+H588))</f>
        <v>0.0296248124907888</v>
      </c>
      <c r="S588" s="542">
        <f>LN((1+O588)/(1+H588))</f>
        <v>0.0364162343665482</v>
      </c>
    </row>
    <row r="589">
      <c r="A589" s="320" t="n">
        <v>488</v>
      </c>
      <c r="B589" s="174" t="n">
        <v>76</v>
      </c>
      <c r="C589" s="174" t="n">
        <v>32</v>
      </c>
      <c r="D589" s="174" t="n">
        <v>6</v>
      </c>
      <c r="E589" s="174" t="n">
        <v>4</v>
      </c>
      <c r="F589" s="174" t="n">
        <v>22</v>
      </c>
      <c r="G589" s="68">
        <f>(1+INDEX($Z$21:$Z$97,B589))*(1+INDEX($Z$21:$Z$97,C589))*(1+INDEX($Z$21:$Z$97,D589))*(1+INDEX($Z$21:$Z$97,E589))*(1+INDEX($Z$21:$Z$97,F589))-1</f>
        <v>0.129844959452399</v>
      </c>
      <c r="H589" s="68">
        <f>(1+INDEX($AA$21:$AA$97,B589))*(1+INDEX($AA$21:$AA$97,C589))*(1+INDEX($AA$21:$AA$97,D589))*(1+INDEX($AA$21:$AA$97,E589))*(1+INDEX($AA$21:$AA$97,F589))-1</f>
        <v>0.155926665377122</v>
      </c>
      <c r="I589" s="68">
        <f>(1+INDEX($AB$21:$AB$97,B589))*(1+INDEX($AB$21:$AB$97,C589))*(1+INDEX($AB$21:$AB$97,D589))*(1+INDEX($AB$21:$AB$97,E589))*(1+INDEX($AB$21:$AB$97,F589))-1</f>
        <v>0.141469664074417</v>
      </c>
      <c r="J589" s="489">
        <f>LN((1+G589)/(1+H589))</f>
        <v>-0.0228219106963199</v>
      </c>
      <c r="K589" s="489">
        <f>LN((1+I589)/(1+H589))</f>
        <v>-0.0125857188415144</v>
      </c>
      <c r="L589" s="489">
        <f>(1+INDEX($AC$21:$AC$97,B589))*(1+INDEX($AC$21:$AC$97,C589))*(1+INDEX($AC$21:$AC$97,D589))*(1+INDEX($AC$21:$AC$97,E589))*(1+INDEX($AC$21:$AC$97,F589))-1</f>
        <v>0.129597986139276</v>
      </c>
      <c r="M589" s="489">
        <f>(1+INDEX($AD$21:$AD$97,B589))*(1+INDEX($AD$21:$AD$97,C589))*(1+INDEX($AD$21:$AD$97,D589))*(1+INDEX($AD$21:$AD$97,E589))*(1+INDEX($AD$21:$AD$97,F589))-1</f>
        <v>0.136053372867349</v>
      </c>
      <c r="N589" s="489">
        <f>(1+INDEX($AE$21:$AE$97,B589))*(1+INDEX($AE$21:$AE$97,C589))*(1+INDEX($AE$21:$AE$97,D589))*(1+INDEX($AE$21:$AE$97,E589))*(1+INDEX($AE$21:$AE$97,F589))-1</f>
        <v>0.105089699325387</v>
      </c>
      <c r="O589" s="489">
        <f>(1+INDEX($AF$21:$AF$97,B589))*(1+INDEX($AF$21:$AF$97,C589))*(1+INDEX($AF$21:$AF$97,D589))*(1+INDEX($AF$21:$AF$97,E589))*(1+INDEX($AF$21:$AF$97,F589))-1</f>
        <v>0.153563227577909</v>
      </c>
      <c r="P589" s="489">
        <f>LN((1+L589)/(1+H589))</f>
        <v>-0.0230405250362732</v>
      </c>
      <c r="Q589" s="489">
        <f>LN((1+M589)/(1+H589))</f>
        <v>-0.0173420276296462</v>
      </c>
      <c r="R589" s="489">
        <f>LN((1+N589)/(1+H589))</f>
        <v>-0.0449758224475967</v>
      </c>
      <c r="S589" s="542">
        <f>LN((1+O589)/(1+H589))</f>
        <v>-0.0020467191750623</v>
      </c>
    </row>
    <row r="590">
      <c r="A590" s="320" t="n">
        <v>489</v>
      </c>
      <c r="B590" s="174" t="n">
        <v>56</v>
      </c>
      <c r="C590" s="174" t="n">
        <v>44</v>
      </c>
      <c r="D590" s="174" t="n">
        <v>49</v>
      </c>
      <c r="E590" s="174" t="n">
        <v>23</v>
      </c>
      <c r="F590" s="174" t="n">
        <v>5</v>
      </c>
      <c r="G590" s="68">
        <f>(1+INDEX($Z$21:$Z$97,B590))*(1+INDEX($Z$21:$Z$97,C590))*(1+INDEX($Z$21:$Z$97,D590))*(1+INDEX($Z$21:$Z$97,E590))*(1+INDEX($Z$21:$Z$97,F590))-1</f>
        <v>0.252870863617872</v>
      </c>
      <c r="H590" s="68">
        <f>(1+INDEX($AA$21:$AA$97,B590))*(1+INDEX($AA$21:$AA$97,C590))*(1+INDEX($AA$21:$AA$97,D590))*(1+INDEX($AA$21:$AA$97,E590))*(1+INDEX($AA$21:$AA$97,F590))-1</f>
        <v>0.234253842275383</v>
      </c>
      <c r="I590" s="68">
        <f>(1+INDEX($AB$21:$AB$97,B590))*(1+INDEX($AB$21:$AB$97,C590))*(1+INDEX($AB$21:$AB$97,D590))*(1+INDEX($AB$21:$AB$97,E590))*(1+INDEX($AB$21:$AB$97,F590))-1</f>
        <v>0.248071575608393</v>
      </c>
      <c r="J590" s="489">
        <f>LN((1+G590)/(1+H590))</f>
        <v>0.01497099764856</v>
      </c>
      <c r="K590" s="489">
        <f>LN((1+I590)/(1+H590))</f>
        <v>0.0111330093563143</v>
      </c>
      <c r="L590" s="489">
        <f>(1+INDEX($AC$21:$AC$97,B590))*(1+INDEX($AC$21:$AC$97,C590))*(1+INDEX($AC$21:$AC$97,D590))*(1+INDEX($AC$21:$AC$97,E590))*(1+INDEX($AC$21:$AC$97,F590))-1</f>
        <v>0.224414450085117</v>
      </c>
      <c r="M590" s="489">
        <f>(1+INDEX($AD$21:$AD$97,B590))*(1+INDEX($AD$21:$AD$97,C590))*(1+INDEX($AD$21:$AD$97,D590))*(1+INDEX($AD$21:$AD$97,E590))*(1+INDEX($AD$21:$AD$97,F590))-1</f>
        <v>0.253481675389496</v>
      </c>
      <c r="N590" s="489">
        <f>(1+INDEX($AE$21:$AE$97,B590))*(1+INDEX($AE$21:$AE$97,C590))*(1+INDEX($AE$21:$AE$97,D590))*(1+INDEX($AE$21:$AE$97,E590))*(1+INDEX($AE$21:$AE$97,F590))-1</f>
        <v>0.206639643449907</v>
      </c>
      <c r="O590" s="489">
        <f>(1+INDEX($AF$21:$AF$97,B590))*(1+INDEX($AF$21:$AF$97,C590))*(1+INDEX($AF$21:$AF$97,D590))*(1+INDEX($AF$21:$AF$97,E590))*(1+INDEX($AF$21:$AF$97,F590))-1</f>
        <v>0.277830803388409</v>
      </c>
      <c r="P590" s="489">
        <f>LN((1+L590)/(1+H590))</f>
        <v>-0.00800388140887069</v>
      </c>
      <c r="Q590" s="489">
        <f>LN((1+M590)/(1+H590))</f>
        <v>0.0154584085568098</v>
      </c>
      <c r="R590" s="489">
        <f>LN((1+N590)/(1+H590))</f>
        <v>-0.0226272692088757</v>
      </c>
      <c r="S590" s="542">
        <f>LN((1+O590)/(1+H590))</f>
        <v>0.0346973442792677</v>
      </c>
    </row>
    <row r="591">
      <c r="A591" s="320" t="n">
        <v>490</v>
      </c>
      <c r="B591" s="174" t="n">
        <v>33</v>
      </c>
      <c r="C591" s="174" t="n">
        <v>28</v>
      </c>
      <c r="D591" s="174" t="n">
        <v>5</v>
      </c>
      <c r="E591" s="174" t="n">
        <v>72</v>
      </c>
      <c r="F591" s="174" t="n">
        <v>69</v>
      </c>
      <c r="G591" s="68">
        <f>(1+INDEX($Z$21:$Z$97,B591))*(1+INDEX($Z$21:$Z$97,C591))*(1+INDEX($Z$21:$Z$97,D591))*(1+INDEX($Z$21:$Z$97,E591))*(1+INDEX($Z$21:$Z$97,F591))-1</f>
        <v>0.722596989670834</v>
      </c>
      <c r="H591" s="68">
        <f>(1+INDEX($AA$21:$AA$97,B591))*(1+INDEX($AA$21:$AA$97,C591))*(1+INDEX($AA$21:$AA$97,D591))*(1+INDEX($AA$21:$AA$97,E591))*(1+INDEX($AA$21:$AA$97,F591))-1</f>
        <v>0.787063988384768</v>
      </c>
      <c r="I591" s="68">
        <f>(1+INDEX($AB$21:$AB$97,B591))*(1+INDEX($AB$21:$AB$97,C591))*(1+INDEX($AB$21:$AB$97,D591))*(1+INDEX($AB$21:$AB$97,E591))*(1+INDEX($AB$21:$AB$97,F591))-1</f>
        <v>0.855228667717374</v>
      </c>
      <c r="J591" s="489">
        <f>LN((1+G591)/(1+H591))</f>
        <v>-0.0367410134284479</v>
      </c>
      <c r="K591" s="489">
        <f>LN((1+I591)/(1+H591))</f>
        <v>0.0374339162186964</v>
      </c>
      <c r="L591" s="489">
        <f>(1+INDEX($AC$21:$AC$97,B591))*(1+INDEX($AC$21:$AC$97,C591))*(1+INDEX($AC$21:$AC$97,D591))*(1+INDEX($AC$21:$AC$97,E591))*(1+INDEX($AC$21:$AC$97,F591))-1</f>
        <v>0.860851786389317</v>
      </c>
      <c r="M591" s="489">
        <f>(1+INDEX($AD$21:$AD$97,B591))*(1+INDEX($AD$21:$AD$97,C591))*(1+INDEX($AD$21:$AD$97,D591))*(1+INDEX($AD$21:$AD$97,E591))*(1+INDEX($AD$21:$AD$97,F591))-1</f>
        <v>0.831777649088667</v>
      </c>
      <c r="N591" s="489">
        <f>(1+INDEX($AE$21:$AE$97,B591))*(1+INDEX($AE$21:$AE$97,C591))*(1+INDEX($AE$21:$AE$97,D591))*(1+INDEX($AE$21:$AE$97,E591))*(1+INDEX($AE$21:$AE$97,F591))-1</f>
        <v>0.859043441991705</v>
      </c>
      <c r="O591" s="489">
        <f>(1+INDEX($AF$21:$AF$97,B591))*(1+INDEX($AF$21:$AF$97,C591))*(1+INDEX($AF$21:$AF$97,D591))*(1+INDEX($AF$21:$AF$97,E591))*(1+INDEX($AF$21:$AF$97,F591))-1</f>
        <v>0.767584904949618</v>
      </c>
      <c r="P591" s="489">
        <f>LN((1+L591)/(1+H591))</f>
        <v>0.0404602893197112</v>
      </c>
      <c r="Q591" s="489">
        <f>LN((1+M591)/(1+H591))</f>
        <v>0.024712845051018</v>
      </c>
      <c r="R591" s="489">
        <f>LN((1+N591)/(1+H591))</f>
        <v>0.0394880336893565</v>
      </c>
      <c r="S591" s="542">
        <f>LN((1+O591)/(1+H591))</f>
        <v>-0.0109598888686618</v>
      </c>
    </row>
    <row r="592">
      <c r="A592" s="320" t="n">
        <v>491</v>
      </c>
      <c r="B592" s="174" t="n">
        <v>21</v>
      </c>
      <c r="C592" s="174" t="n">
        <v>7</v>
      </c>
      <c r="D592" s="174" t="n">
        <v>55</v>
      </c>
      <c r="E592" s="174" t="n">
        <v>36</v>
      </c>
      <c r="F592" s="174" t="n">
        <v>60</v>
      </c>
      <c r="G592" s="68">
        <f>(1+INDEX($Z$21:$Z$97,B592))*(1+INDEX($Z$21:$Z$97,C592))*(1+INDEX($Z$21:$Z$97,D592))*(1+INDEX($Z$21:$Z$97,E592))*(1+INDEX($Z$21:$Z$97,F592))-1</f>
        <v>0.041853039280132</v>
      </c>
      <c r="H592" s="68">
        <f>(1+INDEX($AA$21:$AA$97,B592))*(1+INDEX($AA$21:$AA$97,C592))*(1+INDEX($AA$21:$AA$97,D592))*(1+INDEX($AA$21:$AA$97,E592))*(1+INDEX($AA$21:$AA$97,F592))-1</f>
        <v>0.111452273579126</v>
      </c>
      <c r="I592" s="68">
        <f>(1+INDEX($AB$21:$AB$97,B592))*(1+INDEX($AB$21:$AB$97,C592))*(1+INDEX($AB$21:$AB$97,D592))*(1+INDEX($AB$21:$AB$97,E592))*(1+INDEX($AB$21:$AB$97,F592))-1</f>
        <v>0.0807391070548658</v>
      </c>
      <c r="J592" s="489">
        <f>LN((1+G592)/(1+H592))</f>
        <v>-0.0646666185246782</v>
      </c>
      <c r="K592" s="489">
        <f>LN((1+I592)/(1+H592))</f>
        <v>-0.0280223492961471</v>
      </c>
      <c r="L592" s="489">
        <f>(1+INDEX($AC$21:$AC$97,B592))*(1+INDEX($AC$21:$AC$97,C592))*(1+INDEX($AC$21:$AC$97,D592))*(1+INDEX($AC$21:$AC$97,E592))*(1+INDEX($AC$21:$AC$97,F592))-1</f>
        <v>0.0801543822150639</v>
      </c>
      <c r="M592" s="489">
        <f>(1+INDEX($AD$21:$AD$97,B592))*(1+INDEX($AD$21:$AD$97,C592))*(1+INDEX($AD$21:$AD$97,D592))*(1+INDEX($AD$21:$AD$97,E592))*(1+INDEX($AD$21:$AD$97,F592))-1</f>
        <v>0.078219090997858</v>
      </c>
      <c r="N592" s="489">
        <f>(1+INDEX($AE$21:$AE$97,B592))*(1+INDEX($AE$21:$AE$97,C592))*(1+INDEX($AE$21:$AE$97,D592))*(1+INDEX($AE$21:$AE$97,E592))*(1+INDEX($AE$21:$AE$97,F592))-1</f>
        <v>0.0895366539276665</v>
      </c>
      <c r="O592" s="489">
        <f>(1+INDEX($AF$21:$AF$97,B592))*(1+INDEX($AF$21:$AF$97,C592))*(1+INDEX($AF$21:$AF$97,D592))*(1+INDEX($AF$21:$AF$97,E592))*(1+INDEX($AF$21:$AF$97,F592))-1</f>
        <v>0.0863860843533542</v>
      </c>
      <c r="P592" s="489">
        <f>LN((1+L592)/(1+H592))</f>
        <v>-0.0285635373343145</v>
      </c>
      <c r="Q592" s="489">
        <f>LN((1+M592)/(1+H592))</f>
        <v>-0.0303568245108508</v>
      </c>
      <c r="R592" s="489">
        <f>LN((1+N592)/(1+H592))</f>
        <v>-0.0199149970242747</v>
      </c>
      <c r="S592" s="542">
        <f>LN((1+O592)/(1+H592))</f>
        <v>-0.0228108459628345</v>
      </c>
    </row>
    <row r="593">
      <c r="A593" s="320" t="n">
        <v>492</v>
      </c>
      <c r="B593" s="174" t="n">
        <v>67</v>
      </c>
      <c r="C593" s="174" t="n">
        <v>49</v>
      </c>
      <c r="D593" s="174" t="n">
        <v>45</v>
      </c>
      <c r="E593" s="174" t="n">
        <v>25</v>
      </c>
      <c r="F593" s="174" t="n">
        <v>54</v>
      </c>
      <c r="G593" s="68">
        <f>(1+INDEX($Z$21:$Z$97,B593))*(1+INDEX($Z$21:$Z$97,C593))*(1+INDEX($Z$21:$Z$97,D593))*(1+INDEX($Z$21:$Z$97,E593))*(1+INDEX($Z$21:$Z$97,F593))-1</f>
        <v>0.410056194948484</v>
      </c>
      <c r="H593" s="68">
        <f>(1+INDEX($AA$21:$AA$97,B593))*(1+INDEX($AA$21:$AA$97,C593))*(1+INDEX($AA$21:$AA$97,D593))*(1+INDEX($AA$21:$AA$97,E593))*(1+INDEX($AA$21:$AA$97,F593))-1</f>
        <v>0.385734341823448</v>
      </c>
      <c r="I593" s="68">
        <f>(1+INDEX($AB$21:$AB$97,B593))*(1+INDEX($AB$21:$AB$97,C593))*(1+INDEX($AB$21:$AB$97,D593))*(1+INDEX($AB$21:$AB$97,E593))*(1+INDEX($AB$21:$AB$97,F593))-1</f>
        <v>0.431859159057001</v>
      </c>
      <c r="J593" s="489">
        <f>LN((1+G593)/(1+H593))</f>
        <v>0.0173993483391748</v>
      </c>
      <c r="K593" s="489">
        <f>LN((1+I593)/(1+H593))</f>
        <v>0.0327435012575698</v>
      </c>
      <c r="L593" s="489">
        <f>(1+INDEX($AC$21:$AC$97,B593))*(1+INDEX($AC$21:$AC$97,C593))*(1+INDEX($AC$21:$AC$97,D593))*(1+INDEX($AC$21:$AC$97,E593))*(1+INDEX($AC$21:$AC$97,F593))-1</f>
        <v>0.412804355216867</v>
      </c>
      <c r="M593" s="489">
        <f>(1+INDEX($AD$21:$AD$97,B593))*(1+INDEX($AD$21:$AD$97,C593))*(1+INDEX($AD$21:$AD$97,D593))*(1+INDEX($AD$21:$AD$97,E593))*(1+INDEX($AD$21:$AD$97,F593))-1</f>
        <v>0.434241989719145</v>
      </c>
      <c r="N593" s="489">
        <f>(1+INDEX($AE$21:$AE$97,B593))*(1+INDEX($AE$21:$AE$97,C593))*(1+INDEX($AE$21:$AE$97,D593))*(1+INDEX($AE$21:$AE$97,E593))*(1+INDEX($AE$21:$AE$97,F593))-1</f>
        <v>0.406332652448939</v>
      </c>
      <c r="O593" s="489">
        <f>(1+INDEX($AF$21:$AF$97,B593))*(1+INDEX($AF$21:$AF$97,C593))*(1+INDEX($AF$21:$AF$97,D593))*(1+INDEX($AF$21:$AF$97,E593))*(1+INDEX($AF$21:$AF$97,F593))-1</f>
        <v>0.425264793397768</v>
      </c>
      <c r="P593" s="489">
        <f>LN((1+L593)/(1+H593))</f>
        <v>0.0193464237173295</v>
      </c>
      <c r="Q593" s="489">
        <f>LN((1+M593)/(1+H593))</f>
        <v>0.0344062696578862</v>
      </c>
      <c r="R593" s="489">
        <f>LN((1+N593)/(1+H593))</f>
        <v>0.0147551504880845</v>
      </c>
      <c r="S593" s="542">
        <f>LN((1+O593)/(1+H593))</f>
        <v>0.0281274065563648</v>
      </c>
    </row>
    <row r="594">
      <c r="A594" s="320" t="n">
        <v>493</v>
      </c>
      <c r="B594" s="174" t="n">
        <v>45</v>
      </c>
      <c r="C594" s="174" t="n">
        <v>50</v>
      </c>
      <c r="D594" s="174" t="n">
        <v>15</v>
      </c>
      <c r="E594" s="174" t="n">
        <v>19</v>
      </c>
      <c r="F594" s="174" t="n">
        <v>73</v>
      </c>
      <c r="G594" s="68">
        <f>(1+INDEX($Z$21:$Z$97,B594))*(1+INDEX($Z$21:$Z$97,C594))*(1+INDEX($Z$21:$Z$97,D594))*(1+INDEX($Z$21:$Z$97,E594))*(1+INDEX($Z$21:$Z$97,F594))-1</f>
        <v>0.207165556208024</v>
      </c>
      <c r="H594" s="68">
        <f>(1+INDEX($AA$21:$AA$97,B594))*(1+INDEX($AA$21:$AA$97,C594))*(1+INDEX($AA$21:$AA$97,D594))*(1+INDEX($AA$21:$AA$97,E594))*(1+INDEX($AA$21:$AA$97,F594))-1</f>
        <v>0.197111605967938</v>
      </c>
      <c r="I594" s="68">
        <f>(1+INDEX($AB$21:$AB$97,B594))*(1+INDEX($AB$21:$AB$97,C594))*(1+INDEX($AB$21:$AB$97,D594))*(1+INDEX($AB$21:$AB$97,E594))*(1+INDEX($AB$21:$AB$97,F594))-1</f>
        <v>0.230036547154768</v>
      </c>
      <c r="J594" s="489">
        <f>LN((1+G594)/(1+H594))</f>
        <v>0.00836343579839621</v>
      </c>
      <c r="K594" s="489">
        <f>LN((1+I594)/(1+H594))</f>
        <v>0.0271322217789667</v>
      </c>
      <c r="L594" s="489">
        <f>(1+INDEX($AC$21:$AC$97,B594))*(1+INDEX($AC$21:$AC$97,C594))*(1+INDEX($AC$21:$AC$97,D594))*(1+INDEX($AC$21:$AC$97,E594))*(1+INDEX($AC$21:$AC$97,F594))-1</f>
        <v>0.19781322608144</v>
      </c>
      <c r="M594" s="489">
        <f>(1+INDEX($AD$21:$AD$97,B594))*(1+INDEX($AD$21:$AD$97,C594))*(1+INDEX($AD$21:$AD$97,D594))*(1+INDEX($AD$21:$AD$97,E594))*(1+INDEX($AD$21:$AD$97,F594))-1</f>
        <v>0.229401988315981</v>
      </c>
      <c r="N594" s="489">
        <f>(1+INDEX($AE$21:$AE$97,B594))*(1+INDEX($AE$21:$AE$97,C594))*(1+INDEX($AE$21:$AE$97,D594))*(1+INDEX($AE$21:$AE$97,E594))*(1+INDEX($AE$21:$AE$97,F594))-1</f>
        <v>0.177679328320927</v>
      </c>
      <c r="O594" s="489">
        <f>(1+INDEX($AF$21:$AF$97,B594))*(1+INDEX($AF$21:$AF$97,C594))*(1+INDEX($AF$21:$AF$97,D594))*(1+INDEX($AF$21:$AF$97,E594))*(1+INDEX($AF$21:$AF$97,F594))-1</f>
        <v>0.212523570186886</v>
      </c>
      <c r="P594" s="489">
        <f>LN((1+L594)/(1+H594))</f>
        <v>0.00058592246753261</v>
      </c>
      <c r="Q594" s="489">
        <f>LN((1+M594)/(1+H594))</f>
        <v>0.0266162024975613</v>
      </c>
      <c r="R594" s="489">
        <f>LN((1+N594)/(1+H594))</f>
        <v>-0.0163658291713344</v>
      </c>
      <c r="S594" s="542">
        <f>LN((1+O594)/(1+H594))</f>
        <v>0.0127921226720602</v>
      </c>
    </row>
    <row r="595">
      <c r="A595" s="320" t="n">
        <v>494</v>
      </c>
      <c r="B595" s="174" t="n">
        <v>49</v>
      </c>
      <c r="C595" s="174" t="n">
        <v>70</v>
      </c>
      <c r="D595" s="174" t="n">
        <v>52</v>
      </c>
      <c r="E595" s="174" t="n">
        <v>11</v>
      </c>
      <c r="F595" s="174" t="n">
        <v>21</v>
      </c>
      <c r="G595" s="68">
        <f>(1+INDEX($Z$21:$Z$97,B595))*(1+INDEX($Z$21:$Z$97,C595))*(1+INDEX($Z$21:$Z$97,D595))*(1+INDEX($Z$21:$Z$97,E595))*(1+INDEX($Z$21:$Z$97,F595))-1</f>
        <v>0.473263717985377</v>
      </c>
      <c r="H595" s="68">
        <f>(1+INDEX($AA$21:$AA$97,B595))*(1+INDEX($AA$21:$AA$97,C595))*(1+INDEX($AA$21:$AA$97,D595))*(1+INDEX($AA$21:$AA$97,E595))*(1+INDEX($AA$21:$AA$97,F595))-1</f>
        <v>0.426406612933053</v>
      </c>
      <c r="I595" s="68">
        <f>(1+INDEX($AB$21:$AB$97,B595))*(1+INDEX($AB$21:$AB$97,C595))*(1+INDEX($AB$21:$AB$97,D595))*(1+INDEX($AB$21:$AB$97,E595))*(1+INDEX($AB$21:$AB$97,F595))-1</f>
        <v>0.451276599932829</v>
      </c>
      <c r="J595" s="489">
        <f>LN((1+G595)/(1+H595))</f>
        <v>0.0323217324129439</v>
      </c>
      <c r="K595" s="489">
        <f>LN((1+I595)/(1+H595))</f>
        <v>0.0172851591863508</v>
      </c>
      <c r="L595" s="489">
        <f>(1+INDEX($AC$21:$AC$97,B595))*(1+INDEX($AC$21:$AC$97,C595))*(1+INDEX($AC$21:$AC$97,D595))*(1+INDEX($AC$21:$AC$97,E595))*(1+INDEX($AC$21:$AC$97,F595))-1</f>
        <v>0.430360757791301</v>
      </c>
      <c r="M595" s="489">
        <f>(1+INDEX($AD$21:$AD$97,B595))*(1+INDEX($AD$21:$AD$97,C595))*(1+INDEX($AD$21:$AD$97,D595))*(1+INDEX($AD$21:$AD$97,E595))*(1+INDEX($AD$21:$AD$97,F595))-1</f>
        <v>0.465946343330843</v>
      </c>
      <c r="N595" s="489">
        <f>(1+INDEX($AE$21:$AE$97,B595))*(1+INDEX($AE$21:$AE$97,C595))*(1+INDEX($AE$21:$AE$97,D595))*(1+INDEX($AE$21:$AE$97,E595))*(1+INDEX($AE$21:$AE$97,F595))-1</f>
        <v>0.424754575253549</v>
      </c>
      <c r="O595" s="489">
        <f>(1+INDEX($AF$21:$AF$97,B595))*(1+INDEX($AF$21:$AF$97,C595))*(1+INDEX($AF$21:$AF$97,D595))*(1+INDEX($AF$21:$AF$97,E595))*(1+INDEX($AF$21:$AF$97,F595))-1</f>
        <v>0.479055621672507</v>
      </c>
      <c r="P595" s="489">
        <f>LN((1+L595)/(1+H595))</f>
        <v>0.0027682669747067</v>
      </c>
      <c r="Q595" s="489">
        <f>LN((1+M595)/(1+H595))</f>
        <v>0.0273425784092781</v>
      </c>
      <c r="R595" s="489">
        <f>LN((1+N595)/(1+H595))</f>
        <v>-0.00115885266061513</v>
      </c>
      <c r="S595" s="542">
        <f>LN((1+O595)/(1+H595))</f>
        <v>0.0362453669871665</v>
      </c>
    </row>
    <row r="596">
      <c r="A596" s="320" t="n">
        <v>495</v>
      </c>
      <c r="B596" s="174" t="n">
        <v>54</v>
      </c>
      <c r="C596" s="174" t="n">
        <v>64</v>
      </c>
      <c r="D596" s="174" t="n">
        <v>48</v>
      </c>
      <c r="E596" s="174" t="n">
        <v>74</v>
      </c>
      <c r="F596" s="174" t="n">
        <v>33</v>
      </c>
      <c r="G596" s="68">
        <f>(1+INDEX($Z$21:$Z$97,B596))*(1+INDEX($Z$21:$Z$97,C596))*(1+INDEX($Z$21:$Z$97,D596))*(1+INDEX($Z$21:$Z$97,E596))*(1+INDEX($Z$21:$Z$97,F596))-1</f>
        <v>0.217021214460161</v>
      </c>
      <c r="H596" s="68">
        <f>(1+INDEX($AA$21:$AA$97,B596))*(1+INDEX($AA$21:$AA$97,C596))*(1+INDEX($AA$21:$AA$97,D596))*(1+INDEX($AA$21:$AA$97,E596))*(1+INDEX($AA$21:$AA$97,F596))-1</f>
        <v>0.208120755359714</v>
      </c>
      <c r="I596" s="68">
        <f>(1+INDEX($AB$21:$AB$97,B596))*(1+INDEX($AB$21:$AB$97,C596))*(1+INDEX($AB$21:$AB$97,D596))*(1+INDEX($AB$21:$AB$97,E596))*(1+INDEX($AB$21:$AB$97,F596))-1</f>
        <v>0.246805599762807</v>
      </c>
      <c r="J596" s="489">
        <f>LN((1+G596)/(1+H596))</f>
        <v>0.00734018805745889</v>
      </c>
      <c r="K596" s="489">
        <f>LN((1+I596)/(1+H596))</f>
        <v>0.0315187026461816</v>
      </c>
      <c r="L596" s="489">
        <f>(1+INDEX($AC$21:$AC$97,B596))*(1+INDEX($AC$21:$AC$97,C596))*(1+INDEX($AC$21:$AC$97,D596))*(1+INDEX($AC$21:$AC$97,E596))*(1+INDEX($AC$21:$AC$97,F596))-1</f>
        <v>0.224931933470827</v>
      </c>
      <c r="M596" s="489">
        <f>(1+INDEX($AD$21:$AD$97,B596))*(1+INDEX($AD$21:$AD$97,C596))*(1+INDEX($AD$21:$AD$97,D596))*(1+INDEX($AD$21:$AD$97,E596))*(1+INDEX($AD$21:$AD$97,F596))-1</f>
        <v>0.246104581814297</v>
      </c>
      <c r="N596" s="489">
        <f>(1+INDEX($AE$21:$AE$97,B596))*(1+INDEX($AE$21:$AE$97,C596))*(1+INDEX($AE$21:$AE$97,D596))*(1+INDEX($AE$21:$AE$97,E596))*(1+INDEX($AE$21:$AE$97,F596))-1</f>
        <v>0.221965852727218</v>
      </c>
      <c r="O596" s="489">
        <f>(1+INDEX($AF$21:$AF$97,B596))*(1+INDEX($AF$21:$AF$97,C596))*(1+INDEX($AF$21:$AF$97,D596))*(1+INDEX($AF$21:$AF$97,E596))*(1+INDEX($AF$21:$AF$97,F596))-1</f>
        <v>0.214441418530889</v>
      </c>
      <c r="P596" s="489">
        <f>LN((1+L596)/(1+H596))</f>
        <v>0.0138192203765436</v>
      </c>
      <c r="Q596" s="489">
        <f>LN((1+M596)/(1+H596))</f>
        <v>0.0309562933205922</v>
      </c>
      <c r="R596" s="489">
        <f>LN((1+N596)/(1+H596))</f>
        <v>0.0113948590377839</v>
      </c>
      <c r="S596" s="542">
        <f>LN((1+O596)/(1+H596))</f>
        <v>0.00521817568324191</v>
      </c>
    </row>
    <row r="597">
      <c r="A597" s="320" t="n">
        <v>496</v>
      </c>
      <c r="B597" s="174" t="n">
        <v>66</v>
      </c>
      <c r="C597" s="174" t="n">
        <v>67</v>
      </c>
      <c r="D597" s="174" t="n">
        <v>23</v>
      </c>
      <c r="E597" s="174" t="n">
        <v>21</v>
      </c>
      <c r="F597" s="174" t="n">
        <v>41</v>
      </c>
      <c r="G597" s="68">
        <f>(1+INDEX($Z$21:$Z$97,B597))*(1+INDEX($Z$21:$Z$97,C597))*(1+INDEX($Z$21:$Z$97,D597))*(1+INDEX($Z$21:$Z$97,E597))*(1+INDEX($Z$21:$Z$97,F597))-1</f>
        <v>0.540747784291663</v>
      </c>
      <c r="H597" s="68">
        <f>(1+INDEX($AA$21:$AA$97,B597))*(1+INDEX($AA$21:$AA$97,C597))*(1+INDEX($AA$21:$AA$97,D597))*(1+INDEX($AA$21:$AA$97,E597))*(1+INDEX($AA$21:$AA$97,F597))-1</f>
        <v>0.513220534020576</v>
      </c>
      <c r="I597" s="68">
        <f>(1+INDEX($AB$21:$AB$97,B597))*(1+INDEX($AB$21:$AB$97,C597))*(1+INDEX($AB$21:$AB$97,D597))*(1+INDEX($AB$21:$AB$97,E597))*(1+INDEX($AB$21:$AB$97,F597))-1</f>
        <v>0.54111782552524</v>
      </c>
      <c r="J597" s="489">
        <f>LN((1+G597)/(1+H597))</f>
        <v>0.0180276891715749</v>
      </c>
      <c r="K597" s="489">
        <f>LN((1+I597)/(1+H597))</f>
        <v>0.0182678302304042</v>
      </c>
      <c r="L597" s="489">
        <f>(1+INDEX($AC$21:$AC$97,B597))*(1+INDEX($AC$21:$AC$97,C597))*(1+INDEX($AC$21:$AC$97,D597))*(1+INDEX($AC$21:$AC$97,E597))*(1+INDEX($AC$21:$AC$97,F597))-1</f>
        <v>0.542243888426379</v>
      </c>
      <c r="M597" s="489">
        <f>(1+INDEX($AD$21:$AD$97,B597))*(1+INDEX($AD$21:$AD$97,C597))*(1+INDEX($AD$21:$AD$97,D597))*(1+INDEX($AD$21:$AD$97,E597))*(1+INDEX($AD$21:$AD$97,F597))-1</f>
        <v>0.536780195860627</v>
      </c>
      <c r="N597" s="489">
        <f>(1+INDEX($AE$21:$AE$97,B597))*(1+INDEX($AE$21:$AE$97,C597))*(1+INDEX($AE$21:$AE$97,D597))*(1+INDEX($AE$21:$AE$97,E597))*(1+INDEX($AE$21:$AE$97,F597))-1</f>
        <v>0.548768099681249</v>
      </c>
      <c r="O597" s="489">
        <f>(1+INDEX($AF$21:$AF$97,B597))*(1+INDEX($AF$21:$AF$97,C597))*(1+INDEX($AF$21:$AF$97,D597))*(1+INDEX($AF$21:$AF$97,E597))*(1+INDEX($AF$21:$AF$97,F597))-1</f>
        <v>0.549705943170572</v>
      </c>
      <c r="P597" s="489">
        <f>LN((1+L597)/(1+H597))</f>
        <v>0.0189982427188945</v>
      </c>
      <c r="Q597" s="489">
        <f>LN((1+M597)/(1+H597))</f>
        <v>0.0154492621647291</v>
      </c>
      <c r="R597" s="489">
        <f>LN((1+N597)/(1+H597))</f>
        <v>0.0232196569150257</v>
      </c>
      <c r="S597" s="542">
        <f>LN((1+O597)/(1+H597))</f>
        <v>0.0238250152333415</v>
      </c>
    </row>
    <row r="598">
      <c r="A598" s="320" t="n">
        <v>497</v>
      </c>
      <c r="B598" s="174" t="n">
        <v>51</v>
      </c>
      <c r="C598" s="174" t="n">
        <v>1</v>
      </c>
      <c r="D598" s="174" t="n">
        <v>42</v>
      </c>
      <c r="E598" s="174" t="n">
        <v>70</v>
      </c>
      <c r="F598" s="174" t="n">
        <v>77</v>
      </c>
      <c r="G598" s="68">
        <f>(1+INDEX($Z$21:$Z$97,B598))*(1+INDEX($Z$21:$Z$97,C598))*(1+INDEX($Z$21:$Z$97,D598))*(1+INDEX($Z$21:$Z$97,E598))*(1+INDEX($Z$21:$Z$97,F598))-1</f>
        <v>0.568701607630607</v>
      </c>
      <c r="H598" s="68">
        <f>(1+INDEX($AA$21:$AA$97,B598))*(1+INDEX($AA$21:$AA$97,C598))*(1+INDEX($AA$21:$AA$97,D598))*(1+INDEX($AA$21:$AA$97,E598))*(1+INDEX($AA$21:$AA$97,F598))-1</f>
        <v>0.491399160795107</v>
      </c>
      <c r="I598" s="68">
        <f>(1+INDEX($AB$21:$AB$97,B598))*(1+INDEX($AB$21:$AB$97,C598))*(1+INDEX($AB$21:$AB$97,D598))*(1+INDEX($AB$21:$AB$97,E598))*(1+INDEX($AB$21:$AB$97,F598))-1</f>
        <v>0.536683095648538</v>
      </c>
      <c r="J598" s="489">
        <f>LN((1+G598)/(1+H598))</f>
        <v>0.0505335622653004</v>
      </c>
      <c r="K598" s="489">
        <f>LN((1+I598)/(1+H598))</f>
        <v>0.0299115461633629</v>
      </c>
      <c r="L598" s="489">
        <f>(1+INDEX($AC$21:$AC$97,B598))*(1+INDEX($AC$21:$AC$97,C598))*(1+INDEX($AC$21:$AC$97,D598))*(1+INDEX($AC$21:$AC$97,E598))*(1+INDEX($AC$21:$AC$97,F598))-1</f>
        <v>0.53134557408016</v>
      </c>
      <c r="M598" s="489">
        <f>(1+INDEX($AD$21:$AD$97,B598))*(1+INDEX($AD$21:$AD$97,C598))*(1+INDEX($AD$21:$AD$97,D598))*(1+INDEX($AD$21:$AD$97,E598))*(1+INDEX($AD$21:$AD$97,F598))-1</f>
        <v>0.533895315481015</v>
      </c>
      <c r="N598" s="489">
        <f>(1+INDEX($AE$21:$AE$97,B598))*(1+INDEX($AE$21:$AE$97,C598))*(1+INDEX($AE$21:$AE$97,D598))*(1+INDEX($AE$21:$AE$97,E598))*(1+INDEX($AE$21:$AE$97,F598))-1</f>
        <v>0.5227936684281</v>
      </c>
      <c r="O598" s="489">
        <f>(1+INDEX($AF$21:$AF$97,B598))*(1+INDEX($AF$21:$AF$97,C598))*(1+INDEX($AF$21:$AF$97,D598))*(1+INDEX($AF$21:$AF$97,E598))*(1+INDEX($AF$21:$AF$97,F598))-1</f>
        <v>0.511696625871474</v>
      </c>
      <c r="P598" s="489">
        <f>LN((1+L598)/(1+H598))</f>
        <v>0.0264320956575921</v>
      </c>
      <c r="Q598" s="489">
        <f>LN((1+M598)/(1+H598))</f>
        <v>0.0280957443434892</v>
      </c>
      <c r="R598" s="489">
        <f>LN((1+N598)/(1+H598))</f>
        <v>0.0208318742375811</v>
      </c>
      <c r="S598" s="542">
        <f>LN((1+O598)/(1+H598))</f>
        <v>0.0135178999293439</v>
      </c>
    </row>
    <row r="599">
      <c r="A599" s="320" t="n">
        <v>498</v>
      </c>
      <c r="B599" s="174" t="n">
        <v>10</v>
      </c>
      <c r="C599" s="174" t="n">
        <v>74</v>
      </c>
      <c r="D599" s="174" t="n">
        <v>7</v>
      </c>
      <c r="E599" s="174" t="n">
        <v>14</v>
      </c>
      <c r="F599" s="174" t="n">
        <v>31</v>
      </c>
      <c r="G599" s="68">
        <f>(1+INDEX($Z$21:$Z$97,B599))*(1+INDEX($Z$21:$Z$97,C599))*(1+INDEX($Z$21:$Z$97,D599))*(1+INDEX($Z$21:$Z$97,E599))*(1+INDEX($Z$21:$Z$97,F599))-1</f>
        <v>0.0582274018154163</v>
      </c>
      <c r="H599" s="68">
        <f>(1+INDEX($AA$21:$AA$97,B599))*(1+INDEX($AA$21:$AA$97,C599))*(1+INDEX($AA$21:$AA$97,D599))*(1+INDEX($AA$21:$AA$97,E599))*(1+INDEX($AA$21:$AA$97,F599))-1</f>
        <v>0.103423247001018</v>
      </c>
      <c r="I599" s="68">
        <f>(1+INDEX($AB$21:$AB$97,B599))*(1+INDEX($AB$21:$AB$97,C599))*(1+INDEX($AB$21:$AB$97,D599))*(1+INDEX($AB$21:$AB$97,E599))*(1+INDEX($AB$21:$AB$97,F599))-1</f>
        <v>0.0843023611661709</v>
      </c>
      <c r="J599" s="489">
        <f>LN((1+G599)/(1+H599))</f>
        <v>-0.0418221442565808</v>
      </c>
      <c r="K599" s="489">
        <f>LN((1+I599)/(1+H599))</f>
        <v>-0.0174805950621277</v>
      </c>
      <c r="L599" s="489">
        <f>(1+INDEX($AC$21:$AC$97,B599))*(1+INDEX($AC$21:$AC$97,C599))*(1+INDEX($AC$21:$AC$97,D599))*(1+INDEX($AC$21:$AC$97,E599))*(1+INDEX($AC$21:$AC$97,F599))-1</f>
        <v>0.0674805733012205</v>
      </c>
      <c r="M599" s="489">
        <f>(1+INDEX($AD$21:$AD$97,B599))*(1+INDEX($AD$21:$AD$97,C599))*(1+INDEX($AD$21:$AD$97,D599))*(1+INDEX($AD$21:$AD$97,E599))*(1+INDEX($AD$21:$AD$97,F599))-1</f>
        <v>0.099975937397973</v>
      </c>
      <c r="N599" s="489">
        <f>(1+INDEX($AE$21:$AE$97,B599))*(1+INDEX($AE$21:$AE$97,C599))*(1+INDEX($AE$21:$AE$97,D599))*(1+INDEX($AE$21:$AE$97,E599))*(1+INDEX($AE$21:$AE$97,F599))-1</f>
        <v>0.0566589641279507</v>
      </c>
      <c r="O599" s="489">
        <f>(1+INDEX($AF$21:$AF$97,B599))*(1+INDEX($AF$21:$AF$97,C599))*(1+INDEX($AF$21:$AF$97,D599))*(1+INDEX($AF$21:$AF$97,E599))*(1+INDEX($AF$21:$AF$97,F599))-1</f>
        <v>0.106421422735736</v>
      </c>
      <c r="P599" s="489">
        <f>LN((1+L599)/(1+H599))</f>
        <v>-0.0331161225082979</v>
      </c>
      <c r="Q599" s="489">
        <f>LN((1+M599)/(1+H599))</f>
        <v>-0.00312908567836553</v>
      </c>
      <c r="R599" s="489">
        <f>LN((1+N599)/(1+H599))</f>
        <v>-0.0433053804249803</v>
      </c>
      <c r="S599" s="542">
        <f>LN((1+O599)/(1+H599))</f>
        <v>0.00271347358969881</v>
      </c>
    </row>
    <row r="600">
      <c r="A600" s="320" t="n">
        <v>499</v>
      </c>
      <c r="B600" s="174" t="n">
        <v>77</v>
      </c>
      <c r="C600" s="174" t="n">
        <v>26</v>
      </c>
      <c r="D600" s="174" t="n">
        <v>40</v>
      </c>
      <c r="E600" s="174" t="n">
        <v>11</v>
      </c>
      <c r="F600" s="174" t="n">
        <v>41</v>
      </c>
      <c r="G600" s="68">
        <f>(1+INDEX($Z$21:$Z$97,B600))*(1+INDEX($Z$21:$Z$97,C600))*(1+INDEX($Z$21:$Z$97,D600))*(1+INDEX($Z$21:$Z$97,E600))*(1+INDEX($Z$21:$Z$97,F600))-1</f>
        <v>0.519144706842162</v>
      </c>
      <c r="H600" s="68">
        <f>(1+INDEX($AA$21:$AA$97,B600))*(1+INDEX($AA$21:$AA$97,C600))*(1+INDEX($AA$21:$AA$97,D600))*(1+INDEX($AA$21:$AA$97,E600))*(1+INDEX($AA$21:$AA$97,F600))-1</f>
        <v>0.469336337175942</v>
      </c>
      <c r="I600" s="68">
        <f>(1+INDEX($AB$21:$AB$97,B600))*(1+INDEX($AB$21:$AB$97,C600))*(1+INDEX($AB$21:$AB$97,D600))*(1+INDEX($AB$21:$AB$97,E600))*(1+INDEX($AB$21:$AB$97,F600))-1</f>
        <v>0.509885648339868</v>
      </c>
      <c r="J600" s="489">
        <f>LN((1+G600)/(1+H600))</f>
        <v>0.0333366560822361</v>
      </c>
      <c r="K600" s="489">
        <f>LN((1+I600)/(1+H600))</f>
        <v>0.0272230908450511</v>
      </c>
      <c r="L600" s="489">
        <f>(1+INDEX($AC$21:$AC$97,B600))*(1+INDEX($AC$21:$AC$97,C600))*(1+INDEX($AC$21:$AC$97,D600))*(1+INDEX($AC$21:$AC$97,E600))*(1+INDEX($AC$21:$AC$97,F600))-1</f>
        <v>0.520786405805349</v>
      </c>
      <c r="M600" s="489">
        <f>(1+INDEX($AD$21:$AD$97,B600))*(1+INDEX($AD$21:$AD$97,C600))*(1+INDEX($AD$21:$AD$97,D600))*(1+INDEX($AD$21:$AD$97,E600))*(1+INDEX($AD$21:$AD$97,F600))-1</f>
        <v>0.510616620316065</v>
      </c>
      <c r="N600" s="489">
        <f>(1+INDEX($AE$21:$AE$97,B600))*(1+INDEX($AE$21:$AE$97,C600))*(1+INDEX($AE$21:$AE$97,D600))*(1+INDEX($AE$21:$AE$97,E600))*(1+INDEX($AE$21:$AE$97,F600))-1</f>
        <v>0.481466281989236</v>
      </c>
      <c r="O600" s="489">
        <f>(1+INDEX($AF$21:$AF$97,B600))*(1+INDEX($AF$21:$AF$97,C600))*(1+INDEX($AF$21:$AF$97,D600))*(1+INDEX($AF$21:$AF$97,E600))*(1+INDEX($AF$21:$AF$97,F600))-1</f>
        <v>0.524996116885071</v>
      </c>
      <c r="P600" s="489">
        <f>LN((1+L600)/(1+H600))</f>
        <v>0.0344167457697669</v>
      </c>
      <c r="Q600" s="489">
        <f>LN((1+M600)/(1+H600))</f>
        <v>0.0277070977587699</v>
      </c>
      <c r="R600" s="489">
        <f>LN((1+N600)/(1+H600))</f>
        <v>0.00822150086180445</v>
      </c>
      <c r="S600" s="542">
        <f>LN((1+O600)/(1+H600))</f>
        <v>0.0371810362133555</v>
      </c>
    </row>
    <row r="601">
      <c r="A601" s="320" t="n">
        <v>500</v>
      </c>
      <c r="B601" s="174" t="n">
        <v>47</v>
      </c>
      <c r="C601" s="174" t="n">
        <v>60</v>
      </c>
      <c r="D601" s="174" t="n">
        <v>51</v>
      </c>
      <c r="E601" s="174" t="n">
        <v>42</v>
      </c>
      <c r="F601" s="174" t="n">
        <v>32</v>
      </c>
      <c r="G601" s="68">
        <f>(1+INDEX($Z$21:$Z$97,B601))*(1+INDEX($Z$21:$Z$97,C601))*(1+INDEX($Z$21:$Z$97,D601))*(1+INDEX($Z$21:$Z$97,E601))*(1+INDEX($Z$21:$Z$97,F601))-1</f>
        <v>0.772354062622954</v>
      </c>
      <c r="H601" s="68">
        <f>(1+INDEX($AA$21:$AA$97,B601))*(1+INDEX($AA$21:$AA$97,C601))*(1+INDEX($AA$21:$AA$97,D601))*(1+INDEX($AA$21:$AA$97,E601))*(1+INDEX($AA$21:$AA$97,F601))-1</f>
        <v>0.729457061740791</v>
      </c>
      <c r="I601" s="68">
        <f>(1+INDEX($AB$21:$AB$97,B601))*(1+INDEX($AB$21:$AB$97,C601))*(1+INDEX($AB$21:$AB$97,D601))*(1+INDEX($AB$21:$AB$97,E601))*(1+INDEX($AB$21:$AB$97,F601))-1</f>
        <v>0.80622515735405</v>
      </c>
      <c r="J601" s="489">
        <f>LN((1+G601)/(1+H601))</f>
        <v>0.0245011197217881</v>
      </c>
      <c r="K601" s="489">
        <f>LN((1+I601)/(1+H601))</f>
        <v>0.0434315969615478</v>
      </c>
      <c r="L601" s="489">
        <f>(1+INDEX($AC$21:$AC$97,B601))*(1+INDEX($AC$21:$AC$97,C601))*(1+INDEX($AC$21:$AC$97,D601))*(1+INDEX($AC$21:$AC$97,E601))*(1+INDEX($AC$21:$AC$97,F601))-1</f>
        <v>0.817872025970347</v>
      </c>
      <c r="M601" s="489">
        <f>(1+INDEX($AD$21:$AD$97,B601))*(1+INDEX($AD$21:$AD$97,C601))*(1+INDEX($AD$21:$AD$97,D601))*(1+INDEX($AD$21:$AD$97,E601))*(1+INDEX($AD$21:$AD$97,F601))-1</f>
        <v>0.784045976902489</v>
      </c>
      <c r="N601" s="489">
        <f>(1+INDEX($AE$21:$AE$97,B601))*(1+INDEX($AE$21:$AE$97,C601))*(1+INDEX($AE$21:$AE$97,D601))*(1+INDEX($AE$21:$AE$97,E601))*(1+INDEX($AE$21:$AE$97,F601))-1</f>
        <v>0.82640345633595</v>
      </c>
      <c r="O601" s="489">
        <f>(1+INDEX($AF$21:$AF$97,B601))*(1+INDEX($AF$21:$AF$97,C601))*(1+INDEX($AF$21:$AF$97,D601))*(1+INDEX($AF$21:$AF$97,E601))*(1+INDEX($AF$21:$AF$97,F601))-1</f>
        <v>0.6847881925539</v>
      </c>
      <c r="P601" s="489">
        <f>LN((1+L601)/(1+H601))</f>
        <v>0.0498590784135627</v>
      </c>
      <c r="Q601" s="489">
        <f>LN((1+M601)/(1+H601))</f>
        <v>0.031076283523605</v>
      </c>
      <c r="R601" s="489">
        <f>LN((1+N601)/(1+H601))</f>
        <v>0.0545411865541894</v>
      </c>
      <c r="S601" s="542">
        <f>LN((1+O601)/(1+H601))</f>
        <v>-0.0261676679536826</v>
      </c>
    </row>
    <row r="602">
      <c r="A602" s="320" t="n">
        <v>501</v>
      </c>
      <c r="B602" s="174" t="n">
        <v>30</v>
      </c>
      <c r="C602" s="174" t="n">
        <v>20</v>
      </c>
      <c r="D602" s="174" t="n">
        <v>56</v>
      </c>
      <c r="E602" s="174" t="n">
        <v>26</v>
      </c>
      <c r="F602" s="174" t="n">
        <v>44</v>
      </c>
      <c r="G602" s="68">
        <f>(1+INDEX($Z$21:$Z$97,B602))*(1+INDEX($Z$21:$Z$97,C602))*(1+INDEX($Z$21:$Z$97,D602))*(1+INDEX($Z$21:$Z$97,E602))*(1+INDEX($Z$21:$Z$97,F602))-1</f>
        <v>0.423262342489414</v>
      </c>
      <c r="H602" s="68">
        <f>(1+INDEX($AA$21:$AA$97,B602))*(1+INDEX($AA$21:$AA$97,C602))*(1+INDEX($AA$21:$AA$97,D602))*(1+INDEX($AA$21:$AA$97,E602))*(1+INDEX($AA$21:$AA$97,F602))-1</f>
        <v>0.405137149362129</v>
      </c>
      <c r="I602" s="68">
        <f>(1+INDEX($AB$21:$AB$97,B602))*(1+INDEX($AB$21:$AB$97,C602))*(1+INDEX($AB$21:$AB$97,D602))*(1+INDEX($AB$21:$AB$97,E602))*(1+INDEX($AB$21:$AB$97,F602))-1</f>
        <v>0.436730238533607</v>
      </c>
      <c r="J602" s="489">
        <f>LN((1+G602)/(1+H602))</f>
        <v>0.0128167476313957</v>
      </c>
      <c r="K602" s="489">
        <f>LN((1+I602)/(1+H602))</f>
        <v>0.0222349508019018</v>
      </c>
      <c r="L602" s="489">
        <f>(1+INDEX($AC$21:$AC$97,B602))*(1+INDEX($AC$21:$AC$97,C602))*(1+INDEX($AC$21:$AC$97,D602))*(1+INDEX($AC$21:$AC$97,E602))*(1+INDEX($AC$21:$AC$97,F602))-1</f>
        <v>0.413611754844718</v>
      </c>
      <c r="M602" s="489">
        <f>(1+INDEX($AD$21:$AD$97,B602))*(1+INDEX($AD$21:$AD$97,C602))*(1+INDEX($AD$21:$AD$97,D602))*(1+INDEX($AD$21:$AD$97,E602))*(1+INDEX($AD$21:$AD$97,F602))-1</f>
        <v>0.44569323567752</v>
      </c>
      <c r="N602" s="489">
        <f>(1+INDEX($AE$21:$AE$97,B602))*(1+INDEX($AE$21:$AE$97,C602))*(1+INDEX($AE$21:$AE$97,D602))*(1+INDEX($AE$21:$AE$97,E602))*(1+INDEX($AE$21:$AE$97,F602))-1</f>
        <v>0.408366628728136</v>
      </c>
      <c r="O602" s="489">
        <f>(1+INDEX($AF$21:$AF$97,B602))*(1+INDEX($AF$21:$AF$97,C602))*(1+INDEX($AF$21:$AF$97,D602))*(1+INDEX($AF$21:$AF$97,E602))*(1+INDEX($AF$21:$AF$97,F602))-1</f>
        <v>0.465901356777081</v>
      </c>
      <c r="P602" s="489">
        <f>LN((1+L602)/(1+H602))</f>
        <v>0.00601304430090051</v>
      </c>
      <c r="Q602" s="489">
        <f>LN((1+M602)/(1+H602))</f>
        <v>0.0284540411698758</v>
      </c>
      <c r="R602" s="489">
        <f>LN((1+N602)/(1+H602))</f>
        <v>0.00229570033600099</v>
      </c>
      <c r="S602" s="542">
        <f>LN((1+O602)/(1+H602))</f>
        <v>0.0423354006465004</v>
      </c>
    </row>
    <row r="603">
      <c r="A603" s="320" t="n">
        <v>502</v>
      </c>
      <c r="B603" s="174" t="n">
        <v>26</v>
      </c>
      <c r="C603" s="174" t="n">
        <v>6</v>
      </c>
      <c r="D603" s="174" t="n">
        <v>47</v>
      </c>
      <c r="E603" s="174" t="n">
        <v>43</v>
      </c>
      <c r="F603" s="174" t="n">
        <v>59</v>
      </c>
      <c r="G603" s="68">
        <f>(1+INDEX($Z$21:$Z$97,B603))*(1+INDEX($Z$21:$Z$97,C603))*(1+INDEX($Z$21:$Z$97,D603))*(1+INDEX($Z$21:$Z$97,E603))*(1+INDEX($Z$21:$Z$97,F603))-1</f>
        <v>0.508658305435672</v>
      </c>
      <c r="H603" s="68">
        <f>(1+INDEX($AA$21:$AA$97,B603))*(1+INDEX($AA$21:$AA$97,C603))*(1+INDEX($AA$21:$AA$97,D603))*(1+INDEX($AA$21:$AA$97,E603))*(1+INDEX($AA$21:$AA$97,F603))-1</f>
        <v>0.52057660626608</v>
      </c>
      <c r="I603" s="68">
        <f>(1+INDEX($AB$21:$AB$97,B603))*(1+INDEX($AB$21:$AB$97,C603))*(1+INDEX($AB$21:$AB$97,D603))*(1+INDEX($AB$21:$AB$97,E603))*(1+INDEX($AB$21:$AB$97,F603))-1</f>
        <v>0.561764213626644</v>
      </c>
      <c r="J603" s="489">
        <f>LN((1+G603)/(1+H603))</f>
        <v>-0.0078688927571863</v>
      </c>
      <c r="K603" s="489">
        <f>LN((1+I603)/(1+H603))</f>
        <v>0.0267264792874226</v>
      </c>
      <c r="L603" s="489">
        <f>(1+INDEX($AC$21:$AC$97,B603))*(1+INDEX($AC$21:$AC$97,C603))*(1+INDEX($AC$21:$AC$97,D603))*(1+INDEX($AC$21:$AC$97,E603))*(1+INDEX($AC$21:$AC$97,F603))-1</f>
        <v>0.579739912459899</v>
      </c>
      <c r="M603" s="489">
        <f>(1+INDEX($AD$21:$AD$97,B603))*(1+INDEX($AD$21:$AD$97,C603))*(1+INDEX($AD$21:$AD$97,D603))*(1+INDEX($AD$21:$AD$97,E603))*(1+INDEX($AD$21:$AD$97,F603))-1</f>
        <v>0.500819514469334</v>
      </c>
      <c r="N603" s="489">
        <f>(1+INDEX($AE$21:$AE$97,B603))*(1+INDEX($AE$21:$AE$97,C603))*(1+INDEX($AE$21:$AE$97,D603))*(1+INDEX($AE$21:$AE$97,E603))*(1+INDEX($AE$21:$AE$97,F603))-1</f>
        <v>0.558663579821934</v>
      </c>
      <c r="O603" s="489">
        <f>(1+INDEX($AF$21:$AF$97,B603))*(1+INDEX($AF$21:$AF$97,C603))*(1+INDEX($AF$21:$AF$97,D603))*(1+INDEX($AF$21:$AF$97,E603))*(1+INDEX($AF$21:$AF$97,F603))-1</f>
        <v>0.494038039677702</v>
      </c>
      <c r="P603" s="489">
        <f>LN((1+L603)/(1+H603))</f>
        <v>0.0381706119693403</v>
      </c>
      <c r="Q603" s="489">
        <f>LN((1+M603)/(1+H603))</f>
        <v>-0.0130783072555483</v>
      </c>
      <c r="R603" s="489">
        <f>LN((1+N603)/(1+H603))</f>
        <v>0.024739165348165</v>
      </c>
      <c r="S603" s="542">
        <f>LN((1+O603)/(1+H603))</f>
        <v>-0.0176070611341349</v>
      </c>
    </row>
    <row r="604">
      <c r="A604" s="320" t="n">
        <v>503</v>
      </c>
      <c r="B604" s="174" t="n">
        <v>74</v>
      </c>
      <c r="C604" s="174" t="n">
        <v>6</v>
      </c>
      <c r="D604" s="174" t="n">
        <v>15</v>
      </c>
      <c r="E604" s="174" t="n">
        <v>20</v>
      </c>
      <c r="F604" s="174" t="n">
        <v>44</v>
      </c>
      <c r="G604" s="68">
        <f>(1+INDEX($Z$21:$Z$97,B604))*(1+INDEX($Z$21:$Z$97,C604))*(1+INDEX($Z$21:$Z$97,D604))*(1+INDEX($Z$21:$Z$97,E604))*(1+INDEX($Z$21:$Z$97,F604))-1</f>
        <v>0.053068342660618</v>
      </c>
      <c r="H604" s="68">
        <f>(1+INDEX($AA$21:$AA$97,B604))*(1+INDEX($AA$21:$AA$97,C604))*(1+INDEX($AA$21:$AA$97,D604))*(1+INDEX($AA$21:$AA$97,E604))*(1+INDEX($AA$21:$AA$97,F604))-1</f>
        <v>0.0682513997178373</v>
      </c>
      <c r="I604" s="68">
        <f>(1+INDEX($AB$21:$AB$97,B604))*(1+INDEX($AB$21:$AB$97,C604))*(1+INDEX($AB$21:$AB$97,D604))*(1+INDEX($AB$21:$AB$97,E604))*(1+INDEX($AB$21:$AB$97,F604))-1</f>
        <v>0.056200934010721</v>
      </c>
      <c r="J604" s="489">
        <f>LN((1+G604)/(1+H604))</f>
        <v>-0.0143149719743037</v>
      </c>
      <c r="K604" s="489">
        <f>LN((1+I604)/(1+H604))</f>
        <v>-0.0113446602289781</v>
      </c>
      <c r="L604" s="489">
        <f>(1+INDEX($AC$21:$AC$97,B604))*(1+INDEX($AC$21:$AC$97,C604))*(1+INDEX($AC$21:$AC$97,D604))*(1+INDEX($AC$21:$AC$97,E604))*(1+INDEX($AC$21:$AC$97,F604))-1</f>
        <v>0.0321468693084293</v>
      </c>
      <c r="M604" s="489">
        <f>(1+INDEX($AD$21:$AD$97,B604))*(1+INDEX($AD$21:$AD$97,C604))*(1+INDEX($AD$21:$AD$97,D604))*(1+INDEX($AD$21:$AD$97,E604))*(1+INDEX($AD$21:$AD$97,F604))-1</f>
        <v>0.049119578361053</v>
      </c>
      <c r="N604" s="489">
        <f>(1+INDEX($AE$21:$AE$97,B604))*(1+INDEX($AE$21:$AE$97,C604))*(1+INDEX($AE$21:$AE$97,D604))*(1+INDEX($AE$21:$AE$97,E604))*(1+INDEX($AE$21:$AE$97,F604))-1</f>
        <v>0.0150746186958959</v>
      </c>
      <c r="O604" s="489">
        <f>(1+INDEX($AF$21:$AF$97,B604))*(1+INDEX($AF$21:$AF$97,C604))*(1+INDEX($AF$21:$AF$97,D604))*(1+INDEX($AF$21:$AF$97,E604))*(1+INDEX($AF$21:$AF$97,F604))-1</f>
        <v>0.0816582529330978</v>
      </c>
      <c r="P604" s="489">
        <f>LN((1+L604)/(1+H604))</f>
        <v>-0.0343821336767821</v>
      </c>
      <c r="Q604" s="489">
        <f>LN((1+M604)/(1+H604))</f>
        <v>-0.0180717901962879</v>
      </c>
      <c r="R604" s="489">
        <f>LN((1+N604)/(1+H604))</f>
        <v>-0.0510609800835161</v>
      </c>
      <c r="S604" s="542">
        <f>LN((1+O604)/(1+H604))</f>
        <v>0.0124721771358398</v>
      </c>
    </row>
    <row r="605">
      <c r="A605" s="320" t="n">
        <v>504</v>
      </c>
      <c r="B605" s="174" t="n">
        <v>3</v>
      </c>
      <c r="C605" s="174" t="n">
        <v>62</v>
      </c>
      <c r="D605" s="174" t="n">
        <v>61</v>
      </c>
      <c r="E605" s="174" t="n">
        <v>61</v>
      </c>
      <c r="F605" s="174" t="n">
        <v>66</v>
      </c>
      <c r="G605" s="68">
        <f>(1+INDEX($Z$21:$Z$97,B605))*(1+INDEX($Z$21:$Z$97,C605))*(1+INDEX($Z$21:$Z$97,D605))*(1+INDEX($Z$21:$Z$97,E605))*(1+INDEX($Z$21:$Z$97,F605))-1</f>
        <v>0.408900061936995</v>
      </c>
      <c r="H605" s="68">
        <f>(1+INDEX($AA$21:$AA$97,B605))*(1+INDEX($AA$21:$AA$97,C605))*(1+INDEX($AA$21:$AA$97,D605))*(1+INDEX($AA$21:$AA$97,E605))*(1+INDEX($AA$21:$AA$97,F605))-1</f>
        <v>0.374524400541438</v>
      </c>
      <c r="I605" s="68">
        <f>(1+INDEX($AB$21:$AB$97,B605))*(1+INDEX($AB$21:$AB$97,C605))*(1+INDEX($AB$21:$AB$97,D605))*(1+INDEX($AB$21:$AB$97,E605))*(1+INDEX($AB$21:$AB$97,F605))-1</f>
        <v>0.370770732160703</v>
      </c>
      <c r="J605" s="489">
        <f>LN((1+G605)/(1+H605))</f>
        <v>0.0247015212690411</v>
      </c>
      <c r="K605" s="489">
        <f>LN((1+I605)/(1+H605))</f>
        <v>-0.0027346208975704</v>
      </c>
      <c r="L605" s="489">
        <f>(1+INDEX($AC$21:$AC$97,B605))*(1+INDEX($AC$21:$AC$97,C605))*(1+INDEX($AC$21:$AC$97,D605))*(1+INDEX($AC$21:$AC$97,E605))*(1+INDEX($AC$21:$AC$97,F605))-1</f>
        <v>0.430364663902179</v>
      </c>
      <c r="M605" s="489">
        <f>(1+INDEX($AD$21:$AD$97,B605))*(1+INDEX($AD$21:$AD$97,C605))*(1+INDEX($AD$21:$AD$97,D605))*(1+INDEX($AD$21:$AD$97,E605))*(1+INDEX($AD$21:$AD$97,F605))-1</f>
        <v>0.298725969442977</v>
      </c>
      <c r="N605" s="489">
        <f>(1+INDEX($AE$21:$AE$97,B605))*(1+INDEX($AE$21:$AE$97,C605))*(1+INDEX($AE$21:$AE$97,D605))*(1+INDEX($AE$21:$AE$97,E605))*(1+INDEX($AE$21:$AE$97,F605))-1</f>
        <v>0.44517892601505</v>
      </c>
      <c r="O605" s="489">
        <f>(1+INDEX($AF$21:$AF$97,B605))*(1+INDEX($AF$21:$AF$97,C605))*(1+INDEX($AF$21:$AF$97,D605))*(1+INDEX($AF$21:$AF$97,E605))*(1+INDEX($AF$21:$AF$97,F605))-1</f>
        <v>0.289754828651254</v>
      </c>
      <c r="P605" s="489">
        <f>LN((1+L605)/(1+H605))</f>
        <v>0.0398216407148721</v>
      </c>
      <c r="Q605" s="489">
        <f>LN((1+M605)/(1+H605))</f>
        <v>-0.0567240203442253</v>
      </c>
      <c r="R605" s="489">
        <f>LN((1+N605)/(1+H605))</f>
        <v>0.0501253573613819</v>
      </c>
      <c r="S605" s="542">
        <f>LN((1+O605)/(1+H605))</f>
        <v>-0.063655635767618</v>
      </c>
    </row>
    <row r="606">
      <c r="A606" s="320" t="n">
        <v>505</v>
      </c>
      <c r="B606" s="174" t="n">
        <v>47</v>
      </c>
      <c r="C606" s="174" t="n">
        <v>72</v>
      </c>
      <c r="D606" s="174" t="n">
        <v>23</v>
      </c>
      <c r="E606" s="174" t="n">
        <v>29</v>
      </c>
      <c r="F606" s="174" t="n">
        <v>42</v>
      </c>
      <c r="G606" s="68">
        <f>(1+INDEX($Z$21:$Z$97,B606))*(1+INDEX($Z$21:$Z$97,C606))*(1+INDEX($Z$21:$Z$97,D606))*(1+INDEX($Z$21:$Z$97,E606))*(1+INDEX($Z$21:$Z$97,F606))-1</f>
        <v>0.762533834836858</v>
      </c>
      <c r="H606" s="68">
        <f>(1+INDEX($AA$21:$AA$97,B606))*(1+INDEX($AA$21:$AA$97,C606))*(1+INDEX($AA$21:$AA$97,D606))*(1+INDEX($AA$21:$AA$97,E606))*(1+INDEX($AA$21:$AA$97,F606))-1</f>
        <v>0.744529811364447</v>
      </c>
      <c r="I606" s="68">
        <f>(1+INDEX($AB$21:$AB$97,B606))*(1+INDEX($AB$21:$AB$97,C606))*(1+INDEX($AB$21:$AB$97,D606))*(1+INDEX($AB$21:$AB$97,E606))*(1+INDEX($AB$21:$AB$97,F606))-1</f>
        <v>0.851327909563085</v>
      </c>
      <c r="J606" s="489">
        <f>LN((1+G606)/(1+H606))</f>
        <v>0.0102673823189319</v>
      </c>
      <c r="K606" s="489">
        <f>LN((1+I606)/(1+H606))</f>
        <v>0.0594181002843175</v>
      </c>
      <c r="L606" s="489">
        <f>(1+INDEX($AC$21:$AC$97,B606))*(1+INDEX($AC$21:$AC$97,C606))*(1+INDEX($AC$21:$AC$97,D606))*(1+INDEX($AC$21:$AC$97,E606))*(1+INDEX($AC$21:$AC$97,F606))-1</f>
        <v>0.844899160642712</v>
      </c>
      <c r="M606" s="489">
        <f>(1+INDEX($AD$21:$AD$97,B606))*(1+INDEX($AD$21:$AD$97,C606))*(1+INDEX($AD$21:$AD$97,D606))*(1+INDEX($AD$21:$AD$97,E606))*(1+INDEX($AD$21:$AD$97,F606))-1</f>
        <v>0.819957663086056</v>
      </c>
      <c r="N606" s="489">
        <f>(1+INDEX($AE$21:$AE$97,B606))*(1+INDEX($AE$21:$AE$97,C606))*(1+INDEX($AE$21:$AE$97,D606))*(1+INDEX($AE$21:$AE$97,E606))*(1+INDEX($AE$21:$AE$97,F606))-1</f>
        <v>0.833449973419792</v>
      </c>
      <c r="O606" s="489">
        <f>(1+INDEX($AF$21:$AF$97,B606))*(1+INDEX($AF$21:$AF$97,C606))*(1+INDEX($AF$21:$AF$97,D606))*(1+INDEX($AF$21:$AF$97,E606))*(1+INDEX($AF$21:$AF$97,F606))-1</f>
        <v>0.770557218823492</v>
      </c>
      <c r="P606" s="489">
        <f>LN((1+L606)/(1+H606))</f>
        <v>0.0559395502489696</v>
      </c>
      <c r="Q606" s="489">
        <f>LN((1+M606)/(1+H606))</f>
        <v>0.042328168505859</v>
      </c>
      <c r="R606" s="489">
        <f>LN((1+N606)/(1+H606))</f>
        <v>0.0497143531402207</v>
      </c>
      <c r="S606" s="542">
        <f>LN((1+O606)/(1+H606))</f>
        <v>0.0148092396655334</v>
      </c>
    </row>
    <row r="607">
      <c r="A607" s="320" t="n">
        <v>506</v>
      </c>
      <c r="B607" s="174" t="n">
        <v>25</v>
      </c>
      <c r="C607" s="174" t="n">
        <v>26</v>
      </c>
      <c r="D607" s="174" t="n">
        <v>33</v>
      </c>
      <c r="E607" s="174" t="n">
        <v>31</v>
      </c>
      <c r="F607" s="174" t="n">
        <v>68</v>
      </c>
      <c r="G607" s="68">
        <f>(1+INDEX($Z$21:$Z$97,B607))*(1+INDEX($Z$21:$Z$97,C607))*(1+INDEX($Z$21:$Z$97,D607))*(1+INDEX($Z$21:$Z$97,E607))*(1+INDEX($Z$21:$Z$97,F607))-1</f>
        <v>1.0232746874995</v>
      </c>
      <c r="H607" s="68">
        <f>(1+INDEX($AA$21:$AA$97,B607))*(1+INDEX($AA$21:$AA$97,C607))*(1+INDEX($AA$21:$AA$97,D607))*(1+INDEX($AA$21:$AA$97,E607))*(1+INDEX($AA$21:$AA$97,F607))-1</f>
        <v>0.963537598220896</v>
      </c>
      <c r="I607" s="68">
        <f>(1+INDEX($AB$21:$AB$97,B607))*(1+INDEX($AB$21:$AB$97,C607))*(1+INDEX($AB$21:$AB$97,D607))*(1+INDEX($AB$21:$AB$97,E607))*(1+INDEX($AB$21:$AB$97,F607))-1</f>
        <v>1.09359020638338</v>
      </c>
      <c r="J607" s="489">
        <f>LN((1+G607)/(1+H607))</f>
        <v>0.0299695877973811</v>
      </c>
      <c r="K607" s="489">
        <f>LN((1+I607)/(1+H607))</f>
        <v>0.0641326509150075</v>
      </c>
      <c r="L607" s="489">
        <f>(1+INDEX($AC$21:$AC$97,B607))*(1+INDEX($AC$21:$AC$97,C607))*(1+INDEX($AC$21:$AC$97,D607))*(1+INDEX($AC$21:$AC$97,E607))*(1+INDEX($AC$21:$AC$97,F607))-1</f>
        <v>1.0792102340991</v>
      </c>
      <c r="M607" s="489">
        <f>(1+INDEX($AD$21:$AD$97,B607))*(1+INDEX($AD$21:$AD$97,C607))*(1+INDEX($AD$21:$AD$97,D607))*(1+INDEX($AD$21:$AD$97,E607))*(1+INDEX($AD$21:$AD$97,F607))-1</f>
        <v>1.09995884908709</v>
      </c>
      <c r="N607" s="489">
        <f>(1+INDEX($AE$21:$AE$97,B607))*(1+INDEX($AE$21:$AE$97,C607))*(1+INDEX($AE$21:$AE$97,D607))*(1+INDEX($AE$21:$AE$97,E607))*(1+INDEX($AE$21:$AE$97,F607))-1</f>
        <v>1.08172382204442</v>
      </c>
      <c r="O607" s="489">
        <f>(1+INDEX($AF$21:$AF$97,B607))*(1+INDEX($AF$21:$AF$97,C607))*(1+INDEX($AF$21:$AF$97,D607))*(1+INDEX($AF$21:$AF$97,E607))*(1+INDEX($AF$21:$AF$97,F607))-1</f>
        <v>0.978265678470594</v>
      </c>
      <c r="P607" s="489">
        <f>LN((1+L607)/(1+H607))</f>
        <v>0.0572403830416312</v>
      </c>
      <c r="Q607" s="489">
        <f>LN((1+M607)/(1+H607))</f>
        <v>0.0671700054400844</v>
      </c>
      <c r="R607" s="489">
        <f>LN((1+N607)/(1+H607))</f>
        <v>0.0584485676545831</v>
      </c>
      <c r="S607" s="542">
        <f>LN((1+O607)/(1+H607))</f>
        <v>0.00747279747556553</v>
      </c>
    </row>
    <row r="608">
      <c r="A608" s="320" t="n">
        <v>507</v>
      </c>
      <c r="B608" s="174" t="n">
        <v>69</v>
      </c>
      <c r="C608" s="174" t="n">
        <v>71</v>
      </c>
      <c r="D608" s="174" t="n">
        <v>32</v>
      </c>
      <c r="E608" s="174" t="n">
        <v>54</v>
      </c>
      <c r="F608" s="174" t="n">
        <v>49</v>
      </c>
      <c r="G608" s="68">
        <f>(1+INDEX($Z$21:$Z$97,B608))*(1+INDEX($Z$21:$Z$97,C608))*(1+INDEX($Z$21:$Z$97,D608))*(1+INDEX($Z$21:$Z$97,E608))*(1+INDEX($Z$21:$Z$97,F608))-1</f>
        <v>0.626632633730228</v>
      </c>
      <c r="H608" s="68">
        <f>(1+INDEX($AA$21:$AA$97,B608))*(1+INDEX($AA$21:$AA$97,C608))*(1+INDEX($AA$21:$AA$97,D608))*(1+INDEX($AA$21:$AA$97,E608))*(1+INDEX($AA$21:$AA$97,F608))-1</f>
        <v>0.585026670031806</v>
      </c>
      <c r="I608" s="68">
        <f>(1+INDEX($AB$21:$AB$97,B608))*(1+INDEX($AB$21:$AB$97,C608))*(1+INDEX($AB$21:$AB$97,D608))*(1+INDEX($AB$21:$AB$97,E608))*(1+INDEX($AB$21:$AB$97,F608))-1</f>
        <v>0.652673060163624</v>
      </c>
      <c r="J608" s="489">
        <f>LN((1+G608)/(1+H608))</f>
        <v>0.0259107753847562</v>
      </c>
      <c r="K608" s="489">
        <f>LN((1+I608)/(1+H608))</f>
        <v>0.0417927798256036</v>
      </c>
      <c r="L608" s="489">
        <f>(1+INDEX($AC$21:$AC$97,B608))*(1+INDEX($AC$21:$AC$97,C608))*(1+INDEX($AC$21:$AC$97,D608))*(1+INDEX($AC$21:$AC$97,E608))*(1+INDEX($AC$21:$AC$97,F608))-1</f>
        <v>0.619248651206089</v>
      </c>
      <c r="M608" s="489">
        <f>(1+INDEX($AD$21:$AD$97,B608))*(1+INDEX($AD$21:$AD$97,C608))*(1+INDEX($AD$21:$AD$97,D608))*(1+INDEX($AD$21:$AD$97,E608))*(1+INDEX($AD$21:$AD$97,F608))-1</f>
        <v>0.670962115771142</v>
      </c>
      <c r="N608" s="489">
        <f>(1+INDEX($AE$21:$AE$97,B608))*(1+INDEX($AE$21:$AE$97,C608))*(1+INDEX($AE$21:$AE$97,D608))*(1+INDEX($AE$21:$AE$97,E608))*(1+INDEX($AE$21:$AE$97,F608))-1</f>
        <v>0.636382751232968</v>
      </c>
      <c r="O608" s="489">
        <f>(1+INDEX($AF$21:$AF$97,B608))*(1+INDEX($AF$21:$AF$97,C608))*(1+INDEX($AF$21:$AF$97,D608))*(1+INDEX($AF$21:$AF$97,E608))*(1+INDEX($AF$21:$AF$97,F608))-1</f>
        <v>0.617095842296775</v>
      </c>
      <c r="P608" s="489">
        <f>LN((1+L608)/(1+H608))</f>
        <v>0.0213610123999026</v>
      </c>
      <c r="Q608" s="489">
        <f>LN((1+M608)/(1+H608))</f>
        <v>0.0527983440589049</v>
      </c>
      <c r="R608" s="489">
        <f>LN((1+N608)/(1+H608))</f>
        <v>0.0318869326324346</v>
      </c>
      <c r="S608" s="542">
        <f>LN((1+O608)/(1+H608))</f>
        <v>0.0200306168062527</v>
      </c>
    </row>
    <row r="609">
      <c r="A609" s="320" t="n">
        <v>508</v>
      </c>
      <c r="B609" s="174" t="n">
        <v>10</v>
      </c>
      <c r="C609" s="174" t="n">
        <v>19</v>
      </c>
      <c r="D609" s="174" t="n">
        <v>50</v>
      </c>
      <c r="E609" s="174" t="n">
        <v>29</v>
      </c>
      <c r="F609" s="174" t="n">
        <v>46</v>
      </c>
      <c r="G609" s="68">
        <f>(1+INDEX($Z$21:$Z$97,B609))*(1+INDEX($Z$21:$Z$97,C609))*(1+INDEX($Z$21:$Z$97,D609))*(1+INDEX($Z$21:$Z$97,E609))*(1+INDEX($Z$21:$Z$97,F609))-1</f>
        <v>0.197586877137094</v>
      </c>
      <c r="H609" s="68">
        <f>(1+INDEX($AA$21:$AA$97,B609))*(1+INDEX($AA$21:$AA$97,C609))*(1+INDEX($AA$21:$AA$97,D609))*(1+INDEX($AA$21:$AA$97,E609))*(1+INDEX($AA$21:$AA$97,F609))-1</f>
        <v>0.214880619151583</v>
      </c>
      <c r="I609" s="68">
        <f>(1+INDEX($AB$21:$AB$97,B609))*(1+INDEX($AB$21:$AB$97,C609))*(1+INDEX($AB$21:$AB$97,D609))*(1+INDEX($AB$21:$AB$97,E609))*(1+INDEX($AB$21:$AB$97,F609))-1</f>
        <v>0.221651256365598</v>
      </c>
      <c r="J609" s="489">
        <f>LN((1+G609)/(1+H609))</f>
        <v>-0.0143372196938823</v>
      </c>
      <c r="K609" s="489">
        <f>LN((1+I609)/(1+H609))</f>
        <v>0.00555761630631755</v>
      </c>
      <c r="L609" s="489">
        <f>(1+INDEX($AC$21:$AC$97,B609))*(1+INDEX($AC$21:$AC$97,C609))*(1+INDEX($AC$21:$AC$97,D609))*(1+INDEX($AC$21:$AC$97,E609))*(1+INDEX($AC$21:$AC$97,F609))-1</f>
        <v>0.199194283763209</v>
      </c>
      <c r="M609" s="489">
        <f>(1+INDEX($AD$21:$AD$97,B609))*(1+INDEX($AD$21:$AD$97,C609))*(1+INDEX($AD$21:$AD$97,D609))*(1+INDEX($AD$21:$AD$97,E609))*(1+INDEX($AD$21:$AD$97,F609))-1</f>
        <v>0.230722257817085</v>
      </c>
      <c r="N609" s="489">
        <f>(1+INDEX($AE$21:$AE$97,B609))*(1+INDEX($AE$21:$AE$97,C609))*(1+INDEX($AE$21:$AE$97,D609))*(1+INDEX($AE$21:$AE$97,E609))*(1+INDEX($AE$21:$AE$97,F609))-1</f>
        <v>0.191257209319847</v>
      </c>
      <c r="O609" s="489">
        <f>(1+INDEX($AF$21:$AF$97,B609))*(1+INDEX($AF$21:$AF$97,C609))*(1+INDEX($AF$21:$AF$97,D609))*(1+INDEX($AF$21:$AF$97,E609))*(1+INDEX($AF$21:$AF$97,F609))-1</f>
        <v>0.256955089477628</v>
      </c>
      <c r="P609" s="489">
        <f>LN((1+L609)/(1+H609))</f>
        <v>-0.0129959150363466</v>
      </c>
      <c r="Q609" s="489">
        <f>LN((1+M609)/(1+H609))</f>
        <v>0.0129553824035325</v>
      </c>
      <c r="R609" s="489">
        <f>LN((1+N609)/(1+H609))</f>
        <v>-0.0196365882598701</v>
      </c>
      <c r="S609" s="542">
        <f>LN((1+O609)/(1+H609))</f>
        <v>0.034046384507868</v>
      </c>
    </row>
    <row r="610">
      <c r="A610" s="320" t="n">
        <v>509</v>
      </c>
      <c r="B610" s="174" t="n">
        <v>43</v>
      </c>
      <c r="C610" s="174" t="n">
        <v>38</v>
      </c>
      <c r="D610" s="174" t="n">
        <v>45</v>
      </c>
      <c r="E610" s="174" t="n">
        <v>43</v>
      </c>
      <c r="F610" s="174" t="n">
        <v>8</v>
      </c>
      <c r="G610" s="68">
        <f>(1+INDEX($Z$21:$Z$97,B610))*(1+INDEX($Z$21:$Z$97,C610))*(1+INDEX($Z$21:$Z$97,D610))*(1+INDEX($Z$21:$Z$97,E610))*(1+INDEX($Z$21:$Z$97,F610))-1</f>
        <v>-0.0268385349468753</v>
      </c>
      <c r="H610" s="68">
        <f>(1+INDEX($AA$21:$AA$97,B610))*(1+INDEX($AA$21:$AA$97,C610))*(1+INDEX($AA$21:$AA$97,D610))*(1+INDEX($AA$21:$AA$97,E610))*(1+INDEX($AA$21:$AA$97,F610))-1</f>
        <v>0.0111877068488895</v>
      </c>
      <c r="I610" s="68">
        <f>(1+INDEX($AB$21:$AB$97,B610))*(1+INDEX($AB$21:$AB$97,C610))*(1+INDEX($AB$21:$AB$97,D610))*(1+INDEX($AB$21:$AB$97,E610))*(1+INDEX($AB$21:$AB$97,F610))-1</f>
        <v>0.0013731560338095</v>
      </c>
      <c r="J610" s="489">
        <f>LN((1+G610)/(1+H610))</f>
        <v>-0.0383308523234554</v>
      </c>
      <c r="K610" s="489">
        <f>LN((1+I610)/(1+H610))</f>
        <v>-0.00975337322653791</v>
      </c>
      <c r="L610" s="489">
        <f>(1+INDEX($AC$21:$AC$97,B610))*(1+INDEX($AC$21:$AC$97,C610))*(1+INDEX($AC$21:$AC$97,D610))*(1+INDEX($AC$21:$AC$97,E610))*(1+INDEX($AC$21:$AC$97,F610))-1</f>
        <v>-0.0234284062214294</v>
      </c>
      <c r="M610" s="489">
        <f>(1+INDEX($AD$21:$AD$97,B610))*(1+INDEX($AD$21:$AD$97,C610))*(1+INDEX($AD$21:$AD$97,D610))*(1+INDEX($AD$21:$AD$97,E610))*(1+INDEX($AD$21:$AD$97,F610))-1</f>
        <v>0.0168572972909153</v>
      </c>
      <c r="N610" s="489">
        <f>(1+INDEX($AE$21:$AE$97,B610))*(1+INDEX($AE$21:$AE$97,C610))*(1+INDEX($AE$21:$AE$97,D610))*(1+INDEX($AE$21:$AE$97,E610))*(1+INDEX($AE$21:$AE$97,F610))-1</f>
        <v>-0.0287559890861584</v>
      </c>
      <c r="O610" s="489">
        <f>(1+INDEX($AF$21:$AF$97,B610))*(1+INDEX($AF$21:$AF$97,C610))*(1+INDEX($AF$21:$AF$97,D610))*(1+INDEX($AF$21:$AF$97,E610))*(1+INDEX($AF$21:$AF$97,F610))-1</f>
        <v>0.0374594550178897</v>
      </c>
      <c r="P610" s="489">
        <f>LN((1+L610)/(1+H610))</f>
        <v>-0.0348328019751843</v>
      </c>
      <c r="Q610" s="489">
        <f>LN((1+M610)/(1+H610))</f>
        <v>0.00559120256252539</v>
      </c>
      <c r="R610" s="489">
        <f>LN((1+N610)/(1+H610))</f>
        <v>-0.0403031310323348</v>
      </c>
      <c r="S610" s="542">
        <f>LN((1+O610)/(1+H610))</f>
        <v>0.0256493055144957</v>
      </c>
    </row>
    <row r="611">
      <c r="A611" s="320" t="n">
        <v>510</v>
      </c>
      <c r="B611" s="174" t="n">
        <v>70</v>
      </c>
      <c r="C611" s="174" t="n">
        <v>72</v>
      </c>
      <c r="D611" s="174" t="n">
        <v>71</v>
      </c>
      <c r="E611" s="174" t="n">
        <v>16</v>
      </c>
      <c r="F611" s="174" t="n">
        <v>56</v>
      </c>
      <c r="G611" s="68">
        <f>(1+INDEX($Z$21:$Z$97,B611))*(1+INDEX($Z$21:$Z$97,C611))*(1+INDEX($Z$21:$Z$97,D611))*(1+INDEX($Z$21:$Z$97,E611))*(1+INDEX($Z$21:$Z$97,F611))-1</f>
        <v>0.528413786655196</v>
      </c>
      <c r="H611" s="68">
        <f>(1+INDEX($AA$21:$AA$97,B611))*(1+INDEX($AA$21:$AA$97,C611))*(1+INDEX($AA$21:$AA$97,D611))*(1+INDEX($AA$21:$AA$97,E611))*(1+INDEX($AA$21:$AA$97,F611))-1</f>
        <v>0.497877122466893</v>
      </c>
      <c r="I611" s="68">
        <f>(1+INDEX($AB$21:$AB$97,B611))*(1+INDEX($AB$21:$AB$97,C611))*(1+INDEX($AB$21:$AB$97,D611))*(1+INDEX($AB$21:$AB$97,E611))*(1+INDEX($AB$21:$AB$97,F611))-1</f>
        <v>0.548648147082445</v>
      </c>
      <c r="J611" s="489">
        <f>LN((1+G611)/(1+H611))</f>
        <v>0.0201816028638228</v>
      </c>
      <c r="K611" s="489">
        <f>LN((1+I611)/(1+H611))</f>
        <v>0.0333335331980877</v>
      </c>
      <c r="L611" s="489">
        <f>(1+INDEX($AC$21:$AC$97,B611))*(1+INDEX($AC$21:$AC$97,C611))*(1+INDEX($AC$21:$AC$97,D611))*(1+INDEX($AC$21:$AC$97,E611))*(1+INDEX($AC$21:$AC$97,F611))-1</f>
        <v>0.515650133242461</v>
      </c>
      <c r="M611" s="489">
        <f>(1+INDEX($AD$21:$AD$97,B611))*(1+INDEX($AD$21:$AD$97,C611))*(1+INDEX($AD$21:$AD$97,D611))*(1+INDEX($AD$21:$AD$97,E611))*(1+INDEX($AD$21:$AD$97,F611))-1</f>
        <v>0.554207143410729</v>
      </c>
      <c r="N611" s="489">
        <f>(1+INDEX($AE$21:$AE$97,B611))*(1+INDEX($AE$21:$AE$97,C611))*(1+INDEX($AE$21:$AE$97,D611))*(1+INDEX($AE$21:$AE$97,E611))*(1+INDEX($AE$21:$AE$97,F611))-1</f>
        <v>0.524048657906042</v>
      </c>
      <c r="O611" s="489">
        <f>(1+INDEX($AF$21:$AF$97,B611))*(1+INDEX($AF$21:$AF$97,C611))*(1+INDEX($AF$21:$AF$97,D611))*(1+INDEX($AF$21:$AF$97,E611))*(1+INDEX($AF$21:$AF$97,F611))-1</f>
        <v>0.546557179120786</v>
      </c>
      <c r="P611" s="489">
        <f>LN((1+L611)/(1+H611))</f>
        <v>0.0117956237592666</v>
      </c>
      <c r="Q611" s="489">
        <f>LN((1+M611)/(1+H611))</f>
        <v>0.0369166859754475</v>
      </c>
      <c r="R611" s="489">
        <f>LN((1+N611)/(1+H611))</f>
        <v>0.0173215305097796</v>
      </c>
      <c r="S611" s="542">
        <f>LN((1+O611)/(1+H611))</f>
        <v>0.0319824316979436</v>
      </c>
    </row>
    <row r="612">
      <c r="A612" s="320" t="n">
        <v>511</v>
      </c>
      <c r="B612" s="174" t="n">
        <v>36</v>
      </c>
      <c r="C612" s="174" t="n">
        <v>11</v>
      </c>
      <c r="D612" s="174" t="n">
        <v>57</v>
      </c>
      <c r="E612" s="174" t="n">
        <v>14</v>
      </c>
      <c r="F612" s="174" t="n">
        <v>76</v>
      </c>
      <c r="G612" s="68">
        <f>(1+INDEX($Z$21:$Z$97,B612))*(1+INDEX($Z$21:$Z$97,C612))*(1+INDEX($Z$21:$Z$97,D612))*(1+INDEX($Z$21:$Z$97,E612))*(1+INDEX($Z$21:$Z$97,F612))-1</f>
        <v>0.53049362830857</v>
      </c>
      <c r="H612" s="68">
        <f>(1+INDEX($AA$21:$AA$97,B612))*(1+INDEX($AA$21:$AA$97,C612))*(1+INDEX($AA$21:$AA$97,D612))*(1+INDEX($AA$21:$AA$97,E612))*(1+INDEX($AA$21:$AA$97,F612))-1</f>
        <v>0.443593770066745</v>
      </c>
      <c r="I612" s="68">
        <f>(1+INDEX($AB$21:$AB$97,B612))*(1+INDEX($AB$21:$AB$97,C612))*(1+INDEX($AB$21:$AB$97,D612))*(1+INDEX($AB$21:$AB$97,E612))*(1+INDEX($AB$21:$AB$97,F612))-1</f>
        <v>0.466575367864602</v>
      </c>
      <c r="J612" s="489">
        <f>LN((1+G612)/(1+H612))</f>
        <v>0.058454638027436</v>
      </c>
      <c r="K612" s="489">
        <f>LN((1+I612)/(1+H612))</f>
        <v>0.0157943229117886</v>
      </c>
      <c r="L612" s="489">
        <f>(1+INDEX($AC$21:$AC$97,B612))*(1+INDEX($AC$21:$AC$97,C612))*(1+INDEX($AC$21:$AC$97,D612))*(1+INDEX($AC$21:$AC$97,E612))*(1+INDEX($AC$21:$AC$97,F612))-1</f>
        <v>0.469644597007105</v>
      </c>
      <c r="M612" s="489">
        <f>(1+INDEX($AD$21:$AD$97,B612))*(1+INDEX($AD$21:$AD$97,C612))*(1+INDEX($AD$21:$AD$97,D612))*(1+INDEX($AD$21:$AD$97,E612))*(1+INDEX($AD$21:$AD$97,F612))-1</f>
        <v>0.494138072522103</v>
      </c>
      <c r="N612" s="489">
        <f>(1+INDEX($AE$21:$AE$97,B612))*(1+INDEX($AE$21:$AE$97,C612))*(1+INDEX($AE$21:$AE$97,D612))*(1+INDEX($AE$21:$AE$97,E612))*(1+INDEX($AE$21:$AE$97,F612))-1</f>
        <v>0.452431186074195</v>
      </c>
      <c r="O612" s="489">
        <f>(1+INDEX($AF$21:$AF$97,B612))*(1+INDEX($AF$21:$AF$97,C612))*(1+INDEX($AF$21:$AF$97,D612))*(1+INDEX($AF$21:$AF$97,E612))*(1+INDEX($AF$21:$AF$97,F612))-1</f>
        <v>0.484005759119788</v>
      </c>
      <c r="P612" s="489">
        <f>LN((1+L612)/(1+H612))</f>
        <v>0.017884922592391</v>
      </c>
      <c r="Q612" s="489">
        <f>LN((1+M612)/(1+H612))</f>
        <v>0.0344138222369626</v>
      </c>
      <c r="R612" s="489">
        <f>LN((1+N612)/(1+H612))</f>
        <v>0.00610315420134356</v>
      </c>
      <c r="S612" s="542">
        <f>LN((1+O612)/(1+H612))</f>
        <v>0.0276093473226105</v>
      </c>
    </row>
    <row r="613">
      <c r="A613" s="320" t="n">
        <v>512</v>
      </c>
      <c r="B613" s="174" t="n">
        <v>75</v>
      </c>
      <c r="C613" s="174" t="n">
        <v>1</v>
      </c>
      <c r="D613" s="174" t="n">
        <v>7</v>
      </c>
      <c r="E613" s="174" t="n">
        <v>7</v>
      </c>
      <c r="F613" s="174" t="n">
        <v>33</v>
      </c>
      <c r="G613" s="68">
        <f>(1+INDEX($Z$21:$Z$97,B613))*(1+INDEX($Z$21:$Z$97,C613))*(1+INDEX($Z$21:$Z$97,D613))*(1+INDEX($Z$21:$Z$97,E613))*(1+INDEX($Z$21:$Z$97,F613))-1</f>
        <v>0.10986171567639</v>
      </c>
      <c r="H613" s="68">
        <f>(1+INDEX($AA$21:$AA$97,B613))*(1+INDEX($AA$21:$AA$97,C613))*(1+INDEX($AA$21:$AA$97,D613))*(1+INDEX($AA$21:$AA$97,E613))*(1+INDEX($AA$21:$AA$97,F613))-1</f>
        <v>0.153956701816107</v>
      </c>
      <c r="I613" s="68">
        <f>(1+INDEX($AB$21:$AB$97,B613))*(1+INDEX($AB$21:$AB$97,C613))*(1+INDEX($AB$21:$AB$97,D613))*(1+INDEX($AB$21:$AB$97,E613))*(1+INDEX($AB$21:$AB$97,F613))-1</f>
        <v>0.14286380012161</v>
      </c>
      <c r="J613" s="489">
        <f>LN((1+G613)/(1+H613))</f>
        <v>-0.0389612202002522</v>
      </c>
      <c r="K613" s="489">
        <f>LN((1+I613)/(1+H613))</f>
        <v>-0.00965942957801676</v>
      </c>
      <c r="L613" s="489">
        <f>(1+INDEX($AC$21:$AC$97,B613))*(1+INDEX($AC$21:$AC$97,C613))*(1+INDEX($AC$21:$AC$97,D613))*(1+INDEX($AC$21:$AC$97,E613))*(1+INDEX($AC$21:$AC$97,F613))-1</f>
        <v>0.124763561828766</v>
      </c>
      <c r="M613" s="489">
        <f>(1+INDEX($AD$21:$AD$97,B613))*(1+INDEX($AD$21:$AD$97,C613))*(1+INDEX($AD$21:$AD$97,D613))*(1+INDEX($AD$21:$AD$97,E613))*(1+INDEX($AD$21:$AD$97,F613))-1</f>
        <v>0.136331523420137</v>
      </c>
      <c r="N613" s="489">
        <f>(1+INDEX($AE$21:$AE$97,B613))*(1+INDEX($AE$21:$AE$97,C613))*(1+INDEX($AE$21:$AE$97,D613))*(1+INDEX($AE$21:$AE$97,E613))*(1+INDEX($AE$21:$AE$97,F613))-1</f>
        <v>0.120371437857596</v>
      </c>
      <c r="O613" s="489">
        <f>(1+INDEX($AF$21:$AF$97,B613))*(1+INDEX($AF$21:$AF$97,C613))*(1+INDEX($AF$21:$AF$97,D613))*(1+INDEX($AF$21:$AF$97,E613))*(1+INDEX($AF$21:$AF$97,F613))-1</f>
        <v>0.129024884709877</v>
      </c>
      <c r="P613" s="489">
        <f>LN((1+L613)/(1+H613))</f>
        <v>-0.0256238009871526</v>
      </c>
      <c r="Q613" s="489">
        <f>LN((1+M613)/(1+H613))</f>
        <v>-0.0153915355716817</v>
      </c>
      <c r="R613" s="489">
        <f>LN((1+N613)/(1+H613))</f>
        <v>-0.0295363760213999</v>
      </c>
      <c r="S613" s="542">
        <f>LN((1+O613)/(1+H613))</f>
        <v>-0.0218423209945782</v>
      </c>
    </row>
    <row r="614">
      <c r="A614" s="320" t="n">
        <v>513</v>
      </c>
      <c r="B614" s="174" t="n">
        <v>55</v>
      </c>
      <c r="C614" s="174" t="n">
        <v>18</v>
      </c>
      <c r="D614" s="174" t="n">
        <v>9</v>
      </c>
      <c r="E614" s="174" t="n">
        <v>11</v>
      </c>
      <c r="F614" s="174" t="n">
        <v>67</v>
      </c>
      <c r="G614" s="68">
        <f>(1+INDEX($Z$21:$Z$97,B614))*(1+INDEX($Z$21:$Z$97,C614))*(1+INDEX($Z$21:$Z$97,D614))*(1+INDEX($Z$21:$Z$97,E614))*(1+INDEX($Z$21:$Z$97,F614))-1</f>
        <v>-0.0947877836444602</v>
      </c>
      <c r="H614" s="68">
        <f>(1+INDEX($AA$21:$AA$97,B614))*(1+INDEX($AA$21:$AA$97,C614))*(1+INDEX($AA$21:$AA$97,D614))*(1+INDEX($AA$21:$AA$97,E614))*(1+INDEX($AA$21:$AA$97,F614))-1</f>
        <v>-0.0665444862061488</v>
      </c>
      <c r="I614" s="68">
        <f>(1+INDEX($AB$21:$AB$97,B614))*(1+INDEX($AB$21:$AB$97,C614))*(1+INDEX($AB$21:$AB$97,D614))*(1+INDEX($AB$21:$AB$97,E614))*(1+INDEX($AB$21:$AB$97,F614))-1</f>
        <v>-0.122870837036274</v>
      </c>
      <c r="J614" s="489">
        <f>LN((1+G614)/(1+H614))</f>
        <v>-0.0307238971425661</v>
      </c>
      <c r="K614" s="489">
        <f>LN((1+I614)/(1+H614))</f>
        <v>-0.0622390468561342</v>
      </c>
      <c r="L614" s="489">
        <f>(1+INDEX($AC$21:$AC$97,B614))*(1+INDEX($AC$21:$AC$97,C614))*(1+INDEX($AC$21:$AC$97,D614))*(1+INDEX($AC$21:$AC$97,E614))*(1+INDEX($AC$21:$AC$97,F614))-1</f>
        <v>-0.138384725784697</v>
      </c>
      <c r="M614" s="489">
        <f>(1+INDEX($AD$21:$AD$97,B614))*(1+INDEX($AD$21:$AD$97,C614))*(1+INDEX($AD$21:$AD$97,D614))*(1+INDEX($AD$21:$AD$97,E614))*(1+INDEX($AD$21:$AD$97,F614))-1</f>
        <v>-0.0874144732950268</v>
      </c>
      <c r="N614" s="489">
        <f>(1+INDEX($AE$21:$AE$97,B614))*(1+INDEX($AE$21:$AE$97,C614))*(1+INDEX($AE$21:$AE$97,D614))*(1+INDEX($AE$21:$AE$97,E614))*(1+INDEX($AE$21:$AE$97,F614))-1</f>
        <v>-0.132747377581508</v>
      </c>
      <c r="O614" s="489">
        <f>(1+INDEX($AF$21:$AF$97,B614))*(1+INDEX($AF$21:$AF$97,C614))*(1+INDEX($AF$21:$AF$97,D614))*(1+INDEX($AF$21:$AF$97,E614))*(1+INDEX($AF$21:$AF$97,F614))-1</f>
        <v>0.00596439916474578</v>
      </c>
      <c r="P614" s="489">
        <f>LN((1+L614)/(1+H614))</f>
        <v>-0.0800844531451143</v>
      </c>
      <c r="Q614" s="489">
        <f>LN((1+M614)/(1+H614))</f>
        <v>-0.022611497603475</v>
      </c>
      <c r="R614" s="489">
        <f>LN((1+N614)/(1+H614))</f>
        <v>-0.0735629968862915</v>
      </c>
      <c r="S614" s="542">
        <f>LN((1+O614)/(1+H614))</f>
        <v>0.0748086549654699</v>
      </c>
    </row>
    <row r="615">
      <c r="A615" s="320" t="n">
        <v>514</v>
      </c>
      <c r="B615" s="174" t="n">
        <v>22</v>
      </c>
      <c r="C615" s="174" t="n">
        <v>21</v>
      </c>
      <c r="D615" s="174" t="n">
        <v>55</v>
      </c>
      <c r="E615" s="174" t="n">
        <v>1</v>
      </c>
      <c r="F615" s="174" t="n">
        <v>28</v>
      </c>
      <c r="G615" s="68">
        <f>(1+INDEX($Z$21:$Z$97,B615))*(1+INDEX($Z$21:$Z$97,C615))*(1+INDEX($Z$21:$Z$97,D615))*(1+INDEX($Z$21:$Z$97,E615))*(1+INDEX($Z$21:$Z$97,F615))-1</f>
        <v>0.308999491736158</v>
      </c>
      <c r="H615" s="68">
        <f>(1+INDEX($AA$21:$AA$97,B615))*(1+INDEX($AA$21:$AA$97,C615))*(1+INDEX($AA$21:$AA$97,D615))*(1+INDEX($AA$21:$AA$97,E615))*(1+INDEX($AA$21:$AA$97,F615))-1</f>
        <v>0.319420085962699</v>
      </c>
      <c r="I615" s="68">
        <f>(1+INDEX($AB$21:$AB$97,B615))*(1+INDEX($AB$21:$AB$97,C615))*(1+INDEX($AB$21:$AB$97,D615))*(1+INDEX($AB$21:$AB$97,E615))*(1+INDEX($AB$21:$AB$97,F615))-1</f>
        <v>0.317460744824349</v>
      </c>
      <c r="J615" s="489">
        <f>LN((1+G615)/(1+H615))</f>
        <v>-0.00792921260534212</v>
      </c>
      <c r="K615" s="489">
        <f>LN((1+I615)/(1+H615))</f>
        <v>-0.00148610545920407</v>
      </c>
      <c r="L615" s="489">
        <f>(1+INDEX($AC$21:$AC$97,B615))*(1+INDEX($AC$21:$AC$97,C615))*(1+INDEX($AC$21:$AC$97,D615))*(1+INDEX($AC$21:$AC$97,E615))*(1+INDEX($AC$21:$AC$97,F615))-1</f>
        <v>0.300578253391694</v>
      </c>
      <c r="M615" s="489">
        <f>(1+INDEX($AD$21:$AD$97,B615))*(1+INDEX($AD$21:$AD$97,C615))*(1+INDEX($AD$21:$AD$97,D615))*(1+INDEX($AD$21:$AD$97,E615))*(1+INDEX($AD$21:$AD$97,F615))-1</f>
        <v>0.338900458855682</v>
      </c>
      <c r="N615" s="489">
        <f>(1+INDEX($AE$21:$AE$97,B615))*(1+INDEX($AE$21:$AE$97,C615))*(1+INDEX($AE$21:$AE$97,D615))*(1+INDEX($AE$21:$AE$97,E615))*(1+INDEX($AE$21:$AE$97,F615))-1</f>
        <v>0.308566750161476</v>
      </c>
      <c r="O615" s="489">
        <f>(1+INDEX($AF$21:$AF$97,B615))*(1+INDEX($AF$21:$AF$97,C615))*(1+INDEX($AF$21:$AF$97,D615))*(1+INDEX($AF$21:$AF$97,E615))*(1+INDEX($AF$21:$AF$97,F615))-1</f>
        <v>0.353495526104919</v>
      </c>
      <c r="P615" s="489">
        <f>LN((1+L615)/(1+H615))</f>
        <v>-0.0143833353789451</v>
      </c>
      <c r="Q615" s="489">
        <f>LN((1+M615)/(1+H615))</f>
        <v>0.0146564127831178</v>
      </c>
      <c r="R615" s="489">
        <f>LN((1+N615)/(1+H615))</f>
        <v>-0.00825985682874169</v>
      </c>
      <c r="S615" s="542">
        <f>LN((1+O615)/(1+H615))</f>
        <v>0.0254982133910606</v>
      </c>
    </row>
    <row r="616">
      <c r="A616" s="320" t="n">
        <v>515</v>
      </c>
      <c r="B616" s="174" t="n">
        <v>39</v>
      </c>
      <c r="C616" s="174" t="n">
        <v>39</v>
      </c>
      <c r="D616" s="174" t="n">
        <v>9</v>
      </c>
      <c r="E616" s="174" t="n">
        <v>18</v>
      </c>
      <c r="F616" s="174" t="n">
        <v>25</v>
      </c>
      <c r="G616" s="68">
        <f>(1+INDEX($Z$21:$Z$97,B616))*(1+INDEX($Z$21:$Z$97,C616))*(1+INDEX($Z$21:$Z$97,D616))*(1+INDEX($Z$21:$Z$97,E616))*(1+INDEX($Z$21:$Z$97,F616))-1</f>
        <v>0.158456854656568</v>
      </c>
      <c r="H616" s="68">
        <f>(1+INDEX($AA$21:$AA$97,B616))*(1+INDEX($AA$21:$AA$97,C616))*(1+INDEX($AA$21:$AA$97,D616))*(1+INDEX($AA$21:$AA$97,E616))*(1+INDEX($AA$21:$AA$97,F616))-1</f>
        <v>0.0978671421676844</v>
      </c>
      <c r="I616" s="68">
        <f>(1+INDEX($AB$21:$AB$97,B616))*(1+INDEX($AB$21:$AB$97,C616))*(1+INDEX($AB$21:$AB$97,D616))*(1+INDEX($AB$21:$AB$97,E616))*(1+INDEX($AB$21:$AB$97,F616))-1</f>
        <v>0.0794974992094881</v>
      </c>
      <c r="J616" s="489">
        <f>LN((1+G616)/(1+H616))</f>
        <v>0.0537194858579122</v>
      </c>
      <c r="K616" s="489">
        <f>LN((1+I616)/(1+H616))</f>
        <v>-0.0168736815682224</v>
      </c>
      <c r="L616" s="489">
        <f>(1+INDEX($AC$21:$AC$97,B616))*(1+INDEX($AC$21:$AC$97,C616))*(1+INDEX($AC$21:$AC$97,D616))*(1+INDEX($AC$21:$AC$97,E616))*(1+INDEX($AC$21:$AC$97,F616))-1</f>
        <v>0.0473171197279076</v>
      </c>
      <c r="M616" s="489">
        <f>(1+INDEX($AD$21:$AD$97,B616))*(1+INDEX($AD$21:$AD$97,C616))*(1+INDEX($AD$21:$AD$97,D616))*(1+INDEX($AD$21:$AD$97,E616))*(1+INDEX($AD$21:$AD$97,F616))-1</f>
        <v>0.111798255606047</v>
      </c>
      <c r="N616" s="489">
        <f>(1+INDEX($AE$21:$AE$97,B616))*(1+INDEX($AE$21:$AE$97,C616))*(1+INDEX($AE$21:$AE$97,D616))*(1+INDEX($AE$21:$AE$97,E616))*(1+INDEX($AE$21:$AE$97,F616))-1</f>
        <v>0.0527846515822812</v>
      </c>
      <c r="O616" s="489">
        <f>(1+INDEX($AF$21:$AF$97,B616))*(1+INDEX($AF$21:$AF$97,C616))*(1+INDEX($AF$21:$AF$97,D616))*(1+INDEX($AF$21:$AF$97,E616))*(1+INDEX($AF$21:$AF$97,F616))-1</f>
        <v>0.178469567817232</v>
      </c>
      <c r="P616" s="489">
        <f>LN((1+L616)/(1+H616))</f>
        <v>-0.0471375657189043</v>
      </c>
      <c r="Q616" s="489">
        <f>LN((1+M616)/(1+H616))</f>
        <v>0.0126094186352273</v>
      </c>
      <c r="R616" s="489">
        <f>LN((1+N616)/(1+H616))</f>
        <v>-0.0419306331005855</v>
      </c>
      <c r="S616" s="542">
        <f>LN((1+O616)/(1+H616))</f>
        <v>0.0708472843306453</v>
      </c>
    </row>
    <row r="617">
      <c r="A617" s="320" t="n">
        <v>516</v>
      </c>
      <c r="B617" s="174" t="n">
        <v>65</v>
      </c>
      <c r="C617" s="174" t="n">
        <v>56</v>
      </c>
      <c r="D617" s="174" t="n">
        <v>35</v>
      </c>
      <c r="E617" s="174" t="n">
        <v>68</v>
      </c>
      <c r="F617" s="174" t="n">
        <v>71</v>
      </c>
      <c r="G617" s="68">
        <f>(1+INDEX($Z$21:$Z$97,B617))*(1+INDEX($Z$21:$Z$97,C617))*(1+INDEX($Z$21:$Z$97,D617))*(1+INDEX($Z$21:$Z$97,E617))*(1+INDEX($Z$21:$Z$97,F617))-1</f>
        <v>0.446543243146125</v>
      </c>
      <c r="H617" s="68">
        <f>(1+INDEX($AA$21:$AA$97,B617))*(1+INDEX($AA$21:$AA$97,C617))*(1+INDEX($AA$21:$AA$97,D617))*(1+INDEX($AA$21:$AA$97,E617))*(1+INDEX($AA$21:$AA$97,F617))-1</f>
        <v>0.42949415240221</v>
      </c>
      <c r="I617" s="68">
        <f>(1+INDEX($AB$21:$AB$97,B617))*(1+INDEX($AB$21:$AB$97,C617))*(1+INDEX($AB$21:$AB$97,D617))*(1+INDEX($AB$21:$AB$97,E617))*(1+INDEX($AB$21:$AB$97,F617))-1</f>
        <v>0.464046923021418</v>
      </c>
      <c r="J617" s="489">
        <f>LN((1+G617)/(1+H617))</f>
        <v>0.011856097894656</v>
      </c>
      <c r="K617" s="489">
        <f>LN((1+I617)/(1+H617))</f>
        <v>0.0238838241572892</v>
      </c>
      <c r="L617" s="489">
        <f>(1+INDEX($AC$21:$AC$97,B617))*(1+INDEX($AC$21:$AC$97,C617))*(1+INDEX($AC$21:$AC$97,D617))*(1+INDEX($AC$21:$AC$97,E617))*(1+INDEX($AC$21:$AC$97,F617))-1</f>
        <v>0.444416036598831</v>
      </c>
      <c r="M617" s="489">
        <f>(1+INDEX($AD$21:$AD$97,B617))*(1+INDEX($AD$21:$AD$97,C617))*(1+INDEX($AD$21:$AD$97,D617))*(1+INDEX($AD$21:$AD$97,E617))*(1+INDEX($AD$21:$AD$97,F617))-1</f>
        <v>0.484593955984262</v>
      </c>
      <c r="N617" s="489">
        <f>(1+INDEX($AE$21:$AE$97,B617))*(1+INDEX($AE$21:$AE$97,C617))*(1+INDEX($AE$21:$AE$97,D617))*(1+INDEX($AE$21:$AE$97,E617))*(1+INDEX($AE$21:$AE$97,F617))-1</f>
        <v>0.461819184882071</v>
      </c>
      <c r="O617" s="489">
        <f>(1+INDEX($AF$21:$AF$97,B617))*(1+INDEX($AF$21:$AF$97,C617))*(1+INDEX($AF$21:$AF$97,D617))*(1+INDEX($AF$21:$AF$97,E617))*(1+INDEX($AF$21:$AF$97,F617))-1</f>
        <v>0.462902968343342</v>
      </c>
      <c r="P617" s="489">
        <f>LN((1+L617)/(1+H617))</f>
        <v>0.0103844708495414</v>
      </c>
      <c r="Q617" s="489">
        <f>LN((1+M617)/(1+H617))</f>
        <v>0.0378206624398122</v>
      </c>
      <c r="R617" s="489">
        <f>LN((1+N617)/(1+H617))</f>
        <v>0.0223610350154216</v>
      </c>
      <c r="S617" s="542">
        <f>LN((1+O617)/(1+H617))</f>
        <v>0.0231021539690168</v>
      </c>
    </row>
    <row r="618">
      <c r="A618" s="320" t="n">
        <v>517</v>
      </c>
      <c r="B618" s="174" t="n">
        <v>41</v>
      </c>
      <c r="C618" s="174" t="n">
        <v>47</v>
      </c>
      <c r="D618" s="174" t="n">
        <v>17</v>
      </c>
      <c r="E618" s="174" t="n">
        <v>73</v>
      </c>
      <c r="F618" s="174" t="n">
        <v>52</v>
      </c>
      <c r="G618" s="68">
        <f>(1+INDEX($Z$21:$Z$97,B618))*(1+INDEX($Z$21:$Z$97,C618))*(1+INDEX($Z$21:$Z$97,D618))*(1+INDEX($Z$21:$Z$97,E618))*(1+INDEX($Z$21:$Z$97,F618))-1</f>
        <v>0.629821088836289</v>
      </c>
      <c r="H618" s="68">
        <f>(1+INDEX($AA$21:$AA$97,B618))*(1+INDEX($AA$21:$AA$97,C618))*(1+INDEX($AA$21:$AA$97,D618))*(1+INDEX($AA$21:$AA$97,E618))*(1+INDEX($AA$21:$AA$97,F618))-1</f>
        <v>0.577740638182645</v>
      </c>
      <c r="I618" s="68">
        <f>(1+INDEX($AB$21:$AB$97,B618))*(1+INDEX($AB$21:$AB$97,C618))*(1+INDEX($AB$21:$AB$97,D618))*(1+INDEX($AB$21:$AB$97,E618))*(1+INDEX($AB$21:$AB$97,F618))-1</f>
        <v>0.657250492005253</v>
      </c>
      <c r="J618" s="489">
        <f>LN((1+G618)/(1+H618))</f>
        <v>0.0324763995303815</v>
      </c>
      <c r="K618" s="489">
        <f>LN((1+I618)/(1+H618))</f>
        <v>0.0491660512059155</v>
      </c>
      <c r="L618" s="489">
        <f>(1+INDEX($AC$21:$AC$97,B618))*(1+INDEX($AC$21:$AC$97,C618))*(1+INDEX($AC$21:$AC$97,D618))*(1+INDEX($AC$21:$AC$97,E618))*(1+INDEX($AC$21:$AC$97,F618))-1</f>
        <v>0.647231230606216</v>
      </c>
      <c r="M618" s="489">
        <f>(1+INDEX($AD$21:$AD$97,B618))*(1+INDEX($AD$21:$AD$97,C618))*(1+INDEX($AD$21:$AD$97,D618))*(1+INDEX($AD$21:$AD$97,E618))*(1+INDEX($AD$21:$AD$97,F618))-1</f>
        <v>0.625461571912554</v>
      </c>
      <c r="N618" s="489">
        <f>(1+INDEX($AE$21:$AE$97,B618))*(1+INDEX($AE$21:$AE$97,C618))*(1+INDEX($AE$21:$AE$97,D618))*(1+INDEX($AE$21:$AE$97,E618))*(1+INDEX($AE$21:$AE$97,F618))-1</f>
        <v>0.627841650095721</v>
      </c>
      <c r="O618" s="489">
        <f>(1+INDEX($AF$21:$AF$97,B618))*(1+INDEX($AF$21:$AF$97,C618))*(1+INDEX($AF$21:$AF$97,D618))*(1+INDEX($AF$21:$AF$97,E618))*(1+INDEX($AF$21:$AF$97,F618))-1</f>
        <v>0.588903203059978</v>
      </c>
      <c r="P618" s="489">
        <f>LN((1+L618)/(1+H618))</f>
        <v>0.0431019885521378</v>
      </c>
      <c r="Q618" s="489">
        <f>LN((1+M618)/(1+H618))</f>
        <v>0.0297979718887172</v>
      </c>
      <c r="R618" s="489">
        <f>LN((1+N618)/(1+H618))</f>
        <v>0.0312611485097518</v>
      </c>
      <c r="S618" s="542">
        <f>LN((1+O618)/(1+H618))</f>
        <v>0.00705012099399805</v>
      </c>
    </row>
    <row r="619">
      <c r="A619" s="320" t="n">
        <v>518</v>
      </c>
      <c r="B619" s="174" t="n">
        <v>13</v>
      </c>
      <c r="C619" s="174" t="n">
        <v>5</v>
      </c>
      <c r="D619" s="174" t="n">
        <v>10</v>
      </c>
      <c r="E619" s="174" t="n">
        <v>48</v>
      </c>
      <c r="F619" s="174" t="n">
        <v>45</v>
      </c>
      <c r="G619" s="68">
        <f>(1+INDEX($Z$21:$Z$97,B619))*(1+INDEX($Z$21:$Z$97,C619))*(1+INDEX($Z$21:$Z$97,D619))*(1+INDEX($Z$21:$Z$97,E619))*(1+INDEX($Z$21:$Z$97,F619))-1</f>
        <v>0.055975547885178</v>
      </c>
      <c r="H619" s="68">
        <f>(1+INDEX($AA$21:$AA$97,B619))*(1+INDEX($AA$21:$AA$97,C619))*(1+INDEX($AA$21:$AA$97,D619))*(1+INDEX($AA$21:$AA$97,E619))*(1+INDEX($AA$21:$AA$97,F619))-1</f>
        <v>0.0676505353386276</v>
      </c>
      <c r="I619" s="68">
        <f>(1+INDEX($AB$21:$AB$97,B619))*(1+INDEX($AB$21:$AB$97,C619))*(1+INDEX($AB$21:$AB$97,D619))*(1+INDEX($AB$21:$AB$97,E619))*(1+INDEX($AB$21:$AB$97,F619))-1</f>
        <v>0.0467441897777812</v>
      </c>
      <c r="J619" s="489">
        <f>LN((1+G619)/(1+H619))</f>
        <v>-0.0109954432851633</v>
      </c>
      <c r="K619" s="489">
        <f>LN((1+I619)/(1+H619))</f>
        <v>-0.019775897713457</v>
      </c>
      <c r="L619" s="489">
        <f>(1+INDEX($AC$21:$AC$97,B619))*(1+INDEX($AC$21:$AC$97,C619))*(1+INDEX($AC$21:$AC$97,D619))*(1+INDEX($AC$21:$AC$97,E619))*(1+INDEX($AC$21:$AC$97,F619))-1</f>
        <v>0.037131112444446</v>
      </c>
      <c r="M619" s="489">
        <f>(1+INDEX($AD$21:$AD$97,B619))*(1+INDEX($AD$21:$AD$97,C619))*(1+INDEX($AD$21:$AD$97,D619))*(1+INDEX($AD$21:$AD$97,E619))*(1+INDEX($AD$21:$AD$97,F619))-1</f>
        <v>0.061408731462697</v>
      </c>
      <c r="N619" s="489">
        <f>(1+INDEX($AE$21:$AE$97,B619))*(1+INDEX($AE$21:$AE$97,C619))*(1+INDEX($AE$21:$AE$97,D619))*(1+INDEX($AE$21:$AE$97,E619))*(1+INDEX($AE$21:$AE$97,F619))-1</f>
        <v>0.015574176040325</v>
      </c>
      <c r="O619" s="489">
        <f>(1+INDEX($AF$21:$AF$97,B619))*(1+INDEX($AF$21:$AF$97,C619))*(1+INDEX($AF$21:$AF$97,D619))*(1+INDEX($AF$21:$AF$97,E619))*(1+INDEX($AF$21:$AF$97,F619))-1</f>
        <v>0.0857290710405561</v>
      </c>
      <c r="P619" s="489">
        <f>LN((1+L619)/(1+H619))</f>
        <v>-0.0290021172614828</v>
      </c>
      <c r="Q619" s="489">
        <f>LN((1+M619)/(1+H619))</f>
        <v>-0.00586345514760747</v>
      </c>
      <c r="R619" s="489">
        <f>LN((1+N619)/(1+H619))</f>
        <v>-0.0500063296581622</v>
      </c>
      <c r="S619" s="542">
        <f>LN((1+O619)/(1+H619))</f>
        <v>0.016791243318538</v>
      </c>
    </row>
    <row r="620">
      <c r="A620" s="320" t="n">
        <v>519</v>
      </c>
      <c r="B620" s="174" t="n">
        <v>54</v>
      </c>
      <c r="C620" s="174" t="n">
        <v>17</v>
      </c>
      <c r="D620" s="174" t="n">
        <v>7</v>
      </c>
      <c r="E620" s="174" t="n">
        <v>56</v>
      </c>
      <c r="F620" s="174" t="n">
        <v>60</v>
      </c>
      <c r="G620" s="68">
        <f>(1+INDEX($Z$21:$Z$97,B620))*(1+INDEX($Z$21:$Z$97,C620))*(1+INDEX($Z$21:$Z$97,D620))*(1+INDEX($Z$21:$Z$97,E620))*(1+INDEX($Z$21:$Z$97,F620))-1</f>
        <v>0.0404867362898573</v>
      </c>
      <c r="H620" s="68">
        <f>(1+INDEX($AA$21:$AA$97,B620))*(1+INDEX($AA$21:$AA$97,C620))*(1+INDEX($AA$21:$AA$97,D620))*(1+INDEX($AA$21:$AA$97,E620))*(1+INDEX($AA$21:$AA$97,F620))-1</f>
        <v>0.0878099916522281</v>
      </c>
      <c r="I620" s="68">
        <f>(1+INDEX($AB$21:$AB$97,B620))*(1+INDEX($AB$21:$AB$97,C620))*(1+INDEX($AB$21:$AB$97,D620))*(1+INDEX($AB$21:$AB$97,E620))*(1+INDEX($AB$21:$AB$97,F620))-1</f>
        <v>0.0609535954320843</v>
      </c>
      <c r="J620" s="489">
        <f>LN((1+G620)/(1+H620))</f>
        <v>-0.0444778738254461</v>
      </c>
      <c r="K620" s="489">
        <f>LN((1+I620)/(1+H620))</f>
        <v>-0.0249983711147939</v>
      </c>
      <c r="L620" s="489">
        <f>(1+INDEX($AC$21:$AC$97,B620))*(1+INDEX($AC$21:$AC$97,C620))*(1+INDEX($AC$21:$AC$97,D620))*(1+INDEX($AC$21:$AC$97,E620))*(1+INDEX($AC$21:$AC$97,F620))-1</f>
        <v>0.0548675077336696</v>
      </c>
      <c r="M620" s="489">
        <f>(1+INDEX($AD$21:$AD$97,B620))*(1+INDEX($AD$21:$AD$97,C620))*(1+INDEX($AD$21:$AD$97,D620))*(1+INDEX($AD$21:$AD$97,E620))*(1+INDEX($AD$21:$AD$97,F620))-1</f>
        <v>0.0576206459263218</v>
      </c>
      <c r="N620" s="489">
        <f>(1+INDEX($AE$21:$AE$97,B620))*(1+INDEX($AE$21:$AE$97,C620))*(1+INDEX($AE$21:$AE$97,D620))*(1+INDEX($AE$21:$AE$97,E620))*(1+INDEX($AE$21:$AE$97,F620))-1</f>
        <v>0.0590597238395272</v>
      </c>
      <c r="O620" s="489">
        <f>(1+INDEX($AF$21:$AF$97,B620))*(1+INDEX($AF$21:$AF$97,C620))*(1+INDEX($AF$21:$AF$97,D620))*(1+INDEX($AF$21:$AF$97,E620))*(1+INDEX($AF$21:$AF$97,F620))-1</f>
        <v>0.0833135760084889</v>
      </c>
      <c r="P620" s="489">
        <f>LN((1+L620)/(1+H620))</f>
        <v>-0.030751319201887</v>
      </c>
      <c r="Q620" s="489">
        <f>LN((1+M620)/(1+H620))</f>
        <v>-0.0281447817435578</v>
      </c>
      <c r="R620" s="489">
        <f>LN((1+N620)/(1+H620))</f>
        <v>-0.0267850316787967</v>
      </c>
      <c r="S620" s="542">
        <f>LN((1+O620)/(1+H620))</f>
        <v>-0.00414202318027533</v>
      </c>
    </row>
    <row r="621">
      <c r="A621" s="320" t="n">
        <v>520</v>
      </c>
      <c r="B621" s="174" t="n">
        <v>39</v>
      </c>
      <c r="C621" s="174" t="n">
        <v>25</v>
      </c>
      <c r="D621" s="174" t="n">
        <v>17</v>
      </c>
      <c r="E621" s="174" t="n">
        <v>76</v>
      </c>
      <c r="F621" s="174" t="n">
        <v>63</v>
      </c>
      <c r="G621" s="68">
        <f>(1+INDEX($Z$21:$Z$97,B621))*(1+INDEX($Z$21:$Z$97,C621))*(1+INDEX($Z$21:$Z$97,D621))*(1+INDEX($Z$21:$Z$97,E621))*(1+INDEX($Z$21:$Z$97,F621))-1</f>
        <v>0.246620905542464</v>
      </c>
      <c r="H621" s="68">
        <f>(1+INDEX($AA$21:$AA$97,B621))*(1+INDEX($AA$21:$AA$97,C621))*(1+INDEX($AA$21:$AA$97,D621))*(1+INDEX($AA$21:$AA$97,E621))*(1+INDEX($AA$21:$AA$97,F621))-1</f>
        <v>0.182357520627463</v>
      </c>
      <c r="I621" s="68">
        <f>(1+INDEX($AB$21:$AB$97,B621))*(1+INDEX($AB$21:$AB$97,C621))*(1+INDEX($AB$21:$AB$97,D621))*(1+INDEX($AB$21:$AB$97,E621))*(1+INDEX($AB$21:$AB$97,F621))-1</f>
        <v>0.210320935955516</v>
      </c>
      <c r="J621" s="489">
        <f>LN((1+G621)/(1+H621))</f>
        <v>0.0529262711316809</v>
      </c>
      <c r="K621" s="489">
        <f>LN((1+I621)/(1+H621))</f>
        <v>0.0233752165977669</v>
      </c>
      <c r="L621" s="489">
        <f>(1+INDEX($AC$21:$AC$97,B621))*(1+INDEX($AC$21:$AC$97,C621))*(1+INDEX($AC$21:$AC$97,D621))*(1+INDEX($AC$21:$AC$97,E621))*(1+INDEX($AC$21:$AC$97,F621))-1</f>
        <v>0.196716346503546</v>
      </c>
      <c r="M621" s="489">
        <f>(1+INDEX($AD$21:$AD$97,B621))*(1+INDEX($AD$21:$AD$97,C621))*(1+INDEX($AD$21:$AD$97,D621))*(1+INDEX($AD$21:$AD$97,E621))*(1+INDEX($AD$21:$AD$97,F621))-1</f>
        <v>0.19870764413535</v>
      </c>
      <c r="N621" s="489">
        <f>(1+INDEX($AE$21:$AE$97,B621))*(1+INDEX($AE$21:$AE$97,C621))*(1+INDEX($AE$21:$AE$97,D621))*(1+INDEX($AE$21:$AE$97,E621))*(1+INDEX($AE$21:$AE$97,F621))-1</f>
        <v>0.187157454279569</v>
      </c>
      <c r="O621" s="489">
        <f>(1+INDEX($AF$21:$AF$97,B621))*(1+INDEX($AF$21:$AF$97,C621))*(1+INDEX($AF$21:$AF$97,D621))*(1+INDEX($AF$21:$AF$97,E621))*(1+INDEX($AF$21:$AF$97,F621))-1</f>
        <v>0.193387208140778</v>
      </c>
      <c r="P621" s="489">
        <f>LN((1+L621)/(1+H621))</f>
        <v>0.0120710839855488</v>
      </c>
      <c r="Q621" s="489">
        <f>LN((1+M621)/(1+H621))</f>
        <v>0.0137336690629954</v>
      </c>
      <c r="R621" s="489">
        <f>LN((1+N621)/(1+H621))</f>
        <v>0.00405141159133235</v>
      </c>
      <c r="S621" s="542">
        <f>LN((1+O621)/(1+H621))</f>
        <v>0.00928531304329276</v>
      </c>
    </row>
    <row r="622">
      <c r="A622" s="320" t="n">
        <v>521</v>
      </c>
      <c r="B622" s="174" t="n">
        <v>44</v>
      </c>
      <c r="C622" s="174" t="n">
        <v>30</v>
      </c>
      <c r="D622" s="174" t="n">
        <v>14</v>
      </c>
      <c r="E622" s="174" t="n">
        <v>23</v>
      </c>
      <c r="F622" s="174" t="n">
        <v>72</v>
      </c>
      <c r="G622" s="68">
        <f>(1+INDEX($Z$21:$Z$97,B622))*(1+INDEX($Z$21:$Z$97,C622))*(1+INDEX($Z$21:$Z$97,D622))*(1+INDEX($Z$21:$Z$97,E622))*(1+INDEX($Z$21:$Z$97,F622))-1</f>
        <v>0.735454236603879</v>
      </c>
      <c r="H622" s="68">
        <f>(1+INDEX($AA$21:$AA$97,B622))*(1+INDEX($AA$21:$AA$97,C622))*(1+INDEX($AA$21:$AA$97,D622))*(1+INDEX($AA$21:$AA$97,E622))*(1+INDEX($AA$21:$AA$97,F622))-1</f>
        <v>0.672242074727264</v>
      </c>
      <c r="I622" s="68">
        <f>(1+INDEX($AB$21:$AB$97,B622))*(1+INDEX($AB$21:$AB$97,C622))*(1+INDEX($AB$21:$AB$97,D622))*(1+INDEX($AB$21:$AB$97,E622))*(1+INDEX($AB$21:$AB$97,F622))-1</f>
        <v>0.760732744947385</v>
      </c>
      <c r="J622" s="489">
        <f>LN((1+G622)/(1+H622))</f>
        <v>0.0371039012558631</v>
      </c>
      <c r="K622" s="489">
        <f>LN((1+I622)/(1+H622))</f>
        <v>0.051564769046141</v>
      </c>
      <c r="L622" s="489">
        <f>(1+INDEX($AC$21:$AC$97,B622))*(1+INDEX($AC$21:$AC$97,C622))*(1+INDEX($AC$21:$AC$97,D622))*(1+INDEX($AC$21:$AC$97,E622))*(1+INDEX($AC$21:$AC$97,F622))-1</f>
        <v>0.741652833530678</v>
      </c>
      <c r="M622" s="489">
        <f>(1+INDEX($AD$21:$AD$97,B622))*(1+INDEX($AD$21:$AD$97,C622))*(1+INDEX($AD$21:$AD$97,D622))*(1+INDEX($AD$21:$AD$97,E622))*(1+INDEX($AD$21:$AD$97,F622))-1</f>
        <v>0.753826956851049</v>
      </c>
      <c r="N622" s="489">
        <f>(1+INDEX($AE$21:$AE$97,B622))*(1+INDEX($AE$21:$AE$97,C622))*(1+INDEX($AE$21:$AE$97,D622))*(1+INDEX($AE$21:$AE$97,E622))*(1+INDEX($AE$21:$AE$97,F622))-1</f>
        <v>0.721977833138593</v>
      </c>
      <c r="O622" s="489">
        <f>(1+INDEX($AF$21:$AF$97,B622))*(1+INDEX($AF$21:$AF$97,C622))*(1+INDEX($AF$21:$AF$97,D622))*(1+INDEX($AF$21:$AF$97,E622))*(1+INDEX($AF$21:$AF$97,F622))-1</f>
        <v>0.691826702830525</v>
      </c>
      <c r="P622" s="489">
        <f>LN((1+L622)/(1+H622))</f>
        <v>0.0406692809626794</v>
      </c>
      <c r="Q622" s="489">
        <f>LN((1+M622)/(1+H622))</f>
        <v>0.0476349470657303</v>
      </c>
      <c r="R622" s="489">
        <f>LN((1+N622)/(1+H622))</f>
        <v>0.0293082474627486</v>
      </c>
      <c r="S622" s="542">
        <f>LN((1+O622)/(1+H622))</f>
        <v>0.0116435487255104</v>
      </c>
    </row>
    <row r="623">
      <c r="A623" s="320" t="n">
        <v>522</v>
      </c>
      <c r="B623" s="174" t="n">
        <v>9</v>
      </c>
      <c r="C623" s="174" t="n">
        <v>42</v>
      </c>
      <c r="D623" s="174" t="n">
        <v>32</v>
      </c>
      <c r="E623" s="174" t="n">
        <v>54</v>
      </c>
      <c r="F623" s="174" t="n">
        <v>63</v>
      </c>
      <c r="G623" s="68">
        <f>(1+INDEX($Z$21:$Z$97,B623))*(1+INDEX($Z$21:$Z$97,C623))*(1+INDEX($Z$21:$Z$97,D623))*(1+INDEX($Z$21:$Z$97,E623))*(1+INDEX($Z$21:$Z$97,F623))-1</f>
        <v>-0.101857383531515</v>
      </c>
      <c r="H623" s="68">
        <f>(1+INDEX($AA$21:$AA$97,B623))*(1+INDEX($AA$21:$AA$97,C623))*(1+INDEX($AA$21:$AA$97,D623))*(1+INDEX($AA$21:$AA$97,E623))*(1+INDEX($AA$21:$AA$97,F623))-1</f>
        <v>-0.06466110481468</v>
      </c>
      <c r="I623" s="68">
        <f>(1+INDEX($AB$21:$AB$97,B623))*(1+INDEX($AB$21:$AB$97,C623))*(1+INDEX($AB$21:$AB$97,D623))*(1+INDEX($AB$21:$AB$97,E623))*(1+INDEX($AB$21:$AB$97,F623))-1</f>
        <v>-0.0765733565801096</v>
      </c>
      <c r="J623" s="489">
        <f>LN((1+G623)/(1+H623))</f>
        <v>-0.0405800470027011</v>
      </c>
      <c r="K623" s="489">
        <f>LN((1+I623)/(1+H623))</f>
        <v>-0.0128175550987417</v>
      </c>
      <c r="L623" s="489">
        <f>(1+INDEX($AC$21:$AC$97,B623))*(1+INDEX($AC$21:$AC$97,C623))*(1+INDEX($AC$21:$AC$97,D623))*(1+INDEX($AC$21:$AC$97,E623))*(1+INDEX($AC$21:$AC$97,F623))-1</f>
        <v>-0.0923232939020222</v>
      </c>
      <c r="M623" s="489">
        <f>(1+INDEX($AD$21:$AD$97,B623))*(1+INDEX($AD$21:$AD$97,C623))*(1+INDEX($AD$21:$AD$97,D623))*(1+INDEX($AD$21:$AD$97,E623))*(1+INDEX($AD$21:$AD$97,F623))-1</f>
        <v>-0.0603665317609853</v>
      </c>
      <c r="N623" s="489">
        <f>(1+INDEX($AE$21:$AE$97,B623))*(1+INDEX($AE$21:$AE$97,C623))*(1+INDEX($AE$21:$AE$97,D623))*(1+INDEX($AE$21:$AE$97,E623))*(1+INDEX($AE$21:$AE$97,F623))-1</f>
        <v>-0.0965470461399218</v>
      </c>
      <c r="O623" s="489">
        <f>(1+INDEX($AF$21:$AF$97,B623))*(1+INDEX($AF$21:$AF$97,C623))*(1+INDEX($AF$21:$AF$97,D623))*(1+INDEX($AF$21:$AF$97,E623))*(1+INDEX($AF$21:$AF$97,F623))-1</f>
        <v>-0.0352086922718414</v>
      </c>
      <c r="P623" s="489">
        <f>LN((1+L623)/(1+H623))</f>
        <v>-0.0300206537141346</v>
      </c>
      <c r="Q623" s="489">
        <f>LN((1+M623)/(1+H623))</f>
        <v>0.00458095345579551</v>
      </c>
      <c r="R623" s="489">
        <f>LN((1+N623)/(1+H623))</f>
        <v>-0.0346848806754556</v>
      </c>
      <c r="S623" s="542">
        <f>LN((1+O623)/(1+H623))</f>
        <v>0.0310028981680232</v>
      </c>
    </row>
    <row r="624">
      <c r="A624" s="320" t="n">
        <v>523</v>
      </c>
      <c r="B624" s="174" t="n">
        <v>13</v>
      </c>
      <c r="C624" s="174" t="n">
        <v>59</v>
      </c>
      <c r="D624" s="174" t="n">
        <v>16</v>
      </c>
      <c r="E624" s="174" t="n">
        <v>9</v>
      </c>
      <c r="F624" s="174" t="n">
        <v>12</v>
      </c>
      <c r="G624" s="68">
        <f>(1+INDEX($Z$21:$Z$97,B624))*(1+INDEX($Z$21:$Z$97,C624))*(1+INDEX($Z$21:$Z$97,D624))*(1+INDEX($Z$21:$Z$97,E624))*(1+INDEX($Z$21:$Z$97,F624))-1</f>
        <v>0.481109972634116</v>
      </c>
      <c r="H624" s="68">
        <f>(1+INDEX($AA$21:$AA$97,B624))*(1+INDEX($AA$21:$AA$97,C624))*(1+INDEX($AA$21:$AA$97,D624))*(1+INDEX($AA$21:$AA$97,E624))*(1+INDEX($AA$21:$AA$97,F624))-1</f>
        <v>0.395727453152743</v>
      </c>
      <c r="I624" s="68">
        <f>(1+INDEX($AB$21:$AB$97,B624))*(1+INDEX($AB$21:$AB$97,C624))*(1+INDEX($AB$21:$AB$97,D624))*(1+INDEX($AB$21:$AB$97,E624))*(1+INDEX($AB$21:$AB$97,F624))-1</f>
        <v>0.382269934889182</v>
      </c>
      <c r="J624" s="489">
        <f>LN((1+G624)/(1+H624))</f>
        <v>0.059376037041721</v>
      </c>
      <c r="K624" s="489">
        <f>LN((1+I624)/(1+H624))</f>
        <v>-0.009688722958689</v>
      </c>
      <c r="L624" s="489">
        <f>(1+INDEX($AC$21:$AC$97,B624))*(1+INDEX($AC$21:$AC$97,C624))*(1+INDEX($AC$21:$AC$97,D624))*(1+INDEX($AC$21:$AC$97,E624))*(1+INDEX($AC$21:$AC$97,F624))-1</f>
        <v>0.392525325025817</v>
      </c>
      <c r="M624" s="489">
        <f>(1+INDEX($AD$21:$AD$97,B624))*(1+INDEX($AD$21:$AD$97,C624))*(1+INDEX($AD$21:$AD$97,D624))*(1+INDEX($AD$21:$AD$97,E624))*(1+INDEX($AD$21:$AD$97,F624))-1</f>
        <v>0.395735447705959</v>
      </c>
      <c r="N624" s="489">
        <f>(1+INDEX($AE$21:$AE$97,B624))*(1+INDEX($AE$21:$AE$97,C624))*(1+INDEX($AE$21:$AE$97,D624))*(1+INDEX($AE$21:$AE$97,E624))*(1+INDEX($AE$21:$AE$97,F624))-1</f>
        <v>0.38071419904484</v>
      </c>
      <c r="O624" s="489">
        <f>(1+INDEX($AF$21:$AF$97,B624))*(1+INDEX($AF$21:$AF$97,C624))*(1+INDEX($AF$21:$AF$97,D624))*(1+INDEX($AF$21:$AF$97,E624))*(1+INDEX($AF$21:$AF$97,F624))-1</f>
        <v>0.419762861128518</v>
      </c>
      <c r="P624" s="489">
        <f>LN((1+L624)/(1+H624))</f>
        <v>-0.00229687176123655</v>
      </c>
      <c r="Q624" s="489">
        <f>LN((1+M624)/(1+H624))</f>
        <v>5.72785919050199e-06</v>
      </c>
      <c r="R624" s="489">
        <f>LN((1+N624)/(1+H624))</f>
        <v>-0.0108148503147208</v>
      </c>
      <c r="S624" s="542">
        <f>LN((1+O624)/(1+H624))</f>
        <v>0.0170741073137367</v>
      </c>
    </row>
    <row r="625">
      <c r="A625" s="320" t="n">
        <v>524</v>
      </c>
      <c r="B625" s="174" t="n">
        <v>18</v>
      </c>
      <c r="C625" s="174" t="n">
        <v>40</v>
      </c>
      <c r="D625" s="174" t="n">
        <v>66</v>
      </c>
      <c r="E625" s="174" t="n">
        <v>24</v>
      </c>
      <c r="F625" s="174" t="n">
        <v>20</v>
      </c>
      <c r="G625" s="68">
        <f>(1+INDEX($Z$21:$Z$97,B625))*(1+INDEX($Z$21:$Z$97,C625))*(1+INDEX($Z$21:$Z$97,D625))*(1+INDEX($Z$21:$Z$97,E625))*(1+INDEX($Z$21:$Z$97,F625))-1</f>
        <v>0.406205904020183</v>
      </c>
      <c r="H625" s="68">
        <f>(1+INDEX($AA$21:$AA$97,B625))*(1+INDEX($AA$21:$AA$97,C625))*(1+INDEX($AA$21:$AA$97,D625))*(1+INDEX($AA$21:$AA$97,E625))*(1+INDEX($AA$21:$AA$97,F625))-1</f>
        <v>0.344031188905872</v>
      </c>
      <c r="I625" s="68">
        <f>(1+INDEX($AB$21:$AB$97,B625))*(1+INDEX($AB$21:$AB$97,C625))*(1+INDEX($AB$21:$AB$97,D625))*(1+INDEX($AB$21:$AB$97,E625))*(1+INDEX($AB$21:$AB$97,F625))-1</f>
        <v>0.358259955921794</v>
      </c>
      <c r="J625" s="489">
        <f>LN((1+G625)/(1+H625))</f>
        <v>0.0452217814748873</v>
      </c>
      <c r="K625" s="489">
        <f>LN((1+I625)/(1+H625))</f>
        <v>0.0105309885224425</v>
      </c>
      <c r="L625" s="489">
        <f>(1+INDEX($AC$21:$AC$97,B625))*(1+INDEX($AC$21:$AC$97,C625))*(1+INDEX($AC$21:$AC$97,D625))*(1+INDEX($AC$21:$AC$97,E625))*(1+INDEX($AC$21:$AC$97,F625))-1</f>
        <v>0.340796517779194</v>
      </c>
      <c r="M625" s="489">
        <f>(1+INDEX($AD$21:$AD$97,B625))*(1+INDEX($AD$21:$AD$97,C625))*(1+INDEX($AD$21:$AD$97,D625))*(1+INDEX($AD$21:$AD$97,E625))*(1+INDEX($AD$21:$AD$97,F625))-1</f>
        <v>0.36127733561775</v>
      </c>
      <c r="N625" s="489">
        <f>(1+INDEX($AE$21:$AE$97,B625))*(1+INDEX($AE$21:$AE$97,C625))*(1+INDEX($AE$21:$AE$97,D625))*(1+INDEX($AE$21:$AE$97,E625))*(1+INDEX($AE$21:$AE$97,F625))-1</f>
        <v>0.345521585082824</v>
      </c>
      <c r="O625" s="489">
        <f>(1+INDEX($AF$21:$AF$97,B625))*(1+INDEX($AF$21:$AF$97,C625))*(1+INDEX($AF$21:$AF$97,D625))*(1+INDEX($AF$21:$AF$97,E625))*(1+INDEX($AF$21:$AF$97,F625))-1</f>
        <v>0.386090521796103</v>
      </c>
      <c r="P625" s="489">
        <f>LN((1+L625)/(1+H625))</f>
        <v>-0.00240959424227059</v>
      </c>
      <c r="Q625" s="489">
        <f>LN((1+M625)/(1+H625))</f>
        <v>0.0127500284624422</v>
      </c>
      <c r="R625" s="489">
        <f>LN((1+N625)/(1+H625))</f>
        <v>0.0011082856182785</v>
      </c>
      <c r="S625" s="542">
        <f>LN((1+O625)/(1+H625))</f>
        <v>0.0308137623133484</v>
      </c>
    </row>
    <row r="626">
      <c r="A626" s="320" t="n">
        <v>525</v>
      </c>
      <c r="B626" s="174" t="n">
        <v>71</v>
      </c>
      <c r="C626" s="174" t="n">
        <v>49</v>
      </c>
      <c r="D626" s="174" t="n">
        <v>40</v>
      </c>
      <c r="E626" s="174" t="n">
        <v>19</v>
      </c>
      <c r="F626" s="174" t="n">
        <v>2</v>
      </c>
      <c r="G626" s="68">
        <f>(1+INDEX($Z$21:$Z$97,B626))*(1+INDEX($Z$21:$Z$97,C626))*(1+INDEX($Z$21:$Z$97,D626))*(1+INDEX($Z$21:$Z$97,E626))*(1+INDEX($Z$21:$Z$97,F626))-1</f>
        <v>0.583080365129929</v>
      </c>
      <c r="H626" s="68">
        <f>(1+INDEX($AA$21:$AA$97,B626))*(1+INDEX($AA$21:$AA$97,C626))*(1+INDEX($AA$21:$AA$97,D626))*(1+INDEX($AA$21:$AA$97,E626))*(1+INDEX($AA$21:$AA$97,F626))-1</f>
        <v>0.485313723786901</v>
      </c>
      <c r="I626" s="68">
        <f>(1+INDEX($AB$21:$AB$97,B626))*(1+INDEX($AB$21:$AB$97,C626))*(1+INDEX($AB$21:$AB$97,D626))*(1+INDEX($AB$21:$AB$97,E626))*(1+INDEX($AB$21:$AB$97,F626))-1</f>
        <v>0.523554746270644</v>
      </c>
      <c r="J626" s="489">
        <f>LN((1+G626)/(1+H626))</f>
        <v>0.063746535470937</v>
      </c>
      <c r="K626" s="489">
        <f>LN((1+I626)/(1+H626))</f>
        <v>0.0254202415859194</v>
      </c>
      <c r="L626" s="489">
        <f>(1+INDEX($AC$21:$AC$97,B626))*(1+INDEX($AC$21:$AC$97,C626))*(1+INDEX($AC$21:$AC$97,D626))*(1+INDEX($AC$21:$AC$97,E626))*(1+INDEX($AC$21:$AC$97,F626))-1</f>
        <v>0.500765298845969</v>
      </c>
      <c r="M626" s="489">
        <f>(1+INDEX($AD$21:$AD$97,B626))*(1+INDEX($AD$21:$AD$97,C626))*(1+INDEX($AD$21:$AD$97,D626))*(1+INDEX($AD$21:$AD$97,E626))*(1+INDEX($AD$21:$AD$97,F626))-1</f>
        <v>0.530537892132452</v>
      </c>
      <c r="N626" s="489">
        <f>(1+INDEX($AE$21:$AE$97,B626))*(1+INDEX($AE$21:$AE$97,C626))*(1+INDEX($AE$21:$AE$97,D626))*(1+INDEX($AE$21:$AE$97,E626))*(1+INDEX($AE$21:$AE$97,F626))-1</f>
        <v>0.50615096216089</v>
      </c>
      <c r="O626" s="489">
        <f>(1+INDEX($AF$21:$AF$97,B626))*(1+INDEX($AF$21:$AF$97,C626))*(1+INDEX($AF$21:$AF$97,D626))*(1+INDEX($AF$21:$AF$97,E626))*(1+INDEX($AF$21:$AF$97,F626))-1</f>
        <v>0.518437917535926</v>
      </c>
      <c r="P626" s="489">
        <f>LN((1+L626)/(1+H626))</f>
        <v>0.010349165480044</v>
      </c>
      <c r="Q626" s="489">
        <f>LN((1+M626)/(1+H626))</f>
        <v>0.0299932253542544</v>
      </c>
      <c r="R626" s="489">
        <f>LN((1+N626)/(1+H626))</f>
        <v>0.0139313530812491</v>
      </c>
      <c r="S626" s="542">
        <f>LN((1+O626)/(1+H626))</f>
        <v>0.0220561088440106</v>
      </c>
    </row>
    <row r="627">
      <c r="A627" s="320" t="n">
        <v>526</v>
      </c>
      <c r="B627" s="174" t="n">
        <v>31</v>
      </c>
      <c r="C627" s="174" t="n">
        <v>13</v>
      </c>
      <c r="D627" s="174" t="n">
        <v>38</v>
      </c>
      <c r="E627" s="174" t="n">
        <v>70</v>
      </c>
      <c r="F627" s="174" t="n">
        <v>47</v>
      </c>
      <c r="G627" s="68">
        <f>(1+INDEX($Z$21:$Z$97,B627))*(1+INDEX($Z$21:$Z$97,C627))*(1+INDEX($Z$21:$Z$97,D627))*(1+INDEX($Z$21:$Z$97,E627))*(1+INDEX($Z$21:$Z$97,F627))-1</f>
        <v>0.786607280494216</v>
      </c>
      <c r="H627" s="68">
        <f>(1+INDEX($AA$21:$AA$97,B627))*(1+INDEX($AA$21:$AA$97,C627))*(1+INDEX($AA$21:$AA$97,D627))*(1+INDEX($AA$21:$AA$97,E627))*(1+INDEX($AA$21:$AA$97,F627))-1</f>
        <v>0.689177988190046</v>
      </c>
      <c r="I627" s="68">
        <f>(1+INDEX($AB$21:$AB$97,B627))*(1+INDEX($AB$21:$AB$97,C627))*(1+INDEX($AB$21:$AB$97,D627))*(1+INDEX($AB$21:$AB$97,E627))*(1+INDEX($AB$21:$AB$97,F627))-1</f>
        <v>0.764057122625039</v>
      </c>
      <c r="J627" s="489">
        <f>LN((1+G627)/(1+H627))</f>
        <v>0.0560764342481779</v>
      </c>
      <c r="K627" s="489">
        <f>LN((1+I627)/(1+H627))</f>
        <v>0.0433743264161443</v>
      </c>
      <c r="L627" s="489">
        <f>(1+INDEX($AC$21:$AC$97,B627))*(1+INDEX($AC$21:$AC$97,C627))*(1+INDEX($AC$21:$AC$97,D627))*(1+INDEX($AC$21:$AC$97,E627))*(1+INDEX($AC$21:$AC$97,F627))-1</f>
        <v>0.755889974914742</v>
      </c>
      <c r="M627" s="489">
        <f>(1+INDEX($AD$21:$AD$97,B627))*(1+INDEX($AD$21:$AD$97,C627))*(1+INDEX($AD$21:$AD$97,D627))*(1+INDEX($AD$21:$AD$97,E627))*(1+INDEX($AD$21:$AD$97,F627))-1</f>
        <v>0.754934068088173</v>
      </c>
      <c r="N627" s="489">
        <f>(1+INDEX($AE$21:$AE$97,B627))*(1+INDEX($AE$21:$AE$97,C627))*(1+INDEX($AE$21:$AE$97,D627))*(1+INDEX($AE$21:$AE$97,E627))*(1+INDEX($AE$21:$AE$97,F627))-1</f>
        <v>0.757763218880879</v>
      </c>
      <c r="O627" s="489">
        <f>(1+INDEX($AF$21:$AF$97,B627))*(1+INDEX($AF$21:$AF$97,C627))*(1+INDEX($AF$21:$AF$97,D627))*(1+INDEX($AF$21:$AF$97,E627))*(1+INDEX($AF$21:$AF$97,F627))-1</f>
        <v>0.689788681021028</v>
      </c>
      <c r="P627" s="489">
        <f>LN((1+L627)/(1+H627))</f>
        <v>0.0387338235107861</v>
      </c>
      <c r="Q627" s="489">
        <f>LN((1+M627)/(1+H627))</f>
        <v>0.0381892750865519</v>
      </c>
      <c r="R627" s="489">
        <f>LN((1+N627)/(1+H627))</f>
        <v>0.0398000893260479</v>
      </c>
      <c r="S627" s="542">
        <f>LN((1+O627)/(1+H627))</f>
        <v>0.000361467216114098</v>
      </c>
    </row>
    <row r="628">
      <c r="A628" s="320" t="n">
        <v>527</v>
      </c>
      <c r="B628" s="174" t="n">
        <v>14</v>
      </c>
      <c r="C628" s="174" t="n">
        <v>22</v>
      </c>
      <c r="D628" s="174" t="n">
        <v>48</v>
      </c>
      <c r="E628" s="174" t="n">
        <v>33</v>
      </c>
      <c r="F628" s="174" t="n">
        <v>40</v>
      </c>
      <c r="G628" s="68">
        <f>(1+INDEX($Z$21:$Z$97,B628))*(1+INDEX($Z$21:$Z$97,C628))*(1+INDEX($Z$21:$Z$97,D628))*(1+INDEX($Z$21:$Z$97,E628))*(1+INDEX($Z$21:$Z$97,F628))-1</f>
        <v>0.496055732788103</v>
      </c>
      <c r="H628" s="68">
        <f>(1+INDEX($AA$21:$AA$97,B628))*(1+INDEX($AA$21:$AA$97,C628))*(1+INDEX($AA$21:$AA$97,D628))*(1+INDEX($AA$21:$AA$97,E628))*(1+INDEX($AA$21:$AA$97,F628))-1</f>
        <v>0.461437524543649</v>
      </c>
      <c r="I628" s="68">
        <f>(1+INDEX($AB$21:$AB$97,B628))*(1+INDEX($AB$21:$AB$97,C628))*(1+INDEX($AB$21:$AB$97,D628))*(1+INDEX($AB$21:$AB$97,E628))*(1+INDEX($AB$21:$AB$97,F628))-1</f>
        <v>0.519001218778977</v>
      </c>
      <c r="J628" s="489">
        <f>LN((1+G628)/(1+H628))</f>
        <v>0.0234115762301967</v>
      </c>
      <c r="K628" s="489">
        <f>LN((1+I628)/(1+H628))</f>
        <v>0.0386324688037964</v>
      </c>
      <c r="L628" s="489">
        <f>(1+INDEX($AC$21:$AC$97,B628))*(1+INDEX($AC$21:$AC$97,C628))*(1+INDEX($AC$21:$AC$97,D628))*(1+INDEX($AC$21:$AC$97,E628))*(1+INDEX($AC$21:$AC$97,F628))-1</f>
        <v>0.498544870100064</v>
      </c>
      <c r="M628" s="489">
        <f>(1+INDEX($AD$21:$AD$97,B628))*(1+INDEX($AD$21:$AD$97,C628))*(1+INDEX($AD$21:$AD$97,D628))*(1+INDEX($AD$21:$AD$97,E628))*(1+INDEX($AD$21:$AD$97,F628))-1</f>
        <v>0.531409636110352</v>
      </c>
      <c r="N628" s="489">
        <f>(1+INDEX($AE$21:$AE$97,B628))*(1+INDEX($AE$21:$AE$97,C628))*(1+INDEX($AE$21:$AE$97,D628))*(1+INDEX($AE$21:$AE$97,E628))*(1+INDEX($AE$21:$AE$97,F628))-1</f>
        <v>0.481543293885818</v>
      </c>
      <c r="O628" s="489">
        <f>(1+INDEX($AF$21:$AF$97,B628))*(1+INDEX($AF$21:$AF$97,C628))*(1+INDEX($AF$21:$AF$97,D628))*(1+INDEX($AF$21:$AF$97,E628))*(1+INDEX($AF$21:$AF$97,F628))-1</f>
        <v>0.441160674909651</v>
      </c>
      <c r="P628" s="489">
        <f>LN((1+L628)/(1+H628))</f>
        <v>0.0250739935040162</v>
      </c>
      <c r="Q628" s="489">
        <f>LN((1+M628)/(1+H628))</f>
        <v>0.0467680848650637</v>
      </c>
      <c r="R628" s="489">
        <f>LN((1+N628)/(1+H628))</f>
        <v>0.0136637534464813</v>
      </c>
      <c r="S628" s="542">
        <f>LN((1+O628)/(1+H628))</f>
        <v>-0.0139717439980295</v>
      </c>
    </row>
    <row r="629">
      <c r="A629" s="320" t="n">
        <v>528</v>
      </c>
      <c r="B629" s="174" t="n">
        <v>74</v>
      </c>
      <c r="C629" s="174" t="n">
        <v>32</v>
      </c>
      <c r="D629" s="174" t="n">
        <v>25</v>
      </c>
      <c r="E629" s="174" t="n">
        <v>26</v>
      </c>
      <c r="F629" s="174" t="n">
        <v>69</v>
      </c>
      <c r="G629" s="68">
        <f>(1+INDEX($Z$21:$Z$97,B629))*(1+INDEX($Z$21:$Z$97,C629))*(1+INDEX($Z$21:$Z$97,D629))*(1+INDEX($Z$21:$Z$97,E629))*(1+INDEX($Z$21:$Z$97,F629))-1</f>
        <v>0.913800478515042</v>
      </c>
      <c r="H629" s="68">
        <f>(1+INDEX($AA$21:$AA$97,B629))*(1+INDEX($AA$21:$AA$97,C629))*(1+INDEX($AA$21:$AA$97,D629))*(1+INDEX($AA$21:$AA$97,E629))*(1+INDEX($AA$21:$AA$97,F629))-1</f>
        <v>0.838325228477802</v>
      </c>
      <c r="I629" s="68">
        <f>(1+INDEX($AB$21:$AB$97,B629))*(1+INDEX($AB$21:$AB$97,C629))*(1+INDEX($AB$21:$AB$97,D629))*(1+INDEX($AB$21:$AB$97,E629))*(1+INDEX($AB$21:$AB$97,F629))-1</f>
        <v>0.945425287703622</v>
      </c>
      <c r="J629" s="489">
        <f>LN((1+G629)/(1+H629))</f>
        <v>0.0402360891756154</v>
      </c>
      <c r="K629" s="489">
        <f>LN((1+I629)/(1+H629))</f>
        <v>0.056625654864135</v>
      </c>
      <c r="L629" s="489">
        <f>(1+INDEX($AC$21:$AC$97,B629))*(1+INDEX($AC$21:$AC$97,C629))*(1+INDEX($AC$21:$AC$97,D629))*(1+INDEX($AC$21:$AC$97,E629))*(1+INDEX($AC$21:$AC$97,F629))-1</f>
        <v>0.930893816086691</v>
      </c>
      <c r="M629" s="489">
        <f>(1+INDEX($AD$21:$AD$97,B629))*(1+INDEX($AD$21:$AD$97,C629))*(1+INDEX($AD$21:$AD$97,D629))*(1+INDEX($AD$21:$AD$97,E629))*(1+INDEX($AD$21:$AD$97,F629))-1</f>
        <v>0.940713722116569</v>
      </c>
      <c r="N629" s="489">
        <f>(1+INDEX($AE$21:$AE$97,B629))*(1+INDEX($AE$21:$AE$97,C629))*(1+INDEX($AE$21:$AE$97,D629))*(1+INDEX($AE$21:$AE$97,E629))*(1+INDEX($AE$21:$AE$97,F629))-1</f>
        <v>0.939680709540667</v>
      </c>
      <c r="O629" s="489">
        <f>(1+INDEX($AF$21:$AF$97,B629))*(1+INDEX($AF$21:$AF$97,C629))*(1+INDEX($AF$21:$AF$97,D629))*(1+INDEX($AF$21:$AF$97,E629))*(1+INDEX($AF$21:$AF$97,F629))-1</f>
        <v>0.853432359827147</v>
      </c>
      <c r="P629" s="489">
        <f>LN((1+L629)/(1+H629))</f>
        <v>0.0491280576331461</v>
      </c>
      <c r="Q629" s="489">
        <f>LN((1+M629)/(1+H629))</f>
        <v>0.0542008481942287</v>
      </c>
      <c r="R629" s="489">
        <f>LN((1+N629)/(1+H629))</f>
        <v>0.0536684215976549</v>
      </c>
      <c r="S629" s="542">
        <f>LN((1+O629)/(1+H629))</f>
        <v>0.00818429450701162</v>
      </c>
    </row>
    <row r="630">
      <c r="A630" s="320" t="n">
        <v>529</v>
      </c>
      <c r="B630" s="174" t="n">
        <v>47</v>
      </c>
      <c r="C630" s="174" t="n">
        <v>29</v>
      </c>
      <c r="D630" s="174" t="n">
        <v>72</v>
      </c>
      <c r="E630" s="174" t="n">
        <v>27</v>
      </c>
      <c r="F630" s="174" t="n">
        <v>72</v>
      </c>
      <c r="G630" s="68">
        <f>(1+INDEX($Z$21:$Z$97,B630))*(1+INDEX($Z$21:$Z$97,C630))*(1+INDEX($Z$21:$Z$97,D630))*(1+INDEX($Z$21:$Z$97,E630))*(1+INDEX($Z$21:$Z$97,F630))-1</f>
        <v>0.971002782522375</v>
      </c>
      <c r="H630" s="68">
        <f>(1+INDEX($AA$21:$AA$97,B630))*(1+INDEX($AA$21:$AA$97,C630))*(1+INDEX($AA$21:$AA$97,D630))*(1+INDEX($AA$21:$AA$97,E630))*(1+INDEX($AA$21:$AA$97,F630))-1</f>
        <v>0.975351869337356</v>
      </c>
      <c r="I630" s="68">
        <f>(1+INDEX($AB$21:$AB$97,B630))*(1+INDEX($AB$21:$AB$97,C630))*(1+INDEX($AB$21:$AB$97,D630))*(1+INDEX($AB$21:$AB$97,E630))*(1+INDEX($AB$21:$AB$97,F630))-1</f>
        <v>1.13315451503603</v>
      </c>
      <c r="J630" s="489">
        <f>LN((1+G630)/(1+H630))</f>
        <v>-0.00220410427309834</v>
      </c>
      <c r="K630" s="489">
        <f>LN((1+I630)/(1+H630))</f>
        <v>0.0768553329334976</v>
      </c>
      <c r="L630" s="489">
        <f>(1+INDEX($AC$21:$AC$97,B630))*(1+INDEX($AC$21:$AC$97,C630))*(1+INDEX($AC$21:$AC$97,D630))*(1+INDEX($AC$21:$AC$97,E630))*(1+INDEX($AC$21:$AC$97,F630))-1</f>
        <v>1.13365289904287</v>
      </c>
      <c r="M630" s="489">
        <f>(1+INDEX($AD$21:$AD$97,B630))*(1+INDEX($AD$21:$AD$97,C630))*(1+INDEX($AD$21:$AD$97,D630))*(1+INDEX($AD$21:$AD$97,E630))*(1+INDEX($AD$21:$AD$97,F630))-1</f>
        <v>1.07567959429788</v>
      </c>
      <c r="N630" s="489">
        <f>(1+INDEX($AE$21:$AE$97,B630))*(1+INDEX($AE$21:$AE$97,C630))*(1+INDEX($AE$21:$AE$97,D630))*(1+INDEX($AE$21:$AE$97,E630))*(1+INDEX($AE$21:$AE$97,F630))-1</f>
        <v>1.12730383924106</v>
      </c>
      <c r="O630" s="489">
        <f>(1+INDEX($AF$21:$AF$97,B630))*(1+INDEX($AF$21:$AF$97,C630))*(1+INDEX($AF$21:$AF$97,D630))*(1+INDEX($AF$21:$AF$97,E630))*(1+INDEX($AF$21:$AF$97,F630))-1</f>
        <v>0.986221153151954</v>
      </c>
      <c r="P630" s="489">
        <f>LN((1+L630)/(1+H630))</f>
        <v>0.0770889427315202</v>
      </c>
      <c r="Q630" s="489">
        <f>LN((1+M630)/(1+H630))</f>
        <v>0.0495420712115289</v>
      </c>
      <c r="R630" s="489">
        <f>LN((1+N630)/(1+H630))</f>
        <v>0.0741088305686187</v>
      </c>
      <c r="S630" s="542">
        <f>LN((1+O630)/(1+H630))</f>
        <v>0.00548737131783399</v>
      </c>
    </row>
    <row r="631">
      <c r="A631" s="320" t="n">
        <v>530</v>
      </c>
      <c r="B631" s="174" t="n">
        <v>31</v>
      </c>
      <c r="C631" s="174" t="n">
        <v>7</v>
      </c>
      <c r="D631" s="174" t="n">
        <v>59</v>
      </c>
      <c r="E631" s="174" t="n">
        <v>67</v>
      </c>
      <c r="F631" s="174" t="n">
        <v>16</v>
      </c>
      <c r="G631" s="68">
        <f>(1+INDEX($Z$21:$Z$97,B631))*(1+INDEX($Z$21:$Z$97,C631))*(1+INDEX($Z$21:$Z$97,D631))*(1+INDEX($Z$21:$Z$97,E631))*(1+INDEX($Z$21:$Z$97,F631))-1</f>
        <v>0.307502168631206</v>
      </c>
      <c r="H631" s="68">
        <f>(1+INDEX($AA$21:$AA$97,B631))*(1+INDEX($AA$21:$AA$97,C631))*(1+INDEX($AA$21:$AA$97,D631))*(1+INDEX($AA$21:$AA$97,E631))*(1+INDEX($AA$21:$AA$97,F631))-1</f>
        <v>0.351559798364242</v>
      </c>
      <c r="I631" s="68">
        <f>(1+INDEX($AB$21:$AB$97,B631))*(1+INDEX($AB$21:$AB$97,C631))*(1+INDEX($AB$21:$AB$97,D631))*(1+INDEX($AB$21:$AB$97,E631))*(1+INDEX($AB$21:$AB$97,F631))-1</f>
        <v>0.338493702490757</v>
      </c>
      <c r="J631" s="489">
        <f>LN((1+G631)/(1+H631))</f>
        <v>-0.0331407561135122</v>
      </c>
      <c r="K631" s="489">
        <f>LN((1+I631)/(1+H631))</f>
        <v>-0.00971445261127177</v>
      </c>
      <c r="L631" s="489">
        <f>(1+INDEX($AC$21:$AC$97,B631))*(1+INDEX($AC$21:$AC$97,C631))*(1+INDEX($AC$21:$AC$97,D631))*(1+INDEX($AC$21:$AC$97,E631))*(1+INDEX($AC$21:$AC$97,F631))-1</f>
        <v>0.351175567736673</v>
      </c>
      <c r="M631" s="489">
        <f>(1+INDEX($AD$21:$AD$97,B631))*(1+INDEX($AD$21:$AD$97,C631))*(1+INDEX($AD$21:$AD$97,D631))*(1+INDEX($AD$21:$AD$97,E631))*(1+INDEX($AD$21:$AD$97,F631))-1</f>
        <v>0.310376119709093</v>
      </c>
      <c r="N631" s="489">
        <f>(1+INDEX($AE$21:$AE$97,B631))*(1+INDEX($AE$21:$AE$97,C631))*(1+INDEX($AE$21:$AE$97,D631))*(1+INDEX($AE$21:$AE$97,E631))*(1+INDEX($AE$21:$AE$97,F631))-1</f>
        <v>0.357264816367846</v>
      </c>
      <c r="O631" s="489">
        <f>(1+INDEX($AF$21:$AF$97,B631))*(1+INDEX($AF$21:$AF$97,C631))*(1+INDEX($AF$21:$AF$97,D631))*(1+INDEX($AF$21:$AF$97,E631))*(1+INDEX($AF$21:$AF$97,F631))-1</f>
        <v>0.304932797604619</v>
      </c>
      <c r="P631" s="489">
        <f>LN((1+L631)/(1+H631))</f>
        <v>-0.000284327230091471</v>
      </c>
      <c r="Q631" s="489">
        <f>LN((1+M631)/(1+H631))</f>
        <v>-0.0309451213926376</v>
      </c>
      <c r="R631" s="489">
        <f>LN((1+N631)/(1+H631))</f>
        <v>0.00421217852765849</v>
      </c>
      <c r="S631" s="542">
        <f>LN((1+O631)/(1+H631))</f>
        <v>-0.0351077883177575</v>
      </c>
    </row>
    <row r="632">
      <c r="A632" s="320" t="n">
        <v>531</v>
      </c>
      <c r="B632" s="174" t="n">
        <v>10</v>
      </c>
      <c r="C632" s="174" t="n">
        <v>34</v>
      </c>
      <c r="D632" s="174" t="n">
        <v>69</v>
      </c>
      <c r="E632" s="174" t="n">
        <v>50</v>
      </c>
      <c r="F632" s="174" t="n">
        <v>40</v>
      </c>
      <c r="G632" s="68">
        <f>(1+INDEX($Z$21:$Z$97,B632))*(1+INDEX($Z$21:$Z$97,C632))*(1+INDEX($Z$21:$Z$97,D632))*(1+INDEX($Z$21:$Z$97,E632))*(1+INDEX($Z$21:$Z$97,F632))-1</f>
        <v>0.359972841553187</v>
      </c>
      <c r="H632" s="68">
        <f>(1+INDEX($AA$21:$AA$97,B632))*(1+INDEX($AA$21:$AA$97,C632))*(1+INDEX($AA$21:$AA$97,D632))*(1+INDEX($AA$21:$AA$97,E632))*(1+INDEX($AA$21:$AA$97,F632))-1</f>
        <v>0.388112987521476</v>
      </c>
      <c r="I632" s="68">
        <f>(1+INDEX($AB$21:$AB$97,B632))*(1+INDEX($AB$21:$AB$97,C632))*(1+INDEX($AB$21:$AB$97,D632))*(1+INDEX($AB$21:$AB$97,E632))*(1+INDEX($AB$21:$AB$97,F632))-1</f>
        <v>0.407315370640061</v>
      </c>
      <c r="J632" s="489">
        <f>LN((1+G632)/(1+H632))</f>
        <v>-0.0204805317826324</v>
      </c>
      <c r="K632" s="489">
        <f>LN((1+I632)/(1+H632))</f>
        <v>0.0137386351535055</v>
      </c>
      <c r="L632" s="489">
        <f>(1+INDEX($AC$21:$AC$97,B632))*(1+INDEX($AC$21:$AC$97,C632))*(1+INDEX($AC$21:$AC$97,D632))*(1+INDEX($AC$21:$AC$97,E632))*(1+INDEX($AC$21:$AC$97,F632))-1</f>
        <v>0.398342516885638</v>
      </c>
      <c r="M632" s="489">
        <f>(1+INDEX($AD$21:$AD$97,B632))*(1+INDEX($AD$21:$AD$97,C632))*(1+INDEX($AD$21:$AD$97,D632))*(1+INDEX($AD$21:$AD$97,E632))*(1+INDEX($AD$21:$AD$97,F632))-1</f>
        <v>0.430201183827202</v>
      </c>
      <c r="N632" s="489">
        <f>(1+INDEX($AE$21:$AE$97,B632))*(1+INDEX($AE$21:$AE$97,C632))*(1+INDEX($AE$21:$AE$97,D632))*(1+INDEX($AE$21:$AE$97,E632))*(1+INDEX($AE$21:$AE$97,F632))-1</f>
        <v>0.390776932219243</v>
      </c>
      <c r="O632" s="489">
        <f>(1+INDEX($AF$21:$AF$97,B632))*(1+INDEX($AF$21:$AF$97,C632))*(1+INDEX($AF$21:$AF$97,D632))*(1+INDEX($AF$21:$AF$97,E632))*(1+INDEX($AF$21:$AF$97,F632))-1</f>
        <v>0.412507814276474</v>
      </c>
      <c r="P632" s="489">
        <f>LN((1+L632)/(1+H632))</f>
        <v>0.0073423568431477</v>
      </c>
      <c r="Q632" s="489">
        <f>LN((1+M632)/(1+H632))</f>
        <v>0.0298698604822245</v>
      </c>
      <c r="R632" s="489">
        <f>LN((1+N632)/(1+H632))</f>
        <v>0.00191727314916922</v>
      </c>
      <c r="S632" s="542">
        <f>LN((1+O632)/(1+H632))</f>
        <v>0.0174214543692736</v>
      </c>
    </row>
    <row r="633">
      <c r="A633" s="320" t="n">
        <v>532</v>
      </c>
      <c r="B633" s="174" t="n">
        <v>57</v>
      </c>
      <c r="C633" s="174" t="n">
        <v>41</v>
      </c>
      <c r="D633" s="174" t="n">
        <v>69</v>
      </c>
      <c r="E633" s="174" t="n">
        <v>32</v>
      </c>
      <c r="F633" s="174" t="n">
        <v>70</v>
      </c>
      <c r="G633" s="68">
        <f>(1+INDEX($Z$21:$Z$97,B633))*(1+INDEX($Z$21:$Z$97,C633))*(1+INDEX($Z$21:$Z$97,D633))*(1+INDEX($Z$21:$Z$97,E633))*(1+INDEX($Z$21:$Z$97,F633))-1</f>
        <v>0.90629855726041</v>
      </c>
      <c r="H633" s="68">
        <f>(1+INDEX($AA$21:$AA$97,B633))*(1+INDEX($AA$21:$AA$97,C633))*(1+INDEX($AA$21:$AA$97,D633))*(1+INDEX($AA$21:$AA$97,E633))*(1+INDEX($AA$21:$AA$97,F633))-1</f>
        <v>0.843130427615201</v>
      </c>
      <c r="I633" s="68">
        <f>(1+INDEX($AB$21:$AB$97,B633))*(1+INDEX($AB$21:$AB$97,C633))*(1+INDEX($AB$21:$AB$97,D633))*(1+INDEX($AB$21:$AB$97,E633))*(1+INDEX($AB$21:$AB$97,F633))-1</f>
        <v>0.927361291151607</v>
      </c>
      <c r="J633" s="489">
        <f>LN((1+G633)/(1+H633))</f>
        <v>0.0336979883377641</v>
      </c>
      <c r="K633" s="489">
        <f>LN((1+I633)/(1+H633))</f>
        <v>0.0446864154072173</v>
      </c>
      <c r="L633" s="489">
        <f>(1+INDEX($AC$21:$AC$97,B633))*(1+INDEX($AC$21:$AC$97,C633))*(1+INDEX($AC$21:$AC$97,D633))*(1+INDEX($AC$21:$AC$97,E633))*(1+INDEX($AC$21:$AC$97,F633))-1</f>
        <v>0.939011218050616</v>
      </c>
      <c r="M633" s="489">
        <f>(1+INDEX($AD$21:$AD$97,B633))*(1+INDEX($AD$21:$AD$97,C633))*(1+INDEX($AD$21:$AD$97,D633))*(1+INDEX($AD$21:$AD$97,E633))*(1+INDEX($AD$21:$AD$97,F633))-1</f>
        <v>0.90542501295148</v>
      </c>
      <c r="N633" s="489">
        <f>(1+INDEX($AE$21:$AE$97,B633))*(1+INDEX($AE$21:$AE$97,C633))*(1+INDEX($AE$21:$AE$97,D633))*(1+INDEX($AE$21:$AE$97,E633))*(1+INDEX($AE$21:$AE$97,F633))-1</f>
        <v>0.951474832651376</v>
      </c>
      <c r="O633" s="489">
        <f>(1+INDEX($AF$21:$AF$97,B633))*(1+INDEX($AF$21:$AF$97,C633))*(1+INDEX($AF$21:$AF$97,D633))*(1+INDEX($AF$21:$AF$97,E633))*(1+INDEX($AF$21:$AF$97,F633))-1</f>
        <v>0.85145654963603</v>
      </c>
      <c r="P633" s="489">
        <f>LN((1+L633)/(1+H633))</f>
        <v>0.0507127163537072</v>
      </c>
      <c r="Q633" s="489">
        <f>LN((1+M633)/(1+H633))</f>
        <v>0.0332396422336288</v>
      </c>
      <c r="R633" s="489">
        <f>LN((1+N633)/(1+H633))</f>
        <v>0.0571199657704662</v>
      </c>
      <c r="S633" s="542">
        <f>LN((1+O633)/(1+H633))</f>
        <v>0.00450720806816543</v>
      </c>
    </row>
    <row r="634">
      <c r="A634" s="320" t="n">
        <v>533</v>
      </c>
      <c r="B634" s="174" t="n">
        <v>32</v>
      </c>
      <c r="C634" s="174" t="n">
        <v>41</v>
      </c>
      <c r="D634" s="174" t="n">
        <v>28</v>
      </c>
      <c r="E634" s="174" t="n">
        <v>44</v>
      </c>
      <c r="F634" s="174" t="n">
        <v>56</v>
      </c>
      <c r="G634" s="68">
        <f>(1+INDEX($Z$21:$Z$97,B634))*(1+INDEX($Z$21:$Z$97,C634))*(1+INDEX($Z$21:$Z$97,D634))*(1+INDEX($Z$21:$Z$97,E634))*(1+INDEX($Z$21:$Z$97,F634))-1</f>
        <v>0.647456539068272</v>
      </c>
      <c r="H634" s="68">
        <f>(1+INDEX($AA$21:$AA$97,B634))*(1+INDEX($AA$21:$AA$97,C634))*(1+INDEX($AA$21:$AA$97,D634))*(1+INDEX($AA$21:$AA$97,E634))*(1+INDEX($AA$21:$AA$97,F634))-1</f>
        <v>0.627100899531131</v>
      </c>
      <c r="I634" s="68">
        <f>(1+INDEX($AB$21:$AB$97,B634))*(1+INDEX($AB$21:$AB$97,C634))*(1+INDEX($AB$21:$AB$97,D634))*(1+INDEX($AB$21:$AB$97,E634))*(1+INDEX($AB$21:$AB$97,F634))-1</f>
        <v>0.697042236083768</v>
      </c>
      <c r="J634" s="489">
        <f>LN((1+G634)/(1+H634))</f>
        <v>0.0124327651121985</v>
      </c>
      <c r="K634" s="489">
        <f>LN((1+I634)/(1+H634))</f>
        <v>0.0420870326125634</v>
      </c>
      <c r="L634" s="489">
        <f>(1+INDEX($AC$21:$AC$97,B634))*(1+INDEX($AC$21:$AC$97,C634))*(1+INDEX($AC$21:$AC$97,D634))*(1+INDEX($AC$21:$AC$97,E634))*(1+INDEX($AC$21:$AC$97,F634))-1</f>
        <v>0.683817031678569</v>
      </c>
      <c r="M634" s="489">
        <f>(1+INDEX($AD$21:$AD$97,B634))*(1+INDEX($AD$21:$AD$97,C634))*(1+INDEX($AD$21:$AD$97,D634))*(1+INDEX($AD$21:$AD$97,E634))*(1+INDEX($AD$21:$AD$97,F634))-1</f>
        <v>0.71026928321401</v>
      </c>
      <c r="N634" s="489">
        <f>(1+INDEX($AE$21:$AE$97,B634))*(1+INDEX($AE$21:$AE$97,C634))*(1+INDEX($AE$21:$AE$97,D634))*(1+INDEX($AE$21:$AE$97,E634))*(1+INDEX($AE$21:$AE$97,F634))-1</f>
        <v>0.67929663589804</v>
      </c>
      <c r="O634" s="489">
        <f>(1+INDEX($AF$21:$AF$97,B634))*(1+INDEX($AF$21:$AF$97,C634))*(1+INDEX($AF$21:$AF$97,D634))*(1+INDEX($AF$21:$AF$97,E634))*(1+INDEX($AF$21:$AF$97,F634))-1</f>
        <v>0.683817651991029</v>
      </c>
      <c r="P634" s="489">
        <f>LN((1+L634)/(1+H634))</f>
        <v>0.0342634168887981</v>
      </c>
      <c r="Q634" s="489">
        <f>LN((1+M634)/(1+H634))</f>
        <v>0.0498509916741826</v>
      </c>
      <c r="R634" s="489">
        <f>LN((1+N634)/(1+H634))</f>
        <v>0.0315751946343182</v>
      </c>
      <c r="S634" s="542">
        <f>LN((1+O634)/(1+H634))</f>
        <v>0.0342637852853249</v>
      </c>
    </row>
    <row r="635">
      <c r="A635" s="320" t="n">
        <v>534</v>
      </c>
      <c r="B635" s="174" t="n">
        <v>18</v>
      </c>
      <c r="C635" s="174" t="n">
        <v>33</v>
      </c>
      <c r="D635" s="174" t="n">
        <v>64</v>
      </c>
      <c r="E635" s="174" t="n">
        <v>51</v>
      </c>
      <c r="F635" s="174" t="n">
        <v>20</v>
      </c>
      <c r="G635" s="68">
        <f>(1+INDEX($Z$21:$Z$97,B635))*(1+INDEX($Z$21:$Z$97,C635))*(1+INDEX($Z$21:$Z$97,D635))*(1+INDEX($Z$21:$Z$97,E635))*(1+INDEX($Z$21:$Z$97,F635))-1</f>
        <v>0.280313795666985</v>
      </c>
      <c r="H635" s="68">
        <f>(1+INDEX($AA$21:$AA$97,B635))*(1+INDEX($AA$21:$AA$97,C635))*(1+INDEX($AA$21:$AA$97,D635))*(1+INDEX($AA$21:$AA$97,E635))*(1+INDEX($AA$21:$AA$97,F635))-1</f>
        <v>0.232931410219279</v>
      </c>
      <c r="I635" s="68">
        <f>(1+INDEX($AB$21:$AB$97,B635))*(1+INDEX($AB$21:$AB$97,C635))*(1+INDEX($AB$21:$AB$97,D635))*(1+INDEX($AB$21:$AB$97,E635))*(1+INDEX($AB$21:$AB$97,F635))-1</f>
        <v>0.252571759680742</v>
      </c>
      <c r="J635" s="489">
        <f>LN((1+G635)/(1+H635))</f>
        <v>0.0377106064868273</v>
      </c>
      <c r="K635" s="489">
        <f>LN((1+I635)/(1+H635))</f>
        <v>0.0158042512294917</v>
      </c>
      <c r="L635" s="489">
        <f>(1+INDEX($AC$21:$AC$97,B635))*(1+INDEX($AC$21:$AC$97,C635))*(1+INDEX($AC$21:$AC$97,D635))*(1+INDEX($AC$21:$AC$97,E635))*(1+INDEX($AC$21:$AC$97,F635))-1</f>
        <v>0.225988353033429</v>
      </c>
      <c r="M635" s="489">
        <f>(1+INDEX($AD$21:$AD$97,B635))*(1+INDEX($AD$21:$AD$97,C635))*(1+INDEX($AD$21:$AD$97,D635))*(1+INDEX($AD$21:$AD$97,E635))*(1+INDEX($AD$21:$AD$97,F635))-1</f>
        <v>0.248914689706442</v>
      </c>
      <c r="N635" s="489">
        <f>(1+INDEX($AE$21:$AE$97,B635))*(1+INDEX($AE$21:$AE$97,C635))*(1+INDEX($AE$21:$AE$97,D635))*(1+INDEX($AE$21:$AE$97,E635))*(1+INDEX($AE$21:$AE$97,F635))-1</f>
        <v>0.234308944848121</v>
      </c>
      <c r="O635" s="489">
        <f>(1+INDEX($AF$21:$AF$97,B635))*(1+INDEX($AF$21:$AF$97,C635))*(1+INDEX($AF$21:$AF$97,D635))*(1+INDEX($AF$21:$AF$97,E635))*(1+INDEX($AF$21:$AF$97,F635))-1</f>
        <v>0.233030834478295</v>
      </c>
      <c r="P635" s="489">
        <f>LN((1+L635)/(1+H635))</f>
        <v>-0.00564725676831649</v>
      </c>
      <c r="Q635" s="489">
        <f>LN((1+M635)/(1+H635))</f>
        <v>0.0128803316690675</v>
      </c>
      <c r="R635" s="489">
        <f>LN((1+N635)/(1+H635))</f>
        <v>0.00111666037656528</v>
      </c>
      <c r="S635" s="542">
        <f>LN((1+O635)/(1+H635))</f>
        <v>8.06372922242612e-05</v>
      </c>
    </row>
    <row r="636">
      <c r="A636" s="320" t="n">
        <v>535</v>
      </c>
      <c r="B636" s="174" t="n">
        <v>60</v>
      </c>
      <c r="C636" s="174" t="n">
        <v>68</v>
      </c>
      <c r="D636" s="174" t="n">
        <v>23</v>
      </c>
      <c r="E636" s="174" t="n">
        <v>59</v>
      </c>
      <c r="F636" s="174" t="n">
        <v>21</v>
      </c>
      <c r="G636" s="68">
        <f>(1+INDEX($Z$21:$Z$97,B636))*(1+INDEX($Z$21:$Z$97,C636))*(1+INDEX($Z$21:$Z$97,D636))*(1+INDEX($Z$21:$Z$97,E636))*(1+INDEX($Z$21:$Z$97,F636))-1</f>
        <v>0.791453768469008</v>
      </c>
      <c r="H636" s="68">
        <f>(1+INDEX($AA$21:$AA$97,B636))*(1+INDEX($AA$21:$AA$97,C636))*(1+INDEX($AA$21:$AA$97,D636))*(1+INDEX($AA$21:$AA$97,E636))*(1+INDEX($AA$21:$AA$97,F636))-1</f>
        <v>0.786192761745268</v>
      </c>
      <c r="I636" s="68">
        <f>(1+INDEX($AB$21:$AB$97,B636))*(1+INDEX($AB$21:$AB$97,C636))*(1+INDEX($AB$21:$AB$97,D636))*(1+INDEX($AB$21:$AB$97,E636))*(1+INDEX($AB$21:$AB$97,F636))-1</f>
        <v>0.811083358043068</v>
      </c>
      <c r="J636" s="489">
        <f>LN((1+G636)/(1+H636))</f>
        <v>0.00294104544510348</v>
      </c>
      <c r="K636" s="489">
        <f>LN((1+I636)/(1+H636))</f>
        <v>0.0138388006401669</v>
      </c>
      <c r="L636" s="489">
        <f>(1+INDEX($AC$21:$AC$97,B636))*(1+INDEX($AC$21:$AC$97,C636))*(1+INDEX($AC$21:$AC$97,D636))*(1+INDEX($AC$21:$AC$97,E636))*(1+INDEX($AC$21:$AC$97,F636))-1</f>
        <v>0.856872202796976</v>
      </c>
      <c r="M636" s="489">
        <f>(1+INDEX($AD$21:$AD$97,B636))*(1+INDEX($AD$21:$AD$97,C636))*(1+INDEX($AD$21:$AD$97,D636))*(1+INDEX($AD$21:$AD$97,E636))*(1+INDEX($AD$21:$AD$97,F636))-1</f>
        <v>0.766218984809693</v>
      </c>
      <c r="N636" s="489">
        <f>(1+INDEX($AE$21:$AE$97,B636))*(1+INDEX($AE$21:$AE$97,C636))*(1+INDEX($AE$21:$AE$97,D636))*(1+INDEX($AE$21:$AE$97,E636))*(1+INDEX($AE$21:$AE$97,F636))-1</f>
        <v>0.879927012301576</v>
      </c>
      <c r="O636" s="489">
        <f>(1+INDEX($AF$21:$AF$97,B636))*(1+INDEX($AF$21:$AF$97,C636))*(1+INDEX($AF$21:$AF$97,D636))*(1+INDEX($AF$21:$AF$97,E636))*(1+INDEX($AF$21:$AF$97,F636))-1</f>
        <v>0.702494004733432</v>
      </c>
      <c r="P636" s="489">
        <f>LN((1+L636)/(1+H636))</f>
        <v>0.0388070548910679</v>
      </c>
      <c r="Q636" s="489">
        <f>LN((1+M636)/(1+H636))</f>
        <v>-0.0112453109861822</v>
      </c>
      <c r="R636" s="489">
        <f>LN((1+N636)/(1+H636))</f>
        <v>0.0511465469053546</v>
      </c>
      <c r="S636" s="542">
        <f>LN((1+O636)/(1+H636))</f>
        <v>-0.0479921683524809</v>
      </c>
    </row>
    <row r="637">
      <c r="A637" s="320" t="n">
        <v>536</v>
      </c>
      <c r="B637" s="174" t="n">
        <v>68</v>
      </c>
      <c r="C637" s="174" t="n">
        <v>9</v>
      </c>
      <c r="D637" s="174" t="n">
        <v>56</v>
      </c>
      <c r="E637" s="174" t="n">
        <v>35</v>
      </c>
      <c r="F637" s="174" t="n">
        <v>60</v>
      </c>
      <c r="G637" s="68">
        <f>(1+INDEX($Z$21:$Z$97,B637))*(1+INDEX($Z$21:$Z$97,C637))*(1+INDEX($Z$21:$Z$97,D637))*(1+INDEX($Z$21:$Z$97,E637))*(1+INDEX($Z$21:$Z$97,F637))-1</f>
        <v>0.201545362887485</v>
      </c>
      <c r="H637" s="68">
        <f>(1+INDEX($AA$21:$AA$97,B637))*(1+INDEX($AA$21:$AA$97,C637))*(1+INDEX($AA$21:$AA$97,D637))*(1+INDEX($AA$21:$AA$97,E637))*(1+INDEX($AA$21:$AA$97,F637))-1</f>
        <v>0.260566269533238</v>
      </c>
      <c r="I637" s="68">
        <f>(1+INDEX($AB$21:$AB$97,B637))*(1+INDEX($AB$21:$AB$97,C637))*(1+INDEX($AB$21:$AB$97,D637))*(1+INDEX($AB$21:$AB$97,E637))*(1+INDEX($AB$21:$AB$97,F637))-1</f>
        <v>0.235105568265485</v>
      </c>
      <c r="J637" s="489">
        <f>LN((1+G637)/(1+H637))</f>
        <v>-0.0479525095749227</v>
      </c>
      <c r="K637" s="489">
        <f>LN((1+I637)/(1+H637))</f>
        <v>-0.0204045934652092</v>
      </c>
      <c r="L637" s="489">
        <f>(1+INDEX($AC$21:$AC$97,B637))*(1+INDEX($AC$21:$AC$97,C637))*(1+INDEX($AC$21:$AC$97,D637))*(1+INDEX($AC$21:$AC$97,E637))*(1+INDEX($AC$21:$AC$97,F637))-1</f>
        <v>0.237829306701181</v>
      </c>
      <c r="M637" s="489">
        <f>(1+INDEX($AD$21:$AD$97,B637))*(1+INDEX($AD$21:$AD$97,C637))*(1+INDEX($AD$21:$AD$97,D637))*(1+INDEX($AD$21:$AD$97,E637))*(1+INDEX($AD$21:$AD$97,F637))-1</f>
        <v>0.25470206866076</v>
      </c>
      <c r="N637" s="489">
        <f>(1+INDEX($AE$21:$AE$97,B637))*(1+INDEX($AE$21:$AE$97,C637))*(1+INDEX($AE$21:$AE$97,D637))*(1+INDEX($AE$21:$AE$97,E637))*(1+INDEX($AE$21:$AE$97,F637))-1</f>
        <v>0.253631723336358</v>
      </c>
      <c r="O637" s="489">
        <f>(1+INDEX($AF$21:$AF$97,B637))*(1+INDEX($AF$21:$AF$97,C637))*(1+INDEX($AF$21:$AF$97,D637))*(1+INDEX($AF$21:$AF$97,E637))*(1+INDEX($AF$21:$AF$97,F637))-1</f>
        <v>0.26417146736626</v>
      </c>
      <c r="P637" s="489">
        <f>LN((1+L637)/(1+H637))</f>
        <v>-0.0182017537829519</v>
      </c>
      <c r="Q637" s="489">
        <f>LN((1+M637)/(1+H637))</f>
        <v>-0.00466289135727815</v>
      </c>
      <c r="R637" s="489">
        <f>LN((1+N637)/(1+H637))</f>
        <v>-0.00551632274091802</v>
      </c>
      <c r="S637" s="542">
        <f>LN((1+O637)/(1+H637))</f>
        <v>0.00285590081751059</v>
      </c>
    </row>
    <row r="638">
      <c r="A638" s="320" t="n">
        <v>537</v>
      </c>
      <c r="B638" s="174" t="n">
        <v>55</v>
      </c>
      <c r="C638" s="174" t="n">
        <v>36</v>
      </c>
      <c r="D638" s="174" t="n">
        <v>59</v>
      </c>
      <c r="E638" s="174" t="n">
        <v>65</v>
      </c>
      <c r="F638" s="174" t="n">
        <v>13</v>
      </c>
      <c r="G638" s="68">
        <f>(1+INDEX($Z$21:$Z$97,B638))*(1+INDEX($Z$21:$Z$97,C638))*(1+INDEX($Z$21:$Z$97,D638))*(1+INDEX($Z$21:$Z$97,E638))*(1+INDEX($Z$21:$Z$97,F638))-1</f>
        <v>0.514491184191245</v>
      </c>
      <c r="H638" s="68">
        <f>(1+INDEX($AA$21:$AA$97,B638))*(1+INDEX($AA$21:$AA$97,C638))*(1+INDEX($AA$21:$AA$97,D638))*(1+INDEX($AA$21:$AA$97,E638))*(1+INDEX($AA$21:$AA$97,F638))-1</f>
        <v>0.467490138159962</v>
      </c>
      <c r="I638" s="68">
        <f>(1+INDEX($AB$21:$AB$97,B638))*(1+INDEX($AB$21:$AB$97,C638))*(1+INDEX($AB$21:$AB$97,D638))*(1+INDEX($AB$21:$AB$97,E638))*(1+INDEX($AB$21:$AB$97,F638))-1</f>
        <v>0.493985830978344</v>
      </c>
      <c r="J638" s="489">
        <f>LN((1+G638)/(1+H638))</f>
        <v>0.031525977997467</v>
      </c>
      <c r="K638" s="489">
        <f>LN((1+I638)/(1+H638))</f>
        <v>0.0178940501814497</v>
      </c>
      <c r="L638" s="489">
        <f>(1+INDEX($AC$21:$AC$97,B638))*(1+INDEX($AC$21:$AC$97,C638))*(1+INDEX($AC$21:$AC$97,D638))*(1+INDEX($AC$21:$AC$97,E638))*(1+INDEX($AC$21:$AC$97,F638))-1</f>
        <v>0.508749534700944</v>
      </c>
      <c r="M638" s="489">
        <f>(1+INDEX($AD$21:$AD$97,B638))*(1+INDEX($AD$21:$AD$97,C638))*(1+INDEX($AD$21:$AD$97,D638))*(1+INDEX($AD$21:$AD$97,E638))*(1+INDEX($AD$21:$AD$97,F638))-1</f>
        <v>0.491141855716865</v>
      </c>
      <c r="N638" s="489">
        <f>(1+INDEX($AE$21:$AE$97,B638))*(1+INDEX($AE$21:$AE$97,C638))*(1+INDEX($AE$21:$AE$97,D638))*(1+INDEX($AE$21:$AE$97,E638))*(1+INDEX($AE$21:$AE$97,F638))-1</f>
        <v>0.514772808083446</v>
      </c>
      <c r="O638" s="489">
        <f>(1+INDEX($AF$21:$AF$97,B638))*(1+INDEX($AF$21:$AF$97,C638))*(1+INDEX($AF$21:$AF$97,D638))*(1+INDEX($AF$21:$AF$97,E638))*(1+INDEX($AF$21:$AF$97,F638))-1</f>
        <v>0.464068872721077</v>
      </c>
      <c r="P638" s="489">
        <f>LN((1+L638)/(1+H638))</f>
        <v>0.0277276324952233</v>
      </c>
      <c r="Q638" s="489">
        <f>LN((1+M638)/(1+H638))</f>
        <v>0.0159886200488531</v>
      </c>
      <c r="R638" s="489">
        <f>LN((1+N638)/(1+H638))</f>
        <v>0.0317119135209016</v>
      </c>
      <c r="S638" s="542">
        <f>LN((1+O638)/(1+H638))</f>
        <v>-0.00233409389300302</v>
      </c>
    </row>
    <row r="639">
      <c r="A639" s="320" t="n">
        <v>538</v>
      </c>
      <c r="B639" s="174" t="n">
        <v>24</v>
      </c>
      <c r="C639" s="174" t="n">
        <v>76</v>
      </c>
      <c r="D639" s="174" t="n">
        <v>69</v>
      </c>
      <c r="E639" s="174" t="n">
        <v>8</v>
      </c>
      <c r="F639" s="174" t="n">
        <v>1</v>
      </c>
      <c r="G639" s="68">
        <f>(1+INDEX($Z$21:$Z$97,B639))*(1+INDEX($Z$21:$Z$97,C639))*(1+INDEX($Z$21:$Z$97,D639))*(1+INDEX($Z$21:$Z$97,E639))*(1+INDEX($Z$21:$Z$97,F639))-1</f>
        <v>0.230823057341085</v>
      </c>
      <c r="H639" s="68">
        <f>(1+INDEX($AA$21:$AA$97,B639))*(1+INDEX($AA$21:$AA$97,C639))*(1+INDEX($AA$21:$AA$97,D639))*(1+INDEX($AA$21:$AA$97,E639))*(1+INDEX($AA$21:$AA$97,F639))-1</f>
        <v>0.223611832019953</v>
      </c>
      <c r="I639" s="68">
        <f>(1+INDEX($AB$21:$AB$97,B639))*(1+INDEX($AB$21:$AB$97,C639))*(1+INDEX($AB$21:$AB$97,D639))*(1+INDEX($AB$21:$AB$97,E639))*(1+INDEX($AB$21:$AB$97,F639))-1</f>
        <v>0.207233557502805</v>
      </c>
      <c r="J639" s="489">
        <f>LN((1+G639)/(1+H639))</f>
        <v>0.00587609482066249</v>
      </c>
      <c r="K639" s="489">
        <f>LN((1+I639)/(1+H639))</f>
        <v>-0.013475577206878</v>
      </c>
      <c r="L639" s="489">
        <f>(1+INDEX($AC$21:$AC$97,B639))*(1+INDEX($AC$21:$AC$97,C639))*(1+INDEX($AC$21:$AC$97,D639))*(1+INDEX($AC$21:$AC$97,E639))*(1+INDEX($AC$21:$AC$97,F639))-1</f>
        <v>0.191526679268151</v>
      </c>
      <c r="M639" s="489">
        <f>(1+INDEX($AD$21:$AD$97,B639))*(1+INDEX($AD$21:$AD$97,C639))*(1+INDEX($AD$21:$AD$97,D639))*(1+INDEX($AD$21:$AD$97,E639))*(1+INDEX($AD$21:$AD$97,F639))-1</f>
        <v>0.225082993994016</v>
      </c>
      <c r="N639" s="489">
        <f>(1+INDEX($AE$21:$AE$97,B639))*(1+INDEX($AE$21:$AE$97,C639))*(1+INDEX($AE$21:$AE$97,D639))*(1+INDEX($AE$21:$AE$97,E639))*(1+INDEX($AE$21:$AE$97,F639))-1</f>
        <v>0.196052180811641</v>
      </c>
      <c r="O639" s="489">
        <f>(1+INDEX($AF$21:$AF$97,B639))*(1+INDEX($AF$21:$AF$97,C639))*(1+INDEX($AF$21:$AF$97,D639))*(1+INDEX($AF$21:$AF$97,E639))*(1+INDEX($AF$21:$AF$97,F639))-1</f>
        <v>0.250064050640769</v>
      </c>
      <c r="P639" s="489">
        <f>LN((1+L639)/(1+H639))</f>
        <v>-0.0265715944562245</v>
      </c>
      <c r="Q639" s="489">
        <f>LN((1+M639)/(1+H639))</f>
        <v>0.00120158881003989</v>
      </c>
      <c r="R639" s="489">
        <f>LN((1+N639)/(1+H639))</f>
        <v>-0.0227807190730317</v>
      </c>
      <c r="S639" s="542">
        <f>LN((1+O639)/(1+H639))</f>
        <v>0.0213877874231682</v>
      </c>
    </row>
    <row r="640">
      <c r="A640" s="320" t="n">
        <v>539</v>
      </c>
      <c r="B640" s="174" t="n">
        <v>74</v>
      </c>
      <c r="C640" s="174" t="n">
        <v>21</v>
      </c>
      <c r="D640" s="174" t="n">
        <v>43</v>
      </c>
      <c r="E640" s="174" t="n">
        <v>20</v>
      </c>
      <c r="F640" s="174" t="n">
        <v>74</v>
      </c>
      <c r="G640" s="68">
        <f>(1+INDEX($Z$21:$Z$97,B640))*(1+INDEX($Z$21:$Z$97,C640))*(1+INDEX($Z$21:$Z$97,D640))*(1+INDEX($Z$21:$Z$97,E640))*(1+INDEX($Z$21:$Z$97,F640))-1</f>
        <v>0.281529074140369</v>
      </c>
      <c r="H640" s="68">
        <f>(1+INDEX($AA$21:$AA$97,B640))*(1+INDEX($AA$21:$AA$97,C640))*(1+INDEX($AA$21:$AA$97,D640))*(1+INDEX($AA$21:$AA$97,E640))*(1+INDEX($AA$21:$AA$97,F640))-1</f>
        <v>0.287510593088927</v>
      </c>
      <c r="I640" s="68">
        <f>(1+INDEX($AB$21:$AB$97,B640))*(1+INDEX($AB$21:$AB$97,C640))*(1+INDEX($AB$21:$AB$97,D640))*(1+INDEX($AB$21:$AB$97,E640))*(1+INDEX($AB$21:$AB$97,F640))-1</f>
        <v>0.299839480413972</v>
      </c>
      <c r="J640" s="489">
        <f>LN((1+G640)/(1+H640))</f>
        <v>-0.00465662701401411</v>
      </c>
      <c r="K640" s="489">
        <f>LN((1+I640)/(1+H640))</f>
        <v>0.00953019907519813</v>
      </c>
      <c r="L640" s="489">
        <f>(1+INDEX($AC$21:$AC$97,B640))*(1+INDEX($AC$21:$AC$97,C640))*(1+INDEX($AC$21:$AC$97,D640))*(1+INDEX($AC$21:$AC$97,E640))*(1+INDEX($AC$21:$AC$97,F640))-1</f>
        <v>0.275880752061361</v>
      </c>
      <c r="M640" s="489">
        <f>(1+INDEX($AD$21:$AD$97,B640))*(1+INDEX($AD$21:$AD$97,C640))*(1+INDEX($AD$21:$AD$97,D640))*(1+INDEX($AD$21:$AD$97,E640))*(1+INDEX($AD$21:$AD$97,F640))-1</f>
        <v>0.303961597958424</v>
      </c>
      <c r="N640" s="489">
        <f>(1+INDEX($AE$21:$AE$97,B640))*(1+INDEX($AE$21:$AE$97,C640))*(1+INDEX($AE$21:$AE$97,D640))*(1+INDEX($AE$21:$AE$97,E640))*(1+INDEX($AE$21:$AE$97,F640))-1</f>
        <v>0.276107178933103</v>
      </c>
      <c r="O640" s="489">
        <f>(1+INDEX($AF$21:$AF$97,B640))*(1+INDEX($AF$21:$AF$97,C640))*(1+INDEX($AF$21:$AF$97,D640))*(1+INDEX($AF$21:$AF$97,E640))*(1+INDEX($AF$21:$AF$97,F640))-1</f>
        <v>0.305807529463838</v>
      </c>
      <c r="P640" s="489">
        <f>LN((1+L640)/(1+H640))</f>
        <v>-0.00907385510570448</v>
      </c>
      <c r="Q640" s="489">
        <f>LN((1+M640)/(1+H640))</f>
        <v>0.0126964324886395</v>
      </c>
      <c r="R640" s="489">
        <f>LN((1+N640)/(1+H640))</f>
        <v>-0.00889640373958583</v>
      </c>
      <c r="S640" s="542">
        <f>LN((1+O640)/(1+H640))</f>
        <v>0.0141110647592528</v>
      </c>
    </row>
    <row r="641">
      <c r="A641" s="320" t="n">
        <v>540</v>
      </c>
      <c r="B641" s="174" t="n">
        <v>10</v>
      </c>
      <c r="C641" s="174" t="n">
        <v>53</v>
      </c>
      <c r="D641" s="174" t="n">
        <v>53</v>
      </c>
      <c r="E641" s="174" t="n">
        <v>18</v>
      </c>
      <c r="F641" s="174" t="n">
        <v>64</v>
      </c>
      <c r="G641" s="68">
        <f>(1+INDEX($Z$21:$Z$97,B641))*(1+INDEX($Z$21:$Z$97,C641))*(1+INDEX($Z$21:$Z$97,D641))*(1+INDEX($Z$21:$Z$97,E641))*(1+INDEX($Z$21:$Z$97,F641))-1</f>
        <v>-0.209736317266083</v>
      </c>
      <c r="H641" s="68">
        <f>(1+INDEX($AA$21:$AA$97,B641))*(1+INDEX($AA$21:$AA$97,C641))*(1+INDEX($AA$21:$AA$97,D641))*(1+INDEX($AA$21:$AA$97,E641))*(1+INDEX($AA$21:$AA$97,F641))-1</f>
        <v>-0.156857255794237</v>
      </c>
      <c r="I641" s="68">
        <f>(1+INDEX($AB$21:$AB$97,B641))*(1+INDEX($AB$21:$AB$97,C641))*(1+INDEX($AB$21:$AB$97,D641))*(1+INDEX($AB$21:$AB$97,E641))*(1+INDEX($AB$21:$AB$97,F641))-1</f>
        <v>-0.204435754594313</v>
      </c>
      <c r="J641" s="489">
        <f>LN((1+G641)/(1+H641))</f>
        <v>-0.0647696071168741</v>
      </c>
      <c r="K641" s="489">
        <f>LN((1+I641)/(1+H641))</f>
        <v>-0.058084666945015</v>
      </c>
      <c r="L641" s="489">
        <f>(1+INDEX($AC$21:$AC$97,B641))*(1+INDEX($AC$21:$AC$97,C641))*(1+INDEX($AC$21:$AC$97,D641))*(1+INDEX($AC$21:$AC$97,E641))*(1+INDEX($AC$21:$AC$97,F641))-1</f>
        <v>-0.211432913732241</v>
      </c>
      <c r="M641" s="489">
        <f>(1+INDEX($AD$21:$AD$97,B641))*(1+INDEX($AD$21:$AD$97,C641))*(1+INDEX($AD$21:$AD$97,D641))*(1+INDEX($AD$21:$AD$97,E641))*(1+INDEX($AD$21:$AD$97,F641))-1</f>
        <v>-0.18518991905228</v>
      </c>
      <c r="N641" s="489">
        <f>(1+INDEX($AE$21:$AE$97,B641))*(1+INDEX($AE$21:$AE$97,C641))*(1+INDEX($AE$21:$AE$97,D641))*(1+INDEX($AE$21:$AE$97,E641))*(1+INDEX($AE$21:$AE$97,F641))-1</f>
        <v>-0.208035148084698</v>
      </c>
      <c r="O641" s="489">
        <f>(1+INDEX($AF$21:$AF$97,B641))*(1+INDEX($AF$21:$AF$97,C641))*(1+INDEX($AF$21:$AF$97,D641))*(1+INDEX($AF$21:$AF$97,E641))*(1+INDEX($AF$21:$AF$97,F641))-1</f>
        <v>-0.135771148415329</v>
      </c>
      <c r="P641" s="489">
        <f>LN((1+L641)/(1+H641))</f>
        <v>-0.0669187888436486</v>
      </c>
      <c r="Q641" s="489">
        <f>LN((1+M641)/(1+H641))</f>
        <v>-0.0341812159265395</v>
      </c>
      <c r="R641" s="489">
        <f>LN((1+N641)/(1+H641))</f>
        <v>-0.0626192605649734</v>
      </c>
      <c r="S641" s="542">
        <f>LN((1+O641)/(1+H641))</f>
        <v>0.0247013357504821</v>
      </c>
    </row>
    <row r="642">
      <c r="A642" s="320" t="n">
        <v>541</v>
      </c>
      <c r="B642" s="174" t="n">
        <v>20</v>
      </c>
      <c r="C642" s="174" t="n">
        <v>59</v>
      </c>
      <c r="D642" s="174" t="n">
        <v>46</v>
      </c>
      <c r="E642" s="174" t="n">
        <v>2</v>
      </c>
      <c r="F642" s="174" t="n">
        <v>4</v>
      </c>
      <c r="G642" s="68">
        <f>(1+INDEX($Z$21:$Z$97,B642))*(1+INDEX($Z$21:$Z$97,C642))*(1+INDEX($Z$21:$Z$97,D642))*(1+INDEX($Z$21:$Z$97,E642))*(1+INDEX($Z$21:$Z$97,F642))-1</f>
        <v>0.554219875610109</v>
      </c>
      <c r="H642" s="68">
        <f>(1+INDEX($AA$21:$AA$97,B642))*(1+INDEX($AA$21:$AA$97,C642))*(1+INDEX($AA$21:$AA$97,D642))*(1+INDEX($AA$21:$AA$97,E642))*(1+INDEX($AA$21:$AA$97,F642))-1</f>
        <v>0.512916348826731</v>
      </c>
      <c r="I642" s="68">
        <f>(1+INDEX($AB$21:$AB$97,B642))*(1+INDEX($AB$21:$AB$97,C642))*(1+INDEX($AB$21:$AB$97,D642))*(1+INDEX($AB$21:$AB$97,E642))*(1+INDEX($AB$21:$AB$97,F642))-1</f>
        <v>0.513692121636938</v>
      </c>
      <c r="J642" s="489">
        <f>LN((1+G642)/(1+H642))</f>
        <v>0.0269345870392262</v>
      </c>
      <c r="K642" s="489">
        <f>LN((1+I642)/(1+H642))</f>
        <v>0.000512635073063881</v>
      </c>
      <c r="L642" s="489">
        <f>(1+INDEX($AC$21:$AC$97,B642))*(1+INDEX($AC$21:$AC$97,C642))*(1+INDEX($AC$21:$AC$97,D642))*(1+INDEX($AC$21:$AC$97,E642))*(1+INDEX($AC$21:$AC$97,F642))-1</f>
        <v>0.527821031795045</v>
      </c>
      <c r="M642" s="489">
        <f>(1+INDEX($AD$21:$AD$97,B642))*(1+INDEX($AD$21:$AD$97,C642))*(1+INDEX($AD$21:$AD$97,D642))*(1+INDEX($AD$21:$AD$97,E642))*(1+INDEX($AD$21:$AD$97,F642))-1</f>
        <v>0.488150744203559</v>
      </c>
      <c r="N642" s="489">
        <f>(1+INDEX($AE$21:$AE$97,B642))*(1+INDEX($AE$21:$AE$97,C642))*(1+INDEX($AE$21:$AE$97,D642))*(1+INDEX($AE$21:$AE$97,E642))*(1+INDEX($AE$21:$AE$97,F642))-1</f>
        <v>0.525817269849329</v>
      </c>
      <c r="O642" s="489">
        <f>(1+INDEX($AF$21:$AF$97,B642))*(1+INDEX($AF$21:$AF$97,C642))*(1+INDEX($AF$21:$AF$97,D642))*(1+INDEX($AF$21:$AF$97,E642))*(1+INDEX($AF$21:$AF$97,F642))-1</f>
        <v>0.494982422061083</v>
      </c>
      <c r="P642" s="489">
        <f>LN((1+L642)/(1+H642))</f>
        <v>0.00980341310193987</v>
      </c>
      <c r="Q642" s="489">
        <f>LN((1+M642)/(1+H642))</f>
        <v>-0.0165049071258978</v>
      </c>
      <c r="R642" s="489">
        <f>LN((1+N642)/(1+H642))</f>
        <v>0.00849103616965378</v>
      </c>
      <c r="S642" s="542">
        <f>LN((1+O642)/(1+H642))</f>
        <v>-0.0119246960391929</v>
      </c>
    </row>
    <row r="643">
      <c r="A643" s="320" t="n">
        <v>542</v>
      </c>
      <c r="B643" s="174" t="n">
        <v>23</v>
      </c>
      <c r="C643" s="174" t="n">
        <v>38</v>
      </c>
      <c r="D643" s="174" t="n">
        <v>54</v>
      </c>
      <c r="E643" s="174" t="n">
        <v>73</v>
      </c>
      <c r="F643" s="174" t="n">
        <v>25</v>
      </c>
      <c r="G643" s="68">
        <f>(1+INDEX($Z$21:$Z$97,B643))*(1+INDEX($Z$21:$Z$97,C643))*(1+INDEX($Z$21:$Z$97,D643))*(1+INDEX($Z$21:$Z$97,E643))*(1+INDEX($Z$21:$Z$97,F643))-1</f>
        <v>0.375878924529044</v>
      </c>
      <c r="H643" s="68">
        <f>(1+INDEX($AA$21:$AA$97,B643))*(1+INDEX($AA$21:$AA$97,C643))*(1+INDEX($AA$21:$AA$97,D643))*(1+INDEX($AA$21:$AA$97,E643))*(1+INDEX($AA$21:$AA$97,F643))-1</f>
        <v>0.323662627287928</v>
      </c>
      <c r="I643" s="68">
        <f>(1+INDEX($AB$21:$AB$97,B643))*(1+INDEX($AB$21:$AB$97,C643))*(1+INDEX($AB$21:$AB$97,D643))*(1+INDEX($AB$21:$AB$97,E643))*(1+INDEX($AB$21:$AB$97,F643))-1</f>
        <v>0.36707507574916</v>
      </c>
      <c r="J643" s="489">
        <f>LN((1+G643)/(1+H643))</f>
        <v>0.0386901329273665</v>
      </c>
      <c r="K643" s="489">
        <f>LN((1+I643)/(1+H643))</f>
        <v>0.0322708644958443</v>
      </c>
      <c r="L643" s="489">
        <f>(1+INDEX($AC$21:$AC$97,B643))*(1+INDEX($AC$21:$AC$97,C643))*(1+INDEX($AC$21:$AC$97,D643))*(1+INDEX($AC$21:$AC$97,E643))*(1+INDEX($AC$21:$AC$97,F643))-1</f>
        <v>0.338884657955429</v>
      </c>
      <c r="M643" s="489">
        <f>(1+INDEX($AD$21:$AD$97,B643))*(1+INDEX($AD$21:$AD$97,C643))*(1+INDEX($AD$21:$AD$97,D643))*(1+INDEX($AD$21:$AD$97,E643))*(1+INDEX($AD$21:$AD$97,F643))-1</f>
        <v>0.385474724222352</v>
      </c>
      <c r="N643" s="489">
        <f>(1+INDEX($AE$21:$AE$97,B643))*(1+INDEX($AE$21:$AE$97,C643))*(1+INDEX($AE$21:$AE$97,D643))*(1+INDEX($AE$21:$AE$97,E643))*(1+INDEX($AE$21:$AE$97,F643))-1</f>
        <v>0.32718802935598</v>
      </c>
      <c r="O643" s="489">
        <f>(1+INDEX($AF$21:$AF$97,B643))*(1+INDEX($AF$21:$AF$97,C643))*(1+INDEX($AF$21:$AF$97,D643))*(1+INDEX($AF$21:$AF$97,E643))*(1+INDEX($AF$21:$AF$97,F643))-1</f>
        <v>0.363468016130736</v>
      </c>
      <c r="P643" s="489">
        <f>LN((1+L643)/(1+H643))</f>
        <v>0.0114343107443927</v>
      </c>
      <c r="Q643" s="489">
        <f>LN((1+M643)/(1+H643))</f>
        <v>0.0456402302637152</v>
      </c>
      <c r="R643" s="489">
        <f>LN((1+N643)/(1+H643))</f>
        <v>0.00265982856306334</v>
      </c>
      <c r="S643" s="542">
        <f>LN((1+O643)/(1+H643))</f>
        <v>0.0296288540274338</v>
      </c>
    </row>
    <row r="644">
      <c r="A644" s="320" t="n">
        <v>543</v>
      </c>
      <c r="B644" s="174" t="n">
        <v>4</v>
      </c>
      <c r="C644" s="174" t="n">
        <v>75</v>
      </c>
      <c r="D644" s="174" t="n">
        <v>38</v>
      </c>
      <c r="E644" s="174" t="n">
        <v>21</v>
      </c>
      <c r="F644" s="174" t="n">
        <v>22</v>
      </c>
      <c r="G644" s="68">
        <f>(1+INDEX($Z$21:$Z$97,B644))*(1+INDEX($Z$21:$Z$97,C644))*(1+INDEX($Z$21:$Z$97,D644))*(1+INDEX($Z$21:$Z$97,E644))*(1+INDEX($Z$21:$Z$97,F644))-1</f>
        <v>0.240081548128991</v>
      </c>
      <c r="H644" s="68">
        <f>(1+INDEX($AA$21:$AA$97,B644))*(1+INDEX($AA$21:$AA$97,C644))*(1+INDEX($AA$21:$AA$97,D644))*(1+INDEX($AA$21:$AA$97,E644))*(1+INDEX($AA$21:$AA$97,F644))-1</f>
        <v>0.241457534464819</v>
      </c>
      <c r="I644" s="68">
        <f>(1+INDEX($AB$21:$AB$97,B644))*(1+INDEX($AB$21:$AB$97,C644))*(1+INDEX($AB$21:$AB$97,D644))*(1+INDEX($AB$21:$AB$97,E644))*(1+INDEX($AB$21:$AB$97,F644))-1</f>
        <v>0.241295957664696</v>
      </c>
      <c r="J644" s="489">
        <f>LN((1+G644)/(1+H644))</f>
        <v>-0.00110897828408048</v>
      </c>
      <c r="K644" s="489">
        <f>LN((1+I644)/(1+H644))</f>
        <v>-0.000130159358038056</v>
      </c>
      <c r="L644" s="489">
        <f>(1+INDEX($AC$21:$AC$97,B644))*(1+INDEX($AC$21:$AC$97,C644))*(1+INDEX($AC$21:$AC$97,D644))*(1+INDEX($AC$21:$AC$97,E644))*(1+INDEX($AC$21:$AC$97,F644))-1</f>
        <v>0.223596022611631</v>
      </c>
      <c r="M644" s="489">
        <f>(1+INDEX($AD$21:$AD$97,B644))*(1+INDEX($AD$21:$AD$97,C644))*(1+INDEX($AD$21:$AD$97,D644))*(1+INDEX($AD$21:$AD$97,E644))*(1+INDEX($AD$21:$AD$97,F644))-1</f>
        <v>0.249293114409811</v>
      </c>
      <c r="N644" s="489">
        <f>(1+INDEX($AE$21:$AE$97,B644))*(1+INDEX($AE$21:$AE$97,C644))*(1+INDEX($AE$21:$AE$97,D644))*(1+INDEX($AE$21:$AE$97,E644))*(1+INDEX($AE$21:$AE$97,F644))-1</f>
        <v>0.211273747375534</v>
      </c>
      <c r="O644" s="489">
        <f>(1+INDEX($AF$21:$AF$97,B644))*(1+INDEX($AF$21:$AF$97,C644))*(1+INDEX($AF$21:$AF$97,D644))*(1+INDEX($AF$21:$AF$97,E644))*(1+INDEX($AF$21:$AF$97,F644))-1</f>
        <v>0.253588674644246</v>
      </c>
      <c r="P644" s="489">
        <f>LN((1+L644)/(1+H644))</f>
        <v>-0.014492037632031</v>
      </c>
      <c r="Q644" s="489">
        <f>LN((1+M644)/(1+H644))</f>
        <v>0.00629176252305162</v>
      </c>
      <c r="R644" s="489">
        <f>LN((1+N644)/(1+H644))</f>
        <v>-0.0246136306517364</v>
      </c>
      <c r="S644" s="542">
        <f>LN((1+O644)/(1+H644))</f>
        <v>0.00972425739416519</v>
      </c>
    </row>
    <row r="645">
      <c r="A645" s="320" t="n">
        <v>544</v>
      </c>
      <c r="B645" s="174" t="n">
        <v>55</v>
      </c>
      <c r="C645" s="174" t="n">
        <v>11</v>
      </c>
      <c r="D645" s="174" t="n">
        <v>65</v>
      </c>
      <c r="E645" s="174" t="n">
        <v>48</v>
      </c>
      <c r="F645" s="174" t="n">
        <v>19</v>
      </c>
      <c r="G645" s="68">
        <f>(1+INDEX($Z$21:$Z$97,B645))*(1+INDEX($Z$21:$Z$97,C645))*(1+INDEX($Z$21:$Z$97,D645))*(1+INDEX($Z$21:$Z$97,E645))*(1+INDEX($Z$21:$Z$97,F645))-1</f>
        <v>-0.0797741755067443</v>
      </c>
      <c r="H645" s="68">
        <f>(1+INDEX($AA$21:$AA$97,B645))*(1+INDEX($AA$21:$AA$97,C645))*(1+INDEX($AA$21:$AA$97,D645))*(1+INDEX($AA$21:$AA$97,E645))*(1+INDEX($AA$21:$AA$97,F645))-1</f>
        <v>-0.0679190303790398</v>
      </c>
      <c r="I645" s="68">
        <f>(1+INDEX($AB$21:$AB$97,B645))*(1+INDEX($AB$21:$AB$97,C645))*(1+INDEX($AB$21:$AB$97,D645))*(1+INDEX($AB$21:$AB$97,E645))*(1+INDEX($AB$21:$AB$97,F645))-1</f>
        <v>-0.0912981481309252</v>
      </c>
      <c r="J645" s="489">
        <f>LN((1+G645)/(1+H645))</f>
        <v>-0.0128005868596108</v>
      </c>
      <c r="K645" s="489">
        <f>LN((1+I645)/(1+H645))</f>
        <v>-0.0254026435561697</v>
      </c>
      <c r="L645" s="489">
        <f>(1+INDEX($AC$21:$AC$97,B645))*(1+INDEX($AC$21:$AC$97,C645))*(1+INDEX($AC$21:$AC$97,D645))*(1+INDEX($AC$21:$AC$97,E645))*(1+INDEX($AC$21:$AC$97,F645))-1</f>
        <v>-0.111862091638029</v>
      </c>
      <c r="M645" s="489">
        <f>(1+INDEX($AD$21:$AD$97,B645))*(1+INDEX($AD$21:$AD$97,C645))*(1+INDEX($AD$21:$AD$97,D645))*(1+INDEX($AD$21:$AD$97,E645))*(1+INDEX($AD$21:$AD$97,F645))-1</f>
        <v>-0.0689774161549205</v>
      </c>
      <c r="N645" s="489">
        <f>(1+INDEX($AE$21:$AE$97,B645))*(1+INDEX($AE$21:$AE$97,C645))*(1+INDEX($AE$21:$AE$97,D645))*(1+INDEX($AE$21:$AE$97,E645))*(1+INDEX($AE$21:$AE$97,F645))-1</f>
        <v>-0.113161162627691</v>
      </c>
      <c r="O645" s="489">
        <f>(1+INDEX($AF$21:$AF$97,B645))*(1+INDEX($AF$21:$AF$97,C645))*(1+INDEX($AF$21:$AF$97,D645))*(1+INDEX($AF$21:$AF$97,E645))*(1+INDEX($AF$21:$AF$97,F645))-1</f>
        <v>-0.0191604887353593</v>
      </c>
      <c r="P645" s="489">
        <f>LN((1+L645)/(1+H645))</f>
        <v>-0.0482926550442306</v>
      </c>
      <c r="Q645" s="489">
        <f>LN((1+M645)/(1+H645))</f>
        <v>-0.00113615358390864</v>
      </c>
      <c r="R645" s="489">
        <f>LN((1+N645)/(1+H645))</f>
        <v>-0.0497564164424948</v>
      </c>
      <c r="S645" s="542">
        <f>LN((1+O645)/(1+H645))</f>
        <v>0.0509891609143365</v>
      </c>
    </row>
    <row r="646">
      <c r="A646" s="320" t="n">
        <v>545</v>
      </c>
      <c r="B646" s="174" t="n">
        <v>29</v>
      </c>
      <c r="C646" s="174" t="n">
        <v>29</v>
      </c>
      <c r="D646" s="174" t="n">
        <v>13</v>
      </c>
      <c r="E646" s="174" t="n">
        <v>59</v>
      </c>
      <c r="F646" s="174" t="n">
        <v>60</v>
      </c>
      <c r="G646" s="68">
        <f>(1+INDEX($Z$21:$Z$97,B646))*(1+INDEX($Z$21:$Z$97,C646))*(1+INDEX($Z$21:$Z$97,D646))*(1+INDEX($Z$21:$Z$97,E646))*(1+INDEX($Z$21:$Z$97,F646))-1</f>
        <v>1.29320298731236</v>
      </c>
      <c r="H646" s="68">
        <f>(1+INDEX($AA$21:$AA$97,B646))*(1+INDEX($AA$21:$AA$97,C646))*(1+INDEX($AA$21:$AA$97,D646))*(1+INDEX($AA$21:$AA$97,E646))*(1+INDEX($AA$21:$AA$97,F646))-1</f>
        <v>1.22768305844687</v>
      </c>
      <c r="I646" s="68">
        <f>(1+INDEX($AB$21:$AB$97,B646))*(1+INDEX($AB$21:$AB$97,C646))*(1+INDEX($AB$21:$AB$97,D646))*(1+INDEX($AB$21:$AB$97,E646))*(1+INDEX($AB$21:$AB$97,F646))-1</f>
        <v>1.3227969098844</v>
      </c>
      <c r="J646" s="489">
        <f>LN((1+G646)/(1+H646))</f>
        <v>0.0289874666270425</v>
      </c>
      <c r="K646" s="489">
        <f>LN((1+I646)/(1+H646))</f>
        <v>0.0418099660670071</v>
      </c>
      <c r="L646" s="489">
        <f>(1+INDEX($AC$21:$AC$97,B646))*(1+INDEX($AC$21:$AC$97,C646))*(1+INDEX($AC$21:$AC$97,D646))*(1+INDEX($AC$21:$AC$97,E646))*(1+INDEX($AC$21:$AC$97,F646))-1</f>
        <v>1.42496029842709</v>
      </c>
      <c r="M646" s="489">
        <f>(1+INDEX($AD$21:$AD$97,B646))*(1+INDEX($AD$21:$AD$97,C646))*(1+INDEX($AD$21:$AD$97,D646))*(1+INDEX($AD$21:$AD$97,E646))*(1+INDEX($AD$21:$AD$97,F646))-1</f>
        <v>1.24277405424039</v>
      </c>
      <c r="N646" s="489">
        <f>(1+INDEX($AE$21:$AE$97,B646))*(1+INDEX($AE$21:$AE$97,C646))*(1+INDEX($AE$21:$AE$97,D646))*(1+INDEX($AE$21:$AE$97,E646))*(1+INDEX($AE$21:$AE$97,F646))-1</f>
        <v>1.43958652901012</v>
      </c>
      <c r="O646" s="489">
        <f>(1+INDEX($AF$21:$AF$97,B646))*(1+INDEX($AF$21:$AF$97,C646))*(1+INDEX($AF$21:$AF$97,D646))*(1+INDEX($AF$21:$AF$97,E646))*(1+INDEX($AF$21:$AF$97,F646))-1</f>
        <v>1.11005004444342</v>
      </c>
      <c r="P646" s="489">
        <f>LN((1+L646)/(1+H646))</f>
        <v>0.0848530943657116</v>
      </c>
      <c r="Q646" s="489">
        <f>LN((1+M646)/(1+H646))</f>
        <v>0.00675145862557941</v>
      </c>
      <c r="R646" s="489">
        <f>LN((1+N646)/(1+H646))</f>
        <v>0.0908665115151402</v>
      </c>
      <c r="S646" s="542">
        <f>LN((1+O646)/(1+H646))</f>
        <v>-0.0542503931546613</v>
      </c>
    </row>
    <row r="647">
      <c r="A647" s="320" t="n">
        <v>546</v>
      </c>
      <c r="B647" s="174" t="n">
        <v>26</v>
      </c>
      <c r="C647" s="174" t="n">
        <v>60</v>
      </c>
      <c r="D647" s="174" t="n">
        <v>18</v>
      </c>
      <c r="E647" s="174" t="n">
        <v>19</v>
      </c>
      <c r="F647" s="174" t="n">
        <v>42</v>
      </c>
      <c r="G647" s="68">
        <f>(1+INDEX($Z$21:$Z$97,B647))*(1+INDEX($Z$21:$Z$97,C647))*(1+INDEX($Z$21:$Z$97,D647))*(1+INDEX($Z$21:$Z$97,E647))*(1+INDEX($Z$21:$Z$97,F647))-1</f>
        <v>0.548461693713767</v>
      </c>
      <c r="H647" s="68">
        <f>(1+INDEX($AA$21:$AA$97,B647))*(1+INDEX($AA$21:$AA$97,C647))*(1+INDEX($AA$21:$AA$97,D647))*(1+INDEX($AA$21:$AA$97,E647))*(1+INDEX($AA$21:$AA$97,F647))-1</f>
        <v>0.516884327099529</v>
      </c>
      <c r="I647" s="68">
        <f>(1+INDEX($AB$21:$AB$97,B647))*(1+INDEX($AB$21:$AB$97,C647))*(1+INDEX($AB$21:$AB$97,D647))*(1+INDEX($AB$21:$AB$97,E647))*(1+INDEX($AB$21:$AB$97,F647))-1</f>
        <v>0.539280207436143</v>
      </c>
      <c r="J647" s="489">
        <f>LN((1+G647)/(1+H647))</f>
        <v>0.0206035360812532</v>
      </c>
      <c r="K647" s="489">
        <f>LN((1+I647)/(1+H647))</f>
        <v>0.0146564630212653</v>
      </c>
      <c r="L647" s="489">
        <f>(1+INDEX($AC$21:$AC$97,B647))*(1+INDEX($AC$21:$AC$97,C647))*(1+INDEX($AC$21:$AC$97,D647))*(1+INDEX($AC$21:$AC$97,E647))*(1+INDEX($AC$21:$AC$97,F647))-1</f>
        <v>0.54972446528099</v>
      </c>
      <c r="M647" s="489">
        <f>(1+INDEX($AD$21:$AD$97,B647))*(1+INDEX($AD$21:$AD$97,C647))*(1+INDEX($AD$21:$AD$97,D647))*(1+INDEX($AD$21:$AD$97,E647))*(1+INDEX($AD$21:$AD$97,F647))-1</f>
        <v>0.517097410044009</v>
      </c>
      <c r="N647" s="489">
        <f>(1+INDEX($AE$21:$AE$97,B647))*(1+INDEX($AE$21:$AE$97,C647))*(1+INDEX($AE$21:$AE$97,D647))*(1+INDEX($AE$21:$AE$97,E647))*(1+INDEX($AE$21:$AE$97,F647))-1</f>
        <v>0.566092794390003</v>
      </c>
      <c r="O647" s="489">
        <f>(1+INDEX($AF$21:$AF$97,B647))*(1+INDEX($AF$21:$AF$97,C647))*(1+INDEX($AF$21:$AF$97,D647))*(1+INDEX($AF$21:$AF$97,E647))*(1+INDEX($AF$21:$AF$97,F647))-1</f>
        <v>0.504672698248913</v>
      </c>
      <c r="P647" s="489">
        <f>LN((1+L647)/(1+H647))</f>
        <v>0.0214187044232084</v>
      </c>
      <c r="Q647" s="489">
        <f>LN((1+M647)/(1+H647))</f>
        <v>0.000140464223776822</v>
      </c>
      <c r="R647" s="489">
        <f>LN((1+N647)/(1+H647))</f>
        <v>0.0319254051187997</v>
      </c>
      <c r="S647" s="542">
        <f>LN((1+O647)/(1+H647))</f>
        <v>-0.00808304806826792</v>
      </c>
    </row>
    <row r="648">
      <c r="A648" s="320" t="n">
        <v>547</v>
      </c>
      <c r="B648" s="174" t="n">
        <v>18</v>
      </c>
      <c r="C648" s="174" t="n">
        <v>15</v>
      </c>
      <c r="D648" s="174" t="n">
        <v>28</v>
      </c>
      <c r="E648" s="174" t="n">
        <v>39</v>
      </c>
      <c r="F648" s="174" t="n">
        <v>11</v>
      </c>
      <c r="G648" s="68">
        <f>(1+INDEX($Z$21:$Z$97,B648))*(1+INDEX($Z$21:$Z$97,C648))*(1+INDEX($Z$21:$Z$97,D648))*(1+INDEX($Z$21:$Z$97,E648))*(1+INDEX($Z$21:$Z$97,F648))-1</f>
        <v>0.406067288872425</v>
      </c>
      <c r="H648" s="68">
        <f>(1+INDEX($AA$21:$AA$97,B648))*(1+INDEX($AA$21:$AA$97,C648))*(1+INDEX($AA$21:$AA$97,D648))*(1+INDEX($AA$21:$AA$97,E648))*(1+INDEX($AA$21:$AA$97,F648))-1</f>
        <v>0.333730721003388</v>
      </c>
      <c r="I648" s="68">
        <f>(1+INDEX($AB$21:$AB$97,B648))*(1+INDEX($AB$21:$AB$97,C648))*(1+INDEX($AB$21:$AB$97,D648))*(1+INDEX($AB$21:$AB$97,E648))*(1+INDEX($AB$21:$AB$97,F648))-1</f>
        <v>0.33405209483959</v>
      </c>
      <c r="J648" s="489">
        <f>LN((1+G648)/(1+H648))</f>
        <v>0.0528165818172887</v>
      </c>
      <c r="K648" s="489">
        <f>LN((1+I648)/(1+H648))</f>
        <v>0.000240929535828417</v>
      </c>
      <c r="L648" s="489">
        <f>(1+INDEX($AC$21:$AC$97,B648))*(1+INDEX($AC$21:$AC$97,C648))*(1+INDEX($AC$21:$AC$97,D648))*(1+INDEX($AC$21:$AC$97,E648))*(1+INDEX($AC$21:$AC$97,F648))-1</f>
        <v>0.314157459103752</v>
      </c>
      <c r="M648" s="489">
        <f>(1+INDEX($AD$21:$AD$97,B648))*(1+INDEX($AD$21:$AD$97,C648))*(1+INDEX($AD$21:$AD$97,D648))*(1+INDEX($AD$21:$AD$97,E648))*(1+INDEX($AD$21:$AD$97,F648))-1</f>
        <v>0.363740953546128</v>
      </c>
      <c r="N648" s="489">
        <f>(1+INDEX($AE$21:$AE$97,B648))*(1+INDEX($AE$21:$AE$97,C648))*(1+INDEX($AE$21:$AE$97,D648))*(1+INDEX($AE$21:$AE$97,E648))*(1+INDEX($AE$21:$AE$97,F648))-1</f>
        <v>0.313457689635981</v>
      </c>
      <c r="O648" s="489">
        <f>(1+INDEX($AF$21:$AF$97,B648))*(1+INDEX($AF$21:$AF$97,C648))*(1+INDEX($AF$21:$AF$97,D648))*(1+INDEX($AF$21:$AF$97,E648))*(1+INDEX($AF$21:$AF$97,F648))-1</f>
        <v>0.408927664942427</v>
      </c>
      <c r="P648" s="489">
        <f>LN((1+L648)/(1+H648))</f>
        <v>-0.014784324025626</v>
      </c>
      <c r="Q648" s="489">
        <f>LN((1+M648)/(1+H648))</f>
        <v>0.0222515558307622</v>
      </c>
      <c r="R648" s="489">
        <f>LN((1+N648)/(1+H648))</f>
        <v>-0.015316951099762</v>
      </c>
      <c r="S648" s="542">
        <f>LN((1+O648)/(1+H648))</f>
        <v>0.0548488249306015</v>
      </c>
    </row>
    <row r="649">
      <c r="A649" s="320" t="n">
        <v>548</v>
      </c>
      <c r="B649" s="174" t="n">
        <v>16</v>
      </c>
      <c r="C649" s="174" t="n">
        <v>6</v>
      </c>
      <c r="D649" s="174" t="n">
        <v>71</v>
      </c>
      <c r="E649" s="174" t="n">
        <v>67</v>
      </c>
      <c r="F649" s="174" t="n">
        <v>1</v>
      </c>
      <c r="G649" s="68">
        <f>(1+INDEX($Z$21:$Z$97,B649))*(1+INDEX($Z$21:$Z$97,C649))*(1+INDEX($Z$21:$Z$97,D649))*(1+INDEX($Z$21:$Z$97,E649))*(1+INDEX($Z$21:$Z$97,F649))-1</f>
        <v>0.293990805959214</v>
      </c>
      <c r="H649" s="68">
        <f>(1+INDEX($AA$21:$AA$97,B649))*(1+INDEX($AA$21:$AA$97,C649))*(1+INDEX($AA$21:$AA$97,D649))*(1+INDEX($AA$21:$AA$97,E649))*(1+INDEX($AA$21:$AA$97,F649))-1</f>
        <v>0.260485031443944</v>
      </c>
      <c r="I649" s="68">
        <f>(1+INDEX($AB$21:$AB$97,B649))*(1+INDEX($AB$21:$AB$97,C649))*(1+INDEX($AB$21:$AB$97,D649))*(1+INDEX($AB$21:$AB$97,E649))*(1+INDEX($AB$21:$AB$97,F649))-1</f>
        <v>0.241936579227376</v>
      </c>
      <c r="J649" s="489">
        <f>LN((1+G649)/(1+H649))</f>
        <v>0.026234498440211</v>
      </c>
      <c r="K649" s="489">
        <f>LN((1+I649)/(1+H649))</f>
        <v>-0.01482467369778</v>
      </c>
      <c r="L649" s="489">
        <f>(1+INDEX($AC$21:$AC$97,B649))*(1+INDEX($AC$21:$AC$97,C649))*(1+INDEX($AC$21:$AC$97,D649))*(1+INDEX($AC$21:$AC$97,E649))*(1+INDEX($AC$21:$AC$97,F649))-1</f>
        <v>0.231676949319391</v>
      </c>
      <c r="M649" s="489">
        <f>(1+INDEX($AD$21:$AD$97,B649))*(1+INDEX($AD$21:$AD$97,C649))*(1+INDEX($AD$21:$AD$97,D649))*(1+INDEX($AD$21:$AD$97,E649))*(1+INDEX($AD$21:$AD$97,F649))-1</f>
        <v>0.235156665155812</v>
      </c>
      <c r="N649" s="489">
        <f>(1+INDEX($AE$21:$AE$97,B649))*(1+INDEX($AE$21:$AE$97,C649))*(1+INDEX($AE$21:$AE$97,D649))*(1+INDEX($AE$21:$AE$97,E649))*(1+INDEX($AE$21:$AE$97,F649))-1</f>
        <v>0.235455218291378</v>
      </c>
      <c r="O649" s="489">
        <f>(1+INDEX($AF$21:$AF$97,B649))*(1+INDEX($AF$21:$AF$97,C649))*(1+INDEX($AF$21:$AF$97,D649))*(1+INDEX($AF$21:$AF$97,E649))*(1+INDEX($AF$21:$AF$97,F649))-1</f>
        <v>0.269154674680774</v>
      </c>
      <c r="P649" s="489">
        <f>LN((1+L649)/(1+H649))</f>
        <v>-0.0231199782162255</v>
      </c>
      <c r="Q649" s="489">
        <f>LN((1+M649)/(1+H649))</f>
        <v>-0.0202987760694928</v>
      </c>
      <c r="R649" s="489">
        <f>LN((1+N649)/(1+H649))</f>
        <v>-0.0200570925100316</v>
      </c>
      <c r="S649" s="542">
        <f>LN((1+O649)/(1+H649))</f>
        <v>0.00685447588464136</v>
      </c>
    </row>
    <row r="650">
      <c r="A650" s="320" t="n">
        <v>549</v>
      </c>
      <c r="B650" s="174" t="n">
        <v>20</v>
      </c>
      <c r="C650" s="174" t="n">
        <v>49</v>
      </c>
      <c r="D650" s="174" t="n">
        <v>36</v>
      </c>
      <c r="E650" s="174" t="n">
        <v>70</v>
      </c>
      <c r="F650" s="174" t="n">
        <v>8</v>
      </c>
      <c r="G650" s="68">
        <f>(1+INDEX($Z$21:$Z$97,B650))*(1+INDEX($Z$21:$Z$97,C650))*(1+INDEX($Z$21:$Z$97,D650))*(1+INDEX($Z$21:$Z$97,E650))*(1+INDEX($Z$21:$Z$97,F650))-1</f>
        <v>0.0205467209502228</v>
      </c>
      <c r="H650" s="68">
        <f>(1+INDEX($AA$21:$AA$97,B650))*(1+INDEX($AA$21:$AA$97,C650))*(1+INDEX($AA$21:$AA$97,D650))*(1+INDEX($AA$21:$AA$97,E650))*(1+INDEX($AA$21:$AA$97,F650))-1</f>
        <v>0.0467916657756662</v>
      </c>
      <c r="I650" s="68">
        <f>(1+INDEX($AB$21:$AB$97,B650))*(1+INDEX($AB$21:$AB$97,C650))*(1+INDEX($AB$21:$AB$97,D650))*(1+INDEX($AB$21:$AB$97,E650))*(1+INDEX($AB$21:$AB$97,F650))-1</f>
        <v>0.0278696594050845</v>
      </c>
      <c r="J650" s="489">
        <f>LN((1+G650)/(1+H650))</f>
        <v>-0.0253914453910839</v>
      </c>
      <c r="K650" s="489">
        <f>LN((1+I650)/(1+H650))</f>
        <v>-0.0182415614892621</v>
      </c>
      <c r="L650" s="489">
        <f>(1+INDEX($AC$21:$AC$97,B650))*(1+INDEX($AC$21:$AC$97,C650))*(1+INDEX($AC$21:$AC$97,D650))*(1+INDEX($AC$21:$AC$97,E650))*(1+INDEX($AC$21:$AC$97,F650))-1</f>
        <v>-0.00287851132061523</v>
      </c>
      <c r="M650" s="489">
        <f>(1+INDEX($AD$21:$AD$97,B650))*(1+INDEX($AD$21:$AD$97,C650))*(1+INDEX($AD$21:$AD$97,D650))*(1+INDEX($AD$21:$AD$97,E650))*(1+INDEX($AD$21:$AD$97,F650))-1</f>
        <v>0.0417196837906897</v>
      </c>
      <c r="N650" s="489">
        <f>(1+INDEX($AE$21:$AE$97,B650))*(1+INDEX($AE$21:$AE$97,C650))*(1+INDEX($AE$21:$AE$97,D650))*(1+INDEX($AE$21:$AE$97,E650))*(1+INDEX($AE$21:$AE$97,F650))-1</f>
        <v>0.00955117758988733</v>
      </c>
      <c r="O650" s="489">
        <f>(1+INDEX($AF$21:$AF$97,B650))*(1+INDEX($AF$21:$AF$97,C650))*(1+INDEX($AF$21:$AF$97,D650))*(1+INDEX($AF$21:$AF$97,E650))*(1+INDEX($AF$21:$AF$97,F650))-1</f>
        <v>0.0693447094825732</v>
      </c>
      <c r="P650" s="489">
        <f>LN((1+L650)/(1+H650))</f>
        <v>-0.0486125922234779</v>
      </c>
      <c r="Q650" s="489">
        <f>LN((1+M650)/(1+H650))</f>
        <v>-0.00485704035752776</v>
      </c>
      <c r="R650" s="489">
        <f>LN((1+N650)/(1+H650))</f>
        <v>-0.0362240765578123</v>
      </c>
      <c r="S650" s="542">
        <f>LN((1+O650)/(1+H650))</f>
        <v>0.0213161098014577</v>
      </c>
    </row>
    <row r="651">
      <c r="A651" s="320" t="n">
        <v>550</v>
      </c>
      <c r="B651" s="174" t="n">
        <v>70</v>
      </c>
      <c r="C651" s="174" t="n">
        <v>20</v>
      </c>
      <c r="D651" s="174" t="n">
        <v>30</v>
      </c>
      <c r="E651" s="174" t="n">
        <v>63</v>
      </c>
      <c r="F651" s="174" t="n">
        <v>13</v>
      </c>
      <c r="G651" s="68">
        <f>(1+INDEX($Z$21:$Z$97,B651))*(1+INDEX($Z$21:$Z$97,C651))*(1+INDEX($Z$21:$Z$97,D651))*(1+INDEX($Z$21:$Z$97,E651))*(1+INDEX($Z$21:$Z$97,F651))-1</f>
        <v>0.388479310471275</v>
      </c>
      <c r="H651" s="68">
        <f>(1+INDEX($AA$21:$AA$97,B651))*(1+INDEX($AA$21:$AA$97,C651))*(1+INDEX($AA$21:$AA$97,D651))*(1+INDEX($AA$21:$AA$97,E651))*(1+INDEX($AA$21:$AA$97,F651))-1</f>
        <v>0.334471091327542</v>
      </c>
      <c r="I651" s="68">
        <f>(1+INDEX($AB$21:$AB$97,B651))*(1+INDEX($AB$21:$AB$97,C651))*(1+INDEX($AB$21:$AB$97,D651))*(1+INDEX($AB$21:$AB$97,E651))*(1+INDEX($AB$21:$AB$97,F651))-1</f>
        <v>0.359649541729121</v>
      </c>
      <c r="J651" s="489">
        <f>LN((1+G651)/(1+H651))</f>
        <v>0.0396740999426491</v>
      </c>
      <c r="K651" s="489">
        <f>LN((1+I651)/(1+H651))</f>
        <v>0.018691949556961</v>
      </c>
      <c r="L651" s="489">
        <f>(1+INDEX($AC$21:$AC$97,B651))*(1+INDEX($AC$21:$AC$97,C651))*(1+INDEX($AC$21:$AC$97,D651))*(1+INDEX($AC$21:$AC$97,E651))*(1+INDEX($AC$21:$AC$97,F651))-1</f>
        <v>0.359805075845985</v>
      </c>
      <c r="M651" s="489">
        <f>(1+INDEX($AD$21:$AD$97,B651))*(1+INDEX($AD$21:$AD$97,C651))*(1+INDEX($AD$21:$AD$97,D651))*(1+INDEX($AD$21:$AD$97,E651))*(1+INDEX($AD$21:$AD$97,F651))-1</f>
        <v>0.336317571239751</v>
      </c>
      <c r="N651" s="489">
        <f>(1+INDEX($AE$21:$AE$97,B651))*(1+INDEX($AE$21:$AE$97,C651))*(1+INDEX($AE$21:$AE$97,D651))*(1+INDEX($AE$21:$AE$97,E651))*(1+INDEX($AE$21:$AE$97,F651))-1</f>
        <v>0.357779411898591</v>
      </c>
      <c r="O651" s="489">
        <f>(1+INDEX($AF$21:$AF$97,B651))*(1+INDEX($AF$21:$AF$97,C651))*(1+INDEX($AF$21:$AF$97,D651))*(1+INDEX($AF$21:$AF$97,E651))*(1+INDEX($AF$21:$AF$97,F651))-1</f>
        <v>0.329492147429002</v>
      </c>
      <c r="P651" s="489">
        <f>LN((1+L651)/(1+H651))</f>
        <v>0.0188063358136966</v>
      </c>
      <c r="Q651" s="489">
        <f>LN((1+M651)/(1+H651))</f>
        <v>0.00138272281313918</v>
      </c>
      <c r="R651" s="489">
        <f>LN((1+N651)/(1+H651))</f>
        <v>0.0173155528542798</v>
      </c>
      <c r="S651" s="542">
        <f>LN((1+O651)/(1+H651))</f>
        <v>-0.0037380018038737</v>
      </c>
    </row>
    <row r="652">
      <c r="A652" s="320" t="n">
        <v>551</v>
      </c>
      <c r="B652" s="174" t="n">
        <v>49</v>
      </c>
      <c r="C652" s="174" t="n">
        <v>31</v>
      </c>
      <c r="D652" s="174" t="n">
        <v>12</v>
      </c>
      <c r="E652" s="174" t="n">
        <v>77</v>
      </c>
      <c r="F652" s="174" t="n">
        <v>71</v>
      </c>
      <c r="G652" s="68">
        <f>(1+INDEX($Z$21:$Z$97,B652))*(1+INDEX($Z$21:$Z$97,C652))*(1+INDEX($Z$21:$Z$97,D652))*(1+INDEX($Z$21:$Z$97,E652))*(1+INDEX($Z$21:$Z$97,F652))-1</f>
        <v>0.776666477606049</v>
      </c>
      <c r="H652" s="68">
        <f>(1+INDEX($AA$21:$AA$97,B652))*(1+INDEX($AA$21:$AA$97,C652))*(1+INDEX($AA$21:$AA$97,D652))*(1+INDEX($AA$21:$AA$97,E652))*(1+INDEX($AA$21:$AA$97,F652))-1</f>
        <v>0.660041432226638</v>
      </c>
      <c r="I652" s="68">
        <f>(1+INDEX($AB$21:$AB$97,B652))*(1+INDEX($AB$21:$AB$97,C652))*(1+INDEX($AB$21:$AB$97,D652))*(1+INDEX($AB$21:$AB$97,E652))*(1+INDEX($AB$21:$AB$97,F652))-1</f>
        <v>0.744421450589927</v>
      </c>
      <c r="J652" s="489">
        <f>LN((1+G652)/(1+H652))</f>
        <v>0.0678962818668822</v>
      </c>
      <c r="K652" s="489">
        <f>LN((1+I652)/(1+H652))</f>
        <v>0.0495803925110324</v>
      </c>
      <c r="L652" s="489">
        <f>(1+INDEX($AC$21:$AC$97,B652))*(1+INDEX($AC$21:$AC$97,C652))*(1+INDEX($AC$21:$AC$97,D652))*(1+INDEX($AC$21:$AC$97,E652))*(1+INDEX($AC$21:$AC$97,F652))-1</f>
        <v>0.729243808548446</v>
      </c>
      <c r="M652" s="489">
        <f>(1+INDEX($AD$21:$AD$97,B652))*(1+INDEX($AD$21:$AD$97,C652))*(1+INDEX($AD$21:$AD$97,D652))*(1+INDEX($AD$21:$AD$97,E652))*(1+INDEX($AD$21:$AD$97,F652))-1</f>
        <v>0.741405850450761</v>
      </c>
      <c r="N652" s="489">
        <f>(1+INDEX($AE$21:$AE$97,B652))*(1+INDEX($AE$21:$AE$97,C652))*(1+INDEX($AE$21:$AE$97,D652))*(1+INDEX($AE$21:$AE$97,E652))*(1+INDEX($AE$21:$AE$97,F652))-1</f>
        <v>0.708615679289019</v>
      </c>
      <c r="O652" s="489">
        <f>(1+INDEX($AF$21:$AF$97,B652))*(1+INDEX($AF$21:$AF$97,C652))*(1+INDEX($AF$21:$AF$97,D652))*(1+INDEX($AF$21:$AF$97,E652))*(1+INDEX($AF$21:$AF$97,F652))-1</f>
        <v>0.690425126074295</v>
      </c>
      <c r="P652" s="489">
        <f>LN((1+L652)/(1+H652))</f>
        <v>0.040841646836559</v>
      </c>
      <c r="Q652" s="489">
        <f>LN((1+M652)/(1+H652))</f>
        <v>0.0478501858019617</v>
      </c>
      <c r="R652" s="489">
        <f>LN((1+N652)/(1+H652))</f>
        <v>0.0288409371515685</v>
      </c>
      <c r="S652" s="542">
        <f>LN((1+O652)/(1+H652))</f>
        <v>0.0181374899610727</v>
      </c>
    </row>
    <row r="653">
      <c r="A653" s="320" t="n">
        <v>552</v>
      </c>
      <c r="B653" s="174" t="n">
        <v>43</v>
      </c>
      <c r="C653" s="174" t="n">
        <v>1</v>
      </c>
      <c r="D653" s="174" t="n">
        <v>48</v>
      </c>
      <c r="E653" s="174" t="n">
        <v>61</v>
      </c>
      <c r="F653" s="174" t="n">
        <v>47</v>
      </c>
      <c r="G653" s="68">
        <f>(1+INDEX($Z$21:$Z$97,B653))*(1+INDEX($Z$21:$Z$97,C653))*(1+INDEX($Z$21:$Z$97,D653))*(1+INDEX($Z$21:$Z$97,E653))*(1+INDEX($Z$21:$Z$97,F653))-1</f>
        <v>0.453878254315186</v>
      </c>
      <c r="H653" s="68">
        <f>(1+INDEX($AA$21:$AA$97,B653))*(1+INDEX($AA$21:$AA$97,C653))*(1+INDEX($AA$21:$AA$97,D653))*(1+INDEX($AA$21:$AA$97,E653))*(1+INDEX($AA$21:$AA$97,F653))-1</f>
        <v>0.405756132663704</v>
      </c>
      <c r="I653" s="68">
        <f>(1+INDEX($AB$21:$AB$97,B653))*(1+INDEX($AB$21:$AB$97,C653))*(1+INDEX($AB$21:$AB$97,D653))*(1+INDEX($AB$21:$AB$97,E653))*(1+INDEX($AB$21:$AB$97,F653))-1</f>
        <v>0.43310509742945</v>
      </c>
      <c r="J653" s="489">
        <f>LN((1+G653)/(1+H653))</f>
        <v>0.0336593133109114</v>
      </c>
      <c r="K653" s="489">
        <f>LN((1+I653)/(1+H653))</f>
        <v>0.0192681562636357</v>
      </c>
      <c r="L653" s="489">
        <f>(1+INDEX($AC$21:$AC$97,B653))*(1+INDEX($AC$21:$AC$97,C653))*(1+INDEX($AC$21:$AC$97,D653))*(1+INDEX($AC$21:$AC$97,E653))*(1+INDEX($AC$21:$AC$97,F653))-1</f>
        <v>0.443774712882261</v>
      </c>
      <c r="M653" s="489">
        <f>(1+INDEX($AD$21:$AD$97,B653))*(1+INDEX($AD$21:$AD$97,C653))*(1+INDEX($AD$21:$AD$97,D653))*(1+INDEX($AD$21:$AD$97,E653))*(1+INDEX($AD$21:$AD$97,F653))-1</f>
        <v>0.400453476807976</v>
      </c>
      <c r="N653" s="489">
        <f>(1+INDEX($AE$21:$AE$97,B653))*(1+INDEX($AE$21:$AE$97,C653))*(1+INDEX($AE$21:$AE$97,D653))*(1+INDEX($AE$21:$AE$97,E653))*(1+INDEX($AE$21:$AE$97,F653))-1</f>
        <v>0.454697680778207</v>
      </c>
      <c r="O653" s="489">
        <f>(1+INDEX($AF$21:$AF$97,B653))*(1+INDEX($AF$21:$AF$97,C653))*(1+INDEX($AF$21:$AF$97,D653))*(1+INDEX($AF$21:$AF$97,E653))*(1+INDEX($AF$21:$AF$97,F653))-1</f>
        <v>0.374067409992599</v>
      </c>
      <c r="P653" s="489">
        <f>LN((1+L653)/(1+H653))</f>
        <v>0.026685681552267</v>
      </c>
      <c r="Q653" s="489">
        <f>LN((1+M653)/(1+H653))</f>
        <v>-0.00377923455834774</v>
      </c>
      <c r="R653" s="489">
        <f>LN((1+N653)/(1+H653))</f>
        <v>0.0342227687633299</v>
      </c>
      <c r="S653" s="542">
        <f>LN((1+O653)/(1+H653))</f>
        <v>-0.0228000770104049</v>
      </c>
    </row>
    <row r="654">
      <c r="A654" s="320" t="n">
        <v>553</v>
      </c>
      <c r="B654" s="174" t="n">
        <v>54</v>
      </c>
      <c r="C654" s="174" t="n">
        <v>51</v>
      </c>
      <c r="D654" s="174" t="n">
        <v>46</v>
      </c>
      <c r="E654" s="174" t="n">
        <v>25</v>
      </c>
      <c r="F654" s="174" t="n">
        <v>42</v>
      </c>
      <c r="G654" s="68">
        <f>(1+INDEX($Z$21:$Z$97,B654))*(1+INDEX($Z$21:$Z$97,C654))*(1+INDEX($Z$21:$Z$97,D654))*(1+INDEX($Z$21:$Z$97,E654))*(1+INDEX($Z$21:$Z$97,F654))-1</f>
        <v>0.474250436899035</v>
      </c>
      <c r="H654" s="68">
        <f>(1+INDEX($AA$21:$AA$97,B654))*(1+INDEX($AA$21:$AA$97,C654))*(1+INDEX($AA$21:$AA$97,D654))*(1+INDEX($AA$21:$AA$97,E654))*(1+INDEX($AA$21:$AA$97,F654))-1</f>
        <v>0.419092127088492</v>
      </c>
      <c r="I654" s="68">
        <f>(1+INDEX($AB$21:$AB$97,B654))*(1+INDEX($AB$21:$AB$97,C654))*(1+INDEX($AB$21:$AB$97,D654))*(1+INDEX($AB$21:$AB$97,E654))*(1+INDEX($AB$21:$AB$97,F654))-1</f>
        <v>0.473679512784453</v>
      </c>
      <c r="J654" s="489">
        <f>LN((1+G654)/(1+H654))</f>
        <v>0.0381323622289943</v>
      </c>
      <c r="K654" s="489">
        <f>LN((1+I654)/(1+H654))</f>
        <v>0.0377450232274133</v>
      </c>
      <c r="L654" s="489">
        <f>(1+INDEX($AC$21:$AC$97,B654))*(1+INDEX($AC$21:$AC$97,C654))*(1+INDEX($AC$21:$AC$97,D654))*(1+INDEX($AC$21:$AC$97,E654))*(1+INDEX($AC$21:$AC$97,F654))-1</f>
        <v>0.45201398598407</v>
      </c>
      <c r="M654" s="489">
        <f>(1+INDEX($AD$21:$AD$97,B654))*(1+INDEX($AD$21:$AD$97,C654))*(1+INDEX($AD$21:$AD$97,D654))*(1+INDEX($AD$21:$AD$97,E654))*(1+INDEX($AD$21:$AD$97,F654))-1</f>
        <v>0.48351345272067</v>
      </c>
      <c r="N654" s="489">
        <f>(1+INDEX($AE$21:$AE$97,B654))*(1+INDEX($AE$21:$AE$97,C654))*(1+INDEX($AE$21:$AE$97,D654))*(1+INDEX($AE$21:$AE$97,E654))*(1+INDEX($AE$21:$AE$97,F654))-1</f>
        <v>0.439338535131765</v>
      </c>
      <c r="O654" s="489">
        <f>(1+INDEX($AF$21:$AF$97,B654))*(1+INDEX($AF$21:$AF$97,C654))*(1+INDEX($AF$21:$AF$97,D654))*(1+INDEX($AF$21:$AF$97,E654))*(1+INDEX($AF$21:$AF$97,F654))-1</f>
        <v>0.477203202962258</v>
      </c>
      <c r="P654" s="489">
        <f>LN((1+L654)/(1+H654))</f>
        <v>0.022934228553786</v>
      </c>
      <c r="Q654" s="489">
        <f>LN((1+M654)/(1+H654))</f>
        <v>0.0443959089157483</v>
      </c>
      <c r="R654" s="489">
        <f>LN((1+N654)/(1+H654))</f>
        <v>0.0141663374282985</v>
      </c>
      <c r="S654" s="542">
        <f>LN((1+O654)/(1+H654))</f>
        <v>0.0401332522368703</v>
      </c>
    </row>
    <row r="655">
      <c r="A655" s="320" t="n">
        <v>554</v>
      </c>
      <c r="B655" s="174" t="n">
        <v>77</v>
      </c>
      <c r="C655" s="174" t="n">
        <v>20</v>
      </c>
      <c r="D655" s="174" t="n">
        <v>68</v>
      </c>
      <c r="E655" s="174" t="n">
        <v>74</v>
      </c>
      <c r="F655" s="174" t="n">
        <v>31</v>
      </c>
      <c r="G655" s="68">
        <f>(1+INDEX($Z$21:$Z$97,B655))*(1+INDEX($Z$21:$Z$97,C655))*(1+INDEX($Z$21:$Z$97,D655))*(1+INDEX($Z$21:$Z$97,E655))*(1+INDEX($Z$21:$Z$97,F655))-1</f>
        <v>0.4152176021201</v>
      </c>
      <c r="H655" s="68">
        <f>(1+INDEX($AA$21:$AA$97,B655))*(1+INDEX($AA$21:$AA$97,C655))*(1+INDEX($AA$21:$AA$97,D655))*(1+INDEX($AA$21:$AA$97,E655))*(1+INDEX($AA$21:$AA$97,F655))-1</f>
        <v>0.422862021294916</v>
      </c>
      <c r="I655" s="68">
        <f>(1+INDEX($AB$21:$AB$97,B655))*(1+INDEX($AB$21:$AB$97,C655))*(1+INDEX($AB$21:$AB$97,D655))*(1+INDEX($AB$21:$AB$97,E655))*(1+INDEX($AB$21:$AB$97,F655))-1</f>
        <v>0.451624156761162</v>
      </c>
      <c r="J655" s="489">
        <f>LN((1+G655)/(1+H655))</f>
        <v>-0.0053870494673119</v>
      </c>
      <c r="K655" s="489">
        <f>LN((1+I655)/(1+H655))</f>
        <v>0.0200126865343499</v>
      </c>
      <c r="L655" s="489">
        <f>(1+INDEX($AC$21:$AC$97,B655))*(1+INDEX($AC$21:$AC$97,C655))*(1+INDEX($AC$21:$AC$97,D655))*(1+INDEX($AC$21:$AC$97,E655))*(1+INDEX($AC$21:$AC$97,F655))-1</f>
        <v>0.439842642995659</v>
      </c>
      <c r="M655" s="489">
        <f>(1+INDEX($AD$21:$AD$97,B655))*(1+INDEX($AD$21:$AD$97,C655))*(1+INDEX($AD$21:$AD$97,D655))*(1+INDEX($AD$21:$AD$97,E655))*(1+INDEX($AD$21:$AD$97,F655))-1</f>
        <v>0.444282358834046</v>
      </c>
      <c r="N655" s="489">
        <f>(1+INDEX($AE$21:$AE$97,B655))*(1+INDEX($AE$21:$AE$97,C655))*(1+INDEX($AE$21:$AE$97,D655))*(1+INDEX($AE$21:$AE$97,E655))*(1+INDEX($AE$21:$AE$97,F655))-1</f>
        <v>0.433421653211592</v>
      </c>
      <c r="O655" s="489">
        <f>(1+INDEX($AF$21:$AF$97,B655))*(1+INDEX($AF$21:$AF$97,C655))*(1+INDEX($AF$21:$AF$97,D655))*(1+INDEX($AF$21:$AF$97,E655))*(1+INDEX($AF$21:$AF$97,F655))-1</f>
        <v>0.431776139397243</v>
      </c>
      <c r="P655" s="489">
        <f>LN((1+L655)/(1+H655))</f>
        <v>0.0118634807631856</v>
      </c>
      <c r="Q655" s="489">
        <f>LN((1+M655)/(1+H655))</f>
        <v>0.0149422095578229</v>
      </c>
      <c r="R655" s="489">
        <f>LN((1+N655)/(1+H655))</f>
        <v>0.00739399949653887</v>
      </c>
      <c r="S655" s="542">
        <f>LN((1+O655)/(1+H655))</f>
        <v>0.00624537792527521</v>
      </c>
    </row>
    <row r="656">
      <c r="A656" s="320" t="n">
        <v>555</v>
      </c>
      <c r="B656" s="174" t="n">
        <v>11</v>
      </c>
      <c r="C656" s="174" t="n">
        <v>48</v>
      </c>
      <c r="D656" s="174" t="n">
        <v>37</v>
      </c>
      <c r="E656" s="174" t="n">
        <v>14</v>
      </c>
      <c r="F656" s="174" t="n">
        <v>77</v>
      </c>
      <c r="G656" s="68">
        <f>(1+INDEX($Z$21:$Z$97,B656))*(1+INDEX($Z$21:$Z$97,C656))*(1+INDEX($Z$21:$Z$97,D656))*(1+INDEX($Z$21:$Z$97,E656))*(1+INDEX($Z$21:$Z$97,F656))-1</f>
        <v>0.14435712526059</v>
      </c>
      <c r="H656" s="68">
        <f>(1+INDEX($AA$21:$AA$97,B656))*(1+INDEX($AA$21:$AA$97,C656))*(1+INDEX($AA$21:$AA$97,D656))*(1+INDEX($AA$21:$AA$97,E656))*(1+INDEX($AA$21:$AA$97,F656))-1</f>
        <v>0.109423521482573</v>
      </c>
      <c r="I656" s="68">
        <f>(1+INDEX($AB$21:$AB$97,B656))*(1+INDEX($AB$21:$AB$97,C656))*(1+INDEX($AB$21:$AB$97,D656))*(1+INDEX($AB$21:$AB$97,E656))*(1+INDEX($AB$21:$AB$97,F656))-1</f>
        <v>0.106619395438487</v>
      </c>
      <c r="J656" s="489">
        <f>LN((1+G656)/(1+H656))</f>
        <v>0.0310024862729062</v>
      </c>
      <c r="K656" s="489">
        <f>LN((1+I656)/(1+H656))</f>
        <v>-0.00253075201685609</v>
      </c>
      <c r="L656" s="489">
        <f>(1+INDEX($AC$21:$AC$97,B656))*(1+INDEX($AC$21:$AC$97,C656))*(1+INDEX($AC$21:$AC$97,D656))*(1+INDEX($AC$21:$AC$97,E656))*(1+INDEX($AC$21:$AC$97,F656))-1</f>
        <v>0.0964233897664268</v>
      </c>
      <c r="M656" s="489">
        <f>(1+INDEX($AD$21:$AD$97,B656))*(1+INDEX($AD$21:$AD$97,C656))*(1+INDEX($AD$21:$AD$97,D656))*(1+INDEX($AD$21:$AD$97,E656))*(1+INDEX($AD$21:$AD$97,F656))-1</f>
        <v>0.129023367837124</v>
      </c>
      <c r="N656" s="489">
        <f>(1+INDEX($AE$21:$AE$97,B656))*(1+INDEX($AE$21:$AE$97,C656))*(1+INDEX($AE$21:$AE$97,D656))*(1+INDEX($AE$21:$AE$97,E656))*(1+INDEX($AE$21:$AE$97,F656))-1</f>
        <v>0.0786137133284226</v>
      </c>
      <c r="O656" s="489">
        <f>(1+INDEX($AF$21:$AF$97,B656))*(1+INDEX($AF$21:$AF$97,C656))*(1+INDEX($AF$21:$AF$97,D656))*(1+INDEX($AF$21:$AF$97,E656))*(1+INDEX($AF$21:$AF$97,F656))-1</f>
        <v>0.131283425650212</v>
      </c>
      <c r="P656" s="489">
        <f>LN((1+L656)/(1+H656))</f>
        <v>-0.0117871119387606</v>
      </c>
      <c r="Q656" s="489">
        <f>LN((1+M656)/(1+H656))</f>
        <v>0.0175124523722505</v>
      </c>
      <c r="R656" s="489">
        <f>LN((1+N656)/(1+H656))</f>
        <v>-0.0281639125520057</v>
      </c>
      <c r="S656" s="542">
        <f>LN((1+O656)/(1+H656))</f>
        <v>0.0195122327319673</v>
      </c>
    </row>
    <row r="657">
      <c r="A657" s="320" t="n">
        <v>556</v>
      </c>
      <c r="B657" s="174" t="n">
        <v>63</v>
      </c>
      <c r="C657" s="174" t="n">
        <v>59</v>
      </c>
      <c r="D657" s="174" t="n">
        <v>37</v>
      </c>
      <c r="E657" s="174" t="n">
        <v>20</v>
      </c>
      <c r="F657" s="174" t="n">
        <v>58</v>
      </c>
      <c r="G657" s="68">
        <f>(1+INDEX($Z$21:$Z$97,B657))*(1+INDEX($Z$21:$Z$97,C657))*(1+INDEX($Z$21:$Z$97,D657))*(1+INDEX($Z$21:$Z$97,E657))*(1+INDEX($Z$21:$Z$97,F657))-1</f>
        <v>0.235763395608318</v>
      </c>
      <c r="H657" s="68">
        <f>(1+INDEX($AA$21:$AA$97,B657))*(1+INDEX($AA$21:$AA$97,C657))*(1+INDEX($AA$21:$AA$97,D657))*(1+INDEX($AA$21:$AA$97,E657))*(1+INDEX($AA$21:$AA$97,F657))-1</f>
        <v>0.25048084331084</v>
      </c>
      <c r="I657" s="68">
        <f>(1+INDEX($AB$21:$AB$97,B657))*(1+INDEX($AB$21:$AB$97,C657))*(1+INDEX($AB$21:$AB$97,D657))*(1+INDEX($AB$21:$AB$97,E657))*(1+INDEX($AB$21:$AB$97,F657))-1</f>
        <v>0.234807549636101</v>
      </c>
      <c r="J657" s="489">
        <f>LN((1+G657)/(1+H657))</f>
        <v>-0.0118392387850026</v>
      </c>
      <c r="K657" s="489">
        <f>LN((1+I657)/(1+H657))</f>
        <v>-0.0126130243115823</v>
      </c>
      <c r="L657" s="489">
        <f>(1+INDEX($AC$21:$AC$97,B657))*(1+INDEX($AC$21:$AC$97,C657))*(1+INDEX($AC$21:$AC$97,D657))*(1+INDEX($AC$21:$AC$97,E657))*(1+INDEX($AC$21:$AC$97,F657))-1</f>
        <v>0.269160303590746</v>
      </c>
      <c r="M657" s="489">
        <f>(1+INDEX($AD$21:$AD$97,B657))*(1+INDEX($AD$21:$AD$97,C657))*(1+INDEX($AD$21:$AD$97,D657))*(1+INDEX($AD$21:$AD$97,E657))*(1+INDEX($AD$21:$AD$97,F657))-1</f>
        <v>0.195987026512383</v>
      </c>
      <c r="N657" s="489">
        <f>(1+INDEX($AE$21:$AE$97,B657))*(1+INDEX($AE$21:$AE$97,C657))*(1+INDEX($AE$21:$AE$97,D657))*(1+INDEX($AE$21:$AE$97,E657))*(1+INDEX($AE$21:$AE$97,F657))-1</f>
        <v>0.279668921890692</v>
      </c>
      <c r="O657" s="489">
        <f>(1+INDEX($AF$21:$AF$97,B657))*(1+INDEX($AF$21:$AF$97,C657))*(1+INDEX($AF$21:$AF$97,D657))*(1+INDEX($AF$21:$AF$97,E657))*(1+INDEX($AF$21:$AF$97,F657))-1</f>
        <v>0.172389647705868</v>
      </c>
      <c r="P657" s="489">
        <f>LN((1+L657)/(1+H657))</f>
        <v>0.0148273515261889</v>
      </c>
      <c r="Q657" s="489">
        <f>LN((1+M657)/(1+H657))</f>
        <v>-0.0445563439226248</v>
      </c>
      <c r="R657" s="489">
        <f>LN((1+N657)/(1+H657))</f>
        <v>0.0230732377071559</v>
      </c>
      <c r="S657" s="542">
        <f>LN((1+O657)/(1+H657))</f>
        <v>-0.0644840521807606</v>
      </c>
    </row>
    <row r="658">
      <c r="A658" s="320" t="n">
        <v>557</v>
      </c>
      <c r="B658" s="174" t="n">
        <v>27</v>
      </c>
      <c r="C658" s="174" t="n">
        <v>66</v>
      </c>
      <c r="D658" s="174" t="n">
        <v>59</v>
      </c>
      <c r="E658" s="174" t="n">
        <v>53</v>
      </c>
      <c r="F658" s="174" t="n">
        <v>35</v>
      </c>
      <c r="G658" s="68">
        <f>(1+INDEX($Z$21:$Z$97,B658))*(1+INDEX($Z$21:$Z$97,C658))*(1+INDEX($Z$21:$Z$97,D658))*(1+INDEX($Z$21:$Z$97,E658))*(1+INDEX($Z$21:$Z$97,F658))-1</f>
        <v>0.671284595276506</v>
      </c>
      <c r="H658" s="68">
        <f>(1+INDEX($AA$21:$AA$97,B658))*(1+INDEX($AA$21:$AA$97,C658))*(1+INDEX($AA$21:$AA$97,D658))*(1+INDEX($AA$21:$AA$97,E658))*(1+INDEX($AA$21:$AA$97,F658))-1</f>
        <v>0.694168921391018</v>
      </c>
      <c r="I658" s="68">
        <f>(1+INDEX($AB$21:$AB$97,B658))*(1+INDEX($AB$21:$AB$97,C658))*(1+INDEX($AB$21:$AB$97,D658))*(1+INDEX($AB$21:$AB$97,E658))*(1+INDEX($AB$21:$AB$97,F658))-1</f>
        <v>0.730024997711865</v>
      </c>
      <c r="J658" s="489">
        <f>LN((1+G658)/(1+H658))</f>
        <v>-0.0135997592665282</v>
      </c>
      <c r="K658" s="489">
        <f>LN((1+I658)/(1+H658))</f>
        <v>0.0209435492231845</v>
      </c>
      <c r="L658" s="489">
        <f>(1+INDEX($AC$21:$AC$97,B658))*(1+INDEX($AC$21:$AC$97,C658))*(1+INDEX($AC$21:$AC$97,D658))*(1+INDEX($AC$21:$AC$97,E658))*(1+INDEX($AC$21:$AC$97,F658))-1</f>
        <v>0.76449440909741</v>
      </c>
      <c r="M658" s="489">
        <f>(1+INDEX($AD$21:$AD$97,B658))*(1+INDEX($AD$21:$AD$97,C658))*(1+INDEX($AD$21:$AD$97,D658))*(1+INDEX($AD$21:$AD$97,E658))*(1+INDEX($AD$21:$AD$97,F658))-1</f>
        <v>0.725499437033895</v>
      </c>
      <c r="N658" s="489">
        <f>(1+INDEX($AE$21:$AE$97,B658))*(1+INDEX($AE$21:$AE$97,C658))*(1+INDEX($AE$21:$AE$97,D658))*(1+INDEX($AE$21:$AE$97,E658))*(1+INDEX($AE$21:$AE$97,F658))-1</f>
        <v>0.784298837309379</v>
      </c>
      <c r="O658" s="489">
        <f>(1+INDEX($AF$21:$AF$97,B658))*(1+INDEX($AF$21:$AF$97,C658))*(1+INDEX($AF$21:$AF$97,D658))*(1+INDEX($AF$21:$AF$97,E658))*(1+INDEX($AF$21:$AF$97,F658))-1</f>
        <v>0.66615926264745</v>
      </c>
      <c r="P658" s="489">
        <f>LN((1+L658)/(1+H658))</f>
        <v>0.0406718868538295</v>
      </c>
      <c r="Q658" s="489">
        <f>LN((1+M658)/(1+H658))</f>
        <v>0.0183242285667346</v>
      </c>
      <c r="R658" s="489">
        <f>LN((1+N658)/(1+H658))</f>
        <v>0.051833221105661</v>
      </c>
      <c r="S658" s="542">
        <f>LN((1+O658)/(1+H658))</f>
        <v>-0.016671173724078</v>
      </c>
    </row>
    <row r="659">
      <c r="A659" s="320" t="n">
        <v>558</v>
      </c>
      <c r="B659" s="174" t="n">
        <v>63</v>
      </c>
      <c r="C659" s="174" t="n">
        <v>1</v>
      </c>
      <c r="D659" s="174" t="n">
        <v>2</v>
      </c>
      <c r="E659" s="174" t="n">
        <v>51</v>
      </c>
      <c r="F659" s="174" t="n">
        <v>21</v>
      </c>
      <c r="G659" s="68">
        <f>(1+INDEX($Z$21:$Z$97,B659))*(1+INDEX($Z$21:$Z$97,C659))*(1+INDEX($Z$21:$Z$97,D659))*(1+INDEX($Z$21:$Z$97,E659))*(1+INDEX($Z$21:$Z$97,F659))-1</f>
        <v>0.324484616850146</v>
      </c>
      <c r="H659" s="68">
        <f>(1+INDEX($AA$21:$AA$97,B659))*(1+INDEX($AA$21:$AA$97,C659))*(1+INDEX($AA$21:$AA$97,D659))*(1+INDEX($AA$21:$AA$97,E659))*(1+INDEX($AA$21:$AA$97,F659))-1</f>
        <v>0.24420918877749</v>
      </c>
      <c r="I659" s="68">
        <f>(1+INDEX($AB$21:$AB$97,B659))*(1+INDEX($AB$21:$AB$97,C659))*(1+INDEX($AB$21:$AB$97,D659))*(1+INDEX($AB$21:$AB$97,E659))*(1+INDEX($AB$21:$AB$97,F659))-1</f>
        <v>0.250283698182487</v>
      </c>
      <c r="J659" s="489">
        <f>LN((1+G659)/(1+H659))</f>
        <v>0.0625232769941175</v>
      </c>
      <c r="K659" s="489">
        <f>LN((1+I659)/(1+H659))</f>
        <v>0.00487034574775725</v>
      </c>
      <c r="L659" s="489">
        <f>(1+INDEX($AC$21:$AC$97,B659))*(1+INDEX($AC$21:$AC$97,C659))*(1+INDEX($AC$21:$AC$97,D659))*(1+INDEX($AC$21:$AC$97,E659))*(1+INDEX($AC$21:$AC$97,F659))-1</f>
        <v>0.242459221894375</v>
      </c>
      <c r="M659" s="489">
        <f>(1+INDEX($AD$21:$AD$97,B659))*(1+INDEX($AD$21:$AD$97,C659))*(1+INDEX($AD$21:$AD$97,D659))*(1+INDEX($AD$21:$AD$97,E659))*(1+INDEX($AD$21:$AD$97,F659))-1</f>
        <v>0.252369843388307</v>
      </c>
      <c r="N659" s="489">
        <f>(1+INDEX($AE$21:$AE$97,B659))*(1+INDEX($AE$21:$AE$97,C659))*(1+INDEX($AE$21:$AE$97,D659))*(1+INDEX($AE$21:$AE$97,E659))*(1+INDEX($AE$21:$AE$97,F659))-1</f>
        <v>0.248611623209122</v>
      </c>
      <c r="O659" s="489">
        <f>(1+INDEX($AF$21:$AF$97,B659))*(1+INDEX($AF$21:$AF$97,C659))*(1+INDEX($AF$21:$AF$97,D659))*(1+INDEX($AF$21:$AF$97,E659))*(1+INDEX($AF$21:$AF$97,F659))-1</f>
        <v>0.2418372625767</v>
      </c>
      <c r="P659" s="489">
        <f>LN((1+L659)/(1+H659))</f>
        <v>-0.00140747931207459</v>
      </c>
      <c r="Q659" s="489">
        <f>LN((1+M659)/(1+H659))</f>
        <v>0.00653749276139675</v>
      </c>
      <c r="R659" s="489">
        <f>LN((1+N659)/(1+H659))</f>
        <v>0.00353209423430065</v>
      </c>
      <c r="S659" s="542">
        <f>LN((1+O659)/(1+H659))</f>
        <v>-0.00190819195612271</v>
      </c>
    </row>
    <row r="660">
      <c r="A660" s="320" t="n">
        <v>559</v>
      </c>
      <c r="B660" s="174" t="n">
        <v>58</v>
      </c>
      <c r="C660" s="174" t="n">
        <v>3</v>
      </c>
      <c r="D660" s="174" t="n">
        <v>13</v>
      </c>
      <c r="E660" s="174" t="n">
        <v>15</v>
      </c>
      <c r="F660" s="174" t="n">
        <v>7</v>
      </c>
      <c r="G660" s="68">
        <f>(1+INDEX($Z$21:$Z$97,B660))*(1+INDEX($Z$21:$Z$97,C660))*(1+INDEX($Z$21:$Z$97,D660))*(1+INDEX($Z$21:$Z$97,E660))*(1+INDEX($Z$21:$Z$97,F660))-1</f>
        <v>0.495904543993792</v>
      </c>
      <c r="H660" s="68">
        <f>(1+INDEX($AA$21:$AA$97,B660))*(1+INDEX($AA$21:$AA$97,C660))*(1+INDEX($AA$21:$AA$97,D660))*(1+INDEX($AA$21:$AA$97,E660))*(1+INDEX($AA$21:$AA$97,F660))-1</f>
        <v>0.429761855745032</v>
      </c>
      <c r="I660" s="68">
        <f>(1+INDEX($AB$21:$AB$97,B660))*(1+INDEX($AB$21:$AB$97,C660))*(1+INDEX($AB$21:$AB$97,D660))*(1+INDEX($AB$21:$AB$97,E660))*(1+INDEX($AB$21:$AB$97,F660))-1</f>
        <v>0.427075435329792</v>
      </c>
      <c r="J660" s="489">
        <f>LN((1+G660)/(1+H660))</f>
        <v>0.0452231740663378</v>
      </c>
      <c r="K660" s="489">
        <f>LN((1+I660)/(1+H660))</f>
        <v>-0.00188069598185331</v>
      </c>
      <c r="L660" s="489">
        <f>(1+INDEX($AC$21:$AC$97,B660))*(1+INDEX($AC$21:$AC$97,C660))*(1+INDEX($AC$21:$AC$97,D660))*(1+INDEX($AC$21:$AC$97,E660))*(1+INDEX($AC$21:$AC$97,F660))-1</f>
        <v>0.441882380587224</v>
      </c>
      <c r="M660" s="489">
        <f>(1+INDEX($AD$21:$AD$97,B660))*(1+INDEX($AD$21:$AD$97,C660))*(1+INDEX($AD$21:$AD$97,D660))*(1+INDEX($AD$21:$AD$97,E660))*(1+INDEX($AD$21:$AD$97,F660))-1</f>
        <v>0.412526236605552</v>
      </c>
      <c r="N660" s="489">
        <f>(1+INDEX($AE$21:$AE$97,B660))*(1+INDEX($AE$21:$AE$97,C660))*(1+INDEX($AE$21:$AE$97,D660))*(1+INDEX($AE$21:$AE$97,E660))*(1+INDEX($AE$21:$AE$97,F660))-1</f>
        <v>0.42314573387106</v>
      </c>
      <c r="O660" s="489">
        <f>(1+INDEX($AF$21:$AF$97,B660))*(1+INDEX($AF$21:$AF$97,C660))*(1+INDEX($AF$21:$AF$97,D660))*(1+INDEX($AF$21:$AF$97,E660))*(1+INDEX($AF$21:$AF$97,F660))-1</f>
        <v>0.40310060647758</v>
      </c>
      <c r="P660" s="489">
        <f>LN((1+L660)/(1+H660))</f>
        <v>0.00844157271616313</v>
      </c>
      <c r="Q660" s="489">
        <f>LN((1+M660)/(1+H660))</f>
        <v>-0.0121281375054271</v>
      </c>
      <c r="R660" s="489">
        <f>LN((1+N660)/(1+H660))</f>
        <v>-0.00463816897461855</v>
      </c>
      <c r="S660" s="542">
        <f>LN((1+O660)/(1+H660))</f>
        <v>-0.0188233893004964</v>
      </c>
    </row>
    <row r="661">
      <c r="A661" s="320" t="n">
        <v>560</v>
      </c>
      <c r="B661" s="174" t="n">
        <v>6</v>
      </c>
      <c r="C661" s="174" t="n">
        <v>10</v>
      </c>
      <c r="D661" s="174" t="n">
        <v>48</v>
      </c>
      <c r="E661" s="174" t="n">
        <v>61</v>
      </c>
      <c r="F661" s="174" t="n">
        <v>47</v>
      </c>
      <c r="G661" s="68">
        <f>(1+INDEX($Z$21:$Z$97,B661))*(1+INDEX($Z$21:$Z$97,C661))*(1+INDEX($Z$21:$Z$97,D661))*(1+INDEX($Z$21:$Z$97,E661))*(1+INDEX($Z$21:$Z$97,F661))-1</f>
        <v>-0.0327649830285324</v>
      </c>
      <c r="H661" s="68">
        <f>(1+INDEX($AA$21:$AA$97,B661))*(1+INDEX($AA$21:$AA$97,C661))*(1+INDEX($AA$21:$AA$97,D661))*(1+INDEX($AA$21:$AA$97,E661))*(1+INDEX($AA$21:$AA$97,F661))-1</f>
        <v>0.00732622268478567</v>
      </c>
      <c r="I661" s="68">
        <f>(1+INDEX($AB$21:$AB$97,B661))*(1+INDEX($AB$21:$AB$97,C661))*(1+INDEX($AB$21:$AB$97,D661))*(1+INDEX($AB$21:$AB$97,E661))*(1+INDEX($AB$21:$AB$97,F661))-1</f>
        <v>-0.0199836594019189</v>
      </c>
      <c r="J661" s="489">
        <f>LN((1+G661)/(1+H661))</f>
        <v>-0.0406132921326841</v>
      </c>
      <c r="K661" s="489">
        <f>LN((1+I661)/(1+H661))</f>
        <v>-0.0274855496509771</v>
      </c>
      <c r="L661" s="489">
        <f>(1+INDEX($AC$21:$AC$97,B661))*(1+INDEX($AC$21:$AC$97,C661))*(1+INDEX($AC$21:$AC$97,D661))*(1+INDEX($AC$21:$AC$97,E661))*(1+INDEX($AC$21:$AC$97,F661))-1</f>
        <v>-0.0206767766006721</v>
      </c>
      <c r="M661" s="489">
        <f>(1+INDEX($AD$21:$AD$97,B661))*(1+INDEX($AD$21:$AD$97,C661))*(1+INDEX($AD$21:$AD$97,D661))*(1+INDEX($AD$21:$AD$97,E661))*(1+INDEX($AD$21:$AD$97,F661))-1</f>
        <v>-0.0407947988279683</v>
      </c>
      <c r="N661" s="489">
        <f>(1+INDEX($AE$21:$AE$97,B661))*(1+INDEX($AE$21:$AE$97,C661))*(1+INDEX($AE$21:$AE$97,D661))*(1+INDEX($AE$21:$AE$97,E661))*(1+INDEX($AE$21:$AE$97,F661))-1</f>
        <v>-0.03001953459666</v>
      </c>
      <c r="O661" s="489">
        <f>(1+INDEX($AF$21:$AF$97,B661))*(1+INDEX($AF$21:$AF$97,C661))*(1+INDEX($AF$21:$AF$97,D661))*(1+INDEX($AF$21:$AF$97,E661))*(1+INDEX($AF$21:$AF$97,F661))-1</f>
        <v>-0.00371668801563929</v>
      </c>
      <c r="P661" s="489">
        <f>LN((1+L661)/(1+H661))</f>
        <v>-0.0281930505256609</v>
      </c>
      <c r="Q661" s="489">
        <f>LN((1+M661)/(1+H661))</f>
        <v>-0.0489497691514504</v>
      </c>
      <c r="R661" s="489">
        <f>LN((1+N661)/(1+H661))</f>
        <v>-0.0377788627210607</v>
      </c>
      <c r="S661" s="542">
        <f>LN((1+O661)/(1+H661))</f>
        <v>-0.011023128336335</v>
      </c>
    </row>
    <row r="662">
      <c r="A662" s="320" t="n">
        <v>561</v>
      </c>
      <c r="B662" s="174" t="n">
        <v>36</v>
      </c>
      <c r="C662" s="174" t="n">
        <v>72</v>
      </c>
      <c r="D662" s="174" t="n">
        <v>23</v>
      </c>
      <c r="E662" s="174" t="n">
        <v>56</v>
      </c>
      <c r="F662" s="174" t="n">
        <v>35</v>
      </c>
      <c r="G662" s="68">
        <f>(1+INDEX($Z$21:$Z$97,B662))*(1+INDEX($Z$21:$Z$97,C662))*(1+INDEX($Z$21:$Z$97,D662))*(1+INDEX($Z$21:$Z$97,E662))*(1+INDEX($Z$21:$Z$97,F662))-1</f>
        <v>0.511058962570974</v>
      </c>
      <c r="H662" s="68">
        <f>(1+INDEX($AA$21:$AA$97,B662))*(1+INDEX($AA$21:$AA$97,C662))*(1+INDEX($AA$21:$AA$97,D662))*(1+INDEX($AA$21:$AA$97,E662))*(1+INDEX($AA$21:$AA$97,F662))-1</f>
        <v>0.509083413542909</v>
      </c>
      <c r="I662" s="68">
        <f>(1+INDEX($AB$21:$AB$97,B662))*(1+INDEX($AB$21:$AB$97,C662))*(1+INDEX($AB$21:$AB$97,D662))*(1+INDEX($AB$21:$AB$97,E662))*(1+INDEX($AB$21:$AB$97,F662))-1</f>
        <v>0.562671793836934</v>
      </c>
      <c r="J662" s="489">
        <f>LN((1+G662)/(1+H662))</f>
        <v>0.00130824912458098</v>
      </c>
      <c r="K662" s="489">
        <f>LN((1+I662)/(1+H662))</f>
        <v>0.0348945890178186</v>
      </c>
      <c r="L662" s="489">
        <f>(1+INDEX($AC$21:$AC$97,B662))*(1+INDEX($AC$21:$AC$97,C662))*(1+INDEX($AC$21:$AC$97,D662))*(1+INDEX($AC$21:$AC$97,E662))*(1+INDEX($AC$21:$AC$97,F662))-1</f>
        <v>0.545905063351759</v>
      </c>
      <c r="M662" s="489">
        <f>(1+INDEX($AD$21:$AD$97,B662))*(1+INDEX($AD$21:$AD$97,C662))*(1+INDEX($AD$21:$AD$97,D662))*(1+INDEX($AD$21:$AD$97,E662))*(1+INDEX($AD$21:$AD$97,F662))-1</f>
        <v>0.580628318184923</v>
      </c>
      <c r="N662" s="489">
        <f>(1+INDEX($AE$21:$AE$97,B662))*(1+INDEX($AE$21:$AE$97,C662))*(1+INDEX($AE$21:$AE$97,D662))*(1+INDEX($AE$21:$AE$97,E662))*(1+INDEX($AE$21:$AE$97,F662))-1</f>
        <v>0.55087025542602</v>
      </c>
      <c r="O662" s="489">
        <f>(1+INDEX($AF$21:$AF$97,B662))*(1+INDEX($AF$21:$AF$97,C662))*(1+INDEX($AF$21:$AF$97,D662))*(1+INDEX($AF$21:$AF$97,E662))*(1+INDEX($AF$21:$AF$97,F662))-1</f>
        <v>0.521161109261985</v>
      </c>
      <c r="P662" s="489">
        <f>LN((1+L662)/(1+H662))</f>
        <v>0.0241070847347562</v>
      </c>
      <c r="Q662" s="489">
        <f>LN((1+M662)/(1+H662))</f>
        <v>0.0463199821041207</v>
      </c>
      <c r="R662" s="489">
        <f>LN((1+N662)/(1+H662))</f>
        <v>0.0273137728653713</v>
      </c>
      <c r="S662" s="542">
        <f>LN((1+O662)/(1+H662))</f>
        <v>0.00797147529445843</v>
      </c>
    </row>
    <row r="663">
      <c r="A663" s="320" t="n">
        <v>562</v>
      </c>
      <c r="B663" s="174" t="n">
        <v>63</v>
      </c>
      <c r="C663" s="174" t="n">
        <v>42</v>
      </c>
      <c r="D663" s="174" t="n">
        <v>38</v>
      </c>
      <c r="E663" s="174" t="n">
        <v>13</v>
      </c>
      <c r="F663" s="174" t="n">
        <v>67</v>
      </c>
      <c r="G663" s="68">
        <f>(1+INDEX($Z$21:$Z$97,B663))*(1+INDEX($Z$21:$Z$97,C663))*(1+INDEX($Z$21:$Z$97,D663))*(1+INDEX($Z$21:$Z$97,E663))*(1+INDEX($Z$21:$Z$97,F663))-1</f>
        <v>0.414570632741386</v>
      </c>
      <c r="H663" s="68">
        <f>(1+INDEX($AA$21:$AA$97,B663))*(1+INDEX($AA$21:$AA$97,C663))*(1+INDEX($AA$21:$AA$97,D663))*(1+INDEX($AA$21:$AA$97,E663))*(1+INDEX($AA$21:$AA$97,F663))-1</f>
        <v>0.339251577975894</v>
      </c>
      <c r="I663" s="68">
        <f>(1+INDEX($AB$21:$AB$97,B663))*(1+INDEX($AB$21:$AB$97,C663))*(1+INDEX($AB$21:$AB$97,D663))*(1+INDEX($AB$21:$AB$97,E663))*(1+INDEX($AB$21:$AB$97,F663))-1</f>
        <v>0.368655952805536</v>
      </c>
      <c r="J663" s="489">
        <f>LN((1+G663)/(1+H663))</f>
        <v>0.0547151112576442</v>
      </c>
      <c r="K663" s="489">
        <f>LN((1+I663)/(1+H663))</f>
        <v>0.021718267911294</v>
      </c>
      <c r="L663" s="489">
        <f>(1+INDEX($AC$21:$AC$97,B663))*(1+INDEX($AC$21:$AC$97,C663))*(1+INDEX($AC$21:$AC$97,D663))*(1+INDEX($AC$21:$AC$97,E663))*(1+INDEX($AC$21:$AC$97,F663))-1</f>
        <v>0.384309014624314</v>
      </c>
      <c r="M663" s="489">
        <f>(1+INDEX($AD$21:$AD$97,B663))*(1+INDEX($AD$21:$AD$97,C663))*(1+INDEX($AD$21:$AD$97,D663))*(1+INDEX($AD$21:$AD$97,E663))*(1+INDEX($AD$21:$AD$97,F663))-1</f>
        <v>0.355279608579729</v>
      </c>
      <c r="N663" s="489">
        <f>(1+INDEX($AE$21:$AE$97,B663))*(1+INDEX($AE$21:$AE$97,C663))*(1+INDEX($AE$21:$AE$97,D663))*(1+INDEX($AE$21:$AE$97,E663))*(1+INDEX($AE$21:$AE$97,F663))-1</f>
        <v>0.380663883292604</v>
      </c>
      <c r="O663" s="489">
        <f>(1+INDEX($AF$21:$AF$97,B663))*(1+INDEX($AF$21:$AF$97,C663))*(1+INDEX($AF$21:$AF$97,D663))*(1+INDEX($AF$21:$AF$97,E663))*(1+INDEX($AF$21:$AF$97,F663))-1</f>
        <v>0.33034502221423</v>
      </c>
      <c r="P663" s="489">
        <f>LN((1+L663)/(1+H663))</f>
        <v>0.0330901747039931</v>
      </c>
      <c r="Q663" s="489">
        <f>LN((1+M663)/(1+H663))</f>
        <v>0.0118968522074846</v>
      </c>
      <c r="R663" s="489">
        <f>LN((1+N663)/(1+H663))</f>
        <v>0.0304535243077599</v>
      </c>
      <c r="S663" s="542">
        <f>LN((1+O663)/(1+H663))</f>
        <v>-0.00667261024163268</v>
      </c>
    </row>
    <row r="664">
      <c r="A664" s="320" t="n">
        <v>563</v>
      </c>
      <c r="B664" s="174" t="n">
        <v>51</v>
      </c>
      <c r="C664" s="174" t="n">
        <v>63</v>
      </c>
      <c r="D664" s="174" t="n">
        <v>12</v>
      </c>
      <c r="E664" s="174" t="n">
        <v>73</v>
      </c>
      <c r="F664" s="174" t="n">
        <v>18</v>
      </c>
      <c r="G664" s="68">
        <f>(1+INDEX($Z$21:$Z$97,B664))*(1+INDEX($Z$21:$Z$97,C664))*(1+INDEX($Z$21:$Z$97,D664))*(1+INDEX($Z$21:$Z$97,E664))*(1+INDEX($Z$21:$Z$97,F664))-1</f>
        <v>0.325774769815094</v>
      </c>
      <c r="H664" s="68">
        <f>(1+INDEX($AA$21:$AA$97,B664))*(1+INDEX($AA$21:$AA$97,C664))*(1+INDEX($AA$21:$AA$97,D664))*(1+INDEX($AA$21:$AA$97,E664))*(1+INDEX($AA$21:$AA$97,F664))-1</f>
        <v>0.238200337051727</v>
      </c>
      <c r="I664" s="68">
        <f>(1+INDEX($AB$21:$AB$97,B664))*(1+INDEX($AB$21:$AB$97,C664))*(1+INDEX($AB$21:$AB$97,D664))*(1+INDEX($AB$21:$AB$97,E664))*(1+INDEX($AB$21:$AB$97,F664))-1</f>
        <v>0.265385599696296</v>
      </c>
      <c r="J664" s="489">
        <f>LN((1+G664)/(1+H664))</f>
        <v>0.0683380361709889</v>
      </c>
      <c r="K664" s="489">
        <f>LN((1+I664)/(1+H664))</f>
        <v>0.0217179133110229</v>
      </c>
      <c r="L664" s="489">
        <f>(1+INDEX($AC$21:$AC$97,B664))*(1+INDEX($AC$21:$AC$97,C664))*(1+INDEX($AC$21:$AC$97,D664))*(1+INDEX($AC$21:$AC$97,E664))*(1+INDEX($AC$21:$AC$97,F664))-1</f>
        <v>0.259298218631865</v>
      </c>
      <c r="M664" s="489">
        <f>(1+INDEX($AD$21:$AD$97,B664))*(1+INDEX($AD$21:$AD$97,C664))*(1+INDEX($AD$21:$AD$97,D664))*(1+INDEX($AD$21:$AD$97,E664))*(1+INDEX($AD$21:$AD$97,F664))-1</f>
        <v>0.252808065752405</v>
      </c>
      <c r="N664" s="489">
        <f>(1+INDEX($AE$21:$AE$97,B664))*(1+INDEX($AE$21:$AE$97,C664))*(1+INDEX($AE$21:$AE$97,D664))*(1+INDEX($AE$21:$AE$97,E664))*(1+INDEX($AE$21:$AE$97,F664))-1</f>
        <v>0.247598871301421</v>
      </c>
      <c r="O664" s="489">
        <f>(1+INDEX($AF$21:$AF$97,B664))*(1+INDEX($AF$21:$AF$97,C664))*(1+INDEX($AF$21:$AF$97,D664))*(1+INDEX($AF$21:$AF$97,E664))*(1+INDEX($AF$21:$AF$97,F664))-1</f>
        <v>0.240887058197677</v>
      </c>
      <c r="P664" s="489">
        <f>LN((1+L664)/(1+H664))</f>
        <v>0.0168956121445456</v>
      </c>
      <c r="Q664" s="489">
        <f>LN((1+M664)/(1+H664))</f>
        <v>0.0117285001000651</v>
      </c>
      <c r="R664" s="489">
        <f>LN((1+N664)/(1+H664))</f>
        <v>0.00756181674121139</v>
      </c>
      <c r="S664" s="542">
        <f>LN((1+O664)/(1+H664))</f>
        <v>0.00216750906238451</v>
      </c>
    </row>
    <row r="665">
      <c r="A665" s="320" t="n">
        <v>564</v>
      </c>
      <c r="B665" s="174" t="n">
        <v>21</v>
      </c>
      <c r="C665" s="174" t="n">
        <v>17</v>
      </c>
      <c r="D665" s="174" t="n">
        <v>26</v>
      </c>
      <c r="E665" s="174" t="n">
        <v>54</v>
      </c>
      <c r="F665" s="174" t="n">
        <v>25</v>
      </c>
      <c r="G665" s="68">
        <f>(1+INDEX($Z$21:$Z$97,B665))*(1+INDEX($Z$21:$Z$97,C665))*(1+INDEX($Z$21:$Z$97,D665))*(1+INDEX($Z$21:$Z$97,E665))*(1+INDEX($Z$21:$Z$97,F665))-1</f>
        <v>0.38532489635403</v>
      </c>
      <c r="H665" s="68">
        <f>(1+INDEX($AA$21:$AA$97,B665))*(1+INDEX($AA$21:$AA$97,C665))*(1+INDEX($AA$21:$AA$97,D665))*(1+INDEX($AA$21:$AA$97,E665))*(1+INDEX($AA$21:$AA$97,F665))-1</f>
        <v>0.353948639171976</v>
      </c>
      <c r="I665" s="68">
        <f>(1+INDEX($AB$21:$AB$97,B665))*(1+INDEX($AB$21:$AB$97,C665))*(1+INDEX($AB$21:$AB$97,D665))*(1+INDEX($AB$21:$AB$97,E665))*(1+INDEX($AB$21:$AB$97,F665))-1</f>
        <v>0.385788752749966</v>
      </c>
      <c r="J665" s="489">
        <f>LN((1+G665)/(1+H665))</f>
        <v>0.0229094532283675</v>
      </c>
      <c r="K665" s="489">
        <f>LN((1+I665)/(1+H665))</f>
        <v>0.0232442330021371</v>
      </c>
      <c r="L665" s="489">
        <f>(1+INDEX($AC$21:$AC$97,B665))*(1+INDEX($AC$21:$AC$97,C665))*(1+INDEX($AC$21:$AC$97,D665))*(1+INDEX($AC$21:$AC$97,E665))*(1+INDEX($AC$21:$AC$97,F665))-1</f>
        <v>0.357946315619909</v>
      </c>
      <c r="M665" s="489">
        <f>(1+INDEX($AD$21:$AD$97,B665))*(1+INDEX($AD$21:$AD$97,C665))*(1+INDEX($AD$21:$AD$97,D665))*(1+INDEX($AD$21:$AD$97,E665))*(1+INDEX($AD$21:$AD$97,F665))-1</f>
        <v>0.397796493384971</v>
      </c>
      <c r="N665" s="489">
        <f>(1+INDEX($AE$21:$AE$97,B665))*(1+INDEX($AE$21:$AE$97,C665))*(1+INDEX($AE$21:$AE$97,D665))*(1+INDEX($AE$21:$AE$97,E665))*(1+INDEX($AE$21:$AE$97,F665))-1</f>
        <v>0.353533662014179</v>
      </c>
      <c r="O665" s="489">
        <f>(1+INDEX($AF$21:$AF$97,B665))*(1+INDEX($AF$21:$AF$97,C665))*(1+INDEX($AF$21:$AF$97,D665))*(1+INDEX($AF$21:$AF$97,E665))*(1+INDEX($AF$21:$AF$97,F665))-1</f>
        <v>0.401198039479525</v>
      </c>
      <c r="P665" s="489">
        <f>LN((1+L665)/(1+H665))</f>
        <v>0.00294825530508742</v>
      </c>
      <c r="Q665" s="489">
        <f>LN((1+M665)/(1+H665))</f>
        <v>0.0318718222846264</v>
      </c>
      <c r="R665" s="489">
        <f>LN((1+N665)/(1+H665))</f>
        <v>-0.00030654099630877</v>
      </c>
      <c r="S665" s="542">
        <f>LN((1+O665)/(1+H665))</f>
        <v>0.034302372061832</v>
      </c>
    </row>
    <row r="666">
      <c r="A666" s="320" t="n">
        <v>565</v>
      </c>
      <c r="B666" s="174" t="n">
        <v>36</v>
      </c>
      <c r="C666" s="174" t="n">
        <v>67</v>
      </c>
      <c r="D666" s="174" t="n">
        <v>69</v>
      </c>
      <c r="E666" s="174" t="n">
        <v>44</v>
      </c>
      <c r="F666" s="174" t="n">
        <v>21</v>
      </c>
      <c r="G666" s="68">
        <f>(1+INDEX($Z$21:$Z$97,B666))*(1+INDEX($Z$21:$Z$97,C666))*(1+INDEX($Z$21:$Z$97,D666))*(1+INDEX($Z$21:$Z$97,E666))*(1+INDEX($Z$21:$Z$97,F666))-1</f>
        <v>0.440728562580351</v>
      </c>
      <c r="H666" s="68">
        <f>(1+INDEX($AA$21:$AA$97,B666))*(1+INDEX($AA$21:$AA$97,C666))*(1+INDEX($AA$21:$AA$97,D666))*(1+INDEX($AA$21:$AA$97,E666))*(1+INDEX($AA$21:$AA$97,F666))-1</f>
        <v>0.457419082469131</v>
      </c>
      <c r="I666" s="68">
        <f>(1+INDEX($AB$21:$AB$97,B666))*(1+INDEX($AB$21:$AB$97,C666))*(1+INDEX($AB$21:$AB$97,D666))*(1+INDEX($AB$21:$AB$97,E666))*(1+INDEX($AB$21:$AB$97,F666))-1</f>
        <v>0.471871340839041</v>
      </c>
      <c r="J666" s="489">
        <f>LN((1+G666)/(1+H666))</f>
        <v>-0.0115181877932348</v>
      </c>
      <c r="K666" s="489">
        <f>LN((1+I666)/(1+H666))</f>
        <v>0.0098674924955436</v>
      </c>
      <c r="L666" s="489">
        <f>(1+INDEX($AC$21:$AC$97,B666))*(1+INDEX($AC$21:$AC$97,C666))*(1+INDEX($AC$21:$AC$97,D666))*(1+INDEX($AC$21:$AC$97,E666))*(1+INDEX($AC$21:$AC$97,F666))-1</f>
        <v>0.470980244681555</v>
      </c>
      <c r="M666" s="489">
        <f>(1+INDEX($AD$21:$AD$97,B666))*(1+INDEX($AD$21:$AD$97,C666))*(1+INDEX($AD$21:$AD$97,D666))*(1+INDEX($AD$21:$AD$97,E666))*(1+INDEX($AD$21:$AD$97,F666))-1</f>
        <v>0.472498834244027</v>
      </c>
      <c r="N666" s="489">
        <f>(1+INDEX($AE$21:$AE$97,B666))*(1+INDEX($AE$21:$AE$97,C666))*(1+INDEX($AE$21:$AE$97,D666))*(1+INDEX($AE$21:$AE$97,E666))*(1+INDEX($AE$21:$AE$97,F666))-1</f>
        <v>0.487585188652067</v>
      </c>
      <c r="O666" s="489">
        <f>(1+INDEX($AF$21:$AF$97,B666))*(1+INDEX($AF$21:$AF$97,C666))*(1+INDEX($AF$21:$AF$97,D666))*(1+INDEX($AF$21:$AF$97,E666))*(1+INDEX($AF$21:$AF$97,F666))-1</f>
        <v>0.461520859340779</v>
      </c>
      <c r="P666" s="489">
        <f>LN((1+L666)/(1+H666))</f>
        <v>0.00926189200307936</v>
      </c>
      <c r="Q666" s="489">
        <f>LN((1+M666)/(1+H666))</f>
        <v>0.0102937251885631</v>
      </c>
      <c r="R666" s="489">
        <f>LN((1+N666)/(1+H666))</f>
        <v>0.0204870068100077</v>
      </c>
      <c r="S666" s="542">
        <f>LN((1+O666)/(1+H666))</f>
        <v>0.00281045835358144</v>
      </c>
    </row>
    <row r="667">
      <c r="A667" s="320" t="n">
        <v>566</v>
      </c>
      <c r="B667" s="174" t="n">
        <v>62</v>
      </c>
      <c r="C667" s="174" t="n">
        <v>19</v>
      </c>
      <c r="D667" s="174" t="n">
        <v>19</v>
      </c>
      <c r="E667" s="174" t="n">
        <v>49</v>
      </c>
      <c r="F667" s="174" t="n">
        <v>39</v>
      </c>
      <c r="G667" s="68">
        <f>(1+INDEX($Z$21:$Z$97,B667))*(1+INDEX($Z$21:$Z$97,C667))*(1+INDEX($Z$21:$Z$97,D667))*(1+INDEX($Z$21:$Z$97,E667))*(1+INDEX($Z$21:$Z$97,F667))-1</f>
        <v>0.0741000972365866</v>
      </c>
      <c r="H667" s="68">
        <f>(1+INDEX($AA$21:$AA$97,B667))*(1+INDEX($AA$21:$AA$97,C667))*(1+INDEX($AA$21:$AA$97,D667))*(1+INDEX($AA$21:$AA$97,E667))*(1+INDEX($AA$21:$AA$97,F667))-1</f>
        <v>0.0554374435942433</v>
      </c>
      <c r="I667" s="68">
        <f>(1+INDEX($AB$21:$AB$97,B667))*(1+INDEX($AB$21:$AB$97,C667))*(1+INDEX($AB$21:$AB$97,D667))*(1+INDEX($AB$21:$AB$97,E667))*(1+INDEX($AB$21:$AB$97,F667))-1</f>
        <v>0.0528343572730969</v>
      </c>
      <c r="J667" s="489">
        <f>LN((1+G667)/(1+H667))</f>
        <v>0.0175278726830834</v>
      </c>
      <c r="K667" s="489">
        <f>LN((1+I667)/(1+H667))</f>
        <v>-0.00246940422280256</v>
      </c>
      <c r="L667" s="489">
        <f>(1+INDEX($AC$21:$AC$97,B667))*(1+INDEX($AC$21:$AC$97,C667))*(1+INDEX($AC$21:$AC$97,D667))*(1+INDEX($AC$21:$AC$97,E667))*(1+INDEX($AC$21:$AC$97,F667))-1</f>
        <v>0.0416693453867985</v>
      </c>
      <c r="M667" s="489">
        <f>(1+INDEX($AD$21:$AD$97,B667))*(1+INDEX($AD$21:$AD$97,C667))*(1+INDEX($AD$21:$AD$97,D667))*(1+INDEX($AD$21:$AD$97,E667))*(1+INDEX($AD$21:$AD$97,F667))-1</f>
        <v>0.0369312637893506</v>
      </c>
      <c r="N667" s="489">
        <f>(1+INDEX($AE$21:$AE$97,B667))*(1+INDEX($AE$21:$AE$97,C667))*(1+INDEX($AE$21:$AE$97,D667))*(1+INDEX($AE$21:$AE$97,E667))*(1+INDEX($AE$21:$AE$97,F667))-1</f>
        <v>0.0418986023321126</v>
      </c>
      <c r="O667" s="489">
        <f>(1+INDEX($AF$21:$AF$97,B667))*(1+INDEX($AF$21:$AF$97,C667))*(1+INDEX($AF$21:$AF$97,D667))*(1+INDEX($AF$21:$AF$97,E667))*(1+INDEX($AF$21:$AF$97,F667))-1</f>
        <v>0.0484493086465008</v>
      </c>
      <c r="P667" s="489">
        <f>LN((1+L667)/(1+H667))</f>
        <v>-0.0131307533789315</v>
      </c>
      <c r="Q667" s="489">
        <f>LN((1+M667)/(1+H667))</f>
        <v>-0.0176896761299376</v>
      </c>
      <c r="R667" s="489">
        <f>LN((1+N667)/(1+H667))</f>
        <v>-0.0129106914927901</v>
      </c>
      <c r="S667" s="542">
        <f>LN((1+O667)/(1+H667))</f>
        <v>-0.00664309582211845</v>
      </c>
    </row>
    <row r="668">
      <c r="A668" s="320" t="n">
        <v>567</v>
      </c>
      <c r="B668" s="174" t="n">
        <v>1</v>
      </c>
      <c r="C668" s="174" t="n">
        <v>52</v>
      </c>
      <c r="D668" s="174" t="n">
        <v>5</v>
      </c>
      <c r="E668" s="174" t="n">
        <v>31</v>
      </c>
      <c r="F668" s="174" t="n">
        <v>50</v>
      </c>
      <c r="G668" s="68">
        <f>(1+INDEX($Z$21:$Z$97,B668))*(1+INDEX($Z$21:$Z$97,C668))*(1+INDEX($Z$21:$Z$97,D668))*(1+INDEX($Z$21:$Z$97,E668))*(1+INDEX($Z$21:$Z$97,F668))-1</f>
        <v>0.483652036347663</v>
      </c>
      <c r="H668" s="68">
        <f>(1+INDEX($AA$21:$AA$97,B668))*(1+INDEX($AA$21:$AA$97,C668))*(1+INDEX($AA$21:$AA$97,D668))*(1+INDEX($AA$21:$AA$97,E668))*(1+INDEX($AA$21:$AA$97,F668))-1</f>
        <v>0.44716386329432</v>
      </c>
      <c r="I668" s="68">
        <f>(1+INDEX($AB$21:$AB$97,B668))*(1+INDEX($AB$21:$AB$97,C668))*(1+INDEX($AB$21:$AB$97,D668))*(1+INDEX($AB$21:$AB$97,E668))*(1+INDEX($AB$21:$AB$97,F668))-1</f>
        <v>0.459092352172119</v>
      </c>
      <c r="J668" s="489">
        <f>LN((1+G668)/(1+H668))</f>
        <v>0.0249009556934074</v>
      </c>
      <c r="K668" s="489">
        <f>LN((1+I668)/(1+H668))</f>
        <v>0.00820888110167445</v>
      </c>
      <c r="L668" s="489">
        <f>(1+INDEX($AC$21:$AC$97,B668))*(1+INDEX($AC$21:$AC$97,C668))*(1+INDEX($AC$21:$AC$97,D668))*(1+INDEX($AC$21:$AC$97,E668))*(1+INDEX($AC$21:$AC$97,F668))-1</f>
        <v>0.452505307577844</v>
      </c>
      <c r="M668" s="489">
        <f>(1+INDEX($AD$21:$AD$97,B668))*(1+INDEX($AD$21:$AD$97,C668))*(1+INDEX($AD$21:$AD$97,D668))*(1+INDEX($AD$21:$AD$97,E668))*(1+INDEX($AD$21:$AD$97,F668))-1</f>
        <v>0.459988171830128</v>
      </c>
      <c r="N668" s="489">
        <f>(1+INDEX($AE$21:$AE$97,B668))*(1+INDEX($AE$21:$AE$97,C668))*(1+INDEX($AE$21:$AE$97,D668))*(1+INDEX($AE$21:$AE$97,E668))*(1+INDEX($AE$21:$AE$97,F668))-1</f>
        <v>0.443927047579391</v>
      </c>
      <c r="O668" s="489">
        <f>(1+INDEX($AF$21:$AF$97,B668))*(1+INDEX($AF$21:$AF$97,C668))*(1+INDEX($AF$21:$AF$97,D668))*(1+INDEX($AF$21:$AF$97,E668))*(1+INDEX($AF$21:$AF$97,F668))-1</f>
        <v>0.458847860285292</v>
      </c>
      <c r="P668" s="489">
        <f>LN((1+L668)/(1+H668))</f>
        <v>0.0036841791324856</v>
      </c>
      <c r="Q668" s="489">
        <f>LN((1+M668)/(1+H668))</f>
        <v>0.00882264949810308</v>
      </c>
      <c r="R668" s="489">
        <f>LN((1+N668)/(1+H668))</f>
        <v>-0.00223916657561255</v>
      </c>
      <c r="S668" s="542">
        <f>LN((1+O668)/(1+H668))</f>
        <v>0.0080413026938953</v>
      </c>
    </row>
    <row r="669">
      <c r="A669" s="320" t="n">
        <v>568</v>
      </c>
      <c r="B669" s="174" t="n">
        <v>22</v>
      </c>
      <c r="C669" s="174" t="n">
        <v>34</v>
      </c>
      <c r="D669" s="174" t="n">
        <v>69</v>
      </c>
      <c r="E669" s="174" t="n">
        <v>20</v>
      </c>
      <c r="F669" s="174" t="n">
        <v>18</v>
      </c>
      <c r="G669" s="68">
        <f>(1+INDEX($Z$21:$Z$97,B669))*(1+INDEX($Z$21:$Z$97,C669))*(1+INDEX($Z$21:$Z$97,D669))*(1+INDEX($Z$21:$Z$97,E669))*(1+INDEX($Z$21:$Z$97,F669))-1</f>
        <v>0.345563805820692</v>
      </c>
      <c r="H669" s="68">
        <f>(1+INDEX($AA$21:$AA$97,B669))*(1+INDEX($AA$21:$AA$97,C669))*(1+INDEX($AA$21:$AA$97,D669))*(1+INDEX($AA$21:$AA$97,E669))*(1+INDEX($AA$21:$AA$97,F669))-1</f>
        <v>0.359660964364447</v>
      </c>
      <c r="I669" s="68">
        <f>(1+INDEX($AB$21:$AB$97,B669))*(1+INDEX($AB$21:$AB$97,C669))*(1+INDEX($AB$21:$AB$97,D669))*(1+INDEX($AB$21:$AB$97,E669))*(1+INDEX($AB$21:$AB$97,F669))-1</f>
        <v>0.361770680991537</v>
      </c>
      <c r="J669" s="489">
        <f>LN((1+G669)/(1+H669))</f>
        <v>-0.0104222660578431</v>
      </c>
      <c r="K669" s="489">
        <f>LN((1+I669)/(1+H669))</f>
        <v>0.00155044647424167</v>
      </c>
      <c r="L669" s="489">
        <f>(1+INDEX($AC$21:$AC$97,B669))*(1+INDEX($AC$21:$AC$97,C669))*(1+INDEX($AC$21:$AC$97,D669))*(1+INDEX($AC$21:$AC$97,E669))*(1+INDEX($AC$21:$AC$97,F669))-1</f>
        <v>0.340997050187408</v>
      </c>
      <c r="M669" s="489">
        <f>(1+INDEX($AD$21:$AD$97,B669))*(1+INDEX($AD$21:$AD$97,C669))*(1+INDEX($AD$21:$AD$97,D669))*(1+INDEX($AD$21:$AD$97,E669))*(1+INDEX($AD$21:$AD$97,F669))-1</f>
        <v>0.369492547380096</v>
      </c>
      <c r="N669" s="489">
        <f>(1+INDEX($AE$21:$AE$97,B669))*(1+INDEX($AE$21:$AE$97,C669))*(1+INDEX($AE$21:$AE$97,D669))*(1+INDEX($AE$21:$AE$97,E669))*(1+INDEX($AE$21:$AE$97,F669))-1</f>
        <v>0.35776483836193</v>
      </c>
      <c r="O669" s="489">
        <f>(1+INDEX($AF$21:$AF$97,B669))*(1+INDEX($AF$21:$AF$97,C669))*(1+INDEX($AF$21:$AF$97,D669))*(1+INDEX($AF$21:$AF$97,E669))*(1+INDEX($AF$21:$AF$97,F669))-1</f>
        <v>0.358911833140489</v>
      </c>
      <c r="P669" s="489">
        <f>LN((1+L669)/(1+H669))</f>
        <v>-0.013821973175305</v>
      </c>
      <c r="Q669" s="489">
        <f>LN((1+M669)/(1+H669))</f>
        <v>0.007204890090245</v>
      </c>
      <c r="R669" s="489">
        <f>LN((1+N669)/(1+H669))</f>
        <v>-0.00139553124750762</v>
      </c>
      <c r="S669" s="542">
        <f>LN((1+O669)/(1+H669))</f>
        <v>-0.00055112097318616</v>
      </c>
    </row>
    <row r="670">
      <c r="A670" s="320" t="n">
        <v>569</v>
      </c>
      <c r="B670" s="174" t="n">
        <v>50</v>
      </c>
      <c r="C670" s="174" t="n">
        <v>3</v>
      </c>
      <c r="D670" s="174" t="n">
        <v>64</v>
      </c>
      <c r="E670" s="174" t="n">
        <v>60</v>
      </c>
      <c r="F670" s="174" t="n">
        <v>5</v>
      </c>
      <c r="G670" s="68">
        <f>(1+INDEX($Z$21:$Z$97,B670))*(1+INDEX($Z$21:$Z$97,C670))*(1+INDEX($Z$21:$Z$97,D670))*(1+INDEX($Z$21:$Z$97,E670))*(1+INDEX($Z$21:$Z$97,F670))-1</f>
        <v>0.238799147987379</v>
      </c>
      <c r="H670" s="68">
        <f>(1+INDEX($AA$21:$AA$97,B670))*(1+INDEX($AA$21:$AA$97,C670))*(1+INDEX($AA$21:$AA$97,D670))*(1+INDEX($AA$21:$AA$97,E670))*(1+INDEX($AA$21:$AA$97,F670))-1</f>
        <v>0.214488631666159</v>
      </c>
      <c r="I670" s="68">
        <f>(1+INDEX($AB$21:$AB$97,B670))*(1+INDEX($AB$21:$AB$97,C670))*(1+INDEX($AB$21:$AB$97,D670))*(1+INDEX($AB$21:$AB$97,E670))*(1+INDEX($AB$21:$AB$97,F670))-1</f>
        <v>0.20532426948889</v>
      </c>
      <c r="J670" s="489">
        <f>LN((1+G670)/(1+H670))</f>
        <v>0.0198193724332825</v>
      </c>
      <c r="K670" s="489">
        <f>LN((1+I670)/(1+H670))</f>
        <v>-0.00757447485975353</v>
      </c>
      <c r="L670" s="489">
        <f>(1+INDEX($AC$21:$AC$97,B670))*(1+INDEX($AC$21:$AC$97,C670))*(1+INDEX($AC$21:$AC$97,D670))*(1+INDEX($AC$21:$AC$97,E670))*(1+INDEX($AC$21:$AC$97,F670))-1</f>
        <v>0.221011026951765</v>
      </c>
      <c r="M670" s="489">
        <f>(1+INDEX($AD$21:$AD$97,B670))*(1+INDEX($AD$21:$AD$97,C670))*(1+INDEX($AD$21:$AD$97,D670))*(1+INDEX($AD$21:$AD$97,E670))*(1+INDEX($AD$21:$AD$97,F670))-1</f>
        <v>0.174240877583935</v>
      </c>
      <c r="N670" s="489">
        <f>(1+INDEX($AE$21:$AE$97,B670))*(1+INDEX($AE$21:$AE$97,C670))*(1+INDEX($AE$21:$AE$97,D670))*(1+INDEX($AE$21:$AE$97,E670))*(1+INDEX($AE$21:$AE$97,F670))-1</f>
        <v>0.212895144561563</v>
      </c>
      <c r="O670" s="489">
        <f>(1+INDEX($AF$21:$AF$97,B670))*(1+INDEX($AF$21:$AF$97,C670))*(1+INDEX($AF$21:$AF$97,D670))*(1+INDEX($AF$21:$AF$97,E670))*(1+INDEX($AF$21:$AF$97,F670))-1</f>
        <v>0.185741754937513</v>
      </c>
      <c r="P670" s="489">
        <f>LN((1+L670)/(1+H670))</f>
        <v>0.00535611725946109</v>
      </c>
      <c r="Q670" s="489">
        <f>LN((1+M670)/(1+H670))</f>
        <v>-0.033701231733171</v>
      </c>
      <c r="R670" s="489">
        <f>LN((1+N670)/(1+H670))</f>
        <v>-0.00131292575084475</v>
      </c>
      <c r="S670" s="542">
        <f>LN((1+O670)/(1+H670))</f>
        <v>-0.0239545766171907</v>
      </c>
    </row>
    <row r="671">
      <c r="A671" s="320" t="n">
        <v>570</v>
      </c>
      <c r="B671" s="174" t="n">
        <v>51</v>
      </c>
      <c r="C671" s="174" t="n">
        <v>76</v>
      </c>
      <c r="D671" s="174" t="n">
        <v>11</v>
      </c>
      <c r="E671" s="174" t="n">
        <v>72</v>
      </c>
      <c r="F671" s="174" t="n">
        <v>57</v>
      </c>
      <c r="G671" s="68">
        <f>(1+INDEX($Z$21:$Z$97,B671))*(1+INDEX($Z$21:$Z$97,C671))*(1+INDEX($Z$21:$Z$97,D671))*(1+INDEX($Z$21:$Z$97,E671))*(1+INDEX($Z$21:$Z$97,F671))-1</f>
        <v>0.623872549183441</v>
      </c>
      <c r="H671" s="68">
        <f>(1+INDEX($AA$21:$AA$97,B671))*(1+INDEX($AA$21:$AA$97,C671))*(1+INDEX($AA$21:$AA$97,D671))*(1+INDEX($AA$21:$AA$97,E671))*(1+INDEX($AA$21:$AA$97,F671))-1</f>
        <v>0.545861820636254</v>
      </c>
      <c r="I671" s="68">
        <f>(1+INDEX($AB$21:$AB$97,B671))*(1+INDEX($AB$21:$AB$97,C671))*(1+INDEX($AB$21:$AB$97,D671))*(1+INDEX($AB$21:$AB$97,E671))*(1+INDEX($AB$21:$AB$97,F671))-1</f>
        <v>0.592366473243223</v>
      </c>
      <c r="J671" s="489">
        <f>LN((1+G671)/(1+H671))</f>
        <v>0.0492321915533769</v>
      </c>
      <c r="K671" s="489">
        <f>LN((1+I671)/(1+H671))</f>
        <v>0.0296396901522208</v>
      </c>
      <c r="L671" s="489">
        <f>(1+INDEX($AC$21:$AC$97,B671))*(1+INDEX($AC$21:$AC$97,C671))*(1+INDEX($AC$21:$AC$97,D671))*(1+INDEX($AC$21:$AC$97,E671))*(1+INDEX($AC$21:$AC$97,F671))-1</f>
        <v>0.588390478090075</v>
      </c>
      <c r="M671" s="489">
        <f>(1+INDEX($AD$21:$AD$97,B671))*(1+INDEX($AD$21:$AD$97,C671))*(1+INDEX($AD$21:$AD$97,D671))*(1+INDEX($AD$21:$AD$97,E671))*(1+INDEX($AD$21:$AD$97,F671))-1</f>
        <v>0.605356911688408</v>
      </c>
      <c r="N671" s="489">
        <f>(1+INDEX($AE$21:$AE$97,B671))*(1+INDEX($AE$21:$AE$97,C671))*(1+INDEX($AE$21:$AE$97,D671))*(1+INDEX($AE$21:$AE$97,E671))*(1+INDEX($AE$21:$AE$97,F671))-1</f>
        <v>0.568156112467533</v>
      </c>
      <c r="O671" s="489">
        <f>(1+INDEX($AF$21:$AF$97,B671))*(1+INDEX($AF$21:$AF$97,C671))*(1+INDEX($AF$21:$AF$97,D671))*(1+INDEX($AF$21:$AF$97,E671))*(1+INDEX($AF$21:$AF$97,F671))-1</f>
        <v>0.603852924686537</v>
      </c>
      <c r="P671" s="489">
        <f>LN((1+L671)/(1+H671))</f>
        <v>0.0271396580624596</v>
      </c>
      <c r="Q671" s="489">
        <f>LN((1+M671)/(1+H671))</f>
        <v>0.0377645392045132</v>
      </c>
      <c r="R671" s="489">
        <f>LN((1+N671)/(1+H671))</f>
        <v>0.0143189109553782</v>
      </c>
      <c r="S671" s="542">
        <f>LN((1+O671)/(1+H671))</f>
        <v>0.0368272448618799</v>
      </c>
    </row>
    <row r="672">
      <c r="A672" s="320" t="n">
        <v>571</v>
      </c>
      <c r="B672" s="174" t="n">
        <v>37</v>
      </c>
      <c r="C672" s="174" t="n">
        <v>62</v>
      </c>
      <c r="D672" s="174" t="n">
        <v>74</v>
      </c>
      <c r="E672" s="174" t="n">
        <v>45</v>
      </c>
      <c r="F672" s="174" t="n">
        <v>55</v>
      </c>
      <c r="G672" s="68">
        <f>(1+INDEX($Z$21:$Z$97,B672))*(1+INDEX($Z$21:$Z$97,C672))*(1+INDEX($Z$21:$Z$97,D672))*(1+INDEX($Z$21:$Z$97,E672))*(1+INDEX($Z$21:$Z$97,F672))-1</f>
        <v>-0.00756011353427444</v>
      </c>
      <c r="H672" s="68">
        <f>(1+INDEX($AA$21:$AA$97,B672))*(1+INDEX($AA$21:$AA$97,C672))*(1+INDEX($AA$21:$AA$97,D672))*(1+INDEX($AA$21:$AA$97,E672))*(1+INDEX($AA$21:$AA$97,F672))-1</f>
        <v>0.0302236152482469</v>
      </c>
      <c r="I672" s="68">
        <f>(1+INDEX($AB$21:$AB$97,B672))*(1+INDEX($AB$21:$AB$97,C672))*(1+INDEX($AB$21:$AB$97,D672))*(1+INDEX($AB$21:$AB$97,E672))*(1+INDEX($AB$21:$AB$97,F672))-1</f>
        <v>0.024571708107072</v>
      </c>
      <c r="J672" s="489">
        <f>LN((1+G672)/(1+H672))</f>
        <v>-0.0373647169088541</v>
      </c>
      <c r="K672" s="489">
        <f>LN((1+I672)/(1+H672))</f>
        <v>-0.00550120134172705</v>
      </c>
      <c r="L672" s="489">
        <f>(1+INDEX($AC$21:$AC$97,B672))*(1+INDEX($AC$21:$AC$97,C672))*(1+INDEX($AC$21:$AC$97,D672))*(1+INDEX($AC$21:$AC$97,E672))*(1+INDEX($AC$21:$AC$97,F672))-1</f>
        <v>0.0212840762091753</v>
      </c>
      <c r="M672" s="489">
        <f>(1+INDEX($AD$21:$AD$97,B672))*(1+INDEX($AD$21:$AD$97,C672))*(1+INDEX($AD$21:$AD$97,D672))*(1+INDEX($AD$21:$AD$97,E672))*(1+INDEX($AD$21:$AD$97,F672))-1</f>
        <v>0.0178607327601381</v>
      </c>
      <c r="N672" s="489">
        <f>(1+INDEX($AE$21:$AE$97,B672))*(1+INDEX($AE$21:$AE$97,C672))*(1+INDEX($AE$21:$AE$97,D672))*(1+INDEX($AE$21:$AE$97,E672))*(1+INDEX($AE$21:$AE$97,F672))-1</f>
        <v>0.0170932557042731</v>
      </c>
      <c r="O672" s="489">
        <f>(1+INDEX($AF$21:$AF$97,B672))*(1+INDEX($AF$21:$AF$97,C672))*(1+INDEX($AF$21:$AF$97,D672))*(1+INDEX($AF$21:$AF$97,E672))*(1+INDEX($AF$21:$AF$97,F672))-1</f>
        <v>0.0190582970099906</v>
      </c>
      <c r="P672" s="489">
        <f>LN((1+L672)/(1+H672))</f>
        <v>-0.00871514706854835</v>
      </c>
      <c r="Q672" s="489">
        <f>LN((1+M672)/(1+H672))</f>
        <v>-0.0120727768456176</v>
      </c>
      <c r="R672" s="489">
        <f>LN((1+N672)/(1+H672))</f>
        <v>-0.0128270711408245</v>
      </c>
      <c r="S672" s="542">
        <f>LN((1+O672)/(1+H672))</f>
        <v>-0.010896918237265</v>
      </c>
    </row>
    <row r="673">
      <c r="A673" s="320" t="n">
        <v>572</v>
      </c>
      <c r="B673" s="174" t="n">
        <v>76</v>
      </c>
      <c r="C673" s="174" t="n">
        <v>77</v>
      </c>
      <c r="D673" s="174" t="n">
        <v>42</v>
      </c>
      <c r="E673" s="174" t="n">
        <v>34</v>
      </c>
      <c r="F673" s="174" t="n">
        <v>62</v>
      </c>
      <c r="G673" s="68">
        <f>(1+INDEX($Z$21:$Z$97,B673))*(1+INDEX($Z$21:$Z$97,C673))*(1+INDEX($Z$21:$Z$97,D673))*(1+INDEX($Z$21:$Z$97,E673))*(1+INDEX($Z$21:$Z$97,F673))-1</f>
        <v>0.298994359942695</v>
      </c>
      <c r="H673" s="68">
        <f>(1+INDEX($AA$21:$AA$97,B673))*(1+INDEX($AA$21:$AA$97,C673))*(1+INDEX($AA$21:$AA$97,D673))*(1+INDEX($AA$21:$AA$97,E673))*(1+INDEX($AA$21:$AA$97,F673))-1</f>
        <v>0.321539735294855</v>
      </c>
      <c r="I673" s="68">
        <f>(1+INDEX($AB$21:$AB$97,B673))*(1+INDEX($AB$21:$AB$97,C673))*(1+INDEX($AB$21:$AB$97,D673))*(1+INDEX($AB$21:$AB$97,E673))*(1+INDEX($AB$21:$AB$97,F673))-1</f>
        <v>0.367787196431239</v>
      </c>
      <c r="J673" s="489">
        <f>LN((1+G673)/(1+H673))</f>
        <v>-0.0172071271041761</v>
      </c>
      <c r="K673" s="489">
        <f>LN((1+I673)/(1+H673))</f>
        <v>0.0343967259979212</v>
      </c>
      <c r="L673" s="489">
        <f>(1+INDEX($AC$21:$AC$97,B673))*(1+INDEX($AC$21:$AC$97,C673))*(1+INDEX($AC$21:$AC$97,D673))*(1+INDEX($AC$21:$AC$97,E673))*(1+INDEX($AC$21:$AC$97,F673))-1</f>
        <v>0.384713547824633</v>
      </c>
      <c r="M673" s="489">
        <f>(1+INDEX($AD$21:$AD$97,B673))*(1+INDEX($AD$21:$AD$97,C673))*(1+INDEX($AD$21:$AD$97,D673))*(1+INDEX($AD$21:$AD$97,E673))*(1+INDEX($AD$21:$AD$97,F673))-1</f>
        <v>0.33960345448415</v>
      </c>
      <c r="N673" s="489">
        <f>(1+INDEX($AE$21:$AE$97,B673))*(1+INDEX($AE$21:$AE$97,C673))*(1+INDEX($AE$21:$AE$97,D673))*(1+INDEX($AE$21:$AE$97,E673))*(1+INDEX($AE$21:$AE$97,F673))-1</f>
        <v>0.355082220761106</v>
      </c>
      <c r="O673" s="489">
        <f>(1+INDEX($AF$21:$AF$97,B673))*(1+INDEX($AF$21:$AF$97,C673))*(1+INDEX($AF$21:$AF$97,D673))*(1+INDEX($AF$21:$AF$97,E673))*(1+INDEX($AF$21:$AF$97,F673))-1</f>
        <v>0.28806407137482</v>
      </c>
      <c r="P673" s="489">
        <f>LN((1+L673)/(1+H673))</f>
        <v>0.046695770635062</v>
      </c>
      <c r="Q673" s="489">
        <f>LN((1+M673)/(1+H673))</f>
        <v>0.0135761177398957</v>
      </c>
      <c r="R673" s="489">
        <f>LN((1+N673)/(1+H673))</f>
        <v>0.0250646090815154</v>
      </c>
      <c r="S673" s="542">
        <f>LN((1+O673)/(1+H673))</f>
        <v>-0.0256571516365578</v>
      </c>
    </row>
    <row r="674">
      <c r="A674" s="320" t="n">
        <v>573</v>
      </c>
      <c r="B674" s="174" t="n">
        <v>33</v>
      </c>
      <c r="C674" s="174" t="n">
        <v>32</v>
      </c>
      <c r="D674" s="174" t="n">
        <v>28</v>
      </c>
      <c r="E674" s="174" t="n">
        <v>13</v>
      </c>
      <c r="F674" s="174" t="n">
        <v>1</v>
      </c>
      <c r="G674" s="68">
        <f>(1+INDEX($Z$21:$Z$97,B674))*(1+INDEX($Z$21:$Z$97,C674))*(1+INDEX($Z$21:$Z$97,D674))*(1+INDEX($Z$21:$Z$97,E674))*(1+INDEX($Z$21:$Z$97,F674))-1</f>
        <v>1.25162331322996</v>
      </c>
      <c r="H674" s="68">
        <f>(1+INDEX($AA$21:$AA$97,B674))*(1+INDEX($AA$21:$AA$97,C674))*(1+INDEX($AA$21:$AA$97,D674))*(1+INDEX($AA$21:$AA$97,E674))*(1+INDEX($AA$21:$AA$97,F674))-1</f>
        <v>1.08519556378079</v>
      </c>
      <c r="I674" s="68">
        <f>(1+INDEX($AB$21:$AB$97,B674))*(1+INDEX($AB$21:$AB$97,C674))*(1+INDEX($AB$21:$AB$97,D674))*(1+INDEX($AB$21:$AB$97,E674))*(1+INDEX($AB$21:$AB$97,F674))-1</f>
        <v>1.2118977971878</v>
      </c>
      <c r="J674" s="489">
        <f>LN((1+G674)/(1+H674))</f>
        <v>0.0767887821962252</v>
      </c>
      <c r="K674" s="489">
        <f>LN((1+I674)/(1+H674))</f>
        <v>0.058988232359129</v>
      </c>
      <c r="L674" s="489">
        <f>(1+INDEX($AC$21:$AC$97,B674))*(1+INDEX($AC$21:$AC$97,C674))*(1+INDEX($AC$21:$AC$97,D674))*(1+INDEX($AC$21:$AC$97,E674))*(1+INDEX($AC$21:$AC$97,F674))-1</f>
        <v>1.20958084618177</v>
      </c>
      <c r="M674" s="489">
        <f>(1+INDEX($AD$21:$AD$97,B674))*(1+INDEX($AD$21:$AD$97,C674))*(1+INDEX($AD$21:$AD$97,D674))*(1+INDEX($AD$21:$AD$97,E674))*(1+INDEX($AD$21:$AD$97,F674))-1</f>
        <v>1.2390828127161</v>
      </c>
      <c r="N674" s="489">
        <f>(1+INDEX($AE$21:$AE$97,B674))*(1+INDEX($AE$21:$AE$97,C674))*(1+INDEX($AE$21:$AE$97,D674))*(1+INDEX($AE$21:$AE$97,E674))*(1+INDEX($AE$21:$AE$97,F674))-1</f>
        <v>1.22176630901115</v>
      </c>
      <c r="O674" s="489">
        <f>(1+INDEX($AF$21:$AF$97,B674))*(1+INDEX($AF$21:$AF$97,C674))*(1+INDEX($AF$21:$AF$97,D674))*(1+INDEX($AF$21:$AF$97,E674))*(1+INDEX($AF$21:$AF$97,F674))-1</f>
        <v>1.0710715259764</v>
      </c>
      <c r="P674" s="489">
        <f>LN((1+L674)/(1+H674))</f>
        <v>0.0579401887497407</v>
      </c>
      <c r="Q674" s="489">
        <f>LN((1+M674)/(1+H674))</f>
        <v>0.0712036769764516</v>
      </c>
      <c r="R674" s="489">
        <f>LN((1+N674)/(1+H674))</f>
        <v>0.0634398677938543</v>
      </c>
      <c r="S674" s="542">
        <f>LN((1+O674)/(1+H674))</f>
        <v>-0.00679652768620717</v>
      </c>
    </row>
    <row r="675">
      <c r="A675" s="320" t="n">
        <v>574</v>
      </c>
      <c r="B675" s="174" t="n">
        <v>58</v>
      </c>
      <c r="C675" s="174" t="n">
        <v>54</v>
      </c>
      <c r="D675" s="174" t="n">
        <v>65</v>
      </c>
      <c r="E675" s="174" t="n">
        <v>33</v>
      </c>
      <c r="F675" s="174" t="n">
        <v>74</v>
      </c>
      <c r="G675" s="68">
        <f>(1+INDEX($Z$21:$Z$97,B675))*(1+INDEX($Z$21:$Z$97,C675))*(1+INDEX($Z$21:$Z$97,D675))*(1+INDEX($Z$21:$Z$97,E675))*(1+INDEX($Z$21:$Z$97,F675))-1</f>
        <v>0.548600534913299</v>
      </c>
      <c r="H675" s="68">
        <f>(1+INDEX($AA$21:$AA$97,B675))*(1+INDEX($AA$21:$AA$97,C675))*(1+INDEX($AA$21:$AA$97,D675))*(1+INDEX($AA$21:$AA$97,E675))*(1+INDEX($AA$21:$AA$97,F675))-1</f>
        <v>0.551518873619794</v>
      </c>
      <c r="I675" s="68">
        <f>(1+INDEX($AB$21:$AB$97,B675))*(1+INDEX($AB$21:$AB$97,C675))*(1+INDEX($AB$21:$AB$97,D675))*(1+INDEX($AB$21:$AB$97,E675))*(1+INDEX($AB$21:$AB$97,F675))-1</f>
        <v>0.606401880403629</v>
      </c>
      <c r="J675" s="489">
        <f>LN((1+G675)/(1+H675))</f>
        <v>-0.00188272720109148</v>
      </c>
      <c r="K675" s="489">
        <f>LN((1+I675)/(1+H675))</f>
        <v>0.0347624514957138</v>
      </c>
      <c r="L675" s="489">
        <f>(1+INDEX($AC$21:$AC$97,B675))*(1+INDEX($AC$21:$AC$97,C675))*(1+INDEX($AC$21:$AC$97,D675))*(1+INDEX($AC$21:$AC$97,E675))*(1+INDEX($AC$21:$AC$97,F675))-1</f>
        <v>0.604505197648241</v>
      </c>
      <c r="M675" s="489">
        <f>(1+INDEX($AD$21:$AD$97,B675))*(1+INDEX($AD$21:$AD$97,C675))*(1+INDEX($AD$21:$AD$97,D675))*(1+INDEX($AD$21:$AD$97,E675))*(1+INDEX($AD$21:$AD$97,F675))-1</f>
        <v>0.6048266148442</v>
      </c>
      <c r="N675" s="489">
        <f>(1+INDEX($AE$21:$AE$97,B675))*(1+INDEX($AE$21:$AE$97,C675))*(1+INDEX($AE$21:$AE$97,D675))*(1+INDEX($AE$21:$AE$97,E675))*(1+INDEX($AE$21:$AE$97,F675))-1</f>
        <v>0.605994490629878</v>
      </c>
      <c r="O675" s="489">
        <f>(1+INDEX($AF$21:$AF$97,B675))*(1+INDEX($AF$21:$AF$97,C675))*(1+INDEX($AF$21:$AF$97,D675))*(1+INDEX($AF$21:$AF$97,E675))*(1+INDEX($AF$21:$AF$97,F675))-1</f>
        <v>0.540294162897933</v>
      </c>
      <c r="P675" s="489">
        <f>LN((1+L675)/(1+H675))</f>
        <v>0.0335810513929493</v>
      </c>
      <c r="Q675" s="489">
        <f>LN((1+M675)/(1+H675))</f>
        <v>0.0337813530232029</v>
      </c>
      <c r="R675" s="489">
        <f>LN((1+N675)/(1+H675))</f>
        <v>0.0345088154378423</v>
      </c>
      <c r="S675" s="542">
        <f>LN((1+O675)/(1+H675))</f>
        <v>-0.00726095653555376</v>
      </c>
    </row>
    <row r="676">
      <c r="A676" s="320" t="n">
        <v>575</v>
      </c>
      <c r="B676" s="174" t="n">
        <v>50</v>
      </c>
      <c r="C676" s="174" t="n">
        <v>25</v>
      </c>
      <c r="D676" s="174" t="n">
        <v>67</v>
      </c>
      <c r="E676" s="174" t="n">
        <v>30</v>
      </c>
      <c r="F676" s="174" t="n">
        <v>72</v>
      </c>
      <c r="G676" s="68">
        <f>(1+INDEX($Z$21:$Z$97,B676))*(1+INDEX($Z$21:$Z$97,C676))*(1+INDEX($Z$21:$Z$97,D676))*(1+INDEX($Z$21:$Z$97,E676))*(1+INDEX($Z$21:$Z$97,F676))-1</f>
        <v>0.765828218588913</v>
      </c>
      <c r="H676" s="68">
        <f>(1+INDEX($AA$21:$AA$97,B676))*(1+INDEX($AA$21:$AA$97,C676))*(1+INDEX($AA$21:$AA$97,D676))*(1+INDEX($AA$21:$AA$97,E676))*(1+INDEX($AA$21:$AA$97,F676))-1</f>
        <v>0.703720515728868</v>
      </c>
      <c r="I676" s="68">
        <f>(1+INDEX($AB$21:$AB$97,B676))*(1+INDEX($AB$21:$AB$97,C676))*(1+INDEX($AB$21:$AB$97,D676))*(1+INDEX($AB$21:$AB$97,E676))*(1+INDEX($AB$21:$AB$97,F676))-1</f>
        <v>0.782501386771624</v>
      </c>
      <c r="J676" s="489">
        <f>LN((1+G676)/(1+H676))</f>
        <v>0.0358054276194932</v>
      </c>
      <c r="K676" s="489">
        <f>LN((1+I676)/(1+H676))</f>
        <v>0.0452032529346147</v>
      </c>
      <c r="L676" s="489">
        <f>(1+INDEX($AC$21:$AC$97,B676))*(1+INDEX($AC$21:$AC$97,C676))*(1+INDEX($AC$21:$AC$97,D676))*(1+INDEX($AC$21:$AC$97,E676))*(1+INDEX($AC$21:$AC$97,F676))-1</f>
        <v>0.772203869129903</v>
      </c>
      <c r="M676" s="489">
        <f>(1+INDEX($AD$21:$AD$97,B676))*(1+INDEX($AD$21:$AD$97,C676))*(1+INDEX($AD$21:$AD$97,D676))*(1+INDEX($AD$21:$AD$97,E676))*(1+INDEX($AD$21:$AD$97,F676))-1</f>
        <v>0.768681390961092</v>
      </c>
      <c r="N676" s="489">
        <f>(1+INDEX($AE$21:$AE$97,B676))*(1+INDEX($AE$21:$AE$97,C676))*(1+INDEX($AE$21:$AE$97,D676))*(1+INDEX($AE$21:$AE$97,E676))*(1+INDEX($AE$21:$AE$97,F676))-1</f>
        <v>0.775262410421598</v>
      </c>
      <c r="O676" s="489">
        <f>(1+INDEX($AF$21:$AF$97,B676))*(1+INDEX($AF$21:$AF$97,C676))*(1+INDEX($AF$21:$AF$97,D676))*(1+INDEX($AF$21:$AF$97,E676))*(1+INDEX($AF$21:$AF$97,F676))-1</f>
        <v>0.744324510424282</v>
      </c>
      <c r="P676" s="489">
        <f>LN((1+L676)/(1+H676))</f>
        <v>0.0394094975002611</v>
      </c>
      <c r="Q676" s="489">
        <f>LN((1+M676)/(1+H676))</f>
        <v>0.0374198937305505</v>
      </c>
      <c r="R676" s="489">
        <f>LN((1+N676)/(1+H676))</f>
        <v>0.0411338504939339</v>
      </c>
      <c r="S676" s="542">
        <f>LN((1+O676)/(1+H676))</f>
        <v>0.0235529823045444</v>
      </c>
    </row>
    <row r="677">
      <c r="A677" s="320" t="n">
        <v>576</v>
      </c>
      <c r="B677" s="174" t="n">
        <v>46</v>
      </c>
      <c r="C677" s="174" t="n">
        <v>71</v>
      </c>
      <c r="D677" s="174" t="n">
        <v>57</v>
      </c>
      <c r="E677" s="174" t="n">
        <v>5</v>
      </c>
      <c r="F677" s="174" t="n">
        <v>4</v>
      </c>
      <c r="G677" s="68">
        <f>(1+INDEX($Z$21:$Z$97,B677))*(1+INDEX($Z$21:$Z$97,C677))*(1+INDEX($Z$21:$Z$97,D677))*(1+INDEX($Z$21:$Z$97,E677))*(1+INDEX($Z$21:$Z$97,F677))-1</f>
        <v>0.497607115227706</v>
      </c>
      <c r="H677" s="68">
        <f>(1+INDEX($AA$21:$AA$97,B677))*(1+INDEX($AA$21:$AA$97,C677))*(1+INDEX($AA$21:$AA$97,D677))*(1+INDEX($AA$21:$AA$97,E677))*(1+INDEX($AA$21:$AA$97,F677))-1</f>
        <v>0.455286359144294</v>
      </c>
      <c r="I677" s="68">
        <f>(1+INDEX($AB$21:$AB$97,B677))*(1+INDEX($AB$21:$AB$97,C677))*(1+INDEX($AB$21:$AB$97,D677))*(1+INDEX($AB$21:$AB$97,E677))*(1+INDEX($AB$21:$AB$97,F677))-1</f>
        <v>0.465707904215379</v>
      </c>
      <c r="J677" s="489">
        <f>LN((1+G677)/(1+H677))</f>
        <v>0.0286658861495028</v>
      </c>
      <c r="K677" s="489">
        <f>LN((1+I677)/(1+H677))</f>
        <v>0.007135645161398</v>
      </c>
      <c r="L677" s="489">
        <f>(1+INDEX($AC$21:$AC$97,B677))*(1+INDEX($AC$21:$AC$97,C677))*(1+INDEX($AC$21:$AC$97,D677))*(1+INDEX($AC$21:$AC$97,E677))*(1+INDEX($AC$21:$AC$97,F677))-1</f>
        <v>0.468930932030643</v>
      </c>
      <c r="M677" s="489">
        <f>(1+INDEX($AD$21:$AD$97,B677))*(1+INDEX($AD$21:$AD$97,C677))*(1+INDEX($AD$21:$AD$97,D677))*(1+INDEX($AD$21:$AD$97,E677))*(1+INDEX($AD$21:$AD$97,F677))-1</f>
        <v>0.442398212184171</v>
      </c>
      <c r="N677" s="489">
        <f>(1+INDEX($AE$21:$AE$97,B677))*(1+INDEX($AE$21:$AE$97,C677))*(1+INDEX($AE$21:$AE$97,D677))*(1+INDEX($AE$21:$AE$97,E677))*(1+INDEX($AE$21:$AE$97,F677))-1</f>
        <v>0.448384480120637</v>
      </c>
      <c r="O677" s="489">
        <f>(1+INDEX($AF$21:$AF$97,B677))*(1+INDEX($AF$21:$AF$97,C677))*(1+INDEX($AF$21:$AF$97,D677))*(1+INDEX($AF$21:$AF$97,E677))*(1+INDEX($AF$21:$AF$97,F677))-1</f>
        <v>0.478791042939595</v>
      </c>
      <c r="P677" s="489">
        <f>LN((1+L677)/(1+H677))</f>
        <v>0.00933218742160907</v>
      </c>
      <c r="Q677" s="489">
        <f>LN((1+M677)/(1+H677))</f>
        <v>-0.00889553823405695</v>
      </c>
      <c r="R677" s="489">
        <f>LN((1+N677)/(1+H677))</f>
        <v>-0.00475390800407134</v>
      </c>
      <c r="S677" s="542">
        <f>LN((1+O677)/(1+H677))</f>
        <v>0.0160221994158133</v>
      </c>
    </row>
    <row r="678">
      <c r="A678" s="320" t="n">
        <v>577</v>
      </c>
      <c r="B678" s="174" t="n">
        <v>8</v>
      </c>
      <c r="C678" s="174" t="n">
        <v>30</v>
      </c>
      <c r="D678" s="174" t="n">
        <v>20</v>
      </c>
      <c r="E678" s="174" t="n">
        <v>15</v>
      </c>
      <c r="F678" s="174" t="n">
        <v>39</v>
      </c>
      <c r="G678" s="68">
        <f>(1+INDEX($Z$21:$Z$97,B678))*(1+INDEX($Z$21:$Z$97,C678))*(1+INDEX($Z$21:$Z$97,D678))*(1+INDEX($Z$21:$Z$97,E678))*(1+INDEX($Z$21:$Z$97,F678))-1</f>
        <v>-0.0252001733957407</v>
      </c>
      <c r="H678" s="68">
        <f>(1+INDEX($AA$21:$AA$97,B678))*(1+INDEX($AA$21:$AA$97,C678))*(1+INDEX($AA$21:$AA$97,D678))*(1+INDEX($AA$21:$AA$97,E678))*(1+INDEX($AA$21:$AA$97,F678))-1</f>
        <v>-0.0146017094012364</v>
      </c>
      <c r="I678" s="68">
        <f>(1+INDEX($AB$21:$AB$97,B678))*(1+INDEX($AB$21:$AB$97,C678))*(1+INDEX($AB$21:$AB$97,D678))*(1+INDEX($AB$21:$AB$97,E678))*(1+INDEX($AB$21:$AB$97,F678))-1</f>
        <v>-0.0479849140714997</v>
      </c>
      <c r="J678" s="489">
        <f>LN((1+G678)/(1+H678))</f>
        <v>-0.0108137715073267</v>
      </c>
      <c r="K678" s="489">
        <f>LN((1+I678)/(1+H678))</f>
        <v>-0.0344650341507284</v>
      </c>
      <c r="L678" s="489">
        <f>(1+INDEX($AC$21:$AC$97,B678))*(1+INDEX($AC$21:$AC$97,C678))*(1+INDEX($AC$21:$AC$97,D678))*(1+INDEX($AC$21:$AC$97,E678))*(1+INDEX($AC$21:$AC$97,F678))-1</f>
        <v>-0.0769240720932367</v>
      </c>
      <c r="M678" s="489">
        <f>(1+INDEX($AD$21:$AD$97,B678))*(1+INDEX($AD$21:$AD$97,C678))*(1+INDEX($AD$21:$AD$97,D678))*(1+INDEX($AD$21:$AD$97,E678))*(1+INDEX($AD$21:$AD$97,F678))-1</f>
        <v>-0.0260422807241606</v>
      </c>
      <c r="N678" s="489">
        <f>(1+INDEX($AE$21:$AE$97,B678))*(1+INDEX($AE$21:$AE$97,C678))*(1+INDEX($AE$21:$AE$97,D678))*(1+INDEX($AE$21:$AE$97,E678))*(1+INDEX($AE$21:$AE$97,F678))-1</f>
        <v>-0.0765966811826782</v>
      </c>
      <c r="O678" s="489">
        <f>(1+INDEX($AF$21:$AF$97,B678))*(1+INDEX($AF$21:$AF$97,C678))*(1+INDEX($AF$21:$AF$97,D678))*(1+INDEX($AF$21:$AF$97,E678))*(1+INDEX($AF$21:$AF$97,F678))-1</f>
        <v>0.0251971339263806</v>
      </c>
      <c r="P678" s="489">
        <f>LN((1+L678)/(1+H678))</f>
        <v>-0.0653344221730759</v>
      </c>
      <c r="Q678" s="489">
        <f>LN((1+M678)/(1+H678))</f>
        <v>-0.011678022047489</v>
      </c>
      <c r="R678" s="489">
        <f>LN((1+N678)/(1+H678))</f>
        <v>-0.0649798111861718</v>
      </c>
      <c r="S678" s="542">
        <f>LN((1+O678)/(1+H678))</f>
        <v>0.0395942834820221</v>
      </c>
    </row>
    <row r="679">
      <c r="A679" s="320" t="n">
        <v>578</v>
      </c>
      <c r="B679" s="174" t="n">
        <v>16</v>
      </c>
      <c r="C679" s="174" t="n">
        <v>11</v>
      </c>
      <c r="D679" s="174" t="n">
        <v>21</v>
      </c>
      <c r="E679" s="174" t="n">
        <v>12</v>
      </c>
      <c r="F679" s="174" t="n">
        <v>24</v>
      </c>
      <c r="G679" s="68">
        <f>(1+INDEX($Z$21:$Z$97,B679))*(1+INDEX($Z$21:$Z$97,C679))*(1+INDEX($Z$21:$Z$97,D679))*(1+INDEX($Z$21:$Z$97,E679))*(1+INDEX($Z$21:$Z$97,F679))-1</f>
        <v>0.371865771070974</v>
      </c>
      <c r="H679" s="68">
        <f>(1+INDEX($AA$21:$AA$97,B679))*(1+INDEX($AA$21:$AA$97,C679))*(1+INDEX($AA$21:$AA$97,D679))*(1+INDEX($AA$21:$AA$97,E679))*(1+INDEX($AA$21:$AA$97,F679))-1</f>
        <v>0.283620258015122</v>
      </c>
      <c r="I679" s="68">
        <f>(1+INDEX($AB$21:$AB$97,B679))*(1+INDEX($AB$21:$AB$97,C679))*(1+INDEX($AB$21:$AB$97,D679))*(1+INDEX($AB$21:$AB$97,E679))*(1+INDEX($AB$21:$AB$97,F679))-1</f>
        <v>0.276764873073257</v>
      </c>
      <c r="J679" s="489">
        <f>LN((1+G679)/(1+H679))</f>
        <v>0.0664872777052716</v>
      </c>
      <c r="K679" s="489">
        <f>LN((1+I679)/(1+H679))</f>
        <v>-0.00535497667173174</v>
      </c>
      <c r="L679" s="489">
        <f>(1+INDEX($AC$21:$AC$97,B679))*(1+INDEX($AC$21:$AC$97,C679))*(1+INDEX($AC$21:$AC$97,D679))*(1+INDEX($AC$21:$AC$97,E679))*(1+INDEX($AC$21:$AC$97,F679))-1</f>
        <v>0.262211058636075</v>
      </c>
      <c r="M679" s="489">
        <f>(1+INDEX($AD$21:$AD$97,B679))*(1+INDEX($AD$21:$AD$97,C679))*(1+INDEX($AD$21:$AD$97,D679))*(1+INDEX($AD$21:$AD$97,E679))*(1+INDEX($AD$21:$AD$97,F679))-1</f>
        <v>0.313359997311137</v>
      </c>
      <c r="N679" s="489">
        <f>(1+INDEX($AE$21:$AE$97,B679))*(1+INDEX($AE$21:$AE$97,C679))*(1+INDEX($AE$21:$AE$97,D679))*(1+INDEX($AE$21:$AE$97,E679))*(1+INDEX($AE$21:$AE$97,F679))-1</f>
        <v>0.241412307258547</v>
      </c>
      <c r="O679" s="489">
        <f>(1+INDEX($AF$21:$AF$97,B679))*(1+INDEX($AF$21:$AF$97,C679))*(1+INDEX($AF$21:$AF$97,D679))*(1+INDEX($AF$21:$AF$97,E679))*(1+INDEX($AF$21:$AF$97,F679))-1</f>
        <v>0.347618322303998</v>
      </c>
      <c r="P679" s="489">
        <f>LN((1+L679)/(1+H679))</f>
        <v>-0.0168194207887004</v>
      </c>
      <c r="Q679" s="489">
        <f>LN((1+M679)/(1+H679))</f>
        <v>0.0229043246408692</v>
      </c>
      <c r="R679" s="489">
        <f>LN((1+N679)/(1+H679))</f>
        <v>-0.0334347233524061</v>
      </c>
      <c r="S679" s="542">
        <f>LN((1+O679)/(1+H679))</f>
        <v>0.048654416390035</v>
      </c>
    </row>
    <row r="680">
      <c r="A680" s="320" t="n">
        <v>579</v>
      </c>
      <c r="B680" s="174" t="n">
        <v>33</v>
      </c>
      <c r="C680" s="174" t="n">
        <v>15</v>
      </c>
      <c r="D680" s="174" t="n">
        <v>43</v>
      </c>
      <c r="E680" s="174" t="n">
        <v>45</v>
      </c>
      <c r="F680" s="174" t="n">
        <v>70</v>
      </c>
      <c r="G680" s="68">
        <f>(1+INDEX($Z$21:$Z$97,B680))*(1+INDEX($Z$21:$Z$97,C680))*(1+INDEX($Z$21:$Z$97,D680))*(1+INDEX($Z$21:$Z$97,E680))*(1+INDEX($Z$21:$Z$97,F680))-1</f>
        <v>0.508504865788386</v>
      </c>
      <c r="H680" s="68">
        <f>(1+INDEX($AA$21:$AA$97,B680))*(1+INDEX($AA$21:$AA$97,C680))*(1+INDEX($AA$21:$AA$97,D680))*(1+INDEX($AA$21:$AA$97,E680))*(1+INDEX($AA$21:$AA$97,F680))-1</f>
        <v>0.514544831192277</v>
      </c>
      <c r="I680" s="68">
        <f>(1+INDEX($AB$21:$AB$97,B680))*(1+INDEX($AB$21:$AB$97,C680))*(1+INDEX($AB$21:$AB$97,D680))*(1+INDEX($AB$21:$AB$97,E680))*(1+INDEX($AB$21:$AB$97,F680))-1</f>
        <v>0.587969286339492</v>
      </c>
      <c r="J680" s="489">
        <f>LN((1+G680)/(1+H680))</f>
        <v>-0.00399594717010295</v>
      </c>
      <c r="K680" s="489">
        <f>LN((1+I680)/(1+H680))</f>
        <v>0.0473410691793516</v>
      </c>
      <c r="L680" s="489">
        <f>(1+INDEX($AC$21:$AC$97,B680))*(1+INDEX($AC$21:$AC$97,C680))*(1+INDEX($AC$21:$AC$97,D680))*(1+INDEX($AC$21:$AC$97,E680))*(1+INDEX($AC$21:$AC$97,F680))-1</f>
        <v>0.56075731305782</v>
      </c>
      <c r="M680" s="489">
        <f>(1+INDEX($AD$21:$AD$97,B680))*(1+INDEX($AD$21:$AD$97,C680))*(1+INDEX($AD$21:$AD$97,D680))*(1+INDEX($AD$21:$AD$97,E680))*(1+INDEX($AD$21:$AD$97,F680))-1</f>
        <v>0.588340213191078</v>
      </c>
      <c r="N680" s="489">
        <f>(1+INDEX($AE$21:$AE$97,B680))*(1+INDEX($AE$21:$AE$97,C680))*(1+INDEX($AE$21:$AE$97,D680))*(1+INDEX($AE$21:$AE$97,E680))*(1+INDEX($AE$21:$AE$97,F680))-1</f>
        <v>0.544689434066342</v>
      </c>
      <c r="O680" s="489">
        <f>(1+INDEX($AF$21:$AF$97,B680))*(1+INDEX($AF$21:$AF$97,C680))*(1+INDEX($AF$21:$AF$97,D680))*(1+INDEX($AF$21:$AF$97,E680))*(1+INDEX($AF$21:$AF$97,F680))-1</f>
        <v>0.512091647854206</v>
      </c>
      <c r="P680" s="489">
        <f>LN((1+L680)/(1+H680))</f>
        <v>0.0300562081911082</v>
      </c>
      <c r="Q680" s="489">
        <f>LN((1+M680)/(1+H680))</f>
        <v>0.0475746275610689</v>
      </c>
      <c r="R680" s="489">
        <f>LN((1+N680)/(1+H680))</f>
        <v>0.0197079242319712</v>
      </c>
      <c r="S680" s="542">
        <f>LN((1+O680)/(1+H680))</f>
        <v>-0.00162106278191634</v>
      </c>
    </row>
    <row r="681">
      <c r="A681" s="320" t="n">
        <v>580</v>
      </c>
      <c r="B681" s="174" t="n">
        <v>9</v>
      </c>
      <c r="C681" s="174" t="n">
        <v>11</v>
      </c>
      <c r="D681" s="174" t="n">
        <v>51</v>
      </c>
      <c r="E681" s="174" t="n">
        <v>66</v>
      </c>
      <c r="F681" s="174" t="n">
        <v>43</v>
      </c>
      <c r="G681" s="68">
        <f>(1+INDEX($Z$21:$Z$97,B681))*(1+INDEX($Z$21:$Z$97,C681))*(1+INDEX($Z$21:$Z$97,D681))*(1+INDEX($Z$21:$Z$97,E681))*(1+INDEX($Z$21:$Z$97,F681))-1</f>
        <v>0.0733539680899766</v>
      </c>
      <c r="H681" s="68">
        <f>(1+INDEX($AA$21:$AA$97,B681))*(1+INDEX($AA$21:$AA$97,C681))*(1+INDEX($AA$21:$AA$97,D681))*(1+INDEX($AA$21:$AA$97,E681))*(1+INDEX($AA$21:$AA$97,F681))-1</f>
        <v>0.0742779301508192</v>
      </c>
      <c r="I681" s="68">
        <f>(1+INDEX($AB$21:$AB$97,B681))*(1+INDEX($AB$21:$AB$97,C681))*(1+INDEX($AB$21:$AB$97,D681))*(1+INDEX($AB$21:$AB$97,E681))*(1+INDEX($AB$21:$AB$97,F681))-1</f>
        <v>0.0497794923035424</v>
      </c>
      <c r="J681" s="489">
        <f>LN((1+G681)/(1+H681))</f>
        <v>-0.000860447377975277</v>
      </c>
      <c r="K681" s="489">
        <f>LN((1+I681)/(1+H681))</f>
        <v>-0.0230686082250904</v>
      </c>
      <c r="L681" s="489">
        <f>(1+INDEX($AC$21:$AC$97,B681))*(1+INDEX($AC$21:$AC$97,C681))*(1+INDEX($AC$21:$AC$97,D681))*(1+INDEX($AC$21:$AC$97,E681))*(1+INDEX($AC$21:$AC$97,F681))-1</f>
        <v>0.0298239383895282</v>
      </c>
      <c r="M681" s="489">
        <f>(1+INDEX($AD$21:$AD$97,B681))*(1+INDEX($AD$21:$AD$97,C681))*(1+INDEX($AD$21:$AD$97,D681))*(1+INDEX($AD$21:$AD$97,E681))*(1+INDEX($AD$21:$AD$97,F681))-1</f>
        <v>0.0880693024038632</v>
      </c>
      <c r="N681" s="489">
        <f>(1+INDEX($AE$21:$AE$97,B681))*(1+INDEX($AE$21:$AE$97,C681))*(1+INDEX($AE$21:$AE$97,D681))*(1+INDEX($AE$21:$AE$97,E681))*(1+INDEX($AE$21:$AE$97,F681))-1</f>
        <v>0.0270095214121218</v>
      </c>
      <c r="O681" s="489">
        <f>(1+INDEX($AF$21:$AF$97,B681))*(1+INDEX($AF$21:$AF$97,C681))*(1+INDEX($AF$21:$AF$97,D681))*(1+INDEX($AF$21:$AF$97,E681))*(1+INDEX($AF$21:$AF$97,F681))-1</f>
        <v>0.156403171005762</v>
      </c>
      <c r="P681" s="489">
        <f>LN((1+L681)/(1+H681))</f>
        <v>-0.0422608889816042</v>
      </c>
      <c r="Q681" s="489">
        <f>LN((1+M681)/(1+H681))</f>
        <v>0.0127561004576178</v>
      </c>
      <c r="R681" s="489">
        <f>LN((1+N681)/(1+H681))</f>
        <v>-0.0449975410138698</v>
      </c>
      <c r="S681" s="542">
        <f>LN((1+O681)/(1+H681))</f>
        <v>0.0736657302820918</v>
      </c>
    </row>
    <row r="682">
      <c r="A682" s="320" t="n">
        <v>581</v>
      </c>
      <c r="B682" s="174" t="n">
        <v>63</v>
      </c>
      <c r="C682" s="174" t="n">
        <v>73</v>
      </c>
      <c r="D682" s="174" t="n">
        <v>3</v>
      </c>
      <c r="E682" s="174" t="n">
        <v>22</v>
      </c>
      <c r="F682" s="174" t="n">
        <v>43</v>
      </c>
      <c r="G682" s="68">
        <f>(1+INDEX($Z$21:$Z$97,B682))*(1+INDEX($Z$21:$Z$97,C682))*(1+INDEX($Z$21:$Z$97,D682))*(1+INDEX($Z$21:$Z$97,E682))*(1+INDEX($Z$21:$Z$97,F682))-1</f>
        <v>0.177741863547734</v>
      </c>
      <c r="H682" s="68">
        <f>(1+INDEX($AA$21:$AA$97,B682))*(1+INDEX($AA$21:$AA$97,C682))*(1+INDEX($AA$21:$AA$97,D682))*(1+INDEX($AA$21:$AA$97,E682))*(1+INDEX($AA$21:$AA$97,F682))-1</f>
        <v>0.158595166732119</v>
      </c>
      <c r="I682" s="68">
        <f>(1+INDEX($AB$21:$AB$97,B682))*(1+INDEX($AB$21:$AB$97,C682))*(1+INDEX($AB$21:$AB$97,D682))*(1+INDEX($AB$21:$AB$97,E682))*(1+INDEX($AB$21:$AB$97,F682))-1</f>
        <v>0.185039836891981</v>
      </c>
      <c r="J682" s="489">
        <f>LN((1+G682)/(1+H682))</f>
        <v>0.0163907220759873</v>
      </c>
      <c r="K682" s="489">
        <f>LN((1+I682)/(1+H682))</f>
        <v>0.0225681836256986</v>
      </c>
      <c r="L682" s="489">
        <f>(1+INDEX($AC$21:$AC$97,B682))*(1+INDEX($AC$21:$AC$97,C682))*(1+INDEX($AC$21:$AC$97,D682))*(1+INDEX($AC$21:$AC$97,E682))*(1+INDEX($AC$21:$AC$97,F682))-1</f>
        <v>0.178875311496749</v>
      </c>
      <c r="M682" s="489">
        <f>(1+INDEX($AD$21:$AD$97,B682))*(1+INDEX($AD$21:$AD$97,C682))*(1+INDEX($AD$21:$AD$97,D682))*(1+INDEX($AD$21:$AD$97,E682))*(1+INDEX($AD$21:$AD$97,F682))-1</f>
        <v>0.169404225639895</v>
      </c>
      <c r="N682" s="489">
        <f>(1+INDEX($AE$21:$AE$97,B682))*(1+INDEX($AE$21:$AE$97,C682))*(1+INDEX($AE$21:$AE$97,D682))*(1+INDEX($AE$21:$AE$97,E682))*(1+INDEX($AE$21:$AE$97,F682))-1</f>
        <v>0.159721350132169</v>
      </c>
      <c r="O682" s="489">
        <f>(1+INDEX($AF$21:$AF$97,B682))*(1+INDEX($AF$21:$AF$97,C682))*(1+INDEX($AF$21:$AF$97,D682))*(1+INDEX($AF$21:$AF$97,E682))*(1+INDEX($AF$21:$AF$97,F682))-1</f>
        <v>0.152314647482751</v>
      </c>
      <c r="P682" s="489">
        <f>LN((1+L682)/(1+H682))</f>
        <v>0.0173526500873898</v>
      </c>
      <c r="Q682" s="489">
        <f>LN((1+M682)/(1+H682))</f>
        <v>0.0092862022373172</v>
      </c>
      <c r="R682" s="489">
        <f>LN((1+N682)/(1+H682))</f>
        <v>0.000971552831929947</v>
      </c>
      <c r="S682" s="542">
        <f>LN((1+O682)/(1+H682))</f>
        <v>-0.0054355515511727</v>
      </c>
    </row>
    <row r="683">
      <c r="A683" s="320" t="n">
        <v>582</v>
      </c>
      <c r="B683" s="174" t="n">
        <v>74</v>
      </c>
      <c r="C683" s="174" t="n">
        <v>19</v>
      </c>
      <c r="D683" s="174" t="n">
        <v>33</v>
      </c>
      <c r="E683" s="174" t="n">
        <v>34</v>
      </c>
      <c r="F683" s="174" t="n">
        <v>46</v>
      </c>
      <c r="G683" s="68">
        <f>(1+INDEX($Z$21:$Z$97,B683))*(1+INDEX($Z$21:$Z$97,C683))*(1+INDEX($Z$21:$Z$97,D683))*(1+INDEX($Z$21:$Z$97,E683))*(1+INDEX($Z$21:$Z$97,F683))-1</f>
        <v>0.626562599687498</v>
      </c>
      <c r="H683" s="68">
        <f>(1+INDEX($AA$21:$AA$97,B683))*(1+INDEX($AA$21:$AA$97,C683))*(1+INDEX($AA$21:$AA$97,D683))*(1+INDEX($AA$21:$AA$97,E683))*(1+INDEX($AA$21:$AA$97,F683))-1</f>
        <v>0.627453084957438</v>
      </c>
      <c r="I683" s="68">
        <f>(1+INDEX($AB$21:$AB$97,B683))*(1+INDEX($AB$21:$AB$97,C683))*(1+INDEX($AB$21:$AB$97,D683))*(1+INDEX($AB$21:$AB$97,E683))*(1+INDEX($AB$21:$AB$97,F683))-1</f>
        <v>0.706106246753444</v>
      </c>
      <c r="J683" s="489">
        <f>LN((1+G683)/(1+H683))</f>
        <v>-0.000547314689582353</v>
      </c>
      <c r="K683" s="489">
        <f>LN((1+I683)/(1+H683))</f>
        <v>0.0471974571767722</v>
      </c>
      <c r="L683" s="489">
        <f>(1+INDEX($AC$21:$AC$97,B683))*(1+INDEX($AC$21:$AC$97,C683))*(1+INDEX($AC$21:$AC$97,D683))*(1+INDEX($AC$21:$AC$97,E683))*(1+INDEX($AC$21:$AC$97,F683))-1</f>
        <v>0.681985376961046</v>
      </c>
      <c r="M683" s="489">
        <f>(1+INDEX($AD$21:$AD$97,B683))*(1+INDEX($AD$21:$AD$97,C683))*(1+INDEX($AD$21:$AD$97,D683))*(1+INDEX($AD$21:$AD$97,E683))*(1+INDEX($AD$21:$AD$97,F683))-1</f>
        <v>0.705410855151862</v>
      </c>
      <c r="N683" s="489">
        <f>(1+INDEX($AE$21:$AE$97,B683))*(1+INDEX($AE$21:$AE$97,C683))*(1+INDEX($AE$21:$AE$97,D683))*(1+INDEX($AE$21:$AE$97,E683))*(1+INDEX($AE$21:$AE$97,F683))-1</f>
        <v>0.678367630683358</v>
      </c>
      <c r="O683" s="489">
        <f>(1+INDEX($AF$21:$AF$97,B683))*(1+INDEX($AF$21:$AF$97,C683))*(1+INDEX($AF$21:$AF$97,D683))*(1+INDEX($AF$21:$AF$97,E683))*(1+INDEX($AF$21:$AF$97,F683))-1</f>
        <v>0.607095344636639</v>
      </c>
      <c r="P683" s="489">
        <f>LN((1+L683)/(1+H683))</f>
        <v>0.0329585994348667</v>
      </c>
      <c r="Q683" s="489">
        <f>LN((1+M683)/(1+H683))</f>
        <v>0.0467897842321904</v>
      </c>
      <c r="R683" s="489">
        <f>LN((1+N683)/(1+H683))</f>
        <v>0.0308054044180396</v>
      </c>
      <c r="S683" s="542">
        <f>LN((1+O683)/(1+H683))</f>
        <v>-0.0125878524171452</v>
      </c>
    </row>
    <row r="684">
      <c r="A684" s="320" t="n">
        <v>583</v>
      </c>
      <c r="B684" s="174" t="n">
        <v>62</v>
      </c>
      <c r="C684" s="174" t="n">
        <v>53</v>
      </c>
      <c r="D684" s="174" t="n">
        <v>21</v>
      </c>
      <c r="E684" s="174" t="n">
        <v>65</v>
      </c>
      <c r="F684" s="174" t="n">
        <v>51</v>
      </c>
      <c r="G684" s="68">
        <f>(1+INDEX($Z$21:$Z$97,B684))*(1+INDEX($Z$21:$Z$97,C684))*(1+INDEX($Z$21:$Z$97,D684))*(1+INDEX($Z$21:$Z$97,E684))*(1+INDEX($Z$21:$Z$97,F684))-1</f>
        <v>0.00653308590298551</v>
      </c>
      <c r="H684" s="68">
        <f>(1+INDEX($AA$21:$AA$97,B684))*(1+INDEX($AA$21:$AA$97,C684))*(1+INDEX($AA$21:$AA$97,D684))*(1+INDEX($AA$21:$AA$97,E684))*(1+INDEX($AA$21:$AA$97,F684))-1</f>
        <v>0.0432128171562032</v>
      </c>
      <c r="I684" s="68">
        <f>(1+INDEX($AB$21:$AB$97,B684))*(1+INDEX($AB$21:$AB$97,C684))*(1+INDEX($AB$21:$AB$97,D684))*(1+INDEX($AB$21:$AB$97,E684))*(1+INDEX($AB$21:$AB$97,F684))-1</f>
        <v>0.0334631451174654</v>
      </c>
      <c r="J684" s="489">
        <f>LN((1+G684)/(1+H684))</f>
        <v>-0.0357933607082746</v>
      </c>
      <c r="K684" s="489">
        <f>LN((1+I684)/(1+H684))</f>
        <v>-0.00938975925902874</v>
      </c>
      <c r="L684" s="489">
        <f>(1+INDEX($AC$21:$AC$97,B684))*(1+INDEX($AC$21:$AC$97,C684))*(1+INDEX($AC$21:$AC$97,D684))*(1+INDEX($AC$21:$AC$97,E684))*(1+INDEX($AC$21:$AC$97,F684))-1</f>
        <v>0.0302621223159367</v>
      </c>
      <c r="M684" s="489">
        <f>(1+INDEX($AD$21:$AD$97,B684))*(1+INDEX($AD$21:$AD$97,C684))*(1+INDEX($AD$21:$AD$97,D684))*(1+INDEX($AD$21:$AD$97,E684))*(1+INDEX($AD$21:$AD$97,F684))-1</f>
        <v>0.0264756763078911</v>
      </c>
      <c r="N684" s="489">
        <f>(1+INDEX($AE$21:$AE$97,B684))*(1+INDEX($AE$21:$AE$97,C684))*(1+INDEX($AE$21:$AE$97,D684))*(1+INDEX($AE$21:$AE$97,E684))*(1+INDEX($AE$21:$AE$97,F684))-1</f>
        <v>0.0300685243866994</v>
      </c>
      <c r="O684" s="489">
        <f>(1+INDEX($AF$21:$AF$97,B684))*(1+INDEX($AF$21:$AF$97,C684))*(1+INDEX($AF$21:$AF$97,D684))*(1+INDEX($AF$21:$AF$97,E684))*(1+INDEX($AF$21:$AF$97,F684))-1</f>
        <v>0.0270302841806627</v>
      </c>
      <c r="P684" s="489">
        <f>LN((1+L684)/(1+H684))</f>
        <v>-0.0124919409487499</v>
      </c>
      <c r="Q684" s="489">
        <f>LN((1+M684)/(1+H684))</f>
        <v>-0.016173937057681</v>
      </c>
      <c r="R684" s="489">
        <f>LN((1+N684)/(1+H684))</f>
        <v>-0.0126798699397757</v>
      </c>
      <c r="S684" s="542">
        <f>LN((1+O684)/(1+H684))</f>
        <v>-0.0156337799829731</v>
      </c>
    </row>
    <row r="685">
      <c r="A685" s="320" t="n">
        <v>584</v>
      </c>
      <c r="B685" s="174" t="n">
        <v>43</v>
      </c>
      <c r="C685" s="174" t="n">
        <v>75</v>
      </c>
      <c r="D685" s="174" t="n">
        <v>63</v>
      </c>
      <c r="E685" s="174" t="n">
        <v>26</v>
      </c>
      <c r="F685" s="174" t="n">
        <v>50</v>
      </c>
      <c r="G685" s="68">
        <f>(1+INDEX($Z$21:$Z$97,B685))*(1+INDEX($Z$21:$Z$97,C685))*(1+INDEX($Z$21:$Z$97,D685))*(1+INDEX($Z$21:$Z$97,E685))*(1+INDEX($Z$21:$Z$97,F685))-1</f>
        <v>0.404624971384192</v>
      </c>
      <c r="H685" s="68">
        <f>(1+INDEX($AA$21:$AA$97,B685))*(1+INDEX($AA$21:$AA$97,C685))*(1+INDEX($AA$21:$AA$97,D685))*(1+INDEX($AA$21:$AA$97,E685))*(1+INDEX($AA$21:$AA$97,F685))-1</f>
        <v>0.37843606070821</v>
      </c>
      <c r="I685" s="68">
        <f>(1+INDEX($AB$21:$AB$97,B685))*(1+INDEX($AB$21:$AB$97,C685))*(1+INDEX($AB$21:$AB$97,D685))*(1+INDEX($AB$21:$AB$97,E685))*(1+INDEX($AB$21:$AB$97,F685))-1</f>
        <v>0.462975816962038</v>
      </c>
      <c r="J685" s="489">
        <f>LN((1+G685)/(1+H685))</f>
        <v>0.0188207757040891</v>
      </c>
      <c r="K685" s="489">
        <f>LN((1+I685)/(1+H685))</f>
        <v>0.0595230249727174</v>
      </c>
      <c r="L685" s="489">
        <f>(1+INDEX($AC$21:$AC$97,B685))*(1+INDEX($AC$21:$AC$97,C685))*(1+INDEX($AC$21:$AC$97,D685))*(1+INDEX($AC$21:$AC$97,E685))*(1+INDEX($AC$21:$AC$97,F685))-1</f>
        <v>0.453711167663173</v>
      </c>
      <c r="M685" s="489">
        <f>(1+INDEX($AD$21:$AD$97,B685))*(1+INDEX($AD$21:$AD$97,C685))*(1+INDEX($AD$21:$AD$97,D685))*(1+INDEX($AD$21:$AD$97,E685))*(1+INDEX($AD$21:$AD$97,F685))-1</f>
        <v>0.430108209269905</v>
      </c>
      <c r="N685" s="489">
        <f>(1+INDEX($AE$21:$AE$97,B685))*(1+INDEX($AE$21:$AE$97,C685))*(1+INDEX($AE$21:$AE$97,D685))*(1+INDEX($AE$21:$AE$97,E685))*(1+INDEX($AE$21:$AE$97,F685))-1</f>
        <v>0.431747216818399</v>
      </c>
      <c r="O685" s="489">
        <f>(1+INDEX($AF$21:$AF$97,B685))*(1+INDEX($AF$21:$AF$97,C685))*(1+INDEX($AF$21:$AF$97,D685))*(1+INDEX($AF$21:$AF$97,E685))*(1+INDEX($AF$21:$AF$97,F685))-1</f>
        <v>0.390616950101306</v>
      </c>
      <c r="P685" s="489">
        <f>LN((1+L685)/(1+H685))</f>
        <v>0.0531701454850846</v>
      </c>
      <c r="Q685" s="489">
        <f>LN((1+M685)/(1+H685))</f>
        <v>0.0368005450577597</v>
      </c>
      <c r="R685" s="489">
        <f>LN((1+N685)/(1+H685))</f>
        <v>0.0379459612187223</v>
      </c>
      <c r="S685" s="542">
        <f>LN((1+O685)/(1+H685))</f>
        <v>0.00879793049523809</v>
      </c>
    </row>
    <row r="686">
      <c r="A686" s="320" t="n">
        <v>585</v>
      </c>
      <c r="B686" s="174" t="n">
        <v>23</v>
      </c>
      <c r="C686" s="174" t="n">
        <v>24</v>
      </c>
      <c r="D686" s="174" t="n">
        <v>68</v>
      </c>
      <c r="E686" s="174" t="n">
        <v>57</v>
      </c>
      <c r="F686" s="174" t="n">
        <v>3</v>
      </c>
      <c r="G686" s="68">
        <f>(1+INDEX($Z$21:$Z$97,B686))*(1+INDEX($Z$21:$Z$97,C686))*(1+INDEX($Z$21:$Z$97,D686))*(1+INDEX($Z$21:$Z$97,E686))*(1+INDEX($Z$21:$Z$97,F686))-1</f>
        <v>0.967331659356393</v>
      </c>
      <c r="H686" s="68">
        <f>(1+INDEX($AA$21:$AA$97,B686))*(1+INDEX($AA$21:$AA$97,C686))*(1+INDEX($AA$21:$AA$97,D686))*(1+INDEX($AA$21:$AA$97,E686))*(1+INDEX($AA$21:$AA$97,F686))-1</f>
        <v>0.795823201696968</v>
      </c>
      <c r="I686" s="68">
        <f>(1+INDEX($AB$21:$AB$97,B686))*(1+INDEX($AB$21:$AB$97,C686))*(1+INDEX($AB$21:$AB$97,D686))*(1+INDEX($AB$21:$AB$97,E686))*(1+INDEX($AB$21:$AB$97,F686))-1</f>
        <v>0.8731217762027</v>
      </c>
      <c r="J686" s="489">
        <f>LN((1+G686)/(1+H686))</f>
        <v>0.0912146119666224</v>
      </c>
      <c r="K686" s="489">
        <f>LN((1+I686)/(1+H686))</f>
        <v>0.0421429130082958</v>
      </c>
      <c r="L686" s="489">
        <f>(1+INDEX($AC$21:$AC$97,B686))*(1+INDEX($AC$21:$AC$97,C686))*(1+INDEX($AC$21:$AC$97,D686))*(1+INDEX($AC$21:$AC$97,E686))*(1+INDEX($AC$21:$AC$97,F686))-1</f>
        <v>0.876316407339214</v>
      </c>
      <c r="M686" s="489">
        <f>(1+INDEX($AD$21:$AD$97,B686))*(1+INDEX($AD$21:$AD$97,C686))*(1+INDEX($AD$21:$AD$97,D686))*(1+INDEX($AD$21:$AD$97,E686))*(1+INDEX($AD$21:$AD$97,F686))-1</f>
        <v>0.868541106635134</v>
      </c>
      <c r="N686" s="489">
        <f>(1+INDEX($AE$21:$AE$97,B686))*(1+INDEX($AE$21:$AE$97,C686))*(1+INDEX($AE$21:$AE$97,D686))*(1+INDEX($AE$21:$AE$97,E686))*(1+INDEX($AE$21:$AE$97,F686))-1</f>
        <v>0.860269626793192</v>
      </c>
      <c r="O686" s="489">
        <f>(1+INDEX($AF$21:$AF$97,B686))*(1+INDEX($AF$21:$AF$97,C686))*(1+INDEX($AF$21:$AF$97,D686))*(1+INDEX($AF$21:$AF$97,E686))*(1+INDEX($AF$21:$AF$97,F686))-1</f>
        <v>0.854529971560212</v>
      </c>
      <c r="P686" s="489">
        <f>LN((1+L686)/(1+H686))</f>
        <v>0.0438469719916329</v>
      </c>
      <c r="Q686" s="489">
        <f>LN((1+M686)/(1+H686))</f>
        <v>0.039694444506763</v>
      </c>
      <c r="R686" s="489">
        <f>LN((1+N686)/(1+H686))</f>
        <v>0.0352579128614582</v>
      </c>
      <c r="S686" s="542">
        <f>LN((1+O686)/(1+H686))</f>
        <v>0.0321677543490624</v>
      </c>
    </row>
    <row r="687">
      <c r="A687" s="320" t="n">
        <v>586</v>
      </c>
      <c r="B687" s="174" t="n">
        <v>61</v>
      </c>
      <c r="C687" s="174" t="n">
        <v>63</v>
      </c>
      <c r="D687" s="174" t="n">
        <v>1</v>
      </c>
      <c r="E687" s="174" t="n">
        <v>53</v>
      </c>
      <c r="F687" s="174" t="n">
        <v>72</v>
      </c>
      <c r="G687" s="68">
        <f>(1+INDEX($Z$21:$Z$97,B687))*(1+INDEX($Z$21:$Z$97,C687))*(1+INDEX($Z$21:$Z$97,D687))*(1+INDEX($Z$21:$Z$97,E687))*(1+INDEX($Z$21:$Z$97,F687))-1</f>
        <v>0.211476339814881</v>
      </c>
      <c r="H687" s="68">
        <f>(1+INDEX($AA$21:$AA$97,B687))*(1+INDEX($AA$21:$AA$97,C687))*(1+INDEX($AA$21:$AA$97,D687))*(1+INDEX($AA$21:$AA$97,E687))*(1+INDEX($AA$21:$AA$97,F687))-1</f>
        <v>0.228175335153252</v>
      </c>
      <c r="I687" s="68">
        <f>(1+INDEX($AB$21:$AB$97,B687))*(1+INDEX($AB$21:$AB$97,C687))*(1+INDEX($AB$21:$AB$97,D687))*(1+INDEX($AB$21:$AB$97,E687))*(1+INDEX($AB$21:$AB$97,F687))-1</f>
        <v>0.224269199685887</v>
      </c>
      <c r="J687" s="489">
        <f>LN((1+G687)/(1+H687))</f>
        <v>-0.0136898691800653</v>
      </c>
      <c r="K687" s="489">
        <f>LN((1+I687)/(1+H687))</f>
        <v>-0.00318550631011926</v>
      </c>
      <c r="L687" s="489">
        <f>(1+INDEX($AC$21:$AC$97,B687))*(1+INDEX($AC$21:$AC$97,C687))*(1+INDEX($AC$21:$AC$97,D687))*(1+INDEX($AC$21:$AC$97,E687))*(1+INDEX($AC$21:$AC$97,F687))-1</f>
        <v>0.248492299594268</v>
      </c>
      <c r="M687" s="489">
        <f>(1+INDEX($AD$21:$AD$97,B687))*(1+INDEX($AD$21:$AD$97,C687))*(1+INDEX($AD$21:$AD$97,D687))*(1+INDEX($AD$21:$AD$97,E687))*(1+INDEX($AD$21:$AD$97,F687))-1</f>
        <v>0.193025700302294</v>
      </c>
      <c r="N687" s="489">
        <f>(1+INDEX($AE$21:$AE$97,B687))*(1+INDEX($AE$21:$AE$97,C687))*(1+INDEX($AE$21:$AE$97,D687))*(1+INDEX($AE$21:$AE$97,E687))*(1+INDEX($AE$21:$AE$97,F687))-1</f>
        <v>0.258951621929537</v>
      </c>
      <c r="O687" s="489">
        <f>(1+INDEX($AF$21:$AF$97,B687))*(1+INDEX($AF$21:$AF$97,C687))*(1+INDEX($AF$21:$AF$97,D687))*(1+INDEX($AF$21:$AF$97,E687))*(1+INDEX($AF$21:$AF$97,F687))-1</f>
        <v>0.175066733107217</v>
      </c>
      <c r="P687" s="489">
        <f>LN((1+L687)/(1+H687))</f>
        <v>0.0164070623906862</v>
      </c>
      <c r="Q687" s="489">
        <f>LN((1+M687)/(1+H687))</f>
        <v>-0.0290369151347367</v>
      </c>
      <c r="R687" s="489">
        <f>LN((1+N687)/(1+H687))</f>
        <v>0.0247497279311156</v>
      </c>
      <c r="S687" s="542">
        <f>LN((1+O687)/(1+H687))</f>
        <v>-0.0442046604849292</v>
      </c>
    </row>
    <row r="688">
      <c r="A688" s="320" t="n">
        <v>587</v>
      </c>
      <c r="B688" s="174" t="n">
        <v>40</v>
      </c>
      <c r="C688" s="174" t="n">
        <v>60</v>
      </c>
      <c r="D688" s="174" t="n">
        <v>75</v>
      </c>
      <c r="E688" s="174" t="n">
        <v>70</v>
      </c>
      <c r="F688" s="174" t="n">
        <v>57</v>
      </c>
      <c r="G688" s="68">
        <f>(1+INDEX($Z$21:$Z$97,B688))*(1+INDEX($Z$21:$Z$97,C688))*(1+INDEX($Z$21:$Z$97,D688))*(1+INDEX($Z$21:$Z$97,E688))*(1+INDEX($Z$21:$Z$97,F688))-1</f>
        <v>0.851736683841557</v>
      </c>
      <c r="H688" s="68">
        <f>(1+INDEX($AA$21:$AA$97,B688))*(1+INDEX($AA$21:$AA$97,C688))*(1+INDEX($AA$21:$AA$97,D688))*(1+INDEX($AA$21:$AA$97,E688))*(1+INDEX($AA$21:$AA$97,F688))-1</f>
        <v>0.815434153415726</v>
      </c>
      <c r="I688" s="68">
        <f>(1+INDEX($AB$21:$AB$97,B688))*(1+INDEX($AB$21:$AB$97,C688))*(1+INDEX($AB$21:$AB$97,D688))*(1+INDEX($AB$21:$AB$97,E688))*(1+INDEX($AB$21:$AB$97,F688))-1</f>
        <v>0.892386571530336</v>
      </c>
      <c r="J688" s="489">
        <f>LN((1+G688)/(1+H688))</f>
        <v>0.0197993046681213</v>
      </c>
      <c r="K688" s="489">
        <f>LN((1+I688)/(1+H688))</f>
        <v>0.0415141266538555</v>
      </c>
      <c r="L688" s="489">
        <f>(1+INDEX($AC$21:$AC$97,B688))*(1+INDEX($AC$21:$AC$97,C688))*(1+INDEX($AC$21:$AC$97,D688))*(1+INDEX($AC$21:$AC$97,E688))*(1+INDEX($AC$21:$AC$97,F688))-1</f>
        <v>0.935838179578959</v>
      </c>
      <c r="M688" s="489">
        <f>(1+INDEX($AD$21:$AD$97,B688))*(1+INDEX($AD$21:$AD$97,C688))*(1+INDEX($AD$21:$AD$97,D688))*(1+INDEX($AD$21:$AD$97,E688))*(1+INDEX($AD$21:$AD$97,F688))-1</f>
        <v>0.834765539081941</v>
      </c>
      <c r="N688" s="489">
        <f>(1+INDEX($AE$21:$AE$97,B688))*(1+INDEX($AE$21:$AE$97,C688))*(1+INDEX($AE$21:$AE$97,D688))*(1+INDEX($AE$21:$AE$97,E688))*(1+INDEX($AE$21:$AE$97,F688))-1</f>
        <v>0.932334013734675</v>
      </c>
      <c r="O688" s="489">
        <f>(1+INDEX($AF$21:$AF$97,B688))*(1+INDEX($AF$21:$AF$97,C688))*(1+INDEX($AF$21:$AF$97,D688))*(1+INDEX($AF$21:$AF$97,E688))*(1+INDEX($AF$21:$AF$97,F688))-1</f>
        <v>0.771483568047855</v>
      </c>
      <c r="P688" s="489">
        <f>LN((1+L688)/(1+H688))</f>
        <v>0.0642157583365341</v>
      </c>
      <c r="Q688" s="489">
        <f>LN((1+M688)/(1+H688))</f>
        <v>0.0105920596293614</v>
      </c>
      <c r="R688" s="489">
        <f>LN((1+N688)/(1+H688))</f>
        <v>0.0624039637070674</v>
      </c>
      <c r="S688" s="542">
        <f>LN((1+O688)/(1+H688))</f>
        <v>-0.024507272543839</v>
      </c>
    </row>
    <row r="689">
      <c r="A689" s="320" t="n">
        <v>588</v>
      </c>
      <c r="B689" s="174" t="n">
        <v>70</v>
      </c>
      <c r="C689" s="174" t="n">
        <v>53</v>
      </c>
      <c r="D689" s="174" t="n">
        <v>20</v>
      </c>
      <c r="E689" s="174" t="n">
        <v>57</v>
      </c>
      <c r="F689" s="174" t="n">
        <v>24</v>
      </c>
      <c r="G689" s="68">
        <f>(1+INDEX($Z$21:$Z$97,B689))*(1+INDEX($Z$21:$Z$97,C689))*(1+INDEX($Z$21:$Z$97,D689))*(1+INDEX($Z$21:$Z$97,E689))*(1+INDEX($Z$21:$Z$97,F689))-1</f>
        <v>0.41964175682451</v>
      </c>
      <c r="H689" s="68">
        <f>(1+INDEX($AA$21:$AA$97,B689))*(1+INDEX($AA$21:$AA$97,C689))*(1+INDEX($AA$21:$AA$97,D689))*(1+INDEX($AA$21:$AA$97,E689))*(1+INDEX($AA$21:$AA$97,F689))-1</f>
        <v>0.410977407207282</v>
      </c>
      <c r="I689" s="68">
        <f>(1+INDEX($AB$21:$AB$97,B689))*(1+INDEX($AB$21:$AB$97,C689))*(1+INDEX($AB$21:$AB$97,D689))*(1+INDEX($AB$21:$AB$97,E689))*(1+INDEX($AB$21:$AB$97,F689))-1</f>
        <v>0.424966574776154</v>
      </c>
      <c r="J689" s="489">
        <f>LN((1+G689)/(1+H689))</f>
        <v>0.00612189501662829</v>
      </c>
      <c r="K689" s="489">
        <f>LN((1+I689)/(1+H689))</f>
        <v>0.00986569630687834</v>
      </c>
      <c r="L689" s="489">
        <f>(1+INDEX($AC$21:$AC$97,B689))*(1+INDEX($AC$21:$AC$97,C689))*(1+INDEX($AC$21:$AC$97,D689))*(1+INDEX($AC$21:$AC$97,E689))*(1+INDEX($AC$21:$AC$97,F689))-1</f>
        <v>0.418840853727134</v>
      </c>
      <c r="M689" s="489">
        <f>(1+INDEX($AD$21:$AD$97,B689))*(1+INDEX($AD$21:$AD$97,C689))*(1+INDEX($AD$21:$AD$97,D689))*(1+INDEX($AD$21:$AD$97,E689))*(1+INDEX($AD$21:$AD$97,F689))-1</f>
        <v>0.428149424412316</v>
      </c>
      <c r="N689" s="489">
        <f>(1+INDEX($AE$21:$AE$97,B689))*(1+INDEX($AE$21:$AE$97,C689))*(1+INDEX($AE$21:$AE$97,D689))*(1+INDEX($AE$21:$AE$97,E689))*(1+INDEX($AE$21:$AE$97,F689))-1</f>
        <v>0.417597713503353</v>
      </c>
      <c r="O689" s="489">
        <f>(1+INDEX($AF$21:$AF$97,B689))*(1+INDEX($AF$21:$AF$97,C689))*(1+INDEX($AF$21:$AF$97,D689))*(1+INDEX($AF$21:$AF$97,E689))*(1+INDEX($AF$21:$AF$97,F689))-1</f>
        <v>0.438176561136541</v>
      </c>
      <c r="P689" s="489">
        <f>LN((1+L689)/(1+H689))</f>
        <v>0.00555757722538822</v>
      </c>
      <c r="Q689" s="489">
        <f>LN((1+M689)/(1+H689))</f>
        <v>0.0120968365461222</v>
      </c>
      <c r="R689" s="489">
        <f>LN((1+N689)/(1+H689))</f>
        <v>0.00468102709118847</v>
      </c>
      <c r="S689" s="542">
        <f>LN((1+O689)/(1+H689))</f>
        <v>0.0190933733520431</v>
      </c>
    </row>
    <row r="690">
      <c r="A690" s="320" t="n">
        <v>589</v>
      </c>
      <c r="B690" s="174" t="n">
        <v>21</v>
      </c>
      <c r="C690" s="174" t="n">
        <v>4</v>
      </c>
      <c r="D690" s="174" t="n">
        <v>41</v>
      </c>
      <c r="E690" s="174" t="n">
        <v>44</v>
      </c>
      <c r="F690" s="174" t="n">
        <v>7</v>
      </c>
      <c r="G690" s="68">
        <f>(1+INDEX($Z$21:$Z$97,B690))*(1+INDEX($Z$21:$Z$97,C690))*(1+INDEX($Z$21:$Z$97,D690))*(1+INDEX($Z$21:$Z$97,E690))*(1+INDEX($Z$21:$Z$97,F690))-1</f>
        <v>0.108946128285958</v>
      </c>
      <c r="H690" s="68">
        <f>(1+INDEX($AA$21:$AA$97,B690))*(1+INDEX($AA$21:$AA$97,C690))*(1+INDEX($AA$21:$AA$97,D690))*(1+INDEX($AA$21:$AA$97,E690))*(1+INDEX($AA$21:$AA$97,F690))-1</f>
        <v>0.1389153263513</v>
      </c>
      <c r="I690" s="68">
        <f>(1+INDEX($AB$21:$AB$97,B690))*(1+INDEX($AB$21:$AB$97,C690))*(1+INDEX($AB$21:$AB$97,D690))*(1+INDEX($AB$21:$AB$97,E690))*(1+INDEX($AB$21:$AB$97,F690))-1</f>
        <v>0.120278737601283</v>
      </c>
      <c r="J690" s="489">
        <f>LN((1+G690)/(1+H690))</f>
        <v>-0.0266662110106952</v>
      </c>
      <c r="K690" s="489">
        <f>LN((1+I690)/(1+H690))</f>
        <v>-0.0164988141588221</v>
      </c>
      <c r="L690" s="489">
        <f>(1+INDEX($AC$21:$AC$97,B690))*(1+INDEX($AC$21:$AC$97,C690))*(1+INDEX($AC$21:$AC$97,D690))*(1+INDEX($AC$21:$AC$97,E690))*(1+INDEX($AC$21:$AC$97,F690))-1</f>
        <v>0.110774708883642</v>
      </c>
      <c r="M690" s="489">
        <f>(1+INDEX($AD$21:$AD$97,B690))*(1+INDEX($AD$21:$AD$97,C690))*(1+INDEX($AD$21:$AD$97,D690))*(1+INDEX($AD$21:$AD$97,E690))*(1+INDEX($AD$21:$AD$97,F690))-1</f>
        <v>0.113594288811796</v>
      </c>
      <c r="N690" s="489">
        <f>(1+INDEX($AE$21:$AE$97,B690))*(1+INDEX($AE$21:$AE$97,C690))*(1+INDEX($AE$21:$AE$97,D690))*(1+INDEX($AE$21:$AE$97,E690))*(1+INDEX($AE$21:$AE$97,F690))-1</f>
        <v>0.094050109390375</v>
      </c>
      <c r="O690" s="489">
        <f>(1+INDEX($AF$21:$AF$97,B690))*(1+INDEX($AF$21:$AF$97,C690))*(1+INDEX($AF$21:$AF$97,D690))*(1+INDEX($AF$21:$AF$97,E690))*(1+INDEX($AF$21:$AF$97,F690))-1</f>
        <v>0.15477055081474</v>
      </c>
      <c r="P690" s="489">
        <f>LN((1+L690)/(1+H690))</f>
        <v>-0.0250186335489657</v>
      </c>
      <c r="Q690" s="489">
        <f>LN((1+M690)/(1+H690))</f>
        <v>-0.0224834593568952</v>
      </c>
      <c r="R690" s="489">
        <f>LN((1+N690)/(1+H690))</f>
        <v>-0.0401898345792503</v>
      </c>
      <c r="S690" s="542">
        <f>LN((1+O690)/(1+H690))</f>
        <v>0.0138253255751251</v>
      </c>
    </row>
    <row r="691">
      <c r="A691" s="320" t="n">
        <v>590</v>
      </c>
      <c r="B691" s="174" t="n">
        <v>31</v>
      </c>
      <c r="C691" s="174" t="n">
        <v>11</v>
      </c>
      <c r="D691" s="174" t="n">
        <v>53</v>
      </c>
      <c r="E691" s="174" t="n">
        <v>51</v>
      </c>
      <c r="F691" s="174" t="n">
        <v>43</v>
      </c>
      <c r="G691" s="68">
        <f>(1+INDEX($Z$21:$Z$97,B691))*(1+INDEX($Z$21:$Z$97,C691))*(1+INDEX($Z$21:$Z$97,D691))*(1+INDEX($Z$21:$Z$97,E691))*(1+INDEX($Z$21:$Z$97,F691))-1</f>
        <v>0.242968004625051</v>
      </c>
      <c r="H691" s="68">
        <f>(1+INDEX($AA$21:$AA$97,B691))*(1+INDEX($AA$21:$AA$97,C691))*(1+INDEX($AA$21:$AA$97,D691))*(1+INDEX($AA$21:$AA$97,E691))*(1+INDEX($AA$21:$AA$97,F691))-1</f>
        <v>0.264757422835294</v>
      </c>
      <c r="I691" s="68">
        <f>(1+INDEX($AB$21:$AB$97,B691))*(1+INDEX($AB$21:$AB$97,C691))*(1+INDEX($AB$21:$AB$97,D691))*(1+INDEX($AB$21:$AB$97,E691))*(1+INDEX($AB$21:$AB$97,F691))-1</f>
        <v>0.254956428676452</v>
      </c>
      <c r="J691" s="489">
        <f>LN((1+G691)/(1+H691))</f>
        <v>-0.0173782714357335</v>
      </c>
      <c r="K691" s="489">
        <f>LN((1+I691)/(1+H691))</f>
        <v>-0.00777948939159449</v>
      </c>
      <c r="L691" s="489">
        <f>(1+INDEX($AC$21:$AC$97,B691))*(1+INDEX($AC$21:$AC$97,C691))*(1+INDEX($AC$21:$AC$97,D691))*(1+INDEX($AC$21:$AC$97,E691))*(1+INDEX($AC$21:$AC$97,F691))-1</f>
        <v>0.246554539449376</v>
      </c>
      <c r="M691" s="489">
        <f>(1+INDEX($AD$21:$AD$97,B691))*(1+INDEX($AD$21:$AD$97,C691))*(1+INDEX($AD$21:$AD$97,D691))*(1+INDEX($AD$21:$AD$97,E691))*(1+INDEX($AD$21:$AD$97,F691))-1</f>
        <v>0.29174484025576</v>
      </c>
      <c r="N691" s="489">
        <f>(1+INDEX($AE$21:$AE$97,B691))*(1+INDEX($AE$21:$AE$97,C691))*(1+INDEX($AE$21:$AE$97,D691))*(1+INDEX($AE$21:$AE$97,E691))*(1+INDEX($AE$21:$AE$97,F691))-1</f>
        <v>0.239212920635968</v>
      </c>
      <c r="O691" s="489">
        <f>(1+INDEX($AF$21:$AF$97,B691))*(1+INDEX($AF$21:$AF$97,C691))*(1+INDEX($AF$21:$AF$97,D691))*(1+INDEX($AF$21:$AF$97,E691))*(1+INDEX($AF$21:$AF$97,F691))-1</f>
        <v>0.306283501127331</v>
      </c>
      <c r="P691" s="489">
        <f>LN((1+L691)/(1+H691))</f>
        <v>-0.0144969660913635</v>
      </c>
      <c r="Q691" s="489">
        <f>LN((1+M691)/(1+H691))</f>
        <v>0.0211135506076221</v>
      </c>
      <c r="R691" s="489">
        <f>LN((1+N691)/(1+H691))</f>
        <v>-0.0204039065258409</v>
      </c>
      <c r="S691" s="542">
        <f>LN((1+O691)/(1+H691))</f>
        <v>0.0323057400115963</v>
      </c>
    </row>
    <row r="692">
      <c r="A692" s="320" t="n">
        <v>591</v>
      </c>
      <c r="B692" s="174" t="n">
        <v>58</v>
      </c>
      <c r="C692" s="174" t="n">
        <v>15</v>
      </c>
      <c r="D692" s="174" t="n">
        <v>76</v>
      </c>
      <c r="E692" s="174" t="n">
        <v>24</v>
      </c>
      <c r="F692" s="174" t="n">
        <v>65</v>
      </c>
      <c r="G692" s="68">
        <f>(1+INDEX($Z$21:$Z$97,B692))*(1+INDEX($Z$21:$Z$97,C692))*(1+INDEX($Z$21:$Z$97,D692))*(1+INDEX($Z$21:$Z$97,E692))*(1+INDEX($Z$21:$Z$97,F692))-1</f>
        <v>0.488149314480856</v>
      </c>
      <c r="H692" s="68">
        <f>(1+INDEX($AA$21:$AA$97,B692))*(1+INDEX($AA$21:$AA$97,C692))*(1+INDEX($AA$21:$AA$97,D692))*(1+INDEX($AA$21:$AA$97,E692))*(1+INDEX($AA$21:$AA$97,F692))-1</f>
        <v>0.450182467726021</v>
      </c>
      <c r="I692" s="68">
        <f>(1+INDEX($AB$21:$AB$97,B692))*(1+INDEX($AB$21:$AB$97,C692))*(1+INDEX($AB$21:$AB$97,D692))*(1+INDEX($AB$21:$AB$97,E692))*(1+INDEX($AB$21:$AB$97,F692))-1</f>
        <v>0.495265937291435</v>
      </c>
      <c r="J692" s="489">
        <f>LN((1+G692)/(1+H692))</f>
        <v>0.0258438888034981</v>
      </c>
      <c r="K692" s="489">
        <f>LN((1+I692)/(1+H692))</f>
        <v>0.030614687172591</v>
      </c>
      <c r="L692" s="489">
        <f>(1+INDEX($AC$21:$AC$97,B692))*(1+INDEX($AC$21:$AC$97,C692))*(1+INDEX($AC$21:$AC$97,D692))*(1+INDEX($AC$21:$AC$97,E692))*(1+INDEX($AC$21:$AC$97,F692))-1</f>
        <v>0.497989019696076</v>
      </c>
      <c r="M692" s="489">
        <f>(1+INDEX($AD$21:$AD$97,B692))*(1+INDEX($AD$21:$AD$97,C692))*(1+INDEX($AD$21:$AD$97,D692))*(1+INDEX($AD$21:$AD$97,E692))*(1+INDEX($AD$21:$AD$97,F692))-1</f>
        <v>0.480385963740933</v>
      </c>
      <c r="N692" s="489">
        <f>(1+INDEX($AE$21:$AE$97,B692))*(1+INDEX($AE$21:$AE$97,C692))*(1+INDEX($AE$21:$AE$97,D692))*(1+INDEX($AE$21:$AE$97,E692))*(1+INDEX($AE$21:$AE$97,F692))-1</f>
        <v>0.478395889160325</v>
      </c>
      <c r="O692" s="489">
        <f>(1+INDEX($AF$21:$AF$97,B692))*(1+INDEX($AF$21:$AF$97,C692))*(1+INDEX($AF$21:$AF$97,D692))*(1+INDEX($AF$21:$AF$97,E692))*(1+INDEX($AF$21:$AF$97,F692))-1</f>
        <v>0.437687538662401</v>
      </c>
      <c r="P692" s="489">
        <f>LN((1+L692)/(1+H692))</f>
        <v>0.0324341667658786</v>
      </c>
      <c r="Q692" s="489">
        <f>LN((1+M692)/(1+H692))</f>
        <v>0.0206134517622581</v>
      </c>
      <c r="R692" s="489">
        <f>LN((1+N692)/(1+H692))</f>
        <v>0.0192682529746201</v>
      </c>
      <c r="S692" s="542">
        <f>LN((1+O692)/(1+H692))</f>
        <v>-0.00865344146819185</v>
      </c>
    </row>
    <row r="693">
      <c r="A693" s="320" t="n">
        <v>592</v>
      </c>
      <c r="B693" s="174" t="n">
        <v>5</v>
      </c>
      <c r="C693" s="174" t="n">
        <v>5</v>
      </c>
      <c r="D693" s="174" t="n">
        <v>53</v>
      </c>
      <c r="E693" s="174" t="n">
        <v>16</v>
      </c>
      <c r="F693" s="174" t="n">
        <v>24</v>
      </c>
      <c r="G693" s="68">
        <f>(1+INDEX($Z$21:$Z$97,B693))*(1+INDEX($Z$21:$Z$97,C693))*(1+INDEX($Z$21:$Z$97,D693))*(1+INDEX($Z$21:$Z$97,E693))*(1+INDEX($Z$21:$Z$97,F693))-1</f>
        <v>-0.0474144270269076</v>
      </c>
      <c r="H693" s="68">
        <f>(1+INDEX($AA$21:$AA$97,B693))*(1+INDEX($AA$21:$AA$97,C693))*(1+INDEX($AA$21:$AA$97,D693))*(1+INDEX($AA$21:$AA$97,E693))*(1+INDEX($AA$21:$AA$97,F693))-1</f>
        <v>0.000522781593061295</v>
      </c>
      <c r="I693" s="68">
        <f>(1+INDEX($AB$21:$AB$97,B693))*(1+INDEX($AB$21:$AB$97,C693))*(1+INDEX($AB$21:$AB$97,D693))*(1+INDEX($AB$21:$AB$97,E693))*(1+INDEX($AB$21:$AB$97,F693))-1</f>
        <v>-0.0446985003614947</v>
      </c>
      <c r="J693" s="489">
        <f>LN((1+G693)/(1+H693))</f>
        <v>-0.0490979806153603</v>
      </c>
      <c r="K693" s="489">
        <f>LN((1+I693)/(1+H693))</f>
        <v>-0.0462509268888116</v>
      </c>
      <c r="L693" s="489">
        <f>(1+INDEX($AC$21:$AC$97,B693))*(1+INDEX($AC$21:$AC$97,C693))*(1+INDEX($AC$21:$AC$97,D693))*(1+INDEX($AC$21:$AC$97,E693))*(1+INDEX($AC$21:$AC$97,F693))-1</f>
        <v>-0.047906096324647</v>
      </c>
      <c r="M693" s="489">
        <f>(1+INDEX($AD$21:$AD$97,B693))*(1+INDEX($AD$21:$AD$97,C693))*(1+INDEX($AD$21:$AD$97,D693))*(1+INDEX($AD$21:$AD$97,E693))*(1+INDEX($AD$21:$AD$97,F693))-1</f>
        <v>-0.0371841312576142</v>
      </c>
      <c r="N693" s="489">
        <f>(1+INDEX($AE$21:$AE$97,B693))*(1+INDEX($AE$21:$AE$97,C693))*(1+INDEX($AE$21:$AE$97,D693))*(1+INDEX($AE$21:$AE$97,E693))*(1+INDEX($AE$21:$AE$97,F693))-1</f>
        <v>-0.0686714266851169</v>
      </c>
      <c r="O693" s="489">
        <f>(1+INDEX($AF$21:$AF$97,B693))*(1+INDEX($AF$21:$AF$97,C693))*(1+INDEX($AF$21:$AF$97,D693))*(1+INDEX($AF$21:$AF$97,E693))*(1+INDEX($AF$21:$AF$97,F693))-1</f>
        <v>0.00785238702070767</v>
      </c>
      <c r="P693" s="489">
        <f>LN((1+L693)/(1+H693))</f>
        <v>-0.0496142557311352</v>
      </c>
      <c r="Q693" s="489">
        <f>LN((1+M693)/(1+H693))</f>
        <v>-0.0384157363315452</v>
      </c>
      <c r="R693" s="489">
        <f>LN((1+N693)/(1+H693))</f>
        <v>-0.0716657838086224</v>
      </c>
      <c r="S693" s="542">
        <f>LN((1+O693)/(1+H693))</f>
        <v>0.00729907248749948</v>
      </c>
    </row>
    <row r="694">
      <c r="A694" s="320" t="n">
        <v>593</v>
      </c>
      <c r="B694" s="174" t="n">
        <v>64</v>
      </c>
      <c r="C694" s="174" t="n">
        <v>55</v>
      </c>
      <c r="D694" s="174" t="n">
        <v>20</v>
      </c>
      <c r="E694" s="174" t="n">
        <v>9</v>
      </c>
      <c r="F694" s="174" t="n">
        <v>9</v>
      </c>
      <c r="G694" s="68">
        <f>(1+INDEX($Z$21:$Z$97,B694))*(1+INDEX($Z$21:$Z$97,C694))*(1+INDEX($Z$21:$Z$97,D694))*(1+INDEX($Z$21:$Z$97,E694))*(1+INDEX($Z$21:$Z$97,F694))-1</f>
        <v>-0.417091683464675</v>
      </c>
      <c r="H694" s="68">
        <f>(1+INDEX($AA$21:$AA$97,B694))*(1+INDEX($AA$21:$AA$97,C694))*(1+INDEX($AA$21:$AA$97,D694))*(1+INDEX($AA$21:$AA$97,E694))*(1+INDEX($AA$21:$AA$97,F694))-1</f>
        <v>-0.36121053721892</v>
      </c>
      <c r="I694" s="68">
        <f>(1+INDEX($AB$21:$AB$97,B694))*(1+INDEX($AB$21:$AB$97,C694))*(1+INDEX($AB$21:$AB$97,D694))*(1+INDEX($AB$21:$AB$97,E694))*(1+INDEX($AB$21:$AB$97,F694))-1</f>
        <v>-0.409369052750034</v>
      </c>
      <c r="J694" s="489">
        <f>LN((1+G694)/(1+H694))</f>
        <v>-0.091545008405346</v>
      </c>
      <c r="K694" s="489">
        <f>LN((1+I694)/(1+H694))</f>
        <v>-0.0783835532562534</v>
      </c>
      <c r="L694" s="489">
        <f>(1+INDEX($AC$21:$AC$97,B694))*(1+INDEX($AC$21:$AC$97,C694))*(1+INDEX($AC$21:$AC$97,D694))*(1+INDEX($AC$21:$AC$97,E694))*(1+INDEX($AC$21:$AC$97,F694))-1</f>
        <v>-0.429714674442328</v>
      </c>
      <c r="M694" s="489">
        <f>(1+INDEX($AD$21:$AD$97,B694))*(1+INDEX($AD$21:$AD$97,C694))*(1+INDEX($AD$21:$AD$97,D694))*(1+INDEX($AD$21:$AD$97,E694))*(1+INDEX($AD$21:$AD$97,F694))-1</f>
        <v>-0.391613165351673</v>
      </c>
      <c r="N694" s="489">
        <f>(1+INDEX($AE$21:$AE$97,B694))*(1+INDEX($AE$21:$AE$97,C694))*(1+INDEX($AE$21:$AE$97,D694))*(1+INDEX($AE$21:$AE$97,E694))*(1+INDEX($AE$21:$AE$97,F694))-1</f>
        <v>-0.429424664702483</v>
      </c>
      <c r="O694" s="489">
        <f>(1+INDEX($AF$21:$AF$97,B694))*(1+INDEX($AF$21:$AF$97,C694))*(1+INDEX($AF$21:$AF$97,D694))*(1+INDEX($AF$21:$AF$97,E694))*(1+INDEX($AF$21:$AF$97,F694))-1</f>
        <v>-0.318263926860563</v>
      </c>
      <c r="P694" s="489">
        <f>LN((1+L694)/(1+H694))</f>
        <v>-0.113438114133036</v>
      </c>
      <c r="Q694" s="489">
        <f>LN((1+M694)/(1+H694))</f>
        <v>-0.0487640000230441</v>
      </c>
      <c r="R694" s="489">
        <f>LN((1+N694)/(1+H694))</f>
        <v>-0.112929708933273</v>
      </c>
      <c r="S694" s="542">
        <f>LN((1+O694)/(1+H694))</f>
        <v>0.0650676725405759</v>
      </c>
    </row>
    <row r="695">
      <c r="A695" s="320" t="n">
        <v>594</v>
      </c>
      <c r="B695" s="174" t="n">
        <v>61</v>
      </c>
      <c r="C695" s="174" t="n">
        <v>65</v>
      </c>
      <c r="D695" s="174" t="n">
        <v>27</v>
      </c>
      <c r="E695" s="174" t="n">
        <v>8</v>
      </c>
      <c r="F695" s="174" t="n">
        <v>68</v>
      </c>
      <c r="G695" s="68">
        <f>(1+INDEX($Z$21:$Z$97,B695))*(1+INDEX($Z$21:$Z$97,C695))*(1+INDEX($Z$21:$Z$97,D695))*(1+INDEX($Z$21:$Z$97,E695))*(1+INDEX($Z$21:$Z$97,F695))-1</f>
        <v>0.162275949643899</v>
      </c>
      <c r="H695" s="68">
        <f>(1+INDEX($AA$21:$AA$97,B695))*(1+INDEX($AA$21:$AA$97,C695))*(1+INDEX($AA$21:$AA$97,D695))*(1+INDEX($AA$21:$AA$97,E695))*(1+INDEX($AA$21:$AA$97,F695))-1</f>
        <v>0.191003236970396</v>
      </c>
      <c r="I695" s="68">
        <f>(1+INDEX($AB$21:$AB$97,B695))*(1+INDEX($AB$21:$AB$97,C695))*(1+INDEX($AB$21:$AB$97,D695))*(1+INDEX($AB$21:$AB$97,E695))*(1+INDEX($AB$21:$AB$97,F695))-1</f>
        <v>0.176092824115143</v>
      </c>
      <c r="J695" s="489">
        <f>LN((1+G695)/(1+H695))</f>
        <v>-0.0244158998135886</v>
      </c>
      <c r="K695" s="489">
        <f>LN((1+I695)/(1+H695))</f>
        <v>-0.0125982297965809</v>
      </c>
      <c r="L695" s="489">
        <f>(1+INDEX($AC$21:$AC$97,B695))*(1+INDEX($AC$21:$AC$97,C695))*(1+INDEX($AC$21:$AC$97,D695))*(1+INDEX($AC$21:$AC$97,E695))*(1+INDEX($AC$21:$AC$97,F695))-1</f>
        <v>0.177281831292967</v>
      </c>
      <c r="M695" s="489">
        <f>(1+INDEX($AD$21:$AD$97,B695))*(1+INDEX($AD$21:$AD$97,C695))*(1+INDEX($AD$21:$AD$97,D695))*(1+INDEX($AD$21:$AD$97,E695))*(1+INDEX($AD$21:$AD$97,F695))-1</f>
        <v>0.163930670345792</v>
      </c>
      <c r="N695" s="489">
        <f>(1+INDEX($AE$21:$AE$97,B695))*(1+INDEX($AE$21:$AE$97,C695))*(1+INDEX($AE$21:$AE$97,D695))*(1+INDEX($AE$21:$AE$97,E695))*(1+INDEX($AE$21:$AE$97,F695))-1</f>
        <v>0.192118411910655</v>
      </c>
      <c r="O695" s="489">
        <f>(1+INDEX($AF$21:$AF$97,B695))*(1+INDEX($AF$21:$AF$97,C695))*(1+INDEX($AF$21:$AF$97,D695))*(1+INDEX($AF$21:$AF$97,E695))*(1+INDEX($AF$21:$AF$97,F695))-1</f>
        <v>0.19605827704349</v>
      </c>
      <c r="P695" s="489">
        <f>LN((1+L695)/(1+H695))</f>
        <v>-0.0115877597668636</v>
      </c>
      <c r="Q695" s="489">
        <f>LN((1+M695)/(1+H695))</f>
        <v>-0.0229932222519559</v>
      </c>
      <c r="R695" s="489">
        <f>LN((1+N695)/(1+H695))</f>
        <v>0.000935894331857504</v>
      </c>
      <c r="S695" s="542">
        <f>LN((1+O695)/(1+H695))</f>
        <v>0.00423537273758408</v>
      </c>
    </row>
    <row r="696">
      <c r="A696" s="320" t="n">
        <v>595</v>
      </c>
      <c r="B696" s="174" t="n">
        <v>30</v>
      </c>
      <c r="C696" s="174" t="n">
        <v>36</v>
      </c>
      <c r="D696" s="174" t="n">
        <v>23</v>
      </c>
      <c r="E696" s="174" t="n">
        <v>14</v>
      </c>
      <c r="F696" s="174" t="n">
        <v>56</v>
      </c>
      <c r="G696" s="68">
        <f>(1+INDEX($Z$21:$Z$97,B696))*(1+INDEX($Z$21:$Z$97,C696))*(1+INDEX($Z$21:$Z$97,D696))*(1+INDEX($Z$21:$Z$97,E696))*(1+INDEX($Z$21:$Z$97,F696))-1</f>
        <v>0.538004421850733</v>
      </c>
      <c r="H696" s="68">
        <f>(1+INDEX($AA$21:$AA$97,B696))*(1+INDEX($AA$21:$AA$97,C696))*(1+INDEX($AA$21:$AA$97,D696))*(1+INDEX($AA$21:$AA$97,E696))*(1+INDEX($AA$21:$AA$97,F696))-1</f>
        <v>0.477704561349479</v>
      </c>
      <c r="I696" s="68">
        <f>(1+INDEX($AB$21:$AB$97,B696))*(1+INDEX($AB$21:$AB$97,C696))*(1+INDEX($AB$21:$AB$97,D696))*(1+INDEX($AB$21:$AB$97,E696))*(1+INDEX($AB$21:$AB$97,F696))-1</f>
        <v>0.516053223285045</v>
      </c>
      <c r="J696" s="489">
        <f>LN((1+G696)/(1+H696))</f>
        <v>0.0399958344321991</v>
      </c>
      <c r="K696" s="489">
        <f>LN((1+I696)/(1+H696))</f>
        <v>0.0256204825991154</v>
      </c>
      <c r="L696" s="489">
        <f>(1+INDEX($AC$21:$AC$97,B696))*(1+INDEX($AC$21:$AC$97,C696))*(1+INDEX($AC$21:$AC$97,D696))*(1+INDEX($AC$21:$AC$97,E696))*(1+INDEX($AC$21:$AC$97,F696))-1</f>
        <v>0.50029180666439</v>
      </c>
      <c r="M696" s="489">
        <f>(1+INDEX($AD$21:$AD$97,B696))*(1+INDEX($AD$21:$AD$97,C696))*(1+INDEX($AD$21:$AD$97,D696))*(1+INDEX($AD$21:$AD$97,E696))*(1+INDEX($AD$21:$AD$97,F696))-1</f>
        <v>0.537843909797164</v>
      </c>
      <c r="N696" s="489">
        <f>(1+INDEX($AE$21:$AE$97,B696))*(1+INDEX($AE$21:$AE$97,C696))*(1+INDEX($AE$21:$AE$97,D696))*(1+INDEX($AE$21:$AE$97,E696))*(1+INDEX($AE$21:$AE$97,F696))-1</f>
        <v>0.496185546915475</v>
      </c>
      <c r="O696" s="489">
        <f>(1+INDEX($AF$21:$AF$97,B696))*(1+INDEX($AF$21:$AF$97,C696))*(1+INDEX($AF$21:$AF$97,D696))*(1+INDEX($AF$21:$AF$97,E696))*(1+INDEX($AF$21:$AF$97,F696))-1</f>
        <v>0.514482722313972</v>
      </c>
      <c r="P696" s="489">
        <f>LN((1+L696)/(1+H696))</f>
        <v>0.0151697152517882</v>
      </c>
      <c r="Q696" s="489">
        <f>LN((1+M696)/(1+H696))</f>
        <v>0.0398914651419033</v>
      </c>
      <c r="R696" s="489">
        <f>LN((1+N696)/(1+H696))</f>
        <v>0.0124289888355619</v>
      </c>
      <c r="S696" s="542">
        <f>LN((1+O696)/(1+H696))</f>
        <v>0.0245840315291693</v>
      </c>
    </row>
    <row r="697">
      <c r="A697" s="320" t="n">
        <v>596</v>
      </c>
      <c r="B697" s="174" t="n">
        <v>47</v>
      </c>
      <c r="C697" s="174" t="n">
        <v>15</v>
      </c>
      <c r="D697" s="174" t="n">
        <v>51</v>
      </c>
      <c r="E697" s="174" t="n">
        <v>6</v>
      </c>
      <c r="F697" s="174" t="n">
        <v>22</v>
      </c>
      <c r="G697" s="68">
        <f>(1+INDEX($Z$21:$Z$97,B697))*(1+INDEX($Z$21:$Z$97,C697))*(1+INDEX($Z$21:$Z$97,D697))*(1+INDEX($Z$21:$Z$97,E697))*(1+INDEX($Z$21:$Z$97,F697))-1</f>
        <v>0.159904683126732</v>
      </c>
      <c r="H697" s="68">
        <f>(1+INDEX($AA$21:$AA$97,B697))*(1+INDEX($AA$21:$AA$97,C697))*(1+INDEX($AA$21:$AA$97,D697))*(1+INDEX($AA$21:$AA$97,E697))*(1+INDEX($AA$21:$AA$97,F697))-1</f>
        <v>0.158724816874413</v>
      </c>
      <c r="I697" s="68">
        <f>(1+INDEX($AB$21:$AB$97,B697))*(1+INDEX($AB$21:$AB$97,C697))*(1+INDEX($AB$21:$AB$97,D697))*(1+INDEX($AB$21:$AB$97,E697))*(1+INDEX($AB$21:$AB$97,F697))-1</f>
        <v>0.16364247901244</v>
      </c>
      <c r="J697" s="489">
        <f>LN((1+G697)/(1+H697))</f>
        <v>0.00101772737227568</v>
      </c>
      <c r="K697" s="489">
        <f>LN((1+I697)/(1+H697))</f>
        <v>0.00423504886316026</v>
      </c>
      <c r="L697" s="489">
        <f>(1+INDEX($AC$21:$AC$97,B697))*(1+INDEX($AC$21:$AC$97,C697))*(1+INDEX($AC$21:$AC$97,D697))*(1+INDEX($AC$21:$AC$97,E697))*(1+INDEX($AC$21:$AC$97,F697))-1</f>
        <v>0.139985256436583</v>
      </c>
      <c r="M697" s="489">
        <f>(1+INDEX($AD$21:$AD$97,B697))*(1+INDEX($AD$21:$AD$97,C697))*(1+INDEX($AD$21:$AD$97,D697))*(1+INDEX($AD$21:$AD$97,E697))*(1+INDEX($AD$21:$AD$97,F697))-1</f>
        <v>0.150171184189696</v>
      </c>
      <c r="N697" s="489">
        <f>(1+INDEX($AE$21:$AE$97,B697))*(1+INDEX($AE$21:$AE$97,C697))*(1+INDEX($AE$21:$AE$97,D697))*(1+INDEX($AE$21:$AE$97,E697))*(1+INDEX($AE$21:$AE$97,F697))-1</f>
        <v>0.118310301307514</v>
      </c>
      <c r="O697" s="489">
        <f>(1+INDEX($AF$21:$AF$97,B697))*(1+INDEX($AF$21:$AF$97,C697))*(1+INDEX($AF$21:$AF$97,D697))*(1+INDEX($AF$21:$AF$97,E697))*(1+INDEX($AF$21:$AF$97,F697))-1</f>
        <v>0.164650304126653</v>
      </c>
      <c r="P697" s="489">
        <f>LN((1+L697)/(1+H697))</f>
        <v>-0.0163047752791396</v>
      </c>
      <c r="Q697" s="489">
        <f>LN((1+M697)/(1+H697))</f>
        <v>-0.00740931753718933</v>
      </c>
      <c r="R697" s="489">
        <f>LN((1+N697)/(1+H697))</f>
        <v>-0.035501218064114</v>
      </c>
      <c r="S697" s="542">
        <f>LN((1+O697)/(1+H697))</f>
        <v>0.00510076917501824</v>
      </c>
    </row>
    <row r="698">
      <c r="A698" s="320" t="n">
        <v>597</v>
      </c>
      <c r="B698" s="174" t="n">
        <v>57</v>
      </c>
      <c r="C698" s="174" t="n">
        <v>68</v>
      </c>
      <c r="D698" s="174" t="n">
        <v>23</v>
      </c>
      <c r="E698" s="174" t="n">
        <v>16</v>
      </c>
      <c r="F698" s="174" t="n">
        <v>14</v>
      </c>
      <c r="G698" s="68">
        <f>(1+INDEX($Z$21:$Z$97,B698))*(1+INDEX($Z$21:$Z$97,C698))*(1+INDEX($Z$21:$Z$97,D698))*(1+INDEX($Z$21:$Z$97,E698))*(1+INDEX($Z$21:$Z$97,F698))-1</f>
        <v>0.750554672941791</v>
      </c>
      <c r="H698" s="68">
        <f>(1+INDEX($AA$21:$AA$97,B698))*(1+INDEX($AA$21:$AA$97,C698))*(1+INDEX($AA$21:$AA$97,D698))*(1+INDEX($AA$21:$AA$97,E698))*(1+INDEX($AA$21:$AA$97,F698))-1</f>
        <v>0.627483031717373</v>
      </c>
      <c r="I698" s="68">
        <f>(1+INDEX($AB$21:$AB$97,B698))*(1+INDEX($AB$21:$AB$97,C698))*(1+INDEX($AB$21:$AB$97,D698))*(1+INDEX($AB$21:$AB$97,E698))*(1+INDEX($AB$21:$AB$97,F698))-1</f>
        <v>0.69183025510841</v>
      </c>
      <c r="J698" s="489">
        <f>LN((1+G698)/(1+H698))</f>
        <v>0.0728980246161017</v>
      </c>
      <c r="K698" s="489">
        <f>LN((1+I698)/(1+H698))</f>
        <v>0.0387762650453647</v>
      </c>
      <c r="L698" s="489">
        <f>(1+INDEX($AC$21:$AC$97,B698))*(1+INDEX($AC$21:$AC$97,C698))*(1+INDEX($AC$21:$AC$97,D698))*(1+INDEX($AC$21:$AC$97,E698))*(1+INDEX($AC$21:$AC$97,F698))-1</f>
        <v>0.683580500247078</v>
      </c>
      <c r="M698" s="489">
        <f>(1+INDEX($AD$21:$AD$97,B698))*(1+INDEX($AD$21:$AD$97,C698))*(1+INDEX($AD$21:$AD$97,D698))*(1+INDEX($AD$21:$AD$97,E698))*(1+INDEX($AD$21:$AD$97,F698))-1</f>
        <v>0.690937669394725</v>
      </c>
      <c r="N698" s="489">
        <f>(1+INDEX($AE$21:$AE$97,B698))*(1+INDEX($AE$21:$AE$97,C698))*(1+INDEX($AE$21:$AE$97,D698))*(1+INDEX($AE$21:$AE$97,E698))*(1+INDEX($AE$21:$AE$97,F698))-1</f>
        <v>0.671371044762003</v>
      </c>
      <c r="O698" s="489">
        <f>(1+INDEX($AF$21:$AF$97,B698))*(1+INDEX($AF$21:$AF$97,C698))*(1+INDEX($AF$21:$AF$97,D698))*(1+INDEX($AF$21:$AF$97,E698))*(1+INDEX($AF$21:$AF$97,F698))-1</f>
        <v>0.655006030943785</v>
      </c>
      <c r="P698" s="489">
        <f>LN((1+L698)/(1+H698))</f>
        <v>0.0338881066042406</v>
      </c>
      <c r="Q698" s="489">
        <f>LN((1+M698)/(1+H698))</f>
        <v>0.0382485399667778</v>
      </c>
      <c r="R698" s="489">
        <f>LN((1+N698)/(1+H698))</f>
        <v>0.0266096054262092</v>
      </c>
      <c r="S698" s="542">
        <f>LN((1+O698)/(1+H698))</f>
        <v>0.0167699838310536</v>
      </c>
    </row>
    <row r="699">
      <c r="A699" s="320" t="n">
        <v>598</v>
      </c>
      <c r="B699" s="174" t="n">
        <v>69</v>
      </c>
      <c r="C699" s="174" t="n">
        <v>54</v>
      </c>
      <c r="D699" s="174" t="n">
        <v>23</v>
      </c>
      <c r="E699" s="174" t="n">
        <v>28</v>
      </c>
      <c r="F699" s="174" t="n">
        <v>32</v>
      </c>
      <c r="G699" s="68">
        <f>(1+INDEX($Z$21:$Z$97,B699))*(1+INDEX($Z$21:$Z$97,C699))*(1+INDEX($Z$21:$Z$97,D699))*(1+INDEX($Z$21:$Z$97,E699))*(1+INDEX($Z$21:$Z$97,F699))-1</f>
        <v>0.686172270999883</v>
      </c>
      <c r="H699" s="68">
        <f>(1+INDEX($AA$21:$AA$97,B699))*(1+INDEX($AA$21:$AA$97,C699))*(1+INDEX($AA$21:$AA$97,D699))*(1+INDEX($AA$21:$AA$97,E699))*(1+INDEX($AA$21:$AA$97,F699))-1</f>
        <v>0.691360849451</v>
      </c>
      <c r="I699" s="68">
        <f>(1+INDEX($AB$21:$AB$97,B699))*(1+INDEX($AB$21:$AB$97,C699))*(1+INDEX($AB$21:$AB$97,D699))*(1+INDEX($AB$21:$AB$97,E699))*(1+INDEX($AB$21:$AB$97,F699))-1</f>
        <v>0.761931896079719</v>
      </c>
      <c r="J699" s="489">
        <f>LN((1+G699)/(1+H699))</f>
        <v>-0.00307240956498798</v>
      </c>
      <c r="K699" s="489">
        <f>LN((1+I699)/(1+H699))</f>
        <v>0.040877434012237</v>
      </c>
      <c r="L699" s="489">
        <f>(1+INDEX($AC$21:$AC$97,B699))*(1+INDEX($AC$21:$AC$97,C699))*(1+INDEX($AC$21:$AC$97,D699))*(1+INDEX($AC$21:$AC$97,E699))*(1+INDEX($AC$21:$AC$97,F699))-1</f>
        <v>0.748624525596783</v>
      </c>
      <c r="M699" s="489">
        <f>(1+INDEX($AD$21:$AD$97,B699))*(1+INDEX($AD$21:$AD$97,C699))*(1+INDEX($AD$21:$AD$97,D699))*(1+INDEX($AD$21:$AD$97,E699))*(1+INDEX($AD$21:$AD$97,F699))-1</f>
        <v>0.771139317963834</v>
      </c>
      <c r="N699" s="489">
        <f>(1+INDEX($AE$21:$AE$97,B699))*(1+INDEX($AE$21:$AE$97,C699))*(1+INDEX($AE$21:$AE$97,D699))*(1+INDEX($AE$21:$AE$97,E699))*(1+INDEX($AE$21:$AE$97,F699))-1</f>
        <v>0.758024109373827</v>
      </c>
      <c r="O699" s="489">
        <f>(1+INDEX($AF$21:$AF$97,B699))*(1+INDEX($AF$21:$AF$97,C699))*(1+INDEX($AF$21:$AF$97,D699))*(1+INDEX($AF$21:$AF$97,E699))*(1+INDEX($AF$21:$AF$97,F699))-1</f>
        <v>0.723908329196427</v>
      </c>
      <c r="P699" s="489">
        <f>LN((1+L699)/(1+H699))</f>
        <v>0.0332960522460472</v>
      </c>
      <c r="Q699" s="489">
        <f>LN((1+M699)/(1+H699))</f>
        <v>0.0460895807088216</v>
      </c>
      <c r="R699" s="489">
        <f>LN((1+N699)/(1+H699))</f>
        <v>0.038657071993343</v>
      </c>
      <c r="S699" s="542">
        <f>LN((1+O699)/(1+H699))</f>
        <v>0.0190605562401562</v>
      </c>
    </row>
    <row r="700">
      <c r="A700" s="320" t="n">
        <v>599</v>
      </c>
      <c r="B700" s="174" t="n">
        <v>2</v>
      </c>
      <c r="C700" s="174" t="n">
        <v>72</v>
      </c>
      <c r="D700" s="174" t="n">
        <v>21</v>
      </c>
      <c r="E700" s="174" t="n">
        <v>10</v>
      </c>
      <c r="F700" s="174" t="n">
        <v>34</v>
      </c>
      <c r="G700" s="68">
        <f>(1+INDEX($Z$21:$Z$97,B700))*(1+INDEX($Z$21:$Z$97,C700))*(1+INDEX($Z$21:$Z$97,D700))*(1+INDEX($Z$21:$Z$97,E700))*(1+INDEX($Z$21:$Z$97,F700))-1</f>
        <v>0.323066472148895</v>
      </c>
      <c r="H700" s="68">
        <f>(1+INDEX($AA$21:$AA$97,B700))*(1+INDEX($AA$21:$AA$97,C700))*(1+INDEX($AA$21:$AA$97,D700))*(1+INDEX($AA$21:$AA$97,E700))*(1+INDEX($AA$21:$AA$97,F700))-1</f>
        <v>0.355699583562228</v>
      </c>
      <c r="I700" s="68">
        <f>(1+INDEX($AB$21:$AB$97,B700))*(1+INDEX($AB$21:$AB$97,C700))*(1+INDEX($AB$21:$AB$97,D700))*(1+INDEX($AB$21:$AB$97,E700))*(1+INDEX($AB$21:$AB$97,F700))-1</f>
        <v>0.361592252414598</v>
      </c>
      <c r="J700" s="489">
        <f>LN((1+G700)/(1+H700))</f>
        <v>-0.0243654915582554</v>
      </c>
      <c r="K700" s="489">
        <f>LN((1+I700)/(1+H700))</f>
        <v>0.00433716983330132</v>
      </c>
      <c r="L700" s="489">
        <f>(1+INDEX($AC$21:$AC$97,B700))*(1+INDEX($AC$21:$AC$97,C700))*(1+INDEX($AC$21:$AC$97,D700))*(1+INDEX($AC$21:$AC$97,E700))*(1+INDEX($AC$21:$AC$97,F700))-1</f>
        <v>0.344285827216434</v>
      </c>
      <c r="M700" s="489">
        <f>(1+INDEX($AD$21:$AD$97,B700))*(1+INDEX($AD$21:$AD$97,C700))*(1+INDEX($AD$21:$AD$97,D700))*(1+INDEX($AD$21:$AD$97,E700))*(1+INDEX($AD$21:$AD$97,F700))-1</f>
        <v>0.396276992645213</v>
      </c>
      <c r="N700" s="489">
        <f>(1+INDEX($AE$21:$AE$97,B700))*(1+INDEX($AE$21:$AE$97,C700))*(1+INDEX($AE$21:$AE$97,D700))*(1+INDEX($AE$21:$AE$97,E700))*(1+INDEX($AE$21:$AE$97,F700))-1</f>
        <v>0.341499591556737</v>
      </c>
      <c r="O700" s="489">
        <f>(1+INDEX($AF$21:$AF$97,B700))*(1+INDEX($AF$21:$AF$97,C700))*(1+INDEX($AF$21:$AF$97,D700))*(1+INDEX($AF$21:$AF$97,E700))*(1+INDEX($AF$21:$AF$97,F700))-1</f>
        <v>0.37834110534344</v>
      </c>
      <c r="P700" s="489">
        <f>LN((1+L700)/(1+H700))</f>
        <v>-0.00845473037775321</v>
      </c>
      <c r="Q700" s="489">
        <f>LN((1+M700)/(1+H700))</f>
        <v>0.029491784530371</v>
      </c>
      <c r="R700" s="489">
        <f>LN((1+N700)/(1+H700))</f>
        <v>-0.010529532511787</v>
      </c>
      <c r="S700" s="542">
        <f>LN((1+O700)/(1+H700))</f>
        <v>0.0165630595653563</v>
      </c>
    </row>
    <row r="701">
      <c r="A701" s="320" t="n">
        <v>600</v>
      </c>
      <c r="B701" s="174" t="n">
        <v>11</v>
      </c>
      <c r="C701" s="174" t="n">
        <v>40</v>
      </c>
      <c r="D701" s="174" t="n">
        <v>35</v>
      </c>
      <c r="E701" s="174" t="n">
        <v>34</v>
      </c>
      <c r="F701" s="174" t="n">
        <v>16</v>
      </c>
      <c r="G701" s="68">
        <f>(1+INDEX($Z$21:$Z$97,B701))*(1+INDEX($Z$21:$Z$97,C701))*(1+INDEX($Z$21:$Z$97,D701))*(1+INDEX($Z$21:$Z$97,E701))*(1+INDEX($Z$21:$Z$97,F701))-1</f>
        <v>0.374375936081101</v>
      </c>
      <c r="H701" s="68">
        <f>(1+INDEX($AA$21:$AA$97,B701))*(1+INDEX($AA$21:$AA$97,C701))*(1+INDEX($AA$21:$AA$97,D701))*(1+INDEX($AA$21:$AA$97,E701))*(1+INDEX($AA$21:$AA$97,F701))-1</f>
        <v>0.366260559131966</v>
      </c>
      <c r="I701" s="68">
        <f>(1+INDEX($AB$21:$AB$97,B701))*(1+INDEX($AB$21:$AB$97,C701))*(1+INDEX($AB$21:$AB$97,D701))*(1+INDEX($AB$21:$AB$97,E701))*(1+INDEX($AB$21:$AB$97,F701))-1</f>
        <v>0.379195190425477</v>
      </c>
      <c r="J701" s="489">
        <f>LN((1+G701)/(1+H701))</f>
        <v>0.00592227439336773</v>
      </c>
      <c r="K701" s="489">
        <f>LN((1+I701)/(1+H701))</f>
        <v>0.00942264467157118</v>
      </c>
      <c r="L701" s="489">
        <f>(1+INDEX($AC$21:$AC$97,B701))*(1+INDEX($AC$21:$AC$97,C701))*(1+INDEX($AC$21:$AC$97,D701))*(1+INDEX($AC$21:$AC$97,E701))*(1+INDEX($AC$21:$AC$97,F701))-1</f>
        <v>0.373830555381944</v>
      </c>
      <c r="M701" s="489">
        <f>(1+INDEX($AD$21:$AD$97,B701))*(1+INDEX($AD$21:$AD$97,C701))*(1+INDEX($AD$21:$AD$97,D701))*(1+INDEX($AD$21:$AD$97,E701))*(1+INDEX($AD$21:$AD$97,F701))-1</f>
        <v>0.414632940696859</v>
      </c>
      <c r="N701" s="489">
        <f>(1+INDEX($AE$21:$AE$97,B701))*(1+INDEX($AE$21:$AE$97,C701))*(1+INDEX($AE$21:$AE$97,D701))*(1+INDEX($AE$21:$AE$97,E701))*(1+INDEX($AE$21:$AE$97,F701))-1</f>
        <v>0.360891970636434</v>
      </c>
      <c r="O701" s="489">
        <f>(1+INDEX($AF$21:$AF$97,B701))*(1+INDEX($AF$21:$AF$97,C701))*(1+INDEX($AF$21:$AF$97,D701))*(1+INDEX($AF$21:$AF$97,E701))*(1+INDEX($AF$21:$AF$97,F701))-1</f>
        <v>0.376004687120485</v>
      </c>
      <c r="P701" s="489">
        <f>LN((1+L701)/(1+H701))</f>
        <v>0.00552537502790125</v>
      </c>
      <c r="Q701" s="489">
        <f>LN((1+M701)/(1+H701))</f>
        <v>0.0347926025466022</v>
      </c>
      <c r="R701" s="489">
        <f>LN((1+N701)/(1+H701))</f>
        <v>-0.0039371435017637</v>
      </c>
      <c r="S701" s="542">
        <f>LN((1+O701)/(1+H701))</f>
        <v>0.00710665681377949</v>
      </c>
    </row>
    <row r="702">
      <c r="A702" s="320" t="n">
        <v>601</v>
      </c>
      <c r="B702" s="174" t="n">
        <v>4</v>
      </c>
      <c r="C702" s="174" t="n">
        <v>11</v>
      </c>
      <c r="D702" s="174" t="n">
        <v>60</v>
      </c>
      <c r="E702" s="174" t="n">
        <v>15</v>
      </c>
      <c r="F702" s="174" t="n">
        <v>68</v>
      </c>
      <c r="G702" s="68">
        <f>(1+INDEX($Z$21:$Z$97,B702))*(1+INDEX($Z$21:$Z$97,C702))*(1+INDEX($Z$21:$Z$97,D702))*(1+INDEX($Z$21:$Z$97,E702))*(1+INDEX($Z$21:$Z$97,F702))-1</f>
        <v>0.401541622621008</v>
      </c>
      <c r="H702" s="68">
        <f>(1+INDEX($AA$21:$AA$97,B702))*(1+INDEX($AA$21:$AA$97,C702))*(1+INDEX($AA$21:$AA$97,D702))*(1+INDEX($AA$21:$AA$97,E702))*(1+INDEX($AA$21:$AA$97,F702))-1</f>
        <v>0.388740235504532</v>
      </c>
      <c r="I702" s="68">
        <f>(1+INDEX($AB$21:$AB$97,B702))*(1+INDEX($AB$21:$AB$97,C702))*(1+INDEX($AB$21:$AB$97,D702))*(1+INDEX($AB$21:$AB$97,E702))*(1+INDEX($AB$21:$AB$97,F702))-1</f>
        <v>0.362843525759563</v>
      </c>
      <c r="J702" s="489">
        <f>LN((1+G702)/(1+H702))</f>
        <v>0.00917575899820106</v>
      </c>
      <c r="K702" s="489">
        <f>LN((1+I702)/(1+H702))</f>
        <v>-0.0188236860332007</v>
      </c>
      <c r="L702" s="489">
        <f>(1+INDEX($AC$21:$AC$97,B702))*(1+INDEX($AC$21:$AC$97,C702))*(1+INDEX($AC$21:$AC$97,D702))*(1+INDEX($AC$21:$AC$97,E702))*(1+INDEX($AC$21:$AC$97,F702))-1</f>
        <v>0.382309504639946</v>
      </c>
      <c r="M702" s="489">
        <f>(1+INDEX($AD$21:$AD$97,B702))*(1+INDEX($AD$21:$AD$97,C702))*(1+INDEX($AD$21:$AD$97,D702))*(1+INDEX($AD$21:$AD$97,E702))*(1+INDEX($AD$21:$AD$97,F702))-1</f>
        <v>0.369231454389174</v>
      </c>
      <c r="N702" s="489">
        <f>(1+INDEX($AE$21:$AE$97,B702))*(1+INDEX($AE$21:$AE$97,C702))*(1+INDEX($AE$21:$AE$97,D702))*(1+INDEX($AE$21:$AE$97,E702))*(1+INDEX($AE$21:$AE$97,F702))-1</f>
        <v>0.37554267189028</v>
      </c>
      <c r="O702" s="489">
        <f>(1+INDEX($AF$21:$AF$97,B702))*(1+INDEX($AF$21:$AF$97,C702))*(1+INDEX($AF$21:$AF$97,D702))*(1+INDEX($AF$21:$AF$97,E702))*(1+INDEX($AF$21:$AF$97,F702))-1</f>
        <v>0.391679730387285</v>
      </c>
      <c r="P702" s="489">
        <f>LN((1+L702)/(1+H702))</f>
        <v>-0.00464137638228069</v>
      </c>
      <c r="Q702" s="489">
        <f>LN((1+M702)/(1+H702))</f>
        <v>-0.014147430574168</v>
      </c>
      <c r="R702" s="489">
        <f>LN((1+N702)/(1+H702))</f>
        <v>-0.00954870708484231</v>
      </c>
      <c r="S702" s="542">
        <f>LN((1+O702)/(1+H702))</f>
        <v>0.00211442588815369</v>
      </c>
    </row>
    <row r="703">
      <c r="A703" s="320" t="n">
        <v>602</v>
      </c>
      <c r="B703" s="174" t="n">
        <v>77</v>
      </c>
      <c r="C703" s="174" t="n">
        <v>22</v>
      </c>
      <c r="D703" s="174" t="n">
        <v>74</v>
      </c>
      <c r="E703" s="174" t="n">
        <v>74</v>
      </c>
      <c r="F703" s="174" t="n">
        <v>38</v>
      </c>
      <c r="G703" s="68">
        <f>(1+INDEX($Z$21:$Z$97,B703))*(1+INDEX($Z$21:$Z$97,C703))*(1+INDEX($Z$21:$Z$97,D703))*(1+INDEX($Z$21:$Z$97,E703))*(1+INDEX($Z$21:$Z$97,F703))-1</f>
        <v>0.392281184186459</v>
      </c>
      <c r="H703" s="68">
        <f>(1+INDEX($AA$21:$AA$97,B703))*(1+INDEX($AA$21:$AA$97,C703))*(1+INDEX($AA$21:$AA$97,D703))*(1+INDEX($AA$21:$AA$97,E703))*(1+INDEX($AA$21:$AA$97,F703))-1</f>
        <v>0.354366313273795</v>
      </c>
      <c r="I703" s="68">
        <f>(1+INDEX($AB$21:$AB$97,B703))*(1+INDEX($AB$21:$AB$97,C703))*(1+INDEX($AB$21:$AB$97,D703))*(1+INDEX($AB$21:$AB$97,E703))*(1+INDEX($AB$21:$AB$97,F703))-1</f>
        <v>0.39264685934768</v>
      </c>
      <c r="J703" s="489">
        <f>LN((1+G703)/(1+H703))</f>
        <v>0.0276098621854355</v>
      </c>
      <c r="K703" s="489">
        <f>LN((1+I703)/(1+H703))</f>
        <v>0.027872472319418</v>
      </c>
      <c r="L703" s="489">
        <f>(1+INDEX($AC$21:$AC$97,B703))*(1+INDEX($AC$21:$AC$97,C703))*(1+INDEX($AC$21:$AC$97,D703))*(1+INDEX($AC$21:$AC$97,E703))*(1+INDEX($AC$21:$AC$97,F703))-1</f>
        <v>0.37141904555495</v>
      </c>
      <c r="M703" s="489">
        <f>(1+INDEX($AD$21:$AD$97,B703))*(1+INDEX($AD$21:$AD$97,C703))*(1+INDEX($AD$21:$AD$97,D703))*(1+INDEX($AD$21:$AD$97,E703))*(1+INDEX($AD$21:$AD$97,F703))-1</f>
        <v>0.392958484952636</v>
      </c>
      <c r="N703" s="489">
        <f>(1+INDEX($AE$21:$AE$97,B703))*(1+INDEX($AE$21:$AE$97,C703))*(1+INDEX($AE$21:$AE$97,D703))*(1+INDEX($AE$21:$AE$97,E703))*(1+INDEX($AE$21:$AE$97,F703))-1</f>
        <v>0.357602395525547</v>
      </c>
      <c r="O703" s="489">
        <f>(1+INDEX($AF$21:$AF$97,B703))*(1+INDEX($AF$21:$AF$97,C703))*(1+INDEX($AF$21:$AF$97,D703))*(1+INDEX($AF$21:$AF$97,E703))*(1+INDEX($AF$21:$AF$97,F703))-1</f>
        <v>0.364274287755042</v>
      </c>
      <c r="P703" s="489">
        <f>LN((1+L703)/(1+H703))</f>
        <v>0.0125123239833757</v>
      </c>
      <c r="Q703" s="489">
        <f>LN((1+M703)/(1+H703))</f>
        <v>0.0280962122737471</v>
      </c>
      <c r="R703" s="489">
        <f>LN((1+N703)/(1+H703))</f>
        <v>0.00238652000457927</v>
      </c>
      <c r="S703" s="542">
        <f>LN((1+O703)/(1+H703))</f>
        <v>0.00728895047327957</v>
      </c>
    </row>
    <row r="704">
      <c r="A704" s="320" t="n">
        <v>603</v>
      </c>
      <c r="B704" s="174" t="n">
        <v>45</v>
      </c>
      <c r="C704" s="174" t="n">
        <v>74</v>
      </c>
      <c r="D704" s="174" t="n">
        <v>67</v>
      </c>
      <c r="E704" s="174" t="n">
        <v>39</v>
      </c>
      <c r="F704" s="174" t="n">
        <v>13</v>
      </c>
      <c r="G704" s="68">
        <f>(1+INDEX($Z$21:$Z$97,B704))*(1+INDEX($Z$21:$Z$97,C704))*(1+INDEX($Z$21:$Z$97,D704))*(1+INDEX($Z$21:$Z$97,E704))*(1+INDEX($Z$21:$Z$97,F704))-1</f>
        <v>0.69354007158285</v>
      </c>
      <c r="H704" s="68">
        <f>(1+INDEX($AA$21:$AA$97,B704))*(1+INDEX($AA$21:$AA$97,C704))*(1+INDEX($AA$21:$AA$97,D704))*(1+INDEX($AA$21:$AA$97,E704))*(1+INDEX($AA$21:$AA$97,F704))-1</f>
        <v>0.595611681788695</v>
      </c>
      <c r="I704" s="68">
        <f>(1+INDEX($AB$21:$AB$97,B704))*(1+INDEX($AB$21:$AB$97,C704))*(1+INDEX($AB$21:$AB$97,D704))*(1+INDEX($AB$21:$AB$97,E704))*(1+INDEX($AB$21:$AB$97,F704))-1</f>
        <v>0.647583799615742</v>
      </c>
      <c r="J704" s="489">
        <f>LN((1+G704)/(1+H704))</f>
        <v>0.0595638927137034</v>
      </c>
      <c r="K704" s="489">
        <f>LN((1+I704)/(1+H704))</f>
        <v>0.0320526885409216</v>
      </c>
      <c r="L704" s="489">
        <f>(1+INDEX($AC$21:$AC$97,B704))*(1+INDEX($AC$21:$AC$97,C704))*(1+INDEX($AC$21:$AC$97,D704))*(1+INDEX($AC$21:$AC$97,E704))*(1+INDEX($AC$21:$AC$97,F704))-1</f>
        <v>0.648525411323763</v>
      </c>
      <c r="M704" s="489">
        <f>(1+INDEX($AD$21:$AD$97,B704))*(1+INDEX($AD$21:$AD$97,C704))*(1+INDEX($AD$21:$AD$97,D704))*(1+INDEX($AD$21:$AD$97,E704))*(1+INDEX($AD$21:$AD$97,F704))-1</f>
        <v>0.646295829616128</v>
      </c>
      <c r="N704" s="489">
        <f>(1+INDEX($AE$21:$AE$97,B704))*(1+INDEX($AE$21:$AE$97,C704))*(1+INDEX($AE$21:$AE$97,D704))*(1+INDEX($AE$21:$AE$97,E704))*(1+INDEX($AE$21:$AE$97,F704))-1</f>
        <v>0.638196575409399</v>
      </c>
      <c r="O704" s="489">
        <f>(1+INDEX($AF$21:$AF$97,B704))*(1+INDEX($AF$21:$AF$97,C704))*(1+INDEX($AF$21:$AF$97,D704))*(1+INDEX($AF$21:$AF$97,E704))*(1+INDEX($AF$21:$AF$97,F704))-1</f>
        <v>0.6173599596354</v>
      </c>
      <c r="P704" s="489">
        <f>LN((1+L704)/(1+H704))</f>
        <v>0.032624035952901</v>
      </c>
      <c r="Q704" s="489">
        <f>LN((1+M704)/(1+H704))</f>
        <v>0.0312706502090861</v>
      </c>
      <c r="R704" s="489">
        <f>LN((1+N704)/(1+H704))</f>
        <v>0.0263388253640823</v>
      </c>
      <c r="S704" s="542">
        <f>LN((1+O704)/(1+H704))</f>
        <v>0.0135380030931532</v>
      </c>
    </row>
    <row r="705">
      <c r="A705" s="320" t="n">
        <v>604</v>
      </c>
      <c r="B705" s="174" t="n">
        <v>41</v>
      </c>
      <c r="C705" s="174" t="n">
        <v>60</v>
      </c>
      <c r="D705" s="174" t="n">
        <v>18</v>
      </c>
      <c r="E705" s="174" t="n">
        <v>52</v>
      </c>
      <c r="F705" s="174" t="n">
        <v>14</v>
      </c>
      <c r="G705" s="68">
        <f>(1+INDEX($Z$21:$Z$97,B705))*(1+INDEX($Z$21:$Z$97,C705))*(1+INDEX($Z$21:$Z$97,D705))*(1+INDEX($Z$21:$Z$97,E705))*(1+INDEX($Z$21:$Z$97,F705))-1</f>
        <v>0.849699315198937</v>
      </c>
      <c r="H705" s="68">
        <f>(1+INDEX($AA$21:$AA$97,B705))*(1+INDEX($AA$21:$AA$97,C705))*(1+INDEX($AA$21:$AA$97,D705))*(1+INDEX($AA$21:$AA$97,E705))*(1+INDEX($AA$21:$AA$97,F705))-1</f>
        <v>0.759083087491251</v>
      </c>
      <c r="I705" s="68">
        <f>(1+INDEX($AB$21:$AB$97,B705))*(1+INDEX($AB$21:$AB$97,C705))*(1+INDEX($AB$21:$AB$97,D705))*(1+INDEX($AB$21:$AB$97,E705))*(1+INDEX($AB$21:$AB$97,F705))-1</f>
        <v>0.812617201207892</v>
      </c>
      <c r="J705" s="489">
        <f>LN((1+G705)/(1+H705))</f>
        <v>0.0502303932753924</v>
      </c>
      <c r="K705" s="489">
        <f>LN((1+I705)/(1+H705))</f>
        <v>0.0299790681114042</v>
      </c>
      <c r="L705" s="489">
        <f>(1+INDEX($AC$21:$AC$97,B705))*(1+INDEX($AC$21:$AC$97,C705))*(1+INDEX($AC$21:$AC$97,D705))*(1+INDEX($AC$21:$AC$97,E705))*(1+INDEX($AC$21:$AC$97,F705))-1</f>
        <v>0.839721571450601</v>
      </c>
      <c r="M705" s="489">
        <f>(1+INDEX($AD$21:$AD$97,B705))*(1+INDEX($AD$21:$AD$97,C705))*(1+INDEX($AD$21:$AD$97,D705))*(1+INDEX($AD$21:$AD$97,E705))*(1+INDEX($AD$21:$AD$97,F705))-1</f>
        <v>0.782610812308381</v>
      </c>
      <c r="N705" s="489">
        <f>(1+INDEX($AE$21:$AE$97,B705))*(1+INDEX($AE$21:$AE$97,C705))*(1+INDEX($AE$21:$AE$97,D705))*(1+INDEX($AE$21:$AE$97,E705))*(1+INDEX($AE$21:$AE$97,F705))-1</f>
        <v>0.843875555407121</v>
      </c>
      <c r="O705" s="489">
        <f>(1+INDEX($AF$21:$AF$97,B705))*(1+INDEX($AF$21:$AF$97,C705))*(1+INDEX($AF$21:$AF$97,D705))*(1+INDEX($AF$21:$AF$97,E705))*(1+INDEX($AF$21:$AF$97,F705))-1</f>
        <v>0.723208813238566</v>
      </c>
      <c r="P705" s="489">
        <f>LN((1+L705)/(1+H705))</f>
        <v>0.0448215400269524</v>
      </c>
      <c r="Q705" s="489">
        <f>LN((1+M705)/(1+H705))</f>
        <v>0.0132863378868268</v>
      </c>
      <c r="R705" s="489">
        <f>LN((1+N705)/(1+H705))</f>
        <v>0.047076936355237</v>
      </c>
      <c r="S705" s="542">
        <f>LN((1+O705)/(1+H705))</f>
        <v>-0.0206045584125896</v>
      </c>
    </row>
    <row r="706">
      <c r="A706" s="320" t="n">
        <v>605</v>
      </c>
      <c r="B706" s="174" t="n">
        <v>23</v>
      </c>
      <c r="C706" s="174" t="n">
        <v>15</v>
      </c>
      <c r="D706" s="174" t="n">
        <v>59</v>
      </c>
      <c r="E706" s="174" t="n">
        <v>63</v>
      </c>
      <c r="F706" s="174" t="n">
        <v>44</v>
      </c>
      <c r="G706" s="68">
        <f>(1+INDEX($Z$21:$Z$97,B706))*(1+INDEX($Z$21:$Z$97,C706))*(1+INDEX($Z$21:$Z$97,D706))*(1+INDEX($Z$21:$Z$97,E706))*(1+INDEX($Z$21:$Z$97,F706))-1</f>
        <v>0.375745232780578</v>
      </c>
      <c r="H706" s="68">
        <f>(1+INDEX($AA$21:$AA$97,B706))*(1+INDEX($AA$21:$AA$97,C706))*(1+INDEX($AA$21:$AA$97,D706))*(1+INDEX($AA$21:$AA$97,E706))*(1+INDEX($AA$21:$AA$97,F706))-1</f>
        <v>0.340377248289765</v>
      </c>
      <c r="I706" s="68">
        <f>(1+INDEX($AB$21:$AB$97,B706))*(1+INDEX($AB$21:$AB$97,C706))*(1+INDEX($AB$21:$AB$97,D706))*(1+INDEX($AB$21:$AB$97,E706))*(1+INDEX($AB$21:$AB$97,F706))-1</f>
        <v>0.379047550052063</v>
      </c>
      <c r="J706" s="489">
        <f>LN((1+G706)/(1+H706))</f>
        <v>0.0260444688576153</v>
      </c>
      <c r="K706" s="489">
        <f>LN((1+I706)/(1+H706))</f>
        <v>0.0284419768472447</v>
      </c>
      <c r="L706" s="489">
        <f>(1+INDEX($AC$21:$AC$97,B706))*(1+INDEX($AC$21:$AC$97,C706))*(1+INDEX($AC$21:$AC$97,D706))*(1+INDEX($AC$21:$AC$97,E706))*(1+INDEX($AC$21:$AC$97,F706))-1</f>
        <v>0.385607627720461</v>
      </c>
      <c r="M706" s="489">
        <f>(1+INDEX($AD$21:$AD$97,B706))*(1+INDEX($AD$21:$AD$97,C706))*(1+INDEX($AD$21:$AD$97,D706))*(1+INDEX($AD$21:$AD$97,E706))*(1+INDEX($AD$21:$AD$97,F706))-1</f>
        <v>0.342872111916505</v>
      </c>
      <c r="N706" s="489">
        <f>(1+INDEX($AE$21:$AE$97,B706))*(1+INDEX($AE$21:$AE$97,C706))*(1+INDEX($AE$21:$AE$97,D706))*(1+INDEX($AE$21:$AE$97,E706))*(1+INDEX($AE$21:$AE$97,F706))-1</f>
        <v>0.371148116446316</v>
      </c>
      <c r="O706" s="489">
        <f>(1+INDEX($AF$21:$AF$97,B706))*(1+INDEX($AF$21:$AF$97,C706))*(1+INDEX($AF$21:$AF$97,D706))*(1+INDEX($AF$21:$AF$97,E706))*(1+INDEX($AF$21:$AF$97,F706))-1</f>
        <v>0.306978573500875</v>
      </c>
      <c r="P706" s="489">
        <f>LN((1+L706)/(1+H706))</f>
        <v>0.033187660889902</v>
      </c>
      <c r="Q706" s="489">
        <f>LN((1+M706)/(1+H706))</f>
        <v>0.00185958441484245</v>
      </c>
      <c r="R706" s="489">
        <f>LN((1+N706)/(1+H706))</f>
        <v>0.0226973271657236</v>
      </c>
      <c r="S706" s="542">
        <f>LN((1+O706)/(1+H706))</f>
        <v>-0.0252330620567406</v>
      </c>
    </row>
    <row r="707">
      <c r="A707" s="320" t="n">
        <v>606</v>
      </c>
      <c r="B707" s="174" t="n">
        <v>76</v>
      </c>
      <c r="C707" s="174" t="n">
        <v>30</v>
      </c>
      <c r="D707" s="174" t="n">
        <v>64</v>
      </c>
      <c r="E707" s="174" t="n">
        <v>45</v>
      </c>
      <c r="F707" s="174" t="n">
        <v>67</v>
      </c>
      <c r="G707" s="68">
        <f>(1+INDEX($Z$21:$Z$97,B707))*(1+INDEX($Z$21:$Z$97,C707))*(1+INDEX($Z$21:$Z$97,D707))*(1+INDEX($Z$21:$Z$97,E707))*(1+INDEX($Z$21:$Z$97,F707))-1</f>
        <v>0.268493818148502</v>
      </c>
      <c r="H707" s="68">
        <f>(1+INDEX($AA$21:$AA$97,B707))*(1+INDEX($AA$21:$AA$97,C707))*(1+INDEX($AA$21:$AA$97,D707))*(1+INDEX($AA$21:$AA$97,E707))*(1+INDEX($AA$21:$AA$97,F707))-1</f>
        <v>0.271180852001411</v>
      </c>
      <c r="I707" s="68">
        <f>(1+INDEX($AB$21:$AB$97,B707))*(1+INDEX($AB$21:$AB$97,C707))*(1+INDEX($AB$21:$AB$97,D707))*(1+INDEX($AB$21:$AB$97,E707))*(1+INDEX($AB$21:$AB$97,F707))-1</f>
        <v>0.294930943679161</v>
      </c>
      <c r="J707" s="489">
        <f>LN((1+G707)/(1+H707))</f>
        <v>-0.00211604650558194</v>
      </c>
      <c r="K707" s="489">
        <f>LN((1+I707)/(1+H707))</f>
        <v>0.0185110951900064</v>
      </c>
      <c r="L707" s="489">
        <f>(1+INDEX($AC$21:$AC$97,B707))*(1+INDEX($AC$21:$AC$97,C707))*(1+INDEX($AC$21:$AC$97,D707))*(1+INDEX($AC$21:$AC$97,E707))*(1+INDEX($AC$21:$AC$97,F707))-1</f>
        <v>0.299290876301434</v>
      </c>
      <c r="M707" s="489">
        <f>(1+INDEX($AD$21:$AD$97,B707))*(1+INDEX($AD$21:$AD$97,C707))*(1+INDEX($AD$21:$AD$97,D707))*(1+INDEX($AD$21:$AD$97,E707))*(1+INDEX($AD$21:$AD$97,F707))-1</f>
        <v>0.267487803034845</v>
      </c>
      <c r="N707" s="489">
        <f>(1+INDEX($AE$21:$AE$97,B707))*(1+INDEX($AE$21:$AE$97,C707))*(1+INDEX($AE$21:$AE$97,D707))*(1+INDEX($AE$21:$AE$97,E707))*(1+INDEX($AE$21:$AE$97,F707))-1</f>
        <v>0.289899182241248</v>
      </c>
      <c r="O707" s="489">
        <f>(1+INDEX($AF$21:$AF$97,B707))*(1+INDEX($AF$21:$AF$97,C707))*(1+INDEX($AF$21:$AF$97,D707))*(1+INDEX($AF$21:$AF$97,E707))*(1+INDEX($AF$21:$AF$97,F707))-1</f>
        <v>0.267831032081497</v>
      </c>
      <c r="P707" s="489">
        <f>LN((1+L707)/(1+H707))</f>
        <v>0.0218723626757801</v>
      </c>
      <c r="Q707" s="489">
        <f>LN((1+M707)/(1+H707))</f>
        <v>-0.00290943961066207</v>
      </c>
      <c r="R707" s="489">
        <f>LN((1+N707)/(1+H707))</f>
        <v>0.014617788822724</v>
      </c>
      <c r="S707" s="542">
        <f>LN((1+O707)/(1+H707))</f>
        <v>-0.00263868151586633</v>
      </c>
    </row>
    <row r="708">
      <c r="A708" s="320" t="n">
        <v>607</v>
      </c>
      <c r="B708" s="174" t="n">
        <v>8</v>
      </c>
      <c r="C708" s="174" t="n">
        <v>40</v>
      </c>
      <c r="D708" s="174" t="n">
        <v>63</v>
      </c>
      <c r="E708" s="174" t="n">
        <v>45</v>
      </c>
      <c r="F708" s="174" t="n">
        <v>74</v>
      </c>
      <c r="G708" s="68">
        <f>(1+INDEX($Z$21:$Z$97,B708))*(1+INDEX($Z$21:$Z$97,C708))*(1+INDEX($Z$21:$Z$97,D708))*(1+INDEX($Z$21:$Z$97,E708))*(1+INDEX($Z$21:$Z$97,F708))-1</f>
        <v>-0.0879657212325303</v>
      </c>
      <c r="H708" s="68">
        <f>(1+INDEX($AA$21:$AA$97,B708))*(1+INDEX($AA$21:$AA$97,C708))*(1+INDEX($AA$21:$AA$97,D708))*(1+INDEX($AA$21:$AA$97,E708))*(1+INDEX($AA$21:$AA$97,F708))-1</f>
        <v>-0.0532340502306681</v>
      </c>
      <c r="I708" s="68">
        <f>(1+INDEX($AB$21:$AB$97,B708))*(1+INDEX($AB$21:$AB$97,C708))*(1+INDEX($AB$21:$AB$97,D708))*(1+INDEX($AB$21:$AB$97,E708))*(1+INDEX($AB$21:$AB$97,F708))-1</f>
        <v>-0.0632351182122937</v>
      </c>
      <c r="J708" s="489">
        <f>LN((1+G708)/(1+H708))</f>
        <v>-0.0373743377690634</v>
      </c>
      <c r="K708" s="489">
        <f>LN((1+I708)/(1+H708))</f>
        <v>-0.0106195893410991</v>
      </c>
      <c r="L708" s="489">
        <f>(1+INDEX($AC$21:$AC$97,B708))*(1+INDEX($AC$21:$AC$97,C708))*(1+INDEX($AC$21:$AC$97,D708))*(1+INDEX($AC$21:$AC$97,E708))*(1+INDEX($AC$21:$AC$97,F708))-1</f>
        <v>-0.076009541422269</v>
      </c>
      <c r="M708" s="489">
        <f>(1+INDEX($AD$21:$AD$97,B708))*(1+INDEX($AD$21:$AD$97,C708))*(1+INDEX($AD$21:$AD$97,D708))*(1+INDEX($AD$21:$AD$97,E708))*(1+INDEX($AD$21:$AD$97,F708))-1</f>
        <v>-0.0713190604464422</v>
      </c>
      <c r="N708" s="489">
        <f>(1+INDEX($AE$21:$AE$97,B708))*(1+INDEX($AE$21:$AE$97,C708))*(1+INDEX($AE$21:$AE$97,D708))*(1+INDEX($AE$21:$AE$97,E708))*(1+INDEX($AE$21:$AE$97,F708))-1</f>
        <v>-0.085503217271504</v>
      </c>
      <c r="O708" s="489">
        <f>(1+INDEX($AF$21:$AF$97,B708))*(1+INDEX($AF$21:$AF$97,C708))*(1+INDEX($AF$21:$AF$97,D708))*(1+INDEX($AF$21:$AF$97,E708))*(1+INDEX($AF$21:$AF$97,F708))-1</f>
        <v>-0.0506659195906063</v>
      </c>
      <c r="P708" s="489">
        <f>LN((1+L708)/(1+H708))</f>
        <v>-0.0243501681310929</v>
      </c>
      <c r="Q708" s="489">
        <f>LN((1+M708)/(1+H708))</f>
        <v>-0.019286678726412</v>
      </c>
      <c r="R708" s="489">
        <f>LN((1+N708)/(1+H708))</f>
        <v>-0.0346779637463133</v>
      </c>
      <c r="S708" s="542">
        <f>LN((1+O708)/(1+H708))</f>
        <v>0.00270885730665972</v>
      </c>
    </row>
    <row r="709">
      <c r="A709" s="320" t="n">
        <v>608</v>
      </c>
      <c r="B709" s="174" t="n">
        <v>34</v>
      </c>
      <c r="C709" s="174" t="n">
        <v>60</v>
      </c>
      <c r="D709" s="174" t="n">
        <v>63</v>
      </c>
      <c r="E709" s="174" t="n">
        <v>8</v>
      </c>
      <c r="F709" s="174" t="n">
        <v>28</v>
      </c>
      <c r="G709" s="68">
        <f>(1+INDEX($Z$21:$Z$97,B709))*(1+INDEX($Z$21:$Z$97,C709))*(1+INDEX($Z$21:$Z$97,D709))*(1+INDEX($Z$21:$Z$97,E709))*(1+INDEX($Z$21:$Z$97,F709))-1</f>
        <v>0.169687450490833</v>
      </c>
      <c r="H709" s="68">
        <f>(1+INDEX($AA$21:$AA$97,B709))*(1+INDEX($AA$21:$AA$97,C709))*(1+INDEX($AA$21:$AA$97,D709))*(1+INDEX($AA$21:$AA$97,E709))*(1+INDEX($AA$21:$AA$97,F709))-1</f>
        <v>0.244332033625782</v>
      </c>
      <c r="I709" s="68">
        <f>(1+INDEX($AB$21:$AB$97,B709))*(1+INDEX($AB$21:$AB$97,C709))*(1+INDEX($AB$21:$AB$97,D709))*(1+INDEX($AB$21:$AB$97,E709))*(1+INDEX($AB$21:$AB$97,F709))-1</f>
        <v>0.2453609586707</v>
      </c>
      <c r="J709" s="489">
        <f>LN((1+G709)/(1+H709))</f>
        <v>-0.0618622899729007</v>
      </c>
      <c r="K709" s="489">
        <f>LN((1+I709)/(1+H709))</f>
        <v>0.000826547776517653</v>
      </c>
      <c r="L709" s="489">
        <f>(1+INDEX($AC$21:$AC$97,B709))*(1+INDEX($AC$21:$AC$97,C709))*(1+INDEX($AC$21:$AC$97,D709))*(1+INDEX($AC$21:$AC$97,E709))*(1+INDEX($AC$21:$AC$97,F709))-1</f>
        <v>0.257620906437682</v>
      </c>
      <c r="M709" s="489">
        <f>(1+INDEX($AD$21:$AD$97,B709))*(1+INDEX($AD$21:$AD$97,C709))*(1+INDEX($AD$21:$AD$97,D709))*(1+INDEX($AD$21:$AD$97,E709))*(1+INDEX($AD$21:$AD$97,F709))-1</f>
        <v>0.224113520060054</v>
      </c>
      <c r="N709" s="489">
        <f>(1+INDEX($AE$21:$AE$97,B709))*(1+INDEX($AE$21:$AE$97,C709))*(1+INDEX($AE$21:$AE$97,D709))*(1+INDEX($AE$21:$AE$97,E709))*(1+INDEX($AE$21:$AE$97,F709))-1</f>
        <v>0.26775034505671</v>
      </c>
      <c r="O709" s="489">
        <f>(1+INDEX($AF$21:$AF$97,B709))*(1+INDEX($AF$21:$AF$97,C709))*(1+INDEX($AF$21:$AF$97,D709))*(1+INDEX($AF$21:$AF$97,E709))*(1+INDEX($AF$21:$AF$97,F709))-1</f>
        <v>0.200473042458599</v>
      </c>
      <c r="P709" s="489">
        <f>LN((1+L709)/(1+H709))</f>
        <v>0.0106228998677134</v>
      </c>
      <c r="Q709" s="489">
        <f>LN((1+M709)/(1+H709))</f>
        <v>-0.0163819418260063</v>
      </c>
      <c r="R709" s="489">
        <f>LN((1+N709)/(1+H709))</f>
        <v>0.0186450811106819</v>
      </c>
      <c r="S709" s="542">
        <f>LN((1+O709)/(1+H709))</f>
        <v>-0.0358831855971061</v>
      </c>
    </row>
    <row r="710">
      <c r="A710" s="320" t="n">
        <v>609</v>
      </c>
      <c r="B710" s="174" t="n">
        <v>47</v>
      </c>
      <c r="C710" s="174" t="n">
        <v>53</v>
      </c>
      <c r="D710" s="174" t="n">
        <v>56</v>
      </c>
      <c r="E710" s="174" t="n">
        <v>19</v>
      </c>
      <c r="F710" s="174" t="n">
        <v>41</v>
      </c>
      <c r="G710" s="68">
        <f>(1+INDEX($Z$21:$Z$97,B710))*(1+INDEX($Z$21:$Z$97,C710))*(1+INDEX($Z$21:$Z$97,D710))*(1+INDEX($Z$21:$Z$97,E710))*(1+INDEX($Z$21:$Z$97,F710))-1</f>
        <v>0.185621978353899</v>
      </c>
      <c r="H710" s="68">
        <f>(1+INDEX($AA$21:$AA$97,B710))*(1+INDEX($AA$21:$AA$97,C710))*(1+INDEX($AA$21:$AA$97,D710))*(1+INDEX($AA$21:$AA$97,E710))*(1+INDEX($AA$21:$AA$97,F710))-1</f>
        <v>0.214744555833186</v>
      </c>
      <c r="I710" s="68">
        <f>(1+INDEX($AB$21:$AB$97,B710))*(1+INDEX($AB$21:$AB$97,C710))*(1+INDEX($AB$21:$AB$97,D710))*(1+INDEX($AB$21:$AB$97,E710))*(1+INDEX($AB$21:$AB$97,F710))-1</f>
        <v>0.208365298815247</v>
      </c>
      <c r="J710" s="489">
        <f>LN((1+G710)/(1+H710))</f>
        <v>-0.0242662994401823</v>
      </c>
      <c r="K710" s="489">
        <f>LN((1+I710)/(1+H710))</f>
        <v>-0.00526535909538518</v>
      </c>
      <c r="L710" s="489">
        <f>(1+INDEX($AC$21:$AC$97,B710))*(1+INDEX($AC$21:$AC$97,C710))*(1+INDEX($AC$21:$AC$97,D710))*(1+INDEX($AC$21:$AC$97,E710))*(1+INDEX($AC$21:$AC$97,F710))-1</f>
        <v>0.200722333145001</v>
      </c>
      <c r="M710" s="489">
        <f>(1+INDEX($AD$21:$AD$97,B710))*(1+INDEX($AD$21:$AD$97,C710))*(1+INDEX($AD$21:$AD$97,D710))*(1+INDEX($AD$21:$AD$97,E710))*(1+INDEX($AD$21:$AD$97,F710))-1</f>
        <v>0.216867076449586</v>
      </c>
      <c r="N710" s="489">
        <f>(1+INDEX($AE$21:$AE$97,B710))*(1+INDEX($AE$21:$AE$97,C710))*(1+INDEX($AE$21:$AE$97,D710))*(1+INDEX($AE$21:$AE$97,E710))*(1+INDEX($AE$21:$AE$97,F710))-1</f>
        <v>0.198576938819581</v>
      </c>
      <c r="O710" s="489">
        <f>(1+INDEX($AF$21:$AF$97,B710))*(1+INDEX($AF$21:$AF$97,C710))*(1+INDEX($AF$21:$AF$97,D710))*(1+INDEX($AF$21:$AF$97,E710))*(1+INDEX($AF$21:$AF$97,F710))-1</f>
        <v>0.255656539152791</v>
      </c>
      <c r="P710" s="489">
        <f>LN((1+L710)/(1+H710))</f>
        <v>-0.0116104925902742</v>
      </c>
      <c r="Q710" s="489">
        <f>LN((1+M710)/(1+H710))</f>
        <v>0.00174577315496634</v>
      </c>
      <c r="R710" s="489">
        <f>LN((1+N710)/(1+H710))</f>
        <v>-0.0133988438162107</v>
      </c>
      <c r="S710" s="542">
        <f>LN((1+O710)/(1+H710))</f>
        <v>0.0331247619855946</v>
      </c>
    </row>
    <row r="711">
      <c r="A711" s="320" t="n">
        <v>610</v>
      </c>
      <c r="B711" s="174" t="n">
        <v>73</v>
      </c>
      <c r="C711" s="174" t="n">
        <v>70</v>
      </c>
      <c r="D711" s="174" t="n">
        <v>54</v>
      </c>
      <c r="E711" s="174" t="n">
        <v>52</v>
      </c>
      <c r="F711" s="174" t="n">
        <v>68</v>
      </c>
      <c r="G711" s="68">
        <f>(1+INDEX($Z$21:$Z$97,B711))*(1+INDEX($Z$21:$Z$97,C711))*(1+INDEX($Z$21:$Z$97,D711))*(1+INDEX($Z$21:$Z$97,E711))*(1+INDEX($Z$21:$Z$97,F711))-1</f>
        <v>0.51602791027642</v>
      </c>
      <c r="H711" s="68">
        <f>(1+INDEX($AA$21:$AA$97,B711))*(1+INDEX($AA$21:$AA$97,C711))*(1+INDEX($AA$21:$AA$97,D711))*(1+INDEX($AA$21:$AA$97,E711))*(1+INDEX($AA$21:$AA$97,F711))-1</f>
        <v>0.518587016875131</v>
      </c>
      <c r="I711" s="68">
        <f>(1+INDEX($AB$21:$AB$97,B711))*(1+INDEX($AB$21:$AB$97,C711))*(1+INDEX($AB$21:$AB$97,D711))*(1+INDEX($AB$21:$AB$97,E711))*(1+INDEX($AB$21:$AB$97,F711))-1</f>
        <v>0.572062469773815</v>
      </c>
      <c r="J711" s="489">
        <f>LN((1+G711)/(1+H711))</f>
        <v>-0.00168661083319825</v>
      </c>
      <c r="K711" s="489">
        <f>LN((1+I711)/(1+H711))</f>
        <v>0.0346081239028267</v>
      </c>
      <c r="L711" s="489">
        <f>(1+INDEX($AC$21:$AC$97,B711))*(1+INDEX($AC$21:$AC$97,C711))*(1+INDEX($AC$21:$AC$97,D711))*(1+INDEX($AC$21:$AC$97,E711))*(1+INDEX($AC$21:$AC$97,F711))-1</f>
        <v>0.562927617435516</v>
      </c>
      <c r="M711" s="489">
        <f>(1+INDEX($AD$21:$AD$97,B711))*(1+INDEX($AD$21:$AD$97,C711))*(1+INDEX($AD$21:$AD$97,D711))*(1+INDEX($AD$21:$AD$97,E711))*(1+INDEX($AD$21:$AD$97,F711))-1</f>
        <v>0.569978740216397</v>
      </c>
      <c r="N711" s="489">
        <f>(1+INDEX($AE$21:$AE$97,B711))*(1+INDEX($AE$21:$AE$97,C711))*(1+INDEX($AE$21:$AE$97,D711))*(1+INDEX($AE$21:$AE$97,E711))*(1+INDEX($AE$21:$AE$97,F711))-1</f>
        <v>0.555965933333497</v>
      </c>
      <c r="O711" s="489">
        <f>(1+INDEX($AF$21:$AF$97,B711))*(1+INDEX($AF$21:$AF$97,C711))*(1+INDEX($AF$21:$AF$97,D711))*(1+INDEX($AF$21:$AF$97,E711))*(1+INDEX($AF$21:$AF$97,F711))-1</f>
        <v>0.551692638421998</v>
      </c>
      <c r="P711" s="489">
        <f>LN((1+L711)/(1+H711))</f>
        <v>0.0287804319884545</v>
      </c>
      <c r="Q711" s="489">
        <f>LN((1+M711)/(1+H711))</f>
        <v>0.0332817696486115</v>
      </c>
      <c r="R711" s="489">
        <f>LN((1+N711)/(1+H711))</f>
        <v>0.0243162234155089</v>
      </c>
      <c r="S711" s="542">
        <f>LN((1+O711)/(1+H711))</f>
        <v>0.0215660515377229</v>
      </c>
    </row>
    <row r="712">
      <c r="A712" s="320" t="n">
        <v>611</v>
      </c>
      <c r="B712" s="174" t="n">
        <v>3</v>
      </c>
      <c r="C712" s="174" t="n">
        <v>32</v>
      </c>
      <c r="D712" s="174" t="n">
        <v>57</v>
      </c>
      <c r="E712" s="174" t="n">
        <v>16</v>
      </c>
      <c r="F712" s="174" t="n">
        <v>37</v>
      </c>
      <c r="G712" s="68">
        <f>(1+INDEX($Z$21:$Z$97,B712))*(1+INDEX($Z$21:$Z$97,C712))*(1+INDEX($Z$21:$Z$97,D712))*(1+INDEX($Z$21:$Z$97,E712))*(1+INDEX($Z$21:$Z$97,F712))-1</f>
        <v>0.521766577376066</v>
      </c>
      <c r="H712" s="68">
        <f>(1+INDEX($AA$21:$AA$97,B712))*(1+INDEX($AA$21:$AA$97,C712))*(1+INDEX($AA$21:$AA$97,D712))*(1+INDEX($AA$21:$AA$97,E712))*(1+INDEX($AA$21:$AA$97,F712))-1</f>
        <v>0.418433869091226</v>
      </c>
      <c r="I712" s="68">
        <f>(1+INDEX($AB$21:$AB$97,B712))*(1+INDEX($AB$21:$AB$97,C712))*(1+INDEX($AB$21:$AB$97,D712))*(1+INDEX($AB$21:$AB$97,E712))*(1+INDEX($AB$21:$AB$97,F712))-1</f>
        <v>0.441637503293537</v>
      </c>
      <c r="J712" s="489">
        <f>LN((1+G712)/(1+H712))</f>
        <v>0.0703185280883363</v>
      </c>
      <c r="K712" s="489">
        <f>LN((1+I712)/(1+H712))</f>
        <v>0.0162262687111015</v>
      </c>
      <c r="L712" s="489">
        <f>(1+INDEX($AC$21:$AC$97,B712))*(1+INDEX($AC$21:$AC$97,C712))*(1+INDEX($AC$21:$AC$97,D712))*(1+INDEX($AC$21:$AC$97,E712))*(1+INDEX($AC$21:$AC$97,F712))-1</f>
        <v>0.431163944791775</v>
      </c>
      <c r="M712" s="489">
        <f>(1+INDEX($AD$21:$AD$97,B712))*(1+INDEX($AD$21:$AD$97,C712))*(1+INDEX($AD$21:$AD$97,D712))*(1+INDEX($AD$21:$AD$97,E712))*(1+INDEX($AD$21:$AD$97,F712))-1</f>
        <v>0.459358681213322</v>
      </c>
      <c r="N712" s="489">
        <f>(1+INDEX($AE$21:$AE$97,B712))*(1+INDEX($AE$21:$AE$97,C712))*(1+INDEX($AE$21:$AE$97,D712))*(1+INDEX($AE$21:$AE$97,E712))*(1+INDEX($AE$21:$AE$97,F712))-1</f>
        <v>0.430740069449295</v>
      </c>
      <c r="O712" s="489">
        <f>(1+INDEX($AF$21:$AF$97,B712))*(1+INDEX($AF$21:$AF$97,C712))*(1+INDEX($AF$21:$AF$97,D712))*(1+INDEX($AF$21:$AF$97,E712))*(1+INDEX($AF$21:$AF$97,F712))-1</f>
        <v>0.438307051076608</v>
      </c>
      <c r="P712" s="489">
        <f>LN((1+L712)/(1+H712))</f>
        <v>0.00893470673241511</v>
      </c>
      <c r="Q712" s="489">
        <f>LN((1+M712)/(1+H712))</f>
        <v>0.0284437259039396</v>
      </c>
      <c r="R712" s="489">
        <f>LN((1+N712)/(1+H712))</f>
        <v>0.00863848761152931</v>
      </c>
      <c r="S712" s="542">
        <f>LN((1+O712)/(1+H712))</f>
        <v>0.0139134091135004</v>
      </c>
    </row>
    <row r="713">
      <c r="A713" s="320" t="n">
        <v>612</v>
      </c>
      <c r="B713" s="174" t="n">
        <v>58</v>
      </c>
      <c r="C713" s="174" t="n">
        <v>30</v>
      </c>
      <c r="D713" s="174" t="n">
        <v>20</v>
      </c>
      <c r="E713" s="174" t="n">
        <v>10</v>
      </c>
      <c r="F713" s="174" t="n">
        <v>24</v>
      </c>
      <c r="G713" s="68">
        <f>(1+INDEX($Z$21:$Z$97,B713))*(1+INDEX($Z$21:$Z$97,C713))*(1+INDEX($Z$21:$Z$97,D713))*(1+INDEX($Z$21:$Z$97,E713))*(1+INDEX($Z$21:$Z$97,F713))-1</f>
        <v>0.326193624585911</v>
      </c>
      <c r="H713" s="68">
        <f>(1+INDEX($AA$21:$AA$97,B713))*(1+INDEX($AA$21:$AA$97,C713))*(1+INDEX($AA$21:$AA$97,D713))*(1+INDEX($AA$21:$AA$97,E713))*(1+INDEX($AA$21:$AA$97,F713))-1</f>
        <v>0.33881925159588</v>
      </c>
      <c r="I713" s="68">
        <f>(1+INDEX($AB$21:$AB$97,B713))*(1+INDEX($AB$21:$AB$97,C713))*(1+INDEX($AB$21:$AB$97,D713))*(1+INDEX($AB$21:$AB$97,E713))*(1+INDEX($AB$21:$AB$97,F713))-1</f>
        <v>0.323603215782997</v>
      </c>
      <c r="J713" s="489">
        <f>LN((1+G713)/(1+H713))</f>
        <v>-0.00947516733006015</v>
      </c>
      <c r="K713" s="489">
        <f>LN((1+I713)/(1+H713))</f>
        <v>-0.0114303433561226</v>
      </c>
      <c r="L713" s="489">
        <f>(1+INDEX($AC$21:$AC$97,B713))*(1+INDEX($AC$21:$AC$97,C713))*(1+INDEX($AC$21:$AC$97,D713))*(1+INDEX($AC$21:$AC$97,E713))*(1+INDEX($AC$21:$AC$97,F713))-1</f>
        <v>0.324744448981975</v>
      </c>
      <c r="M713" s="489">
        <f>(1+INDEX($AD$21:$AD$97,B713))*(1+INDEX($AD$21:$AD$97,C713))*(1+INDEX($AD$21:$AD$97,D713))*(1+INDEX($AD$21:$AD$97,E713))*(1+INDEX($AD$21:$AD$97,F713))-1</f>
        <v>0.334589720856876</v>
      </c>
      <c r="N713" s="489">
        <f>(1+INDEX($AE$21:$AE$97,B713))*(1+INDEX($AE$21:$AE$97,C713))*(1+INDEX($AE$21:$AE$97,D713))*(1+INDEX($AE$21:$AE$97,E713))*(1+INDEX($AE$21:$AE$97,F713))-1</f>
        <v>0.318627936329056</v>
      </c>
      <c r="O713" s="489">
        <f>(1+INDEX($AF$21:$AF$97,B713))*(1+INDEX($AF$21:$AF$97,C713))*(1+INDEX($AF$21:$AF$97,D713))*(1+INDEX($AF$21:$AF$97,E713))*(1+INDEX($AF$21:$AF$97,F713))-1</f>
        <v>0.351356380460028</v>
      </c>
      <c r="P713" s="489">
        <f>LN((1+L713)/(1+H713))</f>
        <v>-0.0105684978478446</v>
      </c>
      <c r="Q713" s="489">
        <f>LN((1+M713)/(1+H713))</f>
        <v>-0.00316415057431906</v>
      </c>
      <c r="R713" s="489">
        <f>LN((1+N713)/(1+H713))</f>
        <v>-0.0151963161629623</v>
      </c>
      <c r="S713" s="542">
        <f>LN((1+O713)/(1+H713))</f>
        <v>0.00932074432579447</v>
      </c>
    </row>
    <row r="714">
      <c r="A714" s="320" t="n">
        <v>613</v>
      </c>
      <c r="B714" s="174" t="n">
        <v>48</v>
      </c>
      <c r="C714" s="174" t="n">
        <v>38</v>
      </c>
      <c r="D714" s="174" t="n">
        <v>65</v>
      </c>
      <c r="E714" s="174" t="n">
        <v>75</v>
      </c>
      <c r="F714" s="174" t="n">
        <v>74</v>
      </c>
      <c r="G714" s="68">
        <f>(1+INDEX($Z$21:$Z$97,B714))*(1+INDEX($Z$21:$Z$97,C714))*(1+INDEX($Z$21:$Z$97,D714))*(1+INDEX($Z$21:$Z$97,E714))*(1+INDEX($Z$21:$Z$97,F714))-1</f>
        <v>0.275729998973024</v>
      </c>
      <c r="H714" s="68">
        <f>(1+INDEX($AA$21:$AA$97,B714))*(1+INDEX($AA$21:$AA$97,C714))*(1+INDEX($AA$21:$AA$97,D714))*(1+INDEX($AA$21:$AA$97,E714))*(1+INDEX($AA$21:$AA$97,F714))-1</f>
        <v>0.249910353129894</v>
      </c>
      <c r="I714" s="68">
        <f>(1+INDEX($AB$21:$AB$97,B714))*(1+INDEX($AB$21:$AB$97,C714))*(1+INDEX($AB$21:$AB$97,D714))*(1+INDEX($AB$21:$AB$97,E714))*(1+INDEX($AB$21:$AB$97,F714))-1</f>
        <v>0.291061915789124</v>
      </c>
      <c r="J714" s="489">
        <f>LN((1+G714)/(1+H714))</f>
        <v>0.0204467317350305</v>
      </c>
      <c r="K714" s="489">
        <f>LN((1+I714)/(1+H714))</f>
        <v>0.0323932390259834</v>
      </c>
      <c r="L714" s="489">
        <f>(1+INDEX($AC$21:$AC$97,B714))*(1+INDEX($AC$21:$AC$97,C714))*(1+INDEX($AC$21:$AC$97,D714))*(1+INDEX($AC$21:$AC$97,E714))*(1+INDEX($AC$21:$AC$97,F714))-1</f>
        <v>0.265150646157925</v>
      </c>
      <c r="M714" s="489">
        <f>(1+INDEX($AD$21:$AD$97,B714))*(1+INDEX($AD$21:$AD$97,C714))*(1+INDEX($AD$21:$AD$97,D714))*(1+INDEX($AD$21:$AD$97,E714))*(1+INDEX($AD$21:$AD$97,F714))-1</f>
        <v>0.288833204394515</v>
      </c>
      <c r="N714" s="489">
        <f>(1+INDEX($AE$21:$AE$97,B714))*(1+INDEX($AE$21:$AE$97,C714))*(1+INDEX($AE$21:$AE$97,D714))*(1+INDEX($AE$21:$AE$97,E714))*(1+INDEX($AE$21:$AE$97,F714))-1</f>
        <v>0.264571863148824</v>
      </c>
      <c r="O714" s="489">
        <f>(1+INDEX($AF$21:$AF$97,B714))*(1+INDEX($AF$21:$AF$97,C714))*(1+INDEX($AF$21:$AF$97,D714))*(1+INDEX($AF$21:$AF$97,E714))*(1+INDEX($AF$21:$AF$97,F714))-1</f>
        <v>0.262300636934759</v>
      </c>
      <c r="P714" s="489">
        <f>LN((1+L714)/(1+H714))</f>
        <v>0.0121193717146615</v>
      </c>
      <c r="Q714" s="489">
        <f>LN((1+M714)/(1+H714))</f>
        <v>0.0306654851094859</v>
      </c>
      <c r="R714" s="489">
        <f>LN((1+N714)/(1+H714))</f>
        <v>0.0116617855429992</v>
      </c>
      <c r="S714" s="542">
        <f>LN((1+O714)/(1+H714))</f>
        <v>0.00986412711296241</v>
      </c>
    </row>
    <row r="715">
      <c r="A715" s="320" t="n">
        <v>614</v>
      </c>
      <c r="B715" s="174" t="n">
        <v>67</v>
      </c>
      <c r="C715" s="174" t="n">
        <v>34</v>
      </c>
      <c r="D715" s="174" t="n">
        <v>32</v>
      </c>
      <c r="E715" s="174" t="n">
        <v>23</v>
      </c>
      <c r="F715" s="174" t="n">
        <v>37</v>
      </c>
      <c r="G715" s="68">
        <f>(1+INDEX($Z$21:$Z$97,B715))*(1+INDEX($Z$21:$Z$97,C715))*(1+INDEX($Z$21:$Z$97,D715))*(1+INDEX($Z$21:$Z$97,E715))*(1+INDEX($Z$21:$Z$97,F715))-1</f>
        <v>0.510156666499116</v>
      </c>
      <c r="H715" s="68">
        <f>(1+INDEX($AA$21:$AA$97,B715))*(1+INDEX($AA$21:$AA$97,C715))*(1+INDEX($AA$21:$AA$97,D715))*(1+INDEX($AA$21:$AA$97,E715))*(1+INDEX($AA$21:$AA$97,F715))-1</f>
        <v>0.51262591925411</v>
      </c>
      <c r="I715" s="68">
        <f>(1+INDEX($AB$21:$AB$97,B715))*(1+INDEX($AB$21:$AB$97,C715))*(1+INDEX($AB$21:$AB$97,D715))*(1+INDEX($AB$21:$AB$97,E715))*(1+INDEX($AB$21:$AB$97,F715))-1</f>
        <v>0.545922899502455</v>
      </c>
      <c r="J715" s="489">
        <f>LN((1+G715)/(1+H715))</f>
        <v>-0.00163376176366232</v>
      </c>
      <c r="K715" s="489">
        <f>LN((1+I715)/(1+H715))</f>
        <v>0.0217739181089293</v>
      </c>
      <c r="L715" s="489">
        <f>(1+INDEX($AC$21:$AC$97,B715))*(1+INDEX($AC$21:$AC$97,C715))*(1+INDEX($AC$21:$AC$97,D715))*(1+INDEX($AC$21:$AC$97,E715))*(1+INDEX($AC$21:$AC$97,F715))-1</f>
        <v>0.54182695569479</v>
      </c>
      <c r="M715" s="489">
        <f>(1+INDEX($AD$21:$AD$97,B715))*(1+INDEX($AD$21:$AD$97,C715))*(1+INDEX($AD$21:$AD$97,D715))*(1+INDEX($AD$21:$AD$97,E715))*(1+INDEX($AD$21:$AD$97,F715))-1</f>
        <v>0.565590097681104</v>
      </c>
      <c r="N715" s="489">
        <f>(1+INDEX($AE$21:$AE$97,B715))*(1+INDEX($AE$21:$AE$97,C715))*(1+INDEX($AE$21:$AE$97,D715))*(1+INDEX($AE$21:$AE$97,E715))*(1+INDEX($AE$21:$AE$97,F715))-1</f>
        <v>0.55229055559655</v>
      </c>
      <c r="O715" s="489">
        <f>(1+INDEX($AF$21:$AF$97,B715))*(1+INDEX($AF$21:$AF$97,C715))*(1+INDEX($AF$21:$AF$97,D715))*(1+INDEX($AF$21:$AF$97,E715))*(1+INDEX($AF$21:$AF$97,F715))-1</f>
        <v>0.488751587169798</v>
      </c>
      <c r="P715" s="489">
        <f>LN((1+L715)/(1+H715))</f>
        <v>0.0191208882961447</v>
      </c>
      <c r="Q715" s="489">
        <f>LN((1+M715)/(1+H715))</f>
        <v>0.034415652287323</v>
      </c>
      <c r="R715" s="489">
        <f>LN((1+N715)/(1+H715))</f>
        <v>0.0258844580393252</v>
      </c>
      <c r="S715" s="542">
        <f>LN((1+O715)/(1+H715))</f>
        <v>-0.015909252061162</v>
      </c>
    </row>
    <row r="716">
      <c r="A716" s="320" t="n">
        <v>615</v>
      </c>
      <c r="B716" s="174" t="n">
        <v>68</v>
      </c>
      <c r="C716" s="174" t="n">
        <v>18</v>
      </c>
      <c r="D716" s="174" t="n">
        <v>41</v>
      </c>
      <c r="E716" s="174" t="n">
        <v>26</v>
      </c>
      <c r="F716" s="174" t="n">
        <v>77</v>
      </c>
      <c r="G716" s="68">
        <f>(1+INDEX($Z$21:$Z$97,B716))*(1+INDEX($Z$21:$Z$97,C716))*(1+INDEX($Z$21:$Z$97,D716))*(1+INDEX($Z$21:$Z$97,E716))*(1+INDEX($Z$21:$Z$97,F716))-1</f>
        <v>0.676982525098919</v>
      </c>
      <c r="H716" s="68">
        <f>(1+INDEX($AA$21:$AA$97,B716))*(1+INDEX($AA$21:$AA$97,C716))*(1+INDEX($AA$21:$AA$97,D716))*(1+INDEX($AA$21:$AA$97,E716))*(1+INDEX($AA$21:$AA$97,F716))-1</f>
        <v>0.608048929978386</v>
      </c>
      <c r="I716" s="68">
        <f>(1+INDEX($AB$21:$AB$97,B716))*(1+INDEX($AB$21:$AB$97,C716))*(1+INDEX($AB$21:$AB$97,D716))*(1+INDEX($AB$21:$AB$97,E716))*(1+INDEX($AB$21:$AB$97,F716))-1</f>
        <v>0.670740807975708</v>
      </c>
      <c r="J716" s="489">
        <f>LN((1+G716)/(1+H716))</f>
        <v>0.0419744630673502</v>
      </c>
      <c r="K716" s="489">
        <f>LN((1+I716)/(1+H716))</f>
        <v>0.0382455262737289</v>
      </c>
      <c r="L716" s="489">
        <f>(1+INDEX($AC$21:$AC$97,B716))*(1+INDEX($AC$21:$AC$97,C716))*(1+INDEX($AC$21:$AC$97,D716))*(1+INDEX($AC$21:$AC$97,E716))*(1+INDEX($AC$21:$AC$97,F716))-1</f>
        <v>0.67171547109301</v>
      </c>
      <c r="M716" s="489">
        <f>(1+INDEX($AD$21:$AD$97,B716))*(1+INDEX($AD$21:$AD$97,C716))*(1+INDEX($AD$21:$AD$97,D716))*(1+INDEX($AD$21:$AD$97,E716))*(1+INDEX($AD$21:$AD$97,F716))-1</f>
        <v>0.650408459981643</v>
      </c>
      <c r="N716" s="489">
        <f>(1+INDEX($AE$21:$AE$97,B716))*(1+INDEX($AE$21:$AE$97,C716))*(1+INDEX($AE$21:$AE$97,D716))*(1+INDEX($AE$21:$AE$97,E716))*(1+INDEX($AE$21:$AE$97,F716))-1</f>
        <v>0.660993882963385</v>
      </c>
      <c r="O716" s="489">
        <f>(1+INDEX($AF$21:$AF$97,B716))*(1+INDEX($AF$21:$AF$97,C716))*(1+INDEX($AF$21:$AF$97,D716))*(1+INDEX($AF$21:$AF$97,E716))*(1+INDEX($AF$21:$AF$97,F716))-1</f>
        <v>0.649523499209601</v>
      </c>
      <c r="P716" s="489">
        <f>LN((1+L716)/(1+H716))</f>
        <v>0.0388287280053604</v>
      </c>
      <c r="Q716" s="489">
        <f>LN((1+M716)/(1+H716))</f>
        <v>0.0260012093958424</v>
      </c>
      <c r="R716" s="489">
        <f>LN((1+N716)/(1+H716))</f>
        <v>0.0323945484962252</v>
      </c>
      <c r="S716" s="542">
        <f>LN((1+O716)/(1+H716))</f>
        <v>0.0254648584624287</v>
      </c>
    </row>
    <row r="717">
      <c r="A717" s="320" t="n">
        <v>616</v>
      </c>
      <c r="B717" s="174" t="n">
        <v>29</v>
      </c>
      <c r="C717" s="174" t="n">
        <v>77</v>
      </c>
      <c r="D717" s="174" t="n">
        <v>5</v>
      </c>
      <c r="E717" s="174" t="n">
        <v>73</v>
      </c>
      <c r="F717" s="174" t="n">
        <v>59</v>
      </c>
      <c r="G717" s="68">
        <f>(1+INDEX($Z$21:$Z$97,B717))*(1+INDEX($Z$21:$Z$97,C717))*(1+INDEX($Z$21:$Z$97,D717))*(1+INDEX($Z$21:$Z$97,E717))*(1+INDEX($Z$21:$Z$97,F717))-1</f>
        <v>0.413955217339118</v>
      </c>
      <c r="H717" s="68">
        <f>(1+INDEX($AA$21:$AA$97,B717))*(1+INDEX($AA$21:$AA$97,C717))*(1+INDEX($AA$21:$AA$97,D717))*(1+INDEX($AA$21:$AA$97,E717))*(1+INDEX($AA$21:$AA$97,F717))-1</f>
        <v>0.449114837049523</v>
      </c>
      <c r="I717" s="68">
        <f>(1+INDEX($AB$21:$AB$97,B717))*(1+INDEX($AB$21:$AB$97,C717))*(1+INDEX($AB$21:$AB$97,D717))*(1+INDEX($AB$21:$AB$97,E717))*(1+INDEX($AB$21:$AB$97,F717))-1</f>
        <v>0.472286030751262</v>
      </c>
      <c r="J717" s="489">
        <f>LN((1+G717)/(1+H717))</f>
        <v>-0.0245620167534009</v>
      </c>
      <c r="K717" s="489">
        <f>LN((1+I717)/(1+H717))</f>
        <v>0.0158634029787653</v>
      </c>
      <c r="L717" s="489">
        <f>(1+INDEX($AC$21:$AC$97,B717))*(1+INDEX($AC$21:$AC$97,C717))*(1+INDEX($AC$21:$AC$97,D717))*(1+INDEX($AC$21:$AC$97,E717))*(1+INDEX($AC$21:$AC$97,F717))-1</f>
        <v>0.500730540979455</v>
      </c>
      <c r="M717" s="489">
        <f>(1+INDEX($AD$21:$AD$97,B717))*(1+INDEX($AD$21:$AD$97,C717))*(1+INDEX($AD$21:$AD$97,D717))*(1+INDEX($AD$21:$AD$97,E717))*(1+INDEX($AD$21:$AD$97,F717))-1</f>
        <v>0.427443051940285</v>
      </c>
      <c r="N717" s="489">
        <f>(1+INDEX($AE$21:$AE$97,B717))*(1+INDEX($AE$21:$AE$97,C717))*(1+INDEX($AE$21:$AE$97,D717))*(1+INDEX($AE$21:$AE$97,E717))*(1+INDEX($AE$21:$AE$97,F717))-1</f>
        <v>0.468029474759213</v>
      </c>
      <c r="O717" s="489">
        <f>(1+INDEX($AF$21:$AF$97,B717))*(1+INDEX($AF$21:$AF$97,C717))*(1+INDEX($AF$21:$AF$97,D717))*(1+INDEX($AF$21:$AF$97,E717))*(1+INDEX($AF$21:$AF$97,F717))-1</f>
        <v>0.405453407504449</v>
      </c>
      <c r="P717" s="489">
        <f>LN((1+L717)/(1+H717))</f>
        <v>0.0349991040480976</v>
      </c>
      <c r="Q717" s="489">
        <f>LN((1+M717)/(1+H717))</f>
        <v>-0.0150681446301042</v>
      </c>
      <c r="R717" s="489">
        <f>LN((1+N717)/(1+H717))</f>
        <v>0.0129680953442192</v>
      </c>
      <c r="S717" s="542">
        <f>LN((1+O717)/(1+H717))</f>
        <v>-0.0305929521267646</v>
      </c>
    </row>
    <row r="718">
      <c r="A718" s="320" t="n">
        <v>617</v>
      </c>
      <c r="B718" s="174" t="n">
        <v>60</v>
      </c>
      <c r="C718" s="174" t="n">
        <v>68</v>
      </c>
      <c r="D718" s="174" t="n">
        <v>7</v>
      </c>
      <c r="E718" s="174" t="n">
        <v>44</v>
      </c>
      <c r="F718" s="174" t="n">
        <v>7</v>
      </c>
      <c r="G718" s="68">
        <f>(1+INDEX($Z$21:$Z$97,B718))*(1+INDEX($Z$21:$Z$97,C718))*(1+INDEX($Z$21:$Z$97,D718))*(1+INDEX($Z$21:$Z$97,E718))*(1+INDEX($Z$21:$Z$97,F718))-1</f>
        <v>0.0605602661933682</v>
      </c>
      <c r="H718" s="68">
        <f>(1+INDEX($AA$21:$AA$97,B718))*(1+INDEX($AA$21:$AA$97,C718))*(1+INDEX($AA$21:$AA$97,D718))*(1+INDEX($AA$21:$AA$97,E718))*(1+INDEX($AA$21:$AA$97,F718))-1</f>
        <v>0.134256955287641</v>
      </c>
      <c r="I718" s="68">
        <f>(1+INDEX($AB$21:$AB$97,B718))*(1+INDEX($AB$21:$AB$97,C718))*(1+INDEX($AB$21:$AB$97,D718))*(1+INDEX($AB$21:$AB$97,E718))*(1+INDEX($AB$21:$AB$97,F718))-1</f>
        <v>0.10430697648849</v>
      </c>
      <c r="J718" s="489">
        <f>LN((1+G718)/(1+H718))</f>
        <v>-0.0671804501002438</v>
      </c>
      <c r="K718" s="489">
        <f>LN((1+I718)/(1+H718))</f>
        <v>-0.0267598039845732</v>
      </c>
      <c r="L718" s="489">
        <f>(1+INDEX($AC$21:$AC$97,B718))*(1+INDEX($AC$21:$AC$97,C718))*(1+INDEX($AC$21:$AC$97,D718))*(1+INDEX($AC$21:$AC$97,E718))*(1+INDEX($AC$21:$AC$97,F718))-1</f>
        <v>0.107630587375286</v>
      </c>
      <c r="M718" s="489">
        <f>(1+INDEX($AD$21:$AD$97,B718))*(1+INDEX($AD$21:$AD$97,C718))*(1+INDEX($AD$21:$AD$97,D718))*(1+INDEX($AD$21:$AD$97,E718))*(1+INDEX($AD$21:$AD$97,F718))-1</f>
        <v>0.0781880273660023</v>
      </c>
      <c r="N718" s="489">
        <f>(1+INDEX($AE$21:$AE$97,B718))*(1+INDEX($AE$21:$AE$97,C718))*(1+INDEX($AE$21:$AE$97,D718))*(1+INDEX($AE$21:$AE$97,E718))*(1+INDEX($AE$21:$AE$97,F718))-1</f>
        <v>0.11015193319777</v>
      </c>
      <c r="O718" s="489">
        <f>(1+INDEX($AF$21:$AF$97,B718))*(1+INDEX($AF$21:$AF$97,C718))*(1+INDEX($AF$21:$AF$97,D718))*(1+INDEX($AF$21:$AF$97,E718))*(1+INDEX($AF$21:$AF$97,F718))-1</f>
        <v>0.093470855968439</v>
      </c>
      <c r="P718" s="489">
        <f>LN((1+L718)/(1+H718))</f>
        <v>-0.0237546437645167</v>
      </c>
      <c r="Q718" s="489">
        <f>LN((1+M718)/(1+H718))</f>
        <v>-0.0506958919074624</v>
      </c>
      <c r="R718" s="489">
        <f>LN((1+N718)/(1+H718))</f>
        <v>-0.0214808888896665</v>
      </c>
      <c r="S718" s="542">
        <f>LN((1+O718)/(1+H718))</f>
        <v>-0.0366208628859886</v>
      </c>
    </row>
    <row r="719">
      <c r="A719" s="320" t="n">
        <v>618</v>
      </c>
      <c r="B719" s="174" t="n">
        <v>75</v>
      </c>
      <c r="C719" s="174" t="n">
        <v>12</v>
      </c>
      <c r="D719" s="174" t="n">
        <v>59</v>
      </c>
      <c r="E719" s="174" t="n">
        <v>20</v>
      </c>
      <c r="F719" s="174" t="n">
        <v>63</v>
      </c>
      <c r="G719" s="68">
        <f>(1+INDEX($Z$21:$Z$97,B719))*(1+INDEX($Z$21:$Z$97,C719))*(1+INDEX($Z$21:$Z$97,D719))*(1+INDEX($Z$21:$Z$97,E719))*(1+INDEX($Z$21:$Z$97,F719))-1</f>
        <v>0.371344302017033</v>
      </c>
      <c r="H719" s="68">
        <f>(1+INDEX($AA$21:$AA$97,B719))*(1+INDEX($AA$21:$AA$97,C719))*(1+INDEX($AA$21:$AA$97,D719))*(1+INDEX($AA$21:$AA$97,E719))*(1+INDEX($AA$21:$AA$97,F719))-1</f>
        <v>0.341605499083987</v>
      </c>
      <c r="I719" s="68">
        <f>(1+INDEX($AB$21:$AB$97,B719))*(1+INDEX($AB$21:$AB$97,C719))*(1+INDEX($AB$21:$AB$97,D719))*(1+INDEX($AB$21:$AB$97,E719))*(1+INDEX($AB$21:$AB$97,F719))-1</f>
        <v>0.357025411158356</v>
      </c>
      <c r="J719" s="489">
        <f>LN((1+G719)/(1+H719))</f>
        <v>0.021924470666381</v>
      </c>
      <c r="K719" s="489">
        <f>LN((1+I719)/(1+H719))</f>
        <v>0.0114280762417063</v>
      </c>
      <c r="L719" s="489">
        <f>(1+INDEX($AC$21:$AC$97,B719))*(1+INDEX($AC$21:$AC$97,C719))*(1+INDEX($AC$21:$AC$97,D719))*(1+INDEX($AC$21:$AC$97,E719))*(1+INDEX($AC$21:$AC$97,F719))-1</f>
        <v>0.380631440094988</v>
      </c>
      <c r="M719" s="489">
        <f>(1+INDEX($AD$21:$AD$97,B719))*(1+INDEX($AD$21:$AD$97,C719))*(1+INDEX($AD$21:$AD$97,D719))*(1+INDEX($AD$21:$AD$97,E719))*(1+INDEX($AD$21:$AD$97,F719))-1</f>
        <v>0.319919028762478</v>
      </c>
      <c r="N719" s="489">
        <f>(1+INDEX($AE$21:$AE$97,B719))*(1+INDEX($AE$21:$AE$97,C719))*(1+INDEX($AE$21:$AE$97,D719))*(1+INDEX($AE$21:$AE$97,E719))*(1+INDEX($AE$21:$AE$97,F719))-1</f>
        <v>0.369313717210928</v>
      </c>
      <c r="O719" s="489">
        <f>(1+INDEX($AF$21:$AF$97,B719))*(1+INDEX($AF$21:$AF$97,C719))*(1+INDEX($AF$21:$AF$97,D719))*(1+INDEX($AF$21:$AF$97,E719))*(1+INDEX($AF$21:$AF$97,F719))-1</f>
        <v>0.303922623351742</v>
      </c>
      <c r="P719" s="489">
        <f>LN((1+L719)/(1+H719))</f>
        <v>0.0286739293859906</v>
      </c>
      <c r="Q719" s="489">
        <f>LN((1+M719)/(1+H719))</f>
        <v>-0.0162966375480887</v>
      </c>
      <c r="R719" s="489">
        <f>LN((1+N719)/(1+H719))</f>
        <v>0.0204426475688457</v>
      </c>
      <c r="S719" s="542">
        <f>LN((1+O719)/(1+H719))</f>
        <v>-0.0284899065948191</v>
      </c>
    </row>
    <row r="720">
      <c r="A720" s="320" t="n">
        <v>619</v>
      </c>
      <c r="B720" s="174" t="n">
        <v>36</v>
      </c>
      <c r="C720" s="174" t="n">
        <v>25</v>
      </c>
      <c r="D720" s="174" t="n">
        <v>26</v>
      </c>
      <c r="E720" s="174" t="n">
        <v>40</v>
      </c>
      <c r="F720" s="174" t="n">
        <v>15</v>
      </c>
      <c r="G720" s="68">
        <f>(1+INDEX($Z$21:$Z$97,B720))*(1+INDEX($Z$21:$Z$97,C720))*(1+INDEX($Z$21:$Z$97,D720))*(1+INDEX($Z$21:$Z$97,E720))*(1+INDEX($Z$21:$Z$97,F720))-1</f>
        <v>0.607389579621654</v>
      </c>
      <c r="H720" s="68">
        <f>(1+INDEX($AA$21:$AA$97,B720))*(1+INDEX($AA$21:$AA$97,C720))*(1+INDEX($AA$21:$AA$97,D720))*(1+INDEX($AA$21:$AA$97,E720))*(1+INDEX($AA$21:$AA$97,F720))-1</f>
        <v>0.535982939170798</v>
      </c>
      <c r="I720" s="68">
        <f>(1+INDEX($AB$21:$AB$97,B720))*(1+INDEX($AB$21:$AB$97,C720))*(1+INDEX($AB$21:$AB$97,D720))*(1+INDEX($AB$21:$AB$97,E720))*(1+INDEX($AB$21:$AB$97,F720))-1</f>
        <v>0.601053286634189</v>
      </c>
      <c r="J720" s="489">
        <f>LN((1+G720)/(1+H720))</f>
        <v>0.0454409566686221</v>
      </c>
      <c r="K720" s="489">
        <f>LN((1+I720)/(1+H720))</f>
        <v>0.0414911894518617</v>
      </c>
      <c r="L720" s="489">
        <f>(1+INDEX($AC$21:$AC$97,B720))*(1+INDEX($AC$21:$AC$97,C720))*(1+INDEX($AC$21:$AC$97,D720))*(1+INDEX($AC$21:$AC$97,E720))*(1+INDEX($AC$21:$AC$97,F720))-1</f>
        <v>0.591324296229257</v>
      </c>
      <c r="M720" s="489">
        <f>(1+INDEX($AD$21:$AD$97,B720))*(1+INDEX($AD$21:$AD$97,C720))*(1+INDEX($AD$21:$AD$97,D720))*(1+INDEX($AD$21:$AD$97,E720))*(1+INDEX($AD$21:$AD$97,F720))-1</f>
        <v>0.604704090208011</v>
      </c>
      <c r="N720" s="489">
        <f>(1+INDEX($AE$21:$AE$97,B720))*(1+INDEX($AE$21:$AE$97,C720))*(1+INDEX($AE$21:$AE$97,D720))*(1+INDEX($AE$21:$AE$97,E720))*(1+INDEX($AE$21:$AE$97,F720))-1</f>
        <v>0.576941836738426</v>
      </c>
      <c r="O720" s="489">
        <f>(1+INDEX($AF$21:$AF$97,B720))*(1+INDEX($AF$21:$AF$97,C720))*(1+INDEX($AF$21:$AF$97,D720))*(1+INDEX($AF$21:$AF$97,E720))*(1+INDEX($AF$21:$AF$97,F720))-1</f>
        <v>0.559163179512724</v>
      </c>
      <c r="P720" s="489">
        <f>LN((1+L720)/(1+H720))</f>
        <v>0.0353960329282555</v>
      </c>
      <c r="Q720" s="489">
        <f>LN((1+M720)/(1+H720))</f>
        <v>0.0437688447594476</v>
      </c>
      <c r="R720" s="489">
        <f>LN((1+N720)/(1+H720))</f>
        <v>0.026316897727218</v>
      </c>
      <c r="S720" s="542">
        <f>LN((1+O720)/(1+H720))</f>
        <v>0.0149787265925516</v>
      </c>
    </row>
    <row r="721">
      <c r="A721" s="320" t="n">
        <v>620</v>
      </c>
      <c r="B721" s="174" t="n">
        <v>22</v>
      </c>
      <c r="C721" s="174" t="n">
        <v>13</v>
      </c>
      <c r="D721" s="174" t="n">
        <v>46</v>
      </c>
      <c r="E721" s="174" t="n">
        <v>61</v>
      </c>
      <c r="F721" s="174" t="n">
        <v>41</v>
      </c>
      <c r="G721" s="68">
        <f>(1+INDEX($Z$21:$Z$97,B721))*(1+INDEX($Z$21:$Z$97,C721))*(1+INDEX($Z$21:$Z$97,D721))*(1+INDEX($Z$21:$Z$97,E721))*(1+INDEX($Z$21:$Z$97,F721))-1</f>
        <v>0.709987974833458</v>
      </c>
      <c r="H721" s="68">
        <f>(1+INDEX($AA$21:$AA$97,B721))*(1+INDEX($AA$21:$AA$97,C721))*(1+INDEX($AA$21:$AA$97,D721))*(1+INDEX($AA$21:$AA$97,E721))*(1+INDEX($AA$21:$AA$97,F721))-1</f>
        <v>0.621963733041505</v>
      </c>
      <c r="I721" s="68">
        <f>(1+INDEX($AB$21:$AB$97,B721))*(1+INDEX($AB$21:$AB$97,C721))*(1+INDEX($AB$21:$AB$97,D721))*(1+INDEX($AB$21:$AB$97,E721))*(1+INDEX($AB$21:$AB$97,F721))-1</f>
        <v>0.671632055042871</v>
      </c>
      <c r="J721" s="489">
        <f>LN((1+G721)/(1+H721))</f>
        <v>0.0528487421926703</v>
      </c>
      <c r="K721" s="489">
        <f>LN((1+I721)/(1+H721))</f>
        <v>0.0301628316357064</v>
      </c>
      <c r="L721" s="489">
        <f>(1+INDEX($AC$21:$AC$97,B721))*(1+INDEX($AC$21:$AC$97,C721))*(1+INDEX($AC$21:$AC$97,D721))*(1+INDEX($AC$21:$AC$97,E721))*(1+INDEX($AC$21:$AC$97,F721))-1</f>
        <v>0.697832085697051</v>
      </c>
      <c r="M721" s="489">
        <f>(1+INDEX($AD$21:$AD$97,B721))*(1+INDEX($AD$21:$AD$97,C721))*(1+INDEX($AD$21:$AD$97,D721))*(1+INDEX($AD$21:$AD$97,E721))*(1+INDEX($AD$21:$AD$97,F721))-1</f>
        <v>0.629668679069063</v>
      </c>
      <c r="N721" s="489">
        <f>(1+INDEX($AE$21:$AE$97,B721))*(1+INDEX($AE$21:$AE$97,C721))*(1+INDEX($AE$21:$AE$97,D721))*(1+INDEX($AE$21:$AE$97,E721))*(1+INDEX($AE$21:$AE$97,F721))-1</f>
        <v>0.686102447801485</v>
      </c>
      <c r="O721" s="489">
        <f>(1+INDEX($AF$21:$AF$97,B721))*(1+INDEX($AF$21:$AF$97,C721))*(1+INDEX($AF$21:$AF$97,D721))*(1+INDEX($AF$21:$AF$97,E721))*(1+INDEX($AF$21:$AF$97,F721))-1</f>
        <v>0.590399120957453</v>
      </c>
      <c r="P721" s="489">
        <f>LN((1+L721)/(1+H721))</f>
        <v>0.0457145975033115</v>
      </c>
      <c r="Q721" s="489">
        <f>LN((1+M721)/(1+H721))</f>
        <v>0.00473913374682444</v>
      </c>
      <c r="R721" s="489">
        <f>LN((1+N721)/(1+H721))</f>
        <v>0.0387820255181542</v>
      </c>
      <c r="S721" s="542">
        <f>LN((1+O721)/(1+H721))</f>
        <v>-0.0196525918339155</v>
      </c>
    </row>
    <row r="722">
      <c r="A722" s="320" t="n">
        <v>621</v>
      </c>
      <c r="B722" s="174" t="n">
        <v>48</v>
      </c>
      <c r="C722" s="174" t="n">
        <v>34</v>
      </c>
      <c r="D722" s="174" t="n">
        <v>58</v>
      </c>
      <c r="E722" s="174" t="n">
        <v>23</v>
      </c>
      <c r="F722" s="174" t="n">
        <v>68</v>
      </c>
      <c r="G722" s="68">
        <f>(1+INDEX($Z$21:$Z$97,B722))*(1+INDEX($Z$21:$Z$97,C722))*(1+INDEX($Z$21:$Z$97,D722))*(1+INDEX($Z$21:$Z$97,E722))*(1+INDEX($Z$21:$Z$97,F722))-1</f>
        <v>0.704426247232501</v>
      </c>
      <c r="H722" s="68">
        <f>(1+INDEX($AA$21:$AA$97,B722))*(1+INDEX($AA$21:$AA$97,C722))*(1+INDEX($AA$21:$AA$97,D722))*(1+INDEX($AA$21:$AA$97,E722))*(1+INDEX($AA$21:$AA$97,F722))-1</f>
        <v>0.696528691213842</v>
      </c>
      <c r="I722" s="68">
        <f>(1+INDEX($AB$21:$AB$97,B722))*(1+INDEX($AB$21:$AB$97,C722))*(1+INDEX($AB$21:$AB$97,D722))*(1+INDEX($AB$21:$AB$97,E722))*(1+INDEX($AB$21:$AB$97,F722))-1</f>
        <v>0.753066229329862</v>
      </c>
      <c r="J722" s="489">
        <f>LN((1+G722)/(1+H722))</f>
        <v>0.0046443251129684</v>
      </c>
      <c r="K722" s="489">
        <f>LN((1+I722)/(1+H722))</f>
        <v>0.0327821686875119</v>
      </c>
      <c r="L722" s="489">
        <f>(1+INDEX($AC$21:$AC$97,B722))*(1+INDEX($AC$21:$AC$97,C722))*(1+INDEX($AC$21:$AC$97,D722))*(1+INDEX($AC$21:$AC$97,E722))*(1+INDEX($AC$21:$AC$97,F722))-1</f>
        <v>0.767233399879588</v>
      </c>
      <c r="M722" s="489">
        <f>(1+INDEX($AD$21:$AD$97,B722))*(1+INDEX($AD$21:$AD$97,C722))*(1+INDEX($AD$21:$AD$97,D722))*(1+INDEX($AD$21:$AD$97,E722))*(1+INDEX($AD$21:$AD$97,F722))-1</f>
        <v>0.739816099758013</v>
      </c>
      <c r="N722" s="489">
        <f>(1+INDEX($AE$21:$AE$97,B722))*(1+INDEX($AE$21:$AE$97,C722))*(1+INDEX($AE$21:$AE$97,D722))*(1+INDEX($AE$21:$AE$97,E722))*(1+INDEX($AE$21:$AE$97,F722))-1</f>
        <v>0.772177960419564</v>
      </c>
      <c r="O722" s="489">
        <f>(1+INDEX($AF$21:$AF$97,B722))*(1+INDEX($AF$21:$AF$97,C722))*(1+INDEX($AF$21:$AF$97,D722))*(1+INDEX($AF$21:$AF$97,E722))*(1+INDEX($AF$21:$AF$97,F722))-1</f>
        <v>0.656312554799397</v>
      </c>
      <c r="P722" s="489">
        <f>LN((1+L722)/(1+H722))</f>
        <v>0.0408310557291782</v>
      </c>
      <c r="Q722" s="489">
        <f>LN((1+M722)/(1+H722))</f>
        <v>0.025195200744047</v>
      </c>
      <c r="R722" s="489">
        <f>LN((1+N722)/(1+H722))</f>
        <v>0.0436250591683158</v>
      </c>
      <c r="S722" s="542">
        <f>LN((1+O722)/(1+H722))</f>
        <v>-0.0239904381279334</v>
      </c>
    </row>
    <row r="723">
      <c r="A723" s="320" t="n">
        <v>622</v>
      </c>
      <c r="B723" s="174" t="n">
        <v>75</v>
      </c>
      <c r="C723" s="174" t="n">
        <v>75</v>
      </c>
      <c r="D723" s="174" t="n">
        <v>67</v>
      </c>
      <c r="E723" s="174" t="n">
        <v>63</v>
      </c>
      <c r="F723" s="174" t="n">
        <v>61</v>
      </c>
      <c r="G723" s="68">
        <f>(1+INDEX($Z$21:$Z$97,B723))*(1+INDEX($Z$21:$Z$97,C723))*(1+INDEX($Z$21:$Z$97,D723))*(1+INDEX($Z$21:$Z$97,E723))*(1+INDEX($Z$21:$Z$97,F723))-1</f>
        <v>0.329592021551588</v>
      </c>
      <c r="H723" s="68">
        <f>(1+INDEX($AA$21:$AA$97,B723))*(1+INDEX($AA$21:$AA$97,C723))*(1+INDEX($AA$21:$AA$97,D723))*(1+INDEX($AA$21:$AA$97,E723))*(1+INDEX($AA$21:$AA$97,F723))-1</f>
        <v>0.350939994454008</v>
      </c>
      <c r="I723" s="68">
        <f>(1+INDEX($AB$21:$AB$97,B723))*(1+INDEX($AB$21:$AB$97,C723))*(1+INDEX($AB$21:$AB$97,D723))*(1+INDEX($AB$21:$AB$97,E723))*(1+INDEX($AB$21:$AB$97,F723))-1</f>
        <v>0.386019818499364</v>
      </c>
      <c r="J723" s="489">
        <f>LN((1+G723)/(1+H723))</f>
        <v>-0.0159284978766062</v>
      </c>
      <c r="K723" s="489">
        <f>LN((1+I723)/(1+H723))</f>
        <v>0.0256355573875172</v>
      </c>
      <c r="L723" s="489">
        <f>(1+INDEX($AC$21:$AC$97,B723))*(1+INDEX($AC$21:$AC$97,C723))*(1+INDEX($AC$21:$AC$97,D723))*(1+INDEX($AC$21:$AC$97,E723))*(1+INDEX($AC$21:$AC$97,F723))-1</f>
        <v>0.419433308292073</v>
      </c>
      <c r="M723" s="489">
        <f>(1+INDEX($AD$21:$AD$97,B723))*(1+INDEX($AD$21:$AD$97,C723))*(1+INDEX($AD$21:$AD$97,D723))*(1+INDEX($AD$21:$AD$97,E723))*(1+INDEX($AD$21:$AD$97,F723))-1</f>
        <v>0.323005747391561</v>
      </c>
      <c r="N723" s="489">
        <f>(1+INDEX($AE$21:$AE$97,B723))*(1+INDEX($AE$21:$AE$97,C723))*(1+INDEX($AE$21:$AE$97,D723))*(1+INDEX($AE$21:$AE$97,E723))*(1+INDEX($AE$21:$AE$97,F723))-1</f>
        <v>0.413805998834833</v>
      </c>
      <c r="O723" s="489">
        <f>(1+INDEX($AF$21:$AF$97,B723))*(1+INDEX($AF$21:$AF$97,C723))*(1+INDEX($AF$21:$AF$97,D723))*(1+INDEX($AF$21:$AF$97,E723))*(1+INDEX($AF$21:$AF$97,F723))-1</f>
        <v>0.294231300276066</v>
      </c>
      <c r="P723" s="489">
        <f>LN((1+L723)/(1+H723))</f>
        <v>0.0494570709529772</v>
      </c>
      <c r="Q723" s="489">
        <f>LN((1+M723)/(1+H723))</f>
        <v>-0.0208944130048625</v>
      </c>
      <c r="R723" s="489">
        <f>LN((1+N723)/(1+H723))</f>
        <v>0.04548471546376</v>
      </c>
      <c r="S723" s="542">
        <f>LN((1+O723)/(1+H723))</f>
        <v>-0.0428837139530663</v>
      </c>
    </row>
    <row r="724">
      <c r="A724" s="320" t="n">
        <v>623</v>
      </c>
      <c r="B724" s="174" t="n">
        <v>49</v>
      </c>
      <c r="C724" s="174" t="n">
        <v>34</v>
      </c>
      <c r="D724" s="174" t="n">
        <v>67</v>
      </c>
      <c r="E724" s="174" t="n">
        <v>32</v>
      </c>
      <c r="F724" s="174" t="n">
        <v>9</v>
      </c>
      <c r="G724" s="68">
        <f>(1+INDEX($Z$21:$Z$97,B724))*(1+INDEX($Z$21:$Z$97,C724))*(1+INDEX($Z$21:$Z$97,D724))*(1+INDEX($Z$21:$Z$97,E724))*(1+INDEX($Z$21:$Z$97,F724))-1</f>
        <v>0.284314688163334</v>
      </c>
      <c r="H724" s="68">
        <f>(1+INDEX($AA$21:$AA$97,B724))*(1+INDEX($AA$21:$AA$97,C724))*(1+INDEX($AA$21:$AA$97,D724))*(1+INDEX($AA$21:$AA$97,E724))*(1+INDEX($AA$21:$AA$97,F724))-1</f>
        <v>0.319161513375154</v>
      </c>
      <c r="I724" s="68">
        <f>(1+INDEX($AB$21:$AB$97,B724))*(1+INDEX($AB$21:$AB$97,C724))*(1+INDEX($AB$21:$AB$97,D724))*(1+INDEX($AB$21:$AB$97,E724))*(1+INDEX($AB$21:$AB$97,F724))-1</f>
        <v>0.33205145345907</v>
      </c>
      <c r="J724" s="489">
        <f>LN((1+G724)/(1+H724))</f>
        <v>-0.0267710581434697</v>
      </c>
      <c r="K724" s="489">
        <f>LN((1+I724)/(1+H724))</f>
        <v>0.00972388247279349</v>
      </c>
      <c r="L724" s="489">
        <f>(1+INDEX($AC$21:$AC$97,B724))*(1+INDEX($AC$21:$AC$97,C724))*(1+INDEX($AC$21:$AC$97,D724))*(1+INDEX($AC$21:$AC$97,E724))*(1+INDEX($AC$21:$AC$97,F724))-1</f>
        <v>0.310054112471321</v>
      </c>
      <c r="M724" s="489">
        <f>(1+INDEX($AD$21:$AD$97,B724))*(1+INDEX($AD$21:$AD$97,C724))*(1+INDEX($AD$21:$AD$97,D724))*(1+INDEX($AD$21:$AD$97,E724))*(1+INDEX($AD$21:$AD$97,F724))-1</f>
        <v>0.358171117498726</v>
      </c>
      <c r="N724" s="489">
        <f>(1+INDEX($AE$21:$AE$97,B724))*(1+INDEX($AE$21:$AE$97,C724))*(1+INDEX($AE$21:$AE$97,D724))*(1+INDEX($AE$21:$AE$97,E724))*(1+INDEX($AE$21:$AE$97,F724))-1</f>
        <v>0.316820636682626</v>
      </c>
      <c r="O724" s="489">
        <f>(1+INDEX($AF$21:$AF$97,B724))*(1+INDEX($AF$21:$AF$97,C724))*(1+INDEX($AF$21:$AF$97,D724))*(1+INDEX($AF$21:$AF$97,E724))*(1+INDEX($AF$21:$AF$97,F724))-1</f>
        <v>0.333484111980086</v>
      </c>
      <c r="P724" s="489">
        <f>LN((1+L724)/(1+H724))</f>
        <v>-0.00692787403240393</v>
      </c>
      <c r="Q724" s="489">
        <f>LN((1+M724)/(1+H724))</f>
        <v>0.0291427105705734</v>
      </c>
      <c r="R724" s="489">
        <f>LN((1+N724)/(1+H724))</f>
        <v>-0.00177609496167289</v>
      </c>
      <c r="S724" s="542">
        <f>LN((1+O724)/(1+H724))</f>
        <v>0.0107988324209738</v>
      </c>
    </row>
    <row r="725">
      <c r="A725" s="320" t="n">
        <v>624</v>
      </c>
      <c r="B725" s="174" t="n">
        <v>70</v>
      </c>
      <c r="C725" s="174" t="n">
        <v>55</v>
      </c>
      <c r="D725" s="174" t="n">
        <v>41</v>
      </c>
      <c r="E725" s="174" t="n">
        <v>15</v>
      </c>
      <c r="F725" s="174" t="n">
        <v>67</v>
      </c>
      <c r="G725" s="68">
        <f>(1+INDEX($Z$21:$Z$97,B725))*(1+INDEX($Z$21:$Z$97,C725))*(1+INDEX($Z$21:$Z$97,D725))*(1+INDEX($Z$21:$Z$97,E725))*(1+INDEX($Z$21:$Z$97,F725))-1</f>
        <v>0.331048469682148</v>
      </c>
      <c r="H725" s="68">
        <f>(1+INDEX($AA$21:$AA$97,B725))*(1+INDEX($AA$21:$AA$97,C725))*(1+INDEX($AA$21:$AA$97,D725))*(1+INDEX($AA$21:$AA$97,E725))*(1+INDEX($AA$21:$AA$97,F725))-1</f>
        <v>0.348574714250987</v>
      </c>
      <c r="I725" s="68">
        <f>(1+INDEX($AB$21:$AB$97,B725))*(1+INDEX($AB$21:$AB$97,C725))*(1+INDEX($AB$21:$AB$97,D725))*(1+INDEX($AB$21:$AB$97,E725))*(1+INDEX($AB$21:$AB$97,F725))-1</f>
        <v>0.358141954711367</v>
      </c>
      <c r="J725" s="489">
        <f>LN((1+G725)/(1+H725))</f>
        <v>-0.0130813127745339</v>
      </c>
      <c r="K725" s="489">
        <f>LN((1+I725)/(1+H725))</f>
        <v>0.00706928834738721</v>
      </c>
      <c r="L725" s="489">
        <f>(1+INDEX($AC$21:$AC$97,B725))*(1+INDEX($AC$21:$AC$97,C725))*(1+INDEX($AC$21:$AC$97,D725))*(1+INDEX($AC$21:$AC$97,E725))*(1+INDEX($AC$21:$AC$97,F725))-1</f>
        <v>0.355989176593846</v>
      </c>
      <c r="M725" s="489">
        <f>(1+INDEX($AD$21:$AD$97,B725))*(1+INDEX($AD$21:$AD$97,C725))*(1+INDEX($AD$21:$AD$97,D725))*(1+INDEX($AD$21:$AD$97,E725))*(1+INDEX($AD$21:$AD$97,F725))-1</f>
        <v>0.360454553371461</v>
      </c>
      <c r="N725" s="489">
        <f>(1+INDEX($AE$21:$AE$97,B725))*(1+INDEX($AE$21:$AE$97,C725))*(1+INDEX($AE$21:$AE$97,D725))*(1+INDEX($AE$21:$AE$97,E725))*(1+INDEX($AE$21:$AE$97,F725))-1</f>
        <v>0.353963459227051</v>
      </c>
      <c r="O725" s="489">
        <f>(1+INDEX($AF$21:$AF$97,B725))*(1+INDEX($AF$21:$AF$97,C725))*(1+INDEX($AF$21:$AF$97,D725))*(1+INDEX($AF$21:$AF$97,E725))*(1+INDEX($AF$21:$AF$97,F725))-1</f>
        <v>0.378659850009305</v>
      </c>
      <c r="P725" s="489">
        <f>LN((1+L725)/(1+H725))</f>
        <v>0.00548294010934817</v>
      </c>
      <c r="Q725" s="489">
        <f>LN((1+M725)/(1+H725))</f>
        <v>0.00877060681155332</v>
      </c>
      <c r="R725" s="489">
        <f>LN((1+N725)/(1+H725))</f>
        <v>0.00398791933494533</v>
      </c>
      <c r="S725" s="542">
        <f>LN((1+O725)/(1+H725))</f>
        <v>0.0220636366277732</v>
      </c>
    </row>
    <row r="726">
      <c r="A726" s="320" t="n">
        <v>625</v>
      </c>
      <c r="B726" s="174" t="n">
        <v>62</v>
      </c>
      <c r="C726" s="174" t="n">
        <v>30</v>
      </c>
      <c r="D726" s="174" t="n">
        <v>73</v>
      </c>
      <c r="E726" s="174" t="n">
        <v>74</v>
      </c>
      <c r="F726" s="174" t="n">
        <v>43</v>
      </c>
      <c r="G726" s="68">
        <f>(1+INDEX($Z$21:$Z$97,B726))*(1+INDEX($Z$21:$Z$97,C726))*(1+INDEX($Z$21:$Z$97,D726))*(1+INDEX($Z$21:$Z$97,E726))*(1+INDEX($Z$21:$Z$97,F726))-1</f>
        <v>0.31361833856083</v>
      </c>
      <c r="H726" s="68">
        <f>(1+INDEX($AA$21:$AA$97,B726))*(1+INDEX($AA$21:$AA$97,C726))*(1+INDEX($AA$21:$AA$97,D726))*(1+INDEX($AA$21:$AA$97,E726))*(1+INDEX($AA$21:$AA$97,F726))-1</f>
        <v>0.319394348143727</v>
      </c>
      <c r="I726" s="68">
        <f>(1+INDEX($AB$21:$AB$97,B726))*(1+INDEX($AB$21:$AB$97,C726))*(1+INDEX($AB$21:$AB$97,D726))*(1+INDEX($AB$21:$AB$97,E726))*(1+INDEX($AB$21:$AB$97,F726))-1</f>
        <v>0.360367492380016</v>
      </c>
      <c r="J726" s="489">
        <f>LN((1+G726)/(1+H726))</f>
        <v>-0.00438738398590095</v>
      </c>
      <c r="K726" s="489">
        <f>LN((1+I726)/(1+H726))</f>
        <v>0.0305820740907288</v>
      </c>
      <c r="L726" s="489">
        <f>(1+INDEX($AC$21:$AC$97,B726))*(1+INDEX($AC$21:$AC$97,C726))*(1+INDEX($AC$21:$AC$97,D726))*(1+INDEX($AC$21:$AC$97,E726))*(1+INDEX($AC$21:$AC$97,F726))-1</f>
        <v>0.365781021523116</v>
      </c>
      <c r="M726" s="489">
        <f>(1+INDEX($AD$21:$AD$97,B726))*(1+INDEX($AD$21:$AD$97,C726))*(1+INDEX($AD$21:$AD$97,D726))*(1+INDEX($AD$21:$AD$97,E726))*(1+INDEX($AD$21:$AD$97,F726))-1</f>
        <v>0.326929918672487</v>
      </c>
      <c r="N726" s="489">
        <f>(1+INDEX($AE$21:$AE$97,B726))*(1+INDEX($AE$21:$AE$97,C726))*(1+INDEX($AE$21:$AE$97,D726))*(1+INDEX($AE$21:$AE$97,E726))*(1+INDEX($AE$21:$AE$97,F726))-1</f>
        <v>0.352321903176898</v>
      </c>
      <c r="O726" s="489">
        <f>(1+INDEX($AF$21:$AF$97,B726))*(1+INDEX($AF$21:$AF$97,C726))*(1+INDEX($AF$21:$AF$97,D726))*(1+INDEX($AF$21:$AF$97,E726))*(1+INDEX($AF$21:$AF$97,F726))-1</f>
        <v>0.294325820425881</v>
      </c>
      <c r="P726" s="489">
        <f>LN((1+L726)/(1+H726))</f>
        <v>0.0345536378050798</v>
      </c>
      <c r="Q726" s="489">
        <f>LN((1+M726)/(1+H726))</f>
        <v>0.00569513796250011</v>
      </c>
      <c r="R726" s="489">
        <f>LN((1+N726)/(1+H726))</f>
        <v>0.0246502392055871</v>
      </c>
      <c r="S726" s="542">
        <f>LN((1+O726)/(1+H726))</f>
        <v>-0.0191828465375455</v>
      </c>
    </row>
    <row r="727">
      <c r="A727" s="320" t="n">
        <v>626</v>
      </c>
      <c r="B727" s="174" t="n">
        <v>47</v>
      </c>
      <c r="C727" s="174" t="n">
        <v>36</v>
      </c>
      <c r="D727" s="174" t="n">
        <v>73</v>
      </c>
      <c r="E727" s="174" t="n">
        <v>68</v>
      </c>
      <c r="F727" s="174" t="n">
        <v>11</v>
      </c>
      <c r="G727" s="68">
        <f>(1+INDEX($Z$21:$Z$97,B727))*(1+INDEX($Z$21:$Z$97,C727))*(1+INDEX($Z$21:$Z$97,D727))*(1+INDEX($Z$21:$Z$97,E727))*(1+INDEX($Z$21:$Z$97,F727))-1</f>
        <v>0.3978577565899</v>
      </c>
      <c r="H727" s="68">
        <f>(1+INDEX($AA$21:$AA$97,B727))*(1+INDEX($AA$21:$AA$97,C727))*(1+INDEX($AA$21:$AA$97,D727))*(1+INDEX($AA$21:$AA$97,E727))*(1+INDEX($AA$21:$AA$97,F727))-1</f>
        <v>0.375326609074081</v>
      </c>
      <c r="I727" s="68">
        <f>(1+INDEX($AB$21:$AB$97,B727))*(1+INDEX($AB$21:$AB$97,C727))*(1+INDEX($AB$21:$AB$97,D727))*(1+INDEX($AB$21:$AB$97,E727))*(1+INDEX($AB$21:$AB$97,F727))-1</f>
        <v>0.395991491461952</v>
      </c>
      <c r="J727" s="489">
        <f>LN((1+G727)/(1+H727))</f>
        <v>0.0162496540612998</v>
      </c>
      <c r="K727" s="489">
        <f>LN((1+I727)/(1+H727))</f>
        <v>0.0149136725964213</v>
      </c>
      <c r="L727" s="489">
        <f>(1+INDEX($AC$21:$AC$97,B727))*(1+INDEX($AC$21:$AC$97,C727))*(1+INDEX($AC$21:$AC$97,D727))*(1+INDEX($AC$21:$AC$97,E727))*(1+INDEX($AC$21:$AC$97,F727))-1</f>
        <v>0.389002763657977</v>
      </c>
      <c r="M727" s="489">
        <f>(1+INDEX($AD$21:$AD$97,B727))*(1+INDEX($AD$21:$AD$97,C727))*(1+INDEX($AD$21:$AD$97,D727))*(1+INDEX($AD$21:$AD$97,E727))*(1+INDEX($AD$21:$AD$97,F727))-1</f>
        <v>0.41075039511079</v>
      </c>
      <c r="N727" s="489">
        <f>(1+INDEX($AE$21:$AE$97,B727))*(1+INDEX($AE$21:$AE$97,C727))*(1+INDEX($AE$21:$AE$97,D727))*(1+INDEX($AE$21:$AE$97,E727))*(1+INDEX($AE$21:$AE$97,F727))-1</f>
        <v>0.385049985236296</v>
      </c>
      <c r="O727" s="489">
        <f>(1+INDEX($AF$21:$AF$97,B727))*(1+INDEX($AF$21:$AF$97,C727))*(1+INDEX($AF$21:$AF$97,D727))*(1+INDEX($AF$21:$AF$97,E727))*(1+INDEX($AF$21:$AF$97,F727))-1</f>
        <v>0.410607999158685</v>
      </c>
      <c r="P727" s="489">
        <f>LN((1+L727)/(1+H727))</f>
        <v>0.00989481666090692</v>
      </c>
      <c r="Q727" s="489">
        <f>LN((1+M727)/(1+H727))</f>
        <v>0.0254305211546273</v>
      </c>
      <c r="R727" s="489">
        <f>LN((1+N727)/(1+H727))</f>
        <v>0.00704499262748685</v>
      </c>
      <c r="S727" s="542">
        <f>LN((1+O727)/(1+H727))</f>
        <v>0.0253295797410762</v>
      </c>
    </row>
    <row r="728">
      <c r="A728" s="320" t="n">
        <v>627</v>
      </c>
      <c r="B728" s="174" t="n">
        <v>34</v>
      </c>
      <c r="C728" s="174" t="n">
        <v>77</v>
      </c>
      <c r="D728" s="174" t="n">
        <v>38</v>
      </c>
      <c r="E728" s="174" t="n">
        <v>11</v>
      </c>
      <c r="F728" s="174" t="n">
        <v>49</v>
      </c>
      <c r="G728" s="68">
        <f>(1+INDEX($Z$21:$Z$97,B728))*(1+INDEX($Z$21:$Z$97,C728))*(1+INDEX($Z$21:$Z$97,D728))*(1+INDEX($Z$21:$Z$97,E728))*(1+INDEX($Z$21:$Z$97,F728))-1</f>
        <v>0.39369598296313</v>
      </c>
      <c r="H728" s="68">
        <f>(1+INDEX($AA$21:$AA$97,B728))*(1+INDEX($AA$21:$AA$97,C728))*(1+INDEX($AA$21:$AA$97,D728))*(1+INDEX($AA$21:$AA$97,E728))*(1+INDEX($AA$21:$AA$97,F728))-1</f>
        <v>0.344460996740572</v>
      </c>
      <c r="I728" s="68">
        <f>(1+INDEX($AB$21:$AB$97,B728))*(1+INDEX($AB$21:$AB$97,C728))*(1+INDEX($AB$21:$AB$97,D728))*(1+INDEX($AB$21:$AB$97,E728))*(1+INDEX($AB$21:$AB$97,F728))-1</f>
        <v>0.379852295088419</v>
      </c>
      <c r="J728" s="489">
        <f>LN((1+G728)/(1+H728))</f>
        <v>0.0359660120409452</v>
      </c>
      <c r="K728" s="489">
        <f>LN((1+I728)/(1+H728))</f>
        <v>0.0259832740801907</v>
      </c>
      <c r="L728" s="489">
        <f>(1+INDEX($AC$21:$AC$97,B728))*(1+INDEX($AC$21:$AC$97,C728))*(1+INDEX($AC$21:$AC$97,D728))*(1+INDEX($AC$21:$AC$97,E728))*(1+INDEX($AC$21:$AC$97,F728))-1</f>
        <v>0.361976030523736</v>
      </c>
      <c r="M728" s="489">
        <f>(1+INDEX($AD$21:$AD$97,B728))*(1+INDEX($AD$21:$AD$97,C728))*(1+INDEX($AD$21:$AD$97,D728))*(1+INDEX($AD$21:$AD$97,E728))*(1+INDEX($AD$21:$AD$97,F728))-1</f>
        <v>0.404250663789846</v>
      </c>
      <c r="N728" s="489">
        <f>(1+INDEX($AE$21:$AE$97,B728))*(1+INDEX($AE$21:$AE$97,C728))*(1+INDEX($AE$21:$AE$97,D728))*(1+INDEX($AE$21:$AE$97,E728))*(1+INDEX($AE$21:$AE$97,F728))-1</f>
        <v>0.343005012490937</v>
      </c>
      <c r="O728" s="489">
        <f>(1+INDEX($AF$21:$AF$97,B728))*(1+INDEX($AF$21:$AF$97,C728))*(1+INDEX($AF$21:$AF$97,D728))*(1+INDEX($AF$21:$AF$97,E728))*(1+INDEX($AF$21:$AF$97,F728))-1</f>
        <v>0.374567053370981</v>
      </c>
      <c r="P728" s="489">
        <f>LN((1+L728)/(1+H728))</f>
        <v>0.0129434220221456</v>
      </c>
      <c r="Q728" s="489">
        <f>LN((1+M728)/(1+H728))</f>
        <v>0.043510638315006</v>
      </c>
      <c r="R728" s="489">
        <f>LN((1+N728)/(1+H728))</f>
        <v>-0.00108353697280879</v>
      </c>
      <c r="S728" s="542">
        <f>LN((1+O728)/(1+H728))</f>
        <v>0.0221456244449236</v>
      </c>
    </row>
    <row r="729">
      <c r="A729" s="320" t="n">
        <v>628</v>
      </c>
      <c r="B729" s="174" t="n">
        <v>9</v>
      </c>
      <c r="C729" s="174" t="n">
        <v>19</v>
      </c>
      <c r="D729" s="174" t="n">
        <v>23</v>
      </c>
      <c r="E729" s="174" t="n">
        <v>37</v>
      </c>
      <c r="F729" s="174" t="n">
        <v>65</v>
      </c>
      <c r="G729" s="68">
        <f>(1+INDEX($Z$21:$Z$97,B729))*(1+INDEX($Z$21:$Z$97,C729))*(1+INDEX($Z$21:$Z$97,D729))*(1+INDEX($Z$21:$Z$97,E729))*(1+INDEX($Z$21:$Z$97,F729))-1</f>
        <v>-0.132217573388138</v>
      </c>
      <c r="H729" s="68">
        <f>(1+INDEX($AA$21:$AA$97,B729))*(1+INDEX($AA$21:$AA$97,C729))*(1+INDEX($AA$21:$AA$97,D729))*(1+INDEX($AA$21:$AA$97,E729))*(1+INDEX($AA$21:$AA$97,F729))-1</f>
        <v>-0.107113289895527</v>
      </c>
      <c r="I729" s="68">
        <f>(1+INDEX($AB$21:$AB$97,B729))*(1+INDEX($AB$21:$AB$97,C729))*(1+INDEX($AB$21:$AB$97,D729))*(1+INDEX($AB$21:$AB$97,E729))*(1+INDEX($AB$21:$AB$97,F729))-1</f>
        <v>-0.137746680584579</v>
      </c>
      <c r="J729" s="489">
        <f>LN((1+G729)/(1+H729))</f>
        <v>-0.0285186857895204</v>
      </c>
      <c r="K729" s="489">
        <f>LN((1+I729)/(1+H729))</f>
        <v>-0.0349106069208541</v>
      </c>
      <c r="L729" s="489">
        <f>(1+INDEX($AC$21:$AC$97,B729))*(1+INDEX($AC$21:$AC$97,C729))*(1+INDEX($AC$21:$AC$97,D729))*(1+INDEX($AC$21:$AC$97,E729))*(1+INDEX($AC$21:$AC$97,F729))-1</f>
        <v>-0.160653218425341</v>
      </c>
      <c r="M729" s="489">
        <f>(1+INDEX($AD$21:$AD$97,B729))*(1+INDEX($AD$21:$AD$97,C729))*(1+INDEX($AD$21:$AD$97,D729))*(1+INDEX($AD$21:$AD$97,E729))*(1+INDEX($AD$21:$AD$97,F729))-1</f>
        <v>-0.119637623123389</v>
      </c>
      <c r="N729" s="489">
        <f>(1+INDEX($AE$21:$AE$97,B729))*(1+INDEX($AE$21:$AE$97,C729))*(1+INDEX($AE$21:$AE$97,D729))*(1+INDEX($AE$21:$AE$97,E729))*(1+INDEX($AE$21:$AE$97,F729))-1</f>
        <v>-0.157219467004195</v>
      </c>
      <c r="O729" s="489">
        <f>(1+INDEX($AF$21:$AF$97,B729))*(1+INDEX($AF$21:$AF$97,C729))*(1+INDEX($AF$21:$AF$97,D729))*(1+INDEX($AF$21:$AF$97,E729))*(1+INDEX($AF$21:$AF$97,F729))-1</f>
        <v>-0.0729697878800961</v>
      </c>
      <c r="P729" s="489">
        <f>LN((1+L729)/(1+H729))</f>
        <v>-0.0618357601086263</v>
      </c>
      <c r="Q729" s="489">
        <f>LN((1+M729)/(1+H729))</f>
        <v>-0.014126093829369</v>
      </c>
      <c r="R729" s="489">
        <f>LN((1+N729)/(1+H729))</f>
        <v>-0.0577531247921939</v>
      </c>
      <c r="S729" s="542">
        <f>LN((1+O729)/(1+H729))</f>
        <v>0.0375264478745347</v>
      </c>
    </row>
    <row r="730">
      <c r="A730" s="320" t="n">
        <v>629</v>
      </c>
      <c r="B730" s="174" t="n">
        <v>31</v>
      </c>
      <c r="C730" s="174" t="n">
        <v>31</v>
      </c>
      <c r="D730" s="174" t="n">
        <v>63</v>
      </c>
      <c r="E730" s="174" t="n">
        <v>32</v>
      </c>
      <c r="F730" s="174" t="n">
        <v>9</v>
      </c>
      <c r="G730" s="68">
        <f>(1+INDEX($Z$21:$Z$97,B730))*(1+INDEX($Z$21:$Z$97,C730))*(1+INDEX($Z$21:$Z$97,D730))*(1+INDEX($Z$21:$Z$97,E730))*(1+INDEX($Z$21:$Z$97,F730))-1</f>
        <v>0.0411196181030775</v>
      </c>
      <c r="H730" s="68">
        <f>(1+INDEX($AA$21:$AA$97,B730))*(1+INDEX($AA$21:$AA$97,C730))*(1+INDEX($AA$21:$AA$97,D730))*(1+INDEX($AA$21:$AA$97,E730))*(1+INDEX($AA$21:$AA$97,F730))-1</f>
        <v>0.0934487410714613</v>
      </c>
      <c r="I730" s="68">
        <f>(1+INDEX($AB$21:$AB$97,B730))*(1+INDEX($AB$21:$AB$97,C730))*(1+INDEX($AB$21:$AB$97,D730))*(1+INDEX($AB$21:$AB$97,E730))*(1+INDEX($AB$21:$AB$97,F730))-1</f>
        <v>0.0918827056156775</v>
      </c>
      <c r="J730" s="489">
        <f>LN((1+G730)/(1+H730))</f>
        <v>-0.0490399940644387</v>
      </c>
      <c r="K730" s="489">
        <f>LN((1+I730)/(1+H730))</f>
        <v>-0.00143322490163067</v>
      </c>
      <c r="L730" s="489">
        <f>(1+INDEX($AC$21:$AC$97,B730))*(1+INDEX($AC$21:$AC$97,C730))*(1+INDEX($AC$21:$AC$97,D730))*(1+INDEX($AC$21:$AC$97,E730))*(1+INDEX($AC$21:$AC$97,F730))-1</f>
        <v>0.0746830875491704</v>
      </c>
      <c r="M730" s="489">
        <f>(1+INDEX($AD$21:$AD$97,B730))*(1+INDEX($AD$21:$AD$97,C730))*(1+INDEX($AD$21:$AD$97,D730))*(1+INDEX($AD$21:$AD$97,E730))*(1+INDEX($AD$21:$AD$97,F730))-1</f>
        <v>0.0995259860790028</v>
      </c>
      <c r="N730" s="489">
        <f>(1+INDEX($AE$21:$AE$97,B730))*(1+INDEX($AE$21:$AE$97,C730))*(1+INDEX($AE$21:$AE$97,D730))*(1+INDEX($AE$21:$AE$97,E730))*(1+INDEX($AE$21:$AE$97,F730))-1</f>
        <v>0.0759127279539407</v>
      </c>
      <c r="O730" s="489">
        <f>(1+INDEX($AF$21:$AF$97,B730))*(1+INDEX($AF$21:$AF$97,C730))*(1+INDEX($AF$21:$AF$97,D730))*(1+INDEX($AF$21:$AF$97,E730))*(1+INDEX($AF$21:$AF$97,F730))-1</f>
        <v>0.0899294296490447</v>
      </c>
      <c r="P730" s="489">
        <f>LN((1+L730)/(1+H730))</f>
        <v>-0.0173108681783086</v>
      </c>
      <c r="Q730" s="489">
        <f>LN((1+M730)/(1+H730))</f>
        <v>0.0055424811691473</v>
      </c>
      <c r="R730" s="489">
        <f>LN((1+N730)/(1+H730))</f>
        <v>-0.0161673334146832</v>
      </c>
      <c r="S730" s="542">
        <f>LN((1+O730)/(1+H730))</f>
        <v>-0.00322373331149702</v>
      </c>
    </row>
    <row r="731">
      <c r="A731" s="320" t="n">
        <v>630</v>
      </c>
      <c r="B731" s="174" t="n">
        <v>68</v>
      </c>
      <c r="C731" s="174" t="n">
        <v>42</v>
      </c>
      <c r="D731" s="174" t="n">
        <v>7</v>
      </c>
      <c r="E731" s="174" t="n">
        <v>4</v>
      </c>
      <c r="F731" s="174" t="n">
        <v>36</v>
      </c>
      <c r="G731" s="68">
        <f>(1+INDEX($Z$21:$Z$97,B731))*(1+INDEX($Z$21:$Z$97,C731))*(1+INDEX($Z$21:$Z$97,D731))*(1+INDEX($Z$21:$Z$97,E731))*(1+INDEX($Z$21:$Z$97,F731))-1</f>
        <v>0.174237689439065</v>
      </c>
      <c r="H731" s="68">
        <f>(1+INDEX($AA$21:$AA$97,B731))*(1+INDEX($AA$21:$AA$97,C731))*(1+INDEX($AA$21:$AA$97,D731))*(1+INDEX($AA$21:$AA$97,E731))*(1+INDEX($AA$21:$AA$97,F731))-1</f>
        <v>0.205407237027851</v>
      </c>
      <c r="I731" s="68">
        <f>(1+INDEX($AB$21:$AB$97,B731))*(1+INDEX($AB$21:$AB$97,C731))*(1+INDEX($AB$21:$AB$97,D731))*(1+INDEX($AB$21:$AB$97,E731))*(1+INDEX($AB$21:$AB$97,F731))-1</f>
        <v>0.185440915855544</v>
      </c>
      <c r="J731" s="489">
        <f>LN((1+G731)/(1+H731))</f>
        <v>-0.0261983037829375</v>
      </c>
      <c r="K731" s="489">
        <f>LN((1+I731)/(1+H731))</f>
        <v>-0.0167026796151289</v>
      </c>
      <c r="L731" s="489">
        <f>(1+INDEX($AC$21:$AC$97,B731))*(1+INDEX($AC$21:$AC$97,C731))*(1+INDEX($AC$21:$AC$97,D731))*(1+INDEX($AC$21:$AC$97,E731))*(1+INDEX($AC$21:$AC$97,F731))-1</f>
        <v>0.185869335504729</v>
      </c>
      <c r="M731" s="489">
        <f>(1+INDEX($AD$21:$AD$97,B731))*(1+INDEX($AD$21:$AD$97,C731))*(1+INDEX($AD$21:$AD$97,D731))*(1+INDEX($AD$21:$AD$97,E731))*(1+INDEX($AD$21:$AD$97,F731))-1</f>
        <v>0.18481574430112</v>
      </c>
      <c r="N731" s="489">
        <f>(1+INDEX($AE$21:$AE$97,B731))*(1+INDEX($AE$21:$AE$97,C731))*(1+INDEX($AE$21:$AE$97,D731))*(1+INDEX($AE$21:$AE$97,E731))*(1+INDEX($AE$21:$AE$97,F731))-1</f>
        <v>0.182673081216781</v>
      </c>
      <c r="O731" s="489">
        <f>(1+INDEX($AF$21:$AF$97,B731))*(1+INDEX($AF$21:$AF$97,C731))*(1+INDEX($AF$21:$AF$97,D731))*(1+INDEX($AF$21:$AF$97,E731))*(1+INDEX($AF$21:$AF$97,F731))-1</f>
        <v>0.215530935989761</v>
      </c>
      <c r="P731" s="489">
        <f>LN((1+L731)/(1+H731))</f>
        <v>-0.0163413438062862</v>
      </c>
      <c r="Q731" s="489">
        <f>LN((1+M731)/(1+H731))</f>
        <v>-0.0172301934320329</v>
      </c>
      <c r="R731" s="489">
        <f>LN((1+N731)/(1+H731))</f>
        <v>-0.0190402663212961</v>
      </c>
      <c r="S731" s="542">
        <f>LN((1+O731)/(1+H731))</f>
        <v>0.00836349980831837</v>
      </c>
    </row>
    <row r="732">
      <c r="A732" s="320" t="n">
        <v>631</v>
      </c>
      <c r="B732" s="174" t="n">
        <v>19</v>
      </c>
      <c r="C732" s="174" t="n">
        <v>21</v>
      </c>
      <c r="D732" s="174" t="n">
        <v>48</v>
      </c>
      <c r="E732" s="174" t="n">
        <v>4</v>
      </c>
      <c r="F732" s="174" t="n">
        <v>28</v>
      </c>
      <c r="G732" s="68">
        <f>(1+INDEX($Z$21:$Z$97,B732))*(1+INDEX($Z$21:$Z$97,C732))*(1+INDEX($Z$21:$Z$97,D732))*(1+INDEX($Z$21:$Z$97,E732))*(1+INDEX($Z$21:$Z$97,F732))-1</f>
        <v>0.252035551801163</v>
      </c>
      <c r="H732" s="68">
        <f>(1+INDEX($AA$21:$AA$97,B732))*(1+INDEX($AA$21:$AA$97,C732))*(1+INDEX($AA$21:$AA$97,D732))*(1+INDEX($AA$21:$AA$97,E732))*(1+INDEX($AA$21:$AA$97,F732))-1</f>
        <v>0.268427881567659</v>
      </c>
      <c r="I732" s="68">
        <f>(1+INDEX($AB$21:$AB$97,B732))*(1+INDEX($AB$21:$AB$97,C732))*(1+INDEX($AB$21:$AB$97,D732))*(1+INDEX($AB$21:$AB$97,E732))*(1+INDEX($AB$21:$AB$97,F732))-1</f>
        <v>0.266944847259215</v>
      </c>
      <c r="J732" s="489">
        <f>LN((1+G732)/(1+H732))</f>
        <v>-0.0130075768421375</v>
      </c>
      <c r="K732" s="489">
        <f>LN((1+I732)/(1+H732))</f>
        <v>-0.00116987491481828</v>
      </c>
      <c r="L732" s="489">
        <f>(1+INDEX($AC$21:$AC$97,B732))*(1+INDEX($AC$21:$AC$97,C732))*(1+INDEX($AC$21:$AC$97,D732))*(1+INDEX($AC$21:$AC$97,E732))*(1+INDEX($AC$21:$AC$97,F732))-1</f>
        <v>0.254256657493213</v>
      </c>
      <c r="M732" s="489">
        <f>(1+INDEX($AD$21:$AD$97,B732))*(1+INDEX($AD$21:$AD$97,C732))*(1+INDEX($AD$21:$AD$97,D732))*(1+INDEX($AD$21:$AD$97,E732))*(1+INDEX($AD$21:$AD$97,F732))-1</f>
        <v>0.263457638859244</v>
      </c>
      <c r="N732" s="489">
        <f>(1+INDEX($AE$21:$AE$97,B732))*(1+INDEX($AE$21:$AE$97,C732))*(1+INDEX($AE$21:$AE$97,D732))*(1+INDEX($AE$21:$AE$97,E732))*(1+INDEX($AE$21:$AE$97,F732))-1</f>
        <v>0.251483185250851</v>
      </c>
      <c r="O732" s="489">
        <f>(1+INDEX($AF$21:$AF$97,B732))*(1+INDEX($AF$21:$AF$97,C732))*(1+INDEX($AF$21:$AF$97,D732))*(1+INDEX($AF$21:$AF$97,E732))*(1+INDEX($AF$21:$AF$97,F732))-1</f>
        <v>0.288712163341217</v>
      </c>
      <c r="P732" s="489">
        <f>LN((1+L732)/(1+H732))</f>
        <v>-0.0112351528085171</v>
      </c>
      <c r="Q732" s="489">
        <f>LN((1+M732)/(1+H732))</f>
        <v>-0.00392612466304548</v>
      </c>
      <c r="R732" s="489">
        <f>LN((1+N732)/(1+H732))</f>
        <v>-0.0134488490012792</v>
      </c>
      <c r="S732" s="542">
        <f>LN((1+O732)/(1+H732))</f>
        <v>0.0158651516017671</v>
      </c>
    </row>
    <row r="733">
      <c r="A733" s="320" t="n">
        <v>632</v>
      </c>
      <c r="B733" s="174" t="n">
        <v>5</v>
      </c>
      <c r="C733" s="174" t="n">
        <v>31</v>
      </c>
      <c r="D733" s="174" t="n">
        <v>70</v>
      </c>
      <c r="E733" s="174" t="n">
        <v>17</v>
      </c>
      <c r="F733" s="174" t="n">
        <v>4</v>
      </c>
      <c r="G733" s="68">
        <f>(1+INDEX($Z$21:$Z$97,B733))*(1+INDEX($Z$21:$Z$97,C733))*(1+INDEX($Z$21:$Z$97,D733))*(1+INDEX($Z$21:$Z$97,E733))*(1+INDEX($Z$21:$Z$97,F733))-1</f>
        <v>0.220878016290694</v>
      </c>
      <c r="H733" s="68">
        <f>(1+INDEX($AA$21:$AA$97,B733))*(1+INDEX($AA$21:$AA$97,C733))*(1+INDEX($AA$21:$AA$97,D733))*(1+INDEX($AA$21:$AA$97,E733))*(1+INDEX($AA$21:$AA$97,F733))-1</f>
        <v>0.251958917780449</v>
      </c>
      <c r="I733" s="68">
        <f>(1+INDEX($AB$21:$AB$97,B733))*(1+INDEX($AB$21:$AB$97,C733))*(1+INDEX($AB$21:$AB$97,D733))*(1+INDEX($AB$21:$AB$97,E733))*(1+INDEX($AB$21:$AB$97,F733))-1</f>
        <v>0.22904140928241</v>
      </c>
      <c r="J733" s="489">
        <f>LN((1+G733)/(1+H733))</f>
        <v>-0.0251391734852095</v>
      </c>
      <c r="K733" s="489">
        <f>LN((1+I733)/(1+H733))</f>
        <v>-0.0184749353725223</v>
      </c>
      <c r="L733" s="489">
        <f>(1+INDEX($AC$21:$AC$97,B733))*(1+INDEX($AC$21:$AC$97,C733))*(1+INDEX($AC$21:$AC$97,D733))*(1+INDEX($AC$21:$AC$97,E733))*(1+INDEX($AC$21:$AC$97,F733))-1</f>
        <v>0.225015472414205</v>
      </c>
      <c r="M733" s="489">
        <f>(1+INDEX($AD$21:$AD$97,B733))*(1+INDEX($AD$21:$AD$97,C733))*(1+INDEX($AD$21:$AD$97,D733))*(1+INDEX($AD$21:$AD$97,E733))*(1+INDEX($AD$21:$AD$97,F733))-1</f>
        <v>0.217403493791151</v>
      </c>
      <c r="N733" s="489">
        <f>(1+INDEX($AE$21:$AE$97,B733))*(1+INDEX($AE$21:$AE$97,C733))*(1+INDEX($AE$21:$AE$97,D733))*(1+INDEX($AE$21:$AE$97,E733))*(1+INDEX($AE$21:$AE$97,F733))-1</f>
        <v>0.214226596813323</v>
      </c>
      <c r="O733" s="489">
        <f>(1+INDEX($AF$21:$AF$97,B733))*(1+INDEX($AF$21:$AF$97,C733))*(1+INDEX($AF$21:$AF$97,D733))*(1+INDEX($AF$21:$AF$97,E733))*(1+INDEX($AF$21:$AF$97,F733))-1</f>
        <v>0.247046978499138</v>
      </c>
      <c r="P733" s="489">
        <f>LN((1+L733)/(1+H733))</f>
        <v>-0.021755984406004</v>
      </c>
      <c r="Q733" s="489">
        <f>LN((1+M733)/(1+H733))</f>
        <v>-0.027989151912194</v>
      </c>
      <c r="R733" s="489">
        <f>LN((1+N733)/(1+H733))</f>
        <v>-0.0306021305865956</v>
      </c>
      <c r="S733" s="542">
        <f>LN((1+O733)/(1+H733))</f>
        <v>-0.00393111966182985</v>
      </c>
    </row>
    <row r="734">
      <c r="A734" s="320" t="n">
        <v>633</v>
      </c>
      <c r="B734" s="174" t="n">
        <v>76</v>
      </c>
      <c r="C734" s="174" t="n">
        <v>13</v>
      </c>
      <c r="D734" s="174" t="n">
        <v>10</v>
      </c>
      <c r="E734" s="174" t="n">
        <v>66</v>
      </c>
      <c r="F734" s="174" t="n">
        <v>46</v>
      </c>
      <c r="G734" s="68">
        <f>(1+INDEX($Z$21:$Z$97,B734))*(1+INDEX($Z$21:$Z$97,C734))*(1+INDEX($Z$21:$Z$97,D734))*(1+INDEX($Z$21:$Z$97,E734))*(1+INDEX($Z$21:$Z$97,F734))-1</f>
        <v>0.42888773747983</v>
      </c>
      <c r="H734" s="68">
        <f>(1+INDEX($AA$21:$AA$97,B734))*(1+INDEX($AA$21:$AA$97,C734))*(1+INDEX($AA$21:$AA$97,D734))*(1+INDEX($AA$21:$AA$97,E734))*(1+INDEX($AA$21:$AA$97,F734))-1</f>
        <v>0.378182951448128</v>
      </c>
      <c r="I734" s="68">
        <f>(1+INDEX($AB$21:$AB$97,B734))*(1+INDEX($AB$21:$AB$97,C734))*(1+INDEX($AB$21:$AB$97,D734))*(1+INDEX($AB$21:$AB$97,E734))*(1+INDEX($AB$21:$AB$97,F734))-1</f>
        <v>0.40364903136261</v>
      </c>
      <c r="J734" s="489">
        <f>LN((1+G734)/(1+H734))</f>
        <v>0.0361304059592812</v>
      </c>
      <c r="K734" s="489">
        <f>LN((1+I734)/(1+H734))</f>
        <v>0.0183093669856625</v>
      </c>
      <c r="L734" s="489">
        <f>(1+INDEX($AC$21:$AC$97,B734))*(1+INDEX($AC$21:$AC$97,C734))*(1+INDEX($AC$21:$AC$97,D734))*(1+INDEX($AC$21:$AC$97,E734))*(1+INDEX($AC$21:$AC$97,F734))-1</f>
        <v>0.39649762220058</v>
      </c>
      <c r="M734" s="489">
        <f>(1+INDEX($AD$21:$AD$97,B734))*(1+INDEX($AD$21:$AD$97,C734))*(1+INDEX($AD$21:$AD$97,D734))*(1+INDEX($AD$21:$AD$97,E734))*(1+INDEX($AD$21:$AD$97,F734))-1</f>
        <v>0.419762040077735</v>
      </c>
      <c r="N734" s="489">
        <f>(1+INDEX($AE$21:$AE$97,B734))*(1+INDEX($AE$21:$AE$97,C734))*(1+INDEX($AE$21:$AE$97,D734))*(1+INDEX($AE$21:$AE$97,E734))*(1+INDEX($AE$21:$AE$97,F734))-1</f>
        <v>0.380574828267996</v>
      </c>
      <c r="O734" s="489">
        <f>(1+INDEX($AF$21:$AF$97,B734))*(1+INDEX($AF$21:$AF$97,C734))*(1+INDEX($AF$21:$AF$97,D734))*(1+INDEX($AF$21:$AF$97,E734))*(1+INDEX($AF$21:$AF$97,F734))-1</f>
        <v>0.428314103373852</v>
      </c>
      <c r="P734" s="489">
        <f>LN((1+L734)/(1+H734))</f>
        <v>0.0132014740104007</v>
      </c>
      <c r="Q734" s="489">
        <f>LN((1+M734)/(1+H734))</f>
        <v>0.0297233504540856</v>
      </c>
      <c r="R734" s="489">
        <f>LN((1+N734)/(1+H734))</f>
        <v>0.00173402495629561</v>
      </c>
      <c r="S734" s="542">
        <f>LN((1+O734)/(1+H734))</f>
        <v>0.0357288703691221</v>
      </c>
    </row>
    <row r="735">
      <c r="A735" s="320" t="n">
        <v>634</v>
      </c>
      <c r="B735" s="174" t="n">
        <v>27</v>
      </c>
      <c r="C735" s="174" t="n">
        <v>30</v>
      </c>
      <c r="D735" s="174" t="n">
        <v>7</v>
      </c>
      <c r="E735" s="174" t="n">
        <v>13</v>
      </c>
      <c r="F735" s="174" t="n">
        <v>76</v>
      </c>
      <c r="G735" s="68">
        <f>(1+INDEX($Z$21:$Z$97,B735))*(1+INDEX($Z$21:$Z$97,C735))*(1+INDEX($Z$21:$Z$97,D735))*(1+INDEX($Z$21:$Z$97,E735))*(1+INDEX($Z$21:$Z$97,F735))-1</f>
        <v>0.560834857068195</v>
      </c>
      <c r="H735" s="68">
        <f>(1+INDEX($AA$21:$AA$97,B735))*(1+INDEX($AA$21:$AA$97,C735))*(1+INDEX($AA$21:$AA$97,D735))*(1+INDEX($AA$21:$AA$97,E735))*(1+INDEX($AA$21:$AA$97,F735))-1</f>
        <v>0.511745712005307</v>
      </c>
      <c r="I735" s="68">
        <f>(1+INDEX($AB$21:$AB$97,B735))*(1+INDEX($AB$21:$AB$97,C735))*(1+INDEX($AB$21:$AB$97,D735))*(1+INDEX($AB$21:$AB$97,E735))*(1+INDEX($AB$21:$AB$97,F735))-1</f>
        <v>0.547477820812432</v>
      </c>
      <c r="J735" s="489">
        <f>LN((1+G735)/(1+H735))</f>
        <v>0.0319557591762977</v>
      </c>
      <c r="K735" s="489">
        <f>LN((1+I735)/(1+H735))</f>
        <v>0.0233613094812244</v>
      </c>
      <c r="L735" s="489">
        <f>(1+INDEX($AC$21:$AC$97,B735))*(1+INDEX($AC$21:$AC$97,C735))*(1+INDEX($AC$21:$AC$97,D735))*(1+INDEX($AC$21:$AC$97,E735))*(1+INDEX($AC$21:$AC$97,F735))-1</f>
        <v>0.549393779603918</v>
      </c>
      <c r="M735" s="489">
        <f>(1+INDEX($AD$21:$AD$97,B735))*(1+INDEX($AD$21:$AD$97,C735))*(1+INDEX($AD$21:$AD$97,D735))*(1+INDEX($AD$21:$AD$97,E735))*(1+INDEX($AD$21:$AD$97,F735))-1</f>
        <v>0.53522506056125</v>
      </c>
      <c r="N735" s="489">
        <f>(1+INDEX($AE$21:$AE$97,B735))*(1+INDEX($AE$21:$AE$97,C735))*(1+INDEX($AE$21:$AE$97,D735))*(1+INDEX($AE$21:$AE$97,E735))*(1+INDEX($AE$21:$AE$97,F735))-1</f>
        <v>0.530628392485236</v>
      </c>
      <c r="O735" s="489">
        <f>(1+INDEX($AF$21:$AF$97,B735))*(1+INDEX($AF$21:$AF$97,C735))*(1+INDEX($AF$21:$AF$97,D735))*(1+INDEX($AF$21:$AF$97,E735))*(1+INDEX($AF$21:$AF$97,F735))-1</f>
        <v>0.528374547373039</v>
      </c>
      <c r="P735" s="489">
        <f>LN((1+L735)/(1+H735))</f>
        <v>0.0245986607719132</v>
      </c>
      <c r="Q735" s="489">
        <f>LN((1+M735)/(1+H735))</f>
        <v>0.0154119058269029</v>
      </c>
      <c r="R735" s="489">
        <f>LN((1+N735)/(1+H735))</f>
        <v>0.0124132814042085</v>
      </c>
      <c r="S735" s="542">
        <f>LN((1+O735)/(1+H735))</f>
        <v>0.0109396996101727</v>
      </c>
    </row>
    <row r="736">
      <c r="A736" s="320" t="n">
        <v>635</v>
      </c>
      <c r="B736" s="174" t="n">
        <v>52</v>
      </c>
      <c r="C736" s="174" t="n">
        <v>69</v>
      </c>
      <c r="D736" s="174" t="n">
        <v>67</v>
      </c>
      <c r="E736" s="174" t="n">
        <v>24</v>
      </c>
      <c r="F736" s="174" t="n">
        <v>71</v>
      </c>
      <c r="G736" s="68">
        <f>(1+INDEX($Z$21:$Z$97,B736))*(1+INDEX($Z$21:$Z$97,C736))*(1+INDEX($Z$21:$Z$97,D736))*(1+INDEX($Z$21:$Z$97,E736))*(1+INDEX($Z$21:$Z$97,F736))-1</f>
        <v>0.985655856366582</v>
      </c>
      <c r="H736" s="68">
        <f>(1+INDEX($AA$21:$AA$97,B736))*(1+INDEX($AA$21:$AA$97,C736))*(1+INDEX($AA$21:$AA$97,D736))*(1+INDEX($AA$21:$AA$97,E736))*(1+INDEX($AA$21:$AA$97,F736))-1</f>
        <v>0.910834355415146</v>
      </c>
      <c r="I736" s="68">
        <f>(1+INDEX($AB$21:$AB$97,B736))*(1+INDEX($AB$21:$AB$97,C736))*(1+INDEX($AB$21:$AB$97,D736))*(1+INDEX($AB$21:$AB$97,E736))*(1+INDEX($AB$21:$AB$97,F736))-1</f>
        <v>0.996315102475027</v>
      </c>
      <c r="J736" s="489">
        <f>LN((1+G736)/(1+H736))</f>
        <v>0.0384092838273862</v>
      </c>
      <c r="K736" s="489">
        <f>LN((1+I736)/(1+H736))</f>
        <v>0.0437630504313843</v>
      </c>
      <c r="L736" s="489">
        <f>(1+INDEX($AC$21:$AC$97,B736))*(1+INDEX($AC$21:$AC$97,C736))*(1+INDEX($AC$21:$AC$97,D736))*(1+INDEX($AC$21:$AC$97,E736))*(1+INDEX($AC$21:$AC$97,F736))-1</f>
        <v>1.00299625852149</v>
      </c>
      <c r="M736" s="489">
        <f>(1+INDEX($AD$21:$AD$97,B736))*(1+INDEX($AD$21:$AD$97,C736))*(1+INDEX($AD$21:$AD$97,D736))*(1+INDEX($AD$21:$AD$97,E736))*(1+INDEX($AD$21:$AD$97,F736))-1</f>
        <v>0.979176039564963</v>
      </c>
      <c r="N736" s="489">
        <f>(1+INDEX($AE$21:$AE$97,B736))*(1+INDEX($AE$21:$AE$97,C736))*(1+INDEX($AE$21:$AE$97,D736))*(1+INDEX($AE$21:$AE$97,E736))*(1+INDEX($AE$21:$AE$97,F736))-1</f>
        <v>1.01527009716692</v>
      </c>
      <c r="O736" s="489">
        <f>(1+INDEX($AF$21:$AF$97,B736))*(1+INDEX($AF$21:$AF$97,C736))*(1+INDEX($AF$21:$AF$97,D736))*(1+INDEX($AF$21:$AF$97,E736))*(1+INDEX($AF$21:$AF$97,F736))-1</f>
        <v>0.93452864298407</v>
      </c>
      <c r="P736" s="489">
        <f>LN((1+L736)/(1+H736))</f>
        <v>0.0471042067749205</v>
      </c>
      <c r="Q736" s="489">
        <f>LN((1+M736)/(1+H736))</f>
        <v>0.0351406344919623</v>
      </c>
      <c r="R736" s="489">
        <f>LN((1+N736)/(1+H736))</f>
        <v>0.0532132477050015</v>
      </c>
      <c r="S736" s="542">
        <f>LN((1+O736)/(1+H736))</f>
        <v>0.0123237194808418</v>
      </c>
    </row>
    <row r="737">
      <c r="A737" s="320" t="n">
        <v>636</v>
      </c>
      <c r="B737" s="174" t="n">
        <v>53</v>
      </c>
      <c r="C737" s="174" t="n">
        <v>39</v>
      </c>
      <c r="D737" s="174" t="n">
        <v>11</v>
      </c>
      <c r="E737" s="174" t="n">
        <v>38</v>
      </c>
      <c r="F737" s="174" t="n">
        <v>66</v>
      </c>
      <c r="G737" s="68">
        <f>(1+INDEX($Z$21:$Z$97,B737))*(1+INDEX($Z$21:$Z$97,C737))*(1+INDEX($Z$21:$Z$97,D737))*(1+INDEX($Z$21:$Z$97,E737))*(1+INDEX($Z$21:$Z$97,F737))-1</f>
        <v>0.185177392260233</v>
      </c>
      <c r="H737" s="68">
        <f>(1+INDEX($AA$21:$AA$97,B737))*(1+INDEX($AA$21:$AA$97,C737))*(1+INDEX($AA$21:$AA$97,D737))*(1+INDEX($AA$21:$AA$97,E737))*(1+INDEX($AA$21:$AA$97,F737))-1</f>
        <v>0.157927173707395</v>
      </c>
      <c r="I737" s="68">
        <f>(1+INDEX($AB$21:$AB$97,B737))*(1+INDEX($AB$21:$AB$97,C737))*(1+INDEX($AB$21:$AB$97,D737))*(1+INDEX($AB$21:$AB$97,E737))*(1+INDEX($AB$21:$AB$97,F737))-1</f>
        <v>0.132989175109919</v>
      </c>
      <c r="J737" s="489">
        <f>LN((1+G737)/(1+H737))</f>
        <v>0.0232609740374653</v>
      </c>
      <c r="K737" s="489">
        <f>LN((1+I737)/(1+H737))</f>
        <v>-0.0217720596393136</v>
      </c>
      <c r="L737" s="489">
        <f>(1+INDEX($AC$21:$AC$97,B737))*(1+INDEX($AC$21:$AC$97,C737))*(1+INDEX($AC$21:$AC$97,D737))*(1+INDEX($AC$21:$AC$97,E737))*(1+INDEX($AC$21:$AC$97,F737))-1</f>
        <v>0.121636751471344</v>
      </c>
      <c r="M737" s="489">
        <f>(1+INDEX($AD$21:$AD$97,B737))*(1+INDEX($AD$21:$AD$97,C737))*(1+INDEX($AD$21:$AD$97,D737))*(1+INDEX($AD$21:$AD$97,E737))*(1+INDEX($AD$21:$AD$97,F737))-1</f>
        <v>0.177554434970868</v>
      </c>
      <c r="N737" s="489">
        <f>(1+INDEX($AE$21:$AE$97,B737))*(1+INDEX($AE$21:$AE$97,C737))*(1+INDEX($AE$21:$AE$97,D737))*(1+INDEX($AE$21:$AE$97,E737))*(1+INDEX($AE$21:$AE$97,F737))-1</f>
        <v>0.12645723723797</v>
      </c>
      <c r="O737" s="489">
        <f>(1+INDEX($AF$21:$AF$97,B737))*(1+INDEX($AF$21:$AF$97,C737))*(1+INDEX($AF$21:$AF$97,D737))*(1+INDEX($AF$21:$AF$97,E737))*(1+INDEX($AF$21:$AF$97,F737))-1</f>
        <v>0.222336128818262</v>
      </c>
      <c r="P737" s="489">
        <f>LN((1+L737)/(1+H737))</f>
        <v>-0.0318424836908296</v>
      </c>
      <c r="Q737" s="489">
        <f>LN((1+M737)/(1+H737))</f>
        <v>0.0168082876586321</v>
      </c>
      <c r="R737" s="489">
        <f>LN((1+N737)/(1+H737))</f>
        <v>-0.0275539680159716</v>
      </c>
      <c r="S737" s="542">
        <f>LN((1+O737)/(1+H737))</f>
        <v>0.0541323999696094</v>
      </c>
    </row>
    <row r="738">
      <c r="A738" s="320" t="n">
        <v>637</v>
      </c>
      <c r="B738" s="174" t="n">
        <v>21</v>
      </c>
      <c r="C738" s="174" t="n">
        <v>22</v>
      </c>
      <c r="D738" s="174" t="n">
        <v>36</v>
      </c>
      <c r="E738" s="174" t="n">
        <v>48</v>
      </c>
      <c r="F738" s="174" t="n">
        <v>17</v>
      </c>
      <c r="G738" s="68">
        <f>(1+INDEX($Z$21:$Z$97,B738))*(1+INDEX($Z$21:$Z$97,C738))*(1+INDEX($Z$21:$Z$97,D738))*(1+INDEX($Z$21:$Z$97,E738))*(1+INDEX($Z$21:$Z$97,F738))-1</f>
        <v>0.142087580886499</v>
      </c>
      <c r="H738" s="68">
        <f>(1+INDEX($AA$21:$AA$97,B738))*(1+INDEX($AA$21:$AA$97,C738))*(1+INDEX($AA$21:$AA$97,D738))*(1+INDEX($AA$21:$AA$97,E738))*(1+INDEX($AA$21:$AA$97,F738))-1</f>
        <v>0.14184304868302</v>
      </c>
      <c r="I738" s="68">
        <f>(1+INDEX($AB$21:$AB$97,B738))*(1+INDEX($AB$21:$AB$97,C738))*(1+INDEX($AB$21:$AB$97,D738))*(1+INDEX($AB$21:$AB$97,E738))*(1+INDEX($AB$21:$AB$97,F738))-1</f>
        <v>0.140836553246292</v>
      </c>
      <c r="J738" s="489">
        <f>LN((1+G738)/(1+H738))</f>
        <v>0.000214132777280662</v>
      </c>
      <c r="K738" s="489">
        <f>LN((1+I738)/(1+H738))</f>
        <v>-0.000881854379479627</v>
      </c>
      <c r="L738" s="489">
        <f>(1+INDEX($AC$21:$AC$97,B738))*(1+INDEX($AC$21:$AC$97,C738))*(1+INDEX($AC$21:$AC$97,D738))*(1+INDEX($AC$21:$AC$97,E738))*(1+INDEX($AC$21:$AC$97,F738))-1</f>
        <v>0.112656667600322</v>
      </c>
      <c r="M738" s="489">
        <f>(1+INDEX($AD$21:$AD$97,B738))*(1+INDEX($AD$21:$AD$97,C738))*(1+INDEX($AD$21:$AD$97,D738))*(1+INDEX($AD$21:$AD$97,E738))*(1+INDEX($AD$21:$AD$97,F738))-1</f>
        <v>0.15218209197947</v>
      </c>
      <c r="N738" s="489">
        <f>(1+INDEX($AE$21:$AE$97,B738))*(1+INDEX($AE$21:$AE$97,C738))*(1+INDEX($AE$21:$AE$97,D738))*(1+INDEX($AE$21:$AE$97,E738))*(1+INDEX($AE$21:$AE$97,F738))-1</f>
        <v>0.11905902905409</v>
      </c>
      <c r="O738" s="489">
        <f>(1+INDEX($AF$21:$AF$97,B738))*(1+INDEX($AF$21:$AF$97,C738))*(1+INDEX($AF$21:$AF$97,D738))*(1+INDEX($AF$21:$AF$97,E738))*(1+INDEX($AF$21:$AF$97,F738))-1</f>
        <v>0.142965316021883</v>
      </c>
      <c r="P738" s="489">
        <f>LN((1+L738)/(1+H738))</f>
        <v>-0.0258931163570771</v>
      </c>
      <c r="Q738" s="489">
        <f>LN((1+M738)/(1+H738))</f>
        <v>0.00901394942726271</v>
      </c>
      <c r="R738" s="489">
        <f>LN((1+N738)/(1+H738))</f>
        <v>-0.0201554867590259</v>
      </c>
      <c r="S738" s="542">
        <f>LN((1+O738)/(1+H738))</f>
        <v>0.000982373354766595</v>
      </c>
    </row>
    <row r="739">
      <c r="A739" s="320" t="n">
        <v>638</v>
      </c>
      <c r="B739" s="174" t="n">
        <v>55</v>
      </c>
      <c r="C739" s="174" t="n">
        <v>74</v>
      </c>
      <c r="D739" s="174" t="n">
        <v>73</v>
      </c>
      <c r="E739" s="174" t="n">
        <v>29</v>
      </c>
      <c r="F739" s="174" t="n">
        <v>56</v>
      </c>
      <c r="G739" s="68">
        <f>(1+INDEX($Z$21:$Z$97,B739))*(1+INDEX($Z$21:$Z$97,C739))*(1+INDEX($Z$21:$Z$97,D739))*(1+INDEX($Z$21:$Z$97,E739))*(1+INDEX($Z$21:$Z$97,F739))-1</f>
        <v>0.285896375265887</v>
      </c>
      <c r="H739" s="68">
        <f>(1+INDEX($AA$21:$AA$97,B739))*(1+INDEX($AA$21:$AA$97,C739))*(1+INDEX($AA$21:$AA$97,D739))*(1+INDEX($AA$21:$AA$97,E739))*(1+INDEX($AA$21:$AA$97,F739))-1</f>
        <v>0.310948747081396</v>
      </c>
      <c r="I739" s="68">
        <f>(1+INDEX($AB$21:$AB$97,B739))*(1+INDEX($AB$21:$AB$97,C739))*(1+INDEX($AB$21:$AB$97,D739))*(1+INDEX($AB$21:$AB$97,E739))*(1+INDEX($AB$21:$AB$97,F739))-1</f>
        <v>0.340079457154397</v>
      </c>
      <c r="J739" s="489">
        <f>LN((1+G739)/(1+H739))</f>
        <v>-0.0192950660353482</v>
      </c>
      <c r="K739" s="489">
        <f>LN((1+I739)/(1+H739))</f>
        <v>0.0219777990935851</v>
      </c>
      <c r="L739" s="489">
        <f>(1+INDEX($AC$21:$AC$97,B739))*(1+INDEX($AC$21:$AC$97,C739))*(1+INDEX($AC$21:$AC$97,D739))*(1+INDEX($AC$21:$AC$97,E739))*(1+INDEX($AC$21:$AC$97,F739))-1</f>
        <v>0.322006393079335</v>
      </c>
      <c r="M739" s="489">
        <f>(1+INDEX($AD$21:$AD$97,B739))*(1+INDEX($AD$21:$AD$97,C739))*(1+INDEX($AD$21:$AD$97,D739))*(1+INDEX($AD$21:$AD$97,E739))*(1+INDEX($AD$21:$AD$97,F739))-1</f>
        <v>0.353858763932616</v>
      </c>
      <c r="N739" s="489">
        <f>(1+INDEX($AE$21:$AE$97,B739))*(1+INDEX($AE$21:$AE$97,C739))*(1+INDEX($AE$21:$AE$97,D739))*(1+INDEX($AE$21:$AE$97,E739))*(1+INDEX($AE$21:$AE$97,F739))-1</f>
        <v>0.31284875646963</v>
      </c>
      <c r="O739" s="489">
        <f>(1+INDEX($AF$21:$AF$97,B739))*(1+INDEX($AF$21:$AF$97,C739))*(1+INDEX($AF$21:$AF$97,D739))*(1+INDEX($AF$21:$AF$97,E739))*(1+INDEX($AF$21:$AF$97,F739))-1</f>
        <v>0.361805504097471</v>
      </c>
      <c r="P739" s="489">
        <f>LN((1+L739)/(1+H739))</f>
        <v>0.00839946783742609</v>
      </c>
      <c r="Q739" s="489">
        <f>LN((1+M739)/(1+H739))</f>
        <v>0.0322077493124491</v>
      </c>
      <c r="R739" s="489">
        <f>LN((1+N739)/(1+H739))</f>
        <v>0.00144828990634783</v>
      </c>
      <c r="S739" s="542">
        <f>LN((1+O739)/(1+H739))</f>
        <v>0.0380602863444864</v>
      </c>
    </row>
    <row r="740">
      <c r="A740" s="320" t="n">
        <v>639</v>
      </c>
      <c r="B740" s="174" t="n">
        <v>17</v>
      </c>
      <c r="C740" s="174" t="n">
        <v>76</v>
      </c>
      <c r="D740" s="174" t="n">
        <v>38</v>
      </c>
      <c r="E740" s="174" t="n">
        <v>10</v>
      </c>
      <c r="F740" s="174" t="n">
        <v>1</v>
      </c>
      <c r="G740" s="68">
        <f>(1+INDEX($Z$21:$Z$97,B740))*(1+INDEX($Z$21:$Z$97,C740))*(1+INDEX($Z$21:$Z$97,D740))*(1+INDEX($Z$21:$Z$97,E740))*(1+INDEX($Z$21:$Z$97,F740))-1</f>
        <v>0.138691390498041</v>
      </c>
      <c r="H740" s="68">
        <f>(1+INDEX($AA$21:$AA$97,B740))*(1+INDEX($AA$21:$AA$97,C740))*(1+INDEX($AA$21:$AA$97,D740))*(1+INDEX($AA$21:$AA$97,E740))*(1+INDEX($AA$21:$AA$97,F740))-1</f>
        <v>0.110913051001808</v>
      </c>
      <c r="I740" s="68">
        <f>(1+INDEX($AB$21:$AB$97,B740))*(1+INDEX($AB$21:$AB$97,C740))*(1+INDEX($AB$21:$AB$97,D740))*(1+INDEX($AB$21:$AB$97,E740))*(1+INDEX($AB$21:$AB$97,F740))-1</f>
        <v>0.0873522583238342</v>
      </c>
      <c r="J740" s="489">
        <f>LN((1+G740)/(1+H740))</f>
        <v>0.0246974543188505</v>
      </c>
      <c r="K740" s="489">
        <f>LN((1+I740)/(1+H740))</f>
        <v>-0.0214366253335135</v>
      </c>
      <c r="L740" s="489">
        <f>(1+INDEX($AC$21:$AC$97,B740))*(1+INDEX($AC$21:$AC$97,C740))*(1+INDEX($AC$21:$AC$97,D740))*(1+INDEX($AC$21:$AC$97,E740))*(1+INDEX($AC$21:$AC$97,F740))-1</f>
        <v>0.0689379761233104</v>
      </c>
      <c r="M740" s="489">
        <f>(1+INDEX($AD$21:$AD$97,B740))*(1+INDEX($AD$21:$AD$97,C740))*(1+INDEX($AD$21:$AD$97,D740))*(1+INDEX($AD$21:$AD$97,E740))*(1+INDEX($AD$21:$AD$97,F740))-1</f>
        <v>0.117922285041534</v>
      </c>
      <c r="N740" s="489">
        <f>(1+INDEX($AE$21:$AE$97,B740))*(1+INDEX($AE$21:$AE$97,C740))*(1+INDEX($AE$21:$AE$97,D740))*(1+INDEX($AE$21:$AE$97,E740))*(1+INDEX($AE$21:$AE$97,F740))-1</f>
        <v>0.0703357030404803</v>
      </c>
      <c r="O740" s="489">
        <f>(1+INDEX($AF$21:$AF$97,B740))*(1+INDEX($AF$21:$AF$97,C740))*(1+INDEX($AF$21:$AF$97,D740))*(1+INDEX($AF$21:$AF$97,E740))*(1+INDEX($AF$21:$AF$97,F740))-1</f>
        <v>0.131933458021234</v>
      </c>
      <c r="P740" s="489">
        <f>LN((1+L740)/(1+H740))</f>
        <v>-0.0385166357752779</v>
      </c>
      <c r="Q740" s="489">
        <f>LN((1+M740)/(1+H740))</f>
        <v>0.00628961416128837</v>
      </c>
      <c r="R740" s="489">
        <f>LN((1+N740)/(1+H740))</f>
        <v>-0.0372099052436271</v>
      </c>
      <c r="S740" s="542">
        <f>LN((1+O740)/(1+H740))</f>
        <v>0.0187449497161645</v>
      </c>
    </row>
    <row r="741">
      <c r="A741" s="320" t="n">
        <v>640</v>
      </c>
      <c r="B741" s="174" t="n">
        <v>51</v>
      </c>
      <c r="C741" s="174" t="n">
        <v>76</v>
      </c>
      <c r="D741" s="174" t="n">
        <v>20</v>
      </c>
      <c r="E741" s="174" t="n">
        <v>44</v>
      </c>
      <c r="F741" s="174" t="n">
        <v>62</v>
      </c>
      <c r="G741" s="68">
        <f>(1+INDEX($Z$21:$Z$97,B741))*(1+INDEX($Z$21:$Z$97,C741))*(1+INDEX($Z$21:$Z$97,D741))*(1+INDEX($Z$21:$Z$97,E741))*(1+INDEX($Z$21:$Z$97,F741))-1</f>
        <v>0.169279842065843</v>
      </c>
      <c r="H741" s="68">
        <f>(1+INDEX($AA$21:$AA$97,B741))*(1+INDEX($AA$21:$AA$97,C741))*(1+INDEX($AA$21:$AA$97,D741))*(1+INDEX($AA$21:$AA$97,E741))*(1+INDEX($AA$21:$AA$97,F741))-1</f>
        <v>0.168288721782462</v>
      </c>
      <c r="I741" s="68">
        <f>(1+INDEX($AB$21:$AB$97,B741))*(1+INDEX($AB$21:$AB$97,C741))*(1+INDEX($AB$21:$AB$97,D741))*(1+INDEX($AB$21:$AB$97,E741))*(1+INDEX($AB$21:$AB$97,F741))-1</f>
        <v>0.181023832837765</v>
      </c>
      <c r="J741" s="489">
        <f>LN((1+G741)/(1+H741))</f>
        <v>0.000847992532156238</v>
      </c>
      <c r="K741" s="489">
        <f>LN((1+I741)/(1+H741))</f>
        <v>0.0108416700641613</v>
      </c>
      <c r="L741" s="489">
        <f>(1+INDEX($AC$21:$AC$97,B741))*(1+INDEX($AC$21:$AC$97,C741))*(1+INDEX($AC$21:$AC$97,D741))*(1+INDEX($AC$21:$AC$97,E741))*(1+INDEX($AC$21:$AC$97,F741))-1</f>
        <v>0.174262647665286</v>
      </c>
      <c r="M741" s="489">
        <f>(1+INDEX($AD$21:$AD$97,B741))*(1+INDEX($AD$21:$AD$97,C741))*(1+INDEX($AD$21:$AD$97,D741))*(1+INDEX($AD$21:$AD$97,E741))*(1+INDEX($AD$21:$AD$97,F741))-1</f>
        <v>0.164788333541985</v>
      </c>
      <c r="N741" s="489">
        <f>(1+INDEX($AE$21:$AE$97,B741))*(1+INDEX($AE$21:$AE$97,C741))*(1+INDEX($AE$21:$AE$97,D741))*(1+INDEX($AE$21:$AE$97,E741))*(1+INDEX($AE$21:$AE$97,F741))-1</f>
        <v>0.16270146999579</v>
      </c>
      <c r="O741" s="489">
        <f>(1+INDEX($AF$21:$AF$97,B741))*(1+INDEX($AF$21:$AF$97,C741))*(1+INDEX($AF$21:$AF$97,D741))*(1+INDEX($AF$21:$AF$97,E741))*(1+INDEX($AF$21:$AF$97,F741))-1</f>
        <v>0.153673587765979</v>
      </c>
      <c r="P741" s="489">
        <f>LN((1+L741)/(1+H741))</f>
        <v>0.00510036954671992</v>
      </c>
      <c r="Q741" s="489">
        <f>LN((1+M741)/(1+H741))</f>
        <v>-0.00300066460209107</v>
      </c>
      <c r="R741" s="489">
        <f>LN((1+N741)/(1+H741))</f>
        <v>-0.00479389617908566</v>
      </c>
      <c r="S741" s="542">
        <f>LN((1+O741)/(1+H741))</f>
        <v>-0.0125887719793212</v>
      </c>
    </row>
    <row r="742">
      <c r="A742" s="320" t="n">
        <v>641</v>
      </c>
      <c r="B742" s="174" t="n">
        <v>77</v>
      </c>
      <c r="C742" s="174" t="n">
        <v>25</v>
      </c>
      <c r="D742" s="174" t="n">
        <v>76</v>
      </c>
      <c r="E742" s="174" t="n">
        <v>56</v>
      </c>
      <c r="F742" s="174" t="n">
        <v>49</v>
      </c>
      <c r="G742" s="68">
        <f>(1+INDEX($Z$21:$Z$97,B742))*(1+INDEX($Z$21:$Z$97,C742))*(1+INDEX($Z$21:$Z$97,D742))*(1+INDEX($Z$21:$Z$97,E742))*(1+INDEX($Z$21:$Z$97,F742))-1</f>
        <v>0.454023664511064</v>
      </c>
      <c r="H742" s="68">
        <f>(1+INDEX($AA$21:$AA$97,B742))*(1+INDEX($AA$21:$AA$97,C742))*(1+INDEX($AA$21:$AA$97,D742))*(1+INDEX($AA$21:$AA$97,E742))*(1+INDEX($AA$21:$AA$97,F742))-1</f>
        <v>0.384611509063335</v>
      </c>
      <c r="I742" s="68">
        <f>(1+INDEX($AB$21:$AB$97,B742))*(1+INDEX($AB$21:$AB$97,C742))*(1+INDEX($AB$21:$AB$97,D742))*(1+INDEX($AB$21:$AB$97,E742))*(1+INDEX($AB$21:$AB$97,F742))-1</f>
        <v>0.448662068646966</v>
      </c>
      <c r="J742" s="489">
        <f>LN((1+G742)/(1+H742))</f>
        <v>0.0489150530126384</v>
      </c>
      <c r="K742" s="489">
        <f>LN((1+I742)/(1+H742))</f>
        <v>0.0452208177735345</v>
      </c>
      <c r="L742" s="489">
        <f>(1+INDEX($AC$21:$AC$97,B742))*(1+INDEX($AC$21:$AC$97,C742))*(1+INDEX($AC$21:$AC$97,D742))*(1+INDEX($AC$21:$AC$97,E742))*(1+INDEX($AC$21:$AC$97,F742))-1</f>
        <v>0.425289670742439</v>
      </c>
      <c r="M742" s="489">
        <f>(1+INDEX($AD$21:$AD$97,B742))*(1+INDEX($AD$21:$AD$97,C742))*(1+INDEX($AD$21:$AD$97,D742))*(1+INDEX($AD$21:$AD$97,E742))*(1+INDEX($AD$21:$AD$97,F742))-1</f>
        <v>0.449781379011663</v>
      </c>
      <c r="N742" s="489">
        <f>(1+INDEX($AE$21:$AE$97,B742))*(1+INDEX($AE$21:$AE$97,C742))*(1+INDEX($AE$21:$AE$97,D742))*(1+INDEX($AE$21:$AE$97,E742))*(1+INDEX($AE$21:$AE$97,F742))-1</f>
        <v>0.399254268256438</v>
      </c>
      <c r="O742" s="489">
        <f>(1+INDEX($AF$21:$AF$97,B742))*(1+INDEX($AF$21:$AF$97,C742))*(1+INDEX($AF$21:$AF$97,D742))*(1+INDEX($AF$21:$AF$97,E742))*(1+INDEX($AF$21:$AF$97,F742))-1</f>
        <v>0.43960326985317</v>
      </c>
      <c r="P742" s="489">
        <f>LN((1+L742)/(1+H742))</f>
        <v>0.0289554693555937</v>
      </c>
      <c r="Q742" s="489">
        <f>LN((1+M742)/(1+H742))</f>
        <v>0.0459931705487748</v>
      </c>
      <c r="R742" s="489">
        <f>LN((1+N742)/(1+H742))</f>
        <v>0.0105198277525178</v>
      </c>
      <c r="S742" s="542">
        <f>LN((1+O742)/(1+H742))</f>
        <v>0.0389479671615633</v>
      </c>
    </row>
    <row r="743">
      <c r="A743" s="320" t="n">
        <v>642</v>
      </c>
      <c r="B743" s="174" t="n">
        <v>66</v>
      </c>
      <c r="C743" s="174" t="n">
        <v>31</v>
      </c>
      <c r="D743" s="174" t="n">
        <v>32</v>
      </c>
      <c r="E743" s="174" t="n">
        <v>17</v>
      </c>
      <c r="F743" s="174" t="n">
        <v>62</v>
      </c>
      <c r="G743" s="68">
        <f>(1+INDEX($Z$21:$Z$97,B743))*(1+INDEX($Z$21:$Z$97,C743))*(1+INDEX($Z$21:$Z$97,D743))*(1+INDEX($Z$21:$Z$97,E743))*(1+INDEX($Z$21:$Z$97,F743))-1</f>
        <v>0.331017011676408</v>
      </c>
      <c r="H743" s="68">
        <f>(1+INDEX($AA$21:$AA$97,B743))*(1+INDEX($AA$21:$AA$97,C743))*(1+INDEX($AA$21:$AA$97,D743))*(1+INDEX($AA$21:$AA$97,E743))*(1+INDEX($AA$21:$AA$97,F743))-1</f>
        <v>0.330751108506731</v>
      </c>
      <c r="I743" s="68">
        <f>(1+INDEX($AB$21:$AB$97,B743))*(1+INDEX($AB$21:$AB$97,C743))*(1+INDEX($AB$21:$AB$97,D743))*(1+INDEX($AB$21:$AB$97,E743))*(1+INDEX($AB$21:$AB$97,F743))-1</f>
        <v>0.357718533198218</v>
      </c>
      <c r="J743" s="489">
        <f>LN((1+G743)/(1+H743))</f>
        <v>0.000199794391213446</v>
      </c>
      <c r="K743" s="489">
        <f>LN((1+I743)/(1+H743))</f>
        <v>0.0200622159035045</v>
      </c>
      <c r="L743" s="489">
        <f>(1+INDEX($AC$21:$AC$97,B743))*(1+INDEX($AC$21:$AC$97,C743))*(1+INDEX($AC$21:$AC$97,D743))*(1+INDEX($AC$21:$AC$97,E743))*(1+INDEX($AC$21:$AC$97,F743))-1</f>
        <v>0.353557493165061</v>
      </c>
      <c r="M743" s="489">
        <f>(1+INDEX($AD$21:$AD$97,B743))*(1+INDEX($AD$21:$AD$97,C743))*(1+INDEX($AD$21:$AD$97,D743))*(1+INDEX($AD$21:$AD$97,E743))*(1+INDEX($AD$21:$AD$97,F743))-1</f>
        <v>0.33886836166323</v>
      </c>
      <c r="N743" s="489">
        <f>(1+INDEX($AE$21:$AE$97,B743))*(1+INDEX($AE$21:$AE$97,C743))*(1+INDEX($AE$21:$AE$97,D743))*(1+INDEX($AE$21:$AE$97,E743))*(1+INDEX($AE$21:$AE$97,F743))-1</f>
        <v>0.364466027737753</v>
      </c>
      <c r="O743" s="489">
        <f>(1+INDEX($AF$21:$AF$97,B743))*(1+INDEX($AF$21:$AF$97,C743))*(1+INDEX($AF$21:$AF$97,D743))*(1+INDEX($AF$21:$AF$97,E743))*(1+INDEX($AF$21:$AF$97,F743))-1</f>
        <v>0.29585080755134</v>
      </c>
      <c r="P743" s="489">
        <f>LN((1+L743)/(1+H743))</f>
        <v>0.0169927805087971</v>
      </c>
      <c r="Q743" s="489">
        <f>LN((1+M743)/(1+H743))</f>
        <v>0.0060812248807223</v>
      </c>
      <c r="R743" s="489">
        <f>LN((1+N743)/(1+H743))</f>
        <v>0.0250196375678858</v>
      </c>
      <c r="S743" s="542">
        <f>LN((1+O743)/(1+H743))</f>
        <v>-0.0265760523909552</v>
      </c>
    </row>
    <row r="744">
      <c r="A744" s="320" t="n">
        <v>643</v>
      </c>
      <c r="B744" s="174" t="n">
        <v>4</v>
      </c>
      <c r="C744" s="174" t="n">
        <v>68</v>
      </c>
      <c r="D744" s="174" t="n">
        <v>39</v>
      </c>
      <c r="E744" s="174" t="n">
        <v>43</v>
      </c>
      <c r="F744" s="174" t="n">
        <v>37</v>
      </c>
      <c r="G744" s="68">
        <f>(1+INDEX($Z$21:$Z$97,B744))*(1+INDEX($Z$21:$Z$97,C744))*(1+INDEX($Z$21:$Z$97,D744))*(1+INDEX($Z$21:$Z$97,E744))*(1+INDEX($Z$21:$Z$97,F744))-1</f>
        <v>0.296876278381403</v>
      </c>
      <c r="H744" s="68">
        <f>(1+INDEX($AA$21:$AA$97,B744))*(1+INDEX($AA$21:$AA$97,C744))*(1+INDEX($AA$21:$AA$97,D744))*(1+INDEX($AA$21:$AA$97,E744))*(1+INDEX($AA$21:$AA$97,F744))-1</f>
        <v>0.273168878797092</v>
      </c>
      <c r="I744" s="68">
        <f>(1+INDEX($AB$21:$AB$97,B744))*(1+INDEX($AB$21:$AB$97,C744))*(1+INDEX($AB$21:$AB$97,D744))*(1+INDEX($AB$21:$AB$97,E744))*(1+INDEX($AB$21:$AB$97,F744))-1</f>
        <v>0.267152245612631</v>
      </c>
      <c r="J744" s="489">
        <f>LN((1+G744)/(1+H744))</f>
        <v>0.0184495373440345</v>
      </c>
      <c r="K744" s="489">
        <f>LN((1+I744)/(1+H744))</f>
        <v>-0.00473691642913488</v>
      </c>
      <c r="L744" s="489">
        <f>(1+INDEX($AC$21:$AC$97,B744))*(1+INDEX($AC$21:$AC$97,C744))*(1+INDEX($AC$21:$AC$97,D744))*(1+INDEX($AC$21:$AC$97,E744))*(1+INDEX($AC$21:$AC$97,F744))-1</f>
        <v>0.265755431531031</v>
      </c>
      <c r="M744" s="489">
        <f>(1+INDEX($AD$21:$AD$97,B744))*(1+INDEX($AD$21:$AD$97,C744))*(1+INDEX($AD$21:$AD$97,D744))*(1+INDEX($AD$21:$AD$97,E744))*(1+INDEX($AD$21:$AD$97,F744))-1</f>
        <v>0.281176553043865</v>
      </c>
      <c r="N744" s="489">
        <f>(1+INDEX($AE$21:$AE$97,B744))*(1+INDEX($AE$21:$AE$97,C744))*(1+INDEX($AE$21:$AE$97,D744))*(1+INDEX($AE$21:$AE$97,E744))*(1+INDEX($AE$21:$AE$97,F744))-1</f>
        <v>0.262743044989936</v>
      </c>
      <c r="O744" s="489">
        <f>(1+INDEX($AF$21:$AF$97,B744))*(1+INDEX($AF$21:$AF$97,C744))*(1+INDEX($AF$21:$AF$97,D744))*(1+INDEX($AF$21:$AF$97,E744))*(1+INDEX($AF$21:$AF$97,F744))-1</f>
        <v>0.304094797070455</v>
      </c>
      <c r="P744" s="489">
        <f>LN((1+L744)/(1+H744))</f>
        <v>-0.00583984981735232</v>
      </c>
      <c r="Q744" s="489">
        <f>LN((1+M744)/(1+H744))</f>
        <v>0.00626986497562025</v>
      </c>
      <c r="R744" s="489">
        <f>LN((1+N744)/(1+H744))</f>
        <v>-0.00822259830963018</v>
      </c>
      <c r="S744" s="542">
        <f>LN((1+O744)/(1+H744))</f>
        <v>0.0240001851697886</v>
      </c>
    </row>
    <row r="745">
      <c r="A745" s="320" t="n">
        <v>644</v>
      </c>
      <c r="B745" s="174" t="n">
        <v>76</v>
      </c>
      <c r="C745" s="174" t="n">
        <v>7</v>
      </c>
      <c r="D745" s="174" t="n">
        <v>63</v>
      </c>
      <c r="E745" s="174" t="n">
        <v>46</v>
      </c>
      <c r="F745" s="174" t="n">
        <v>63</v>
      </c>
      <c r="G745" s="68">
        <f>(1+INDEX($Z$21:$Z$97,B745))*(1+INDEX($Z$21:$Z$97,C745))*(1+INDEX($Z$21:$Z$97,D745))*(1+INDEX($Z$21:$Z$97,E745))*(1+INDEX($Z$21:$Z$97,F745))-1</f>
        <v>-0.139512855055843</v>
      </c>
      <c r="H745" s="68">
        <f>(1+INDEX($AA$21:$AA$97,B745))*(1+INDEX($AA$21:$AA$97,C745))*(1+INDEX($AA$21:$AA$97,D745))*(1+INDEX($AA$21:$AA$97,E745))*(1+INDEX($AA$21:$AA$97,F745))-1</f>
        <v>-0.112191869905359</v>
      </c>
      <c r="I745" s="68">
        <f>(1+INDEX($AB$21:$AB$97,B745))*(1+INDEX($AB$21:$AB$97,C745))*(1+INDEX($AB$21:$AB$97,D745))*(1+INDEX($AB$21:$AB$97,E745))*(1+INDEX($AB$21:$AB$97,F745))-1</f>
        <v>-0.106922105524925</v>
      </c>
      <c r="J745" s="489">
        <f>LN((1+G745)/(1+H745))</f>
        <v>-0.0312569734463556</v>
      </c>
      <c r="K745" s="489">
        <f>LN((1+I745)/(1+H745))</f>
        <v>0.00591815499549348</v>
      </c>
      <c r="L745" s="489">
        <f>(1+INDEX($AC$21:$AC$97,B745))*(1+INDEX($AC$21:$AC$97,C745))*(1+INDEX($AC$21:$AC$97,D745))*(1+INDEX($AC$21:$AC$97,E745))*(1+INDEX($AC$21:$AC$97,F745))-1</f>
        <v>-0.108408659937382</v>
      </c>
      <c r="M745" s="489">
        <f>(1+INDEX($AD$21:$AD$97,B745))*(1+INDEX($AD$21:$AD$97,C745))*(1+INDEX($AD$21:$AD$97,D745))*(1+INDEX($AD$21:$AD$97,E745))*(1+INDEX($AD$21:$AD$97,F745))-1</f>
        <v>-0.146261024316329</v>
      </c>
      <c r="N745" s="489">
        <f>(1+INDEX($AE$21:$AE$97,B745))*(1+INDEX($AE$21:$AE$97,C745))*(1+INDEX($AE$21:$AE$97,D745))*(1+INDEX($AE$21:$AE$97,E745))*(1+INDEX($AE$21:$AE$97,F745))-1</f>
        <v>-0.123129087204118</v>
      </c>
      <c r="O745" s="489">
        <f>(1+INDEX($AF$21:$AF$97,B745))*(1+INDEX($AF$21:$AF$97,C745))*(1+INDEX($AF$21:$AF$97,D745))*(1+INDEX($AF$21:$AF$97,E745))*(1+INDEX($AF$21:$AF$97,F745))-1</f>
        <v>-0.143770462471561</v>
      </c>
      <c r="P745" s="489">
        <f>LN((1+L745)/(1+H745))</f>
        <v>0.00425223872654184</v>
      </c>
      <c r="Q745" s="489">
        <f>LN((1+M745)/(1+H745))</f>
        <v>-0.039130151946489</v>
      </c>
      <c r="R745" s="489">
        <f>LN((1+N745)/(1+H745))</f>
        <v>-0.0123958601889863</v>
      </c>
      <c r="S745" s="542">
        <f>LN((1+O745)/(1+H745))</f>
        <v>-0.0362171584186315</v>
      </c>
    </row>
    <row r="746">
      <c r="A746" s="320" t="n">
        <v>645</v>
      </c>
      <c r="B746" s="174" t="n">
        <v>48</v>
      </c>
      <c r="C746" s="174" t="n">
        <v>57</v>
      </c>
      <c r="D746" s="174" t="n">
        <v>2</v>
      </c>
      <c r="E746" s="174" t="n">
        <v>65</v>
      </c>
      <c r="F746" s="174" t="n">
        <v>75</v>
      </c>
      <c r="G746" s="68">
        <f>(1+INDEX($Z$21:$Z$97,B746))*(1+INDEX($Z$21:$Z$97,C746))*(1+INDEX($Z$21:$Z$97,D746))*(1+INDEX($Z$21:$Z$97,E746))*(1+INDEX($Z$21:$Z$97,F746))-1</f>
        <v>0.523712418658442</v>
      </c>
      <c r="H746" s="68">
        <f>(1+INDEX($AA$21:$AA$97,B746))*(1+INDEX($AA$21:$AA$97,C746))*(1+INDEX($AA$21:$AA$97,D746))*(1+INDEX($AA$21:$AA$97,E746))*(1+INDEX($AA$21:$AA$97,F746))-1</f>
        <v>0.442461495653127</v>
      </c>
      <c r="I746" s="68">
        <f>(1+INDEX($AB$21:$AB$97,B746))*(1+INDEX($AB$21:$AB$97,C746))*(1+INDEX($AB$21:$AB$97,D746))*(1+INDEX($AB$21:$AB$97,E746))*(1+INDEX($AB$21:$AB$97,F746))-1</f>
        <v>0.500995099037576</v>
      </c>
      <c r="J746" s="489">
        <f>LN((1+G746)/(1+H746))</f>
        <v>0.0547987115346338</v>
      </c>
      <c r="K746" s="489">
        <f>LN((1+I746)/(1+H746))</f>
        <v>0.0397772612587344</v>
      </c>
      <c r="L746" s="489">
        <f>(1+INDEX($AC$21:$AC$97,B746))*(1+INDEX($AC$21:$AC$97,C746))*(1+INDEX($AC$21:$AC$97,D746))*(1+INDEX($AC$21:$AC$97,E746))*(1+INDEX($AC$21:$AC$97,F746))-1</f>
        <v>0.489150921583253</v>
      </c>
      <c r="M746" s="489">
        <f>(1+INDEX($AD$21:$AD$97,B746))*(1+INDEX($AD$21:$AD$97,C746))*(1+INDEX($AD$21:$AD$97,D746))*(1+INDEX($AD$21:$AD$97,E746))*(1+INDEX($AD$21:$AD$97,F746))-1</f>
        <v>0.491131756372639</v>
      </c>
      <c r="N746" s="489">
        <f>(1+INDEX($AE$21:$AE$97,B746))*(1+INDEX($AE$21:$AE$97,C746))*(1+INDEX($AE$21:$AE$97,D746))*(1+INDEX($AE$21:$AE$97,E746))*(1+INDEX($AE$21:$AE$97,F746))-1</f>
        <v>0.485549534192364</v>
      </c>
      <c r="O746" s="489">
        <f>(1+INDEX($AF$21:$AF$97,B746))*(1+INDEX($AF$21:$AF$97,C746))*(1+INDEX($AF$21:$AF$97,D746))*(1+INDEX($AF$21:$AF$97,E746))*(1+INDEX($AF$21:$AF$97,F746))-1</f>
        <v>0.475964625352636</v>
      </c>
      <c r="P746" s="489">
        <f>LN((1+L746)/(1+H746))</f>
        <v>0.0318550799882752</v>
      </c>
      <c r="Q746" s="489">
        <f>LN((1+M746)/(1+H746))</f>
        <v>0.0331843734111565</v>
      </c>
      <c r="R746" s="489">
        <f>LN((1+N746)/(1+H746))</f>
        <v>0.0294337342400344</v>
      </c>
      <c r="S746" s="542">
        <f>LN((1+O746)/(1+H746))</f>
        <v>0.0229607330720912</v>
      </c>
    </row>
    <row r="747">
      <c r="A747" s="320" t="n">
        <v>646</v>
      </c>
      <c r="B747" s="174" t="n">
        <v>51</v>
      </c>
      <c r="C747" s="174" t="n">
        <v>24</v>
      </c>
      <c r="D747" s="174" t="n">
        <v>55</v>
      </c>
      <c r="E747" s="174" t="n">
        <v>11</v>
      </c>
      <c r="F747" s="174" t="n">
        <v>39</v>
      </c>
      <c r="G747" s="68">
        <f>(1+INDEX($Z$21:$Z$97,B747))*(1+INDEX($Z$21:$Z$97,C747))*(1+INDEX($Z$21:$Z$97,D747))*(1+INDEX($Z$21:$Z$97,E747))*(1+INDEX($Z$21:$Z$97,F747))-1</f>
        <v>0.306232647141867</v>
      </c>
      <c r="H747" s="68">
        <f>(1+INDEX($AA$21:$AA$97,B747))*(1+INDEX($AA$21:$AA$97,C747))*(1+INDEX($AA$21:$AA$97,D747))*(1+INDEX($AA$21:$AA$97,E747))*(1+INDEX($AA$21:$AA$97,F747))-1</f>
        <v>0.243321304553957</v>
      </c>
      <c r="I747" s="68">
        <f>(1+INDEX($AB$21:$AB$97,B747))*(1+INDEX($AB$21:$AB$97,C747))*(1+INDEX($AB$21:$AB$97,D747))*(1+INDEX($AB$21:$AB$97,E747))*(1+INDEX($AB$21:$AB$97,F747))-1</f>
        <v>0.245818352403568</v>
      </c>
      <c r="J747" s="489">
        <f>LN((1+G747)/(1+H747))</f>
        <v>0.0493608818387166</v>
      </c>
      <c r="K747" s="489">
        <f>LN((1+I747)/(1+H747))</f>
        <v>0.00200635483049618</v>
      </c>
      <c r="L747" s="489">
        <f>(1+INDEX($AC$21:$AC$97,B747))*(1+INDEX($AC$21:$AC$97,C747))*(1+INDEX($AC$21:$AC$97,D747))*(1+INDEX($AC$21:$AC$97,E747))*(1+INDEX($AC$21:$AC$97,F747))-1</f>
        <v>0.223524941865928</v>
      </c>
      <c r="M747" s="489">
        <f>(1+INDEX($AD$21:$AD$97,B747))*(1+INDEX($AD$21:$AD$97,C747))*(1+INDEX($AD$21:$AD$97,D747))*(1+INDEX($AD$21:$AD$97,E747))*(1+INDEX($AD$21:$AD$97,F747))-1</f>
        <v>0.290778830201728</v>
      </c>
      <c r="N747" s="489">
        <f>(1+INDEX($AE$21:$AE$97,B747))*(1+INDEX($AE$21:$AE$97,C747))*(1+INDEX($AE$21:$AE$97,D747))*(1+INDEX($AE$21:$AE$97,E747))*(1+INDEX($AE$21:$AE$97,F747))-1</f>
        <v>0.209090717498801</v>
      </c>
      <c r="O747" s="489">
        <f>(1+INDEX($AF$21:$AF$97,B747))*(1+INDEX($AF$21:$AF$97,C747))*(1+INDEX($AF$21:$AF$97,D747))*(1+INDEX($AF$21:$AF$97,E747))*(1+INDEX($AF$21:$AF$97,F747))-1</f>
        <v>0.32813880460199</v>
      </c>
      <c r="P747" s="489">
        <f>LN((1+L747)/(1+H747))</f>
        <v>-0.0160502809576043</v>
      </c>
      <c r="Q747" s="489">
        <f>LN((1+M747)/(1+H747))</f>
        <v>0.0374595102163805</v>
      </c>
      <c r="R747" s="489">
        <f>LN((1+N747)/(1+H747))</f>
        <v>-0.0279176663496453</v>
      </c>
      <c r="S747" s="542">
        <f>LN((1+O747)/(1+H747))</f>
        <v>0.0659922968105572</v>
      </c>
    </row>
    <row r="748">
      <c r="A748" s="320" t="n">
        <v>647</v>
      </c>
      <c r="B748" s="174" t="n">
        <v>54</v>
      </c>
      <c r="C748" s="174" t="n">
        <v>12</v>
      </c>
      <c r="D748" s="174" t="n">
        <v>1</v>
      </c>
      <c r="E748" s="174" t="n">
        <v>20</v>
      </c>
      <c r="F748" s="174" t="n">
        <v>63</v>
      </c>
      <c r="G748" s="68">
        <f>(1+INDEX($Z$21:$Z$97,B748))*(1+INDEX($Z$21:$Z$97,C748))*(1+INDEX($Z$21:$Z$97,D748))*(1+INDEX($Z$21:$Z$97,E748))*(1+INDEX($Z$21:$Z$97,F748))-1</f>
        <v>0.124039106856339</v>
      </c>
      <c r="H748" s="68">
        <f>(1+INDEX($AA$21:$AA$97,B748))*(1+INDEX($AA$21:$AA$97,C748))*(1+INDEX($AA$21:$AA$97,D748))*(1+INDEX($AA$21:$AA$97,E748))*(1+INDEX($AA$21:$AA$97,F748))-1</f>
        <v>0.0816568290132891</v>
      </c>
      <c r="I748" s="68">
        <f>(1+INDEX($AB$21:$AB$97,B748))*(1+INDEX($AB$21:$AB$97,C748))*(1+INDEX($AB$21:$AB$97,D748))*(1+INDEX($AB$21:$AB$97,E748))*(1+INDEX($AB$21:$AB$97,F748))-1</f>
        <v>0.0670348171955137</v>
      </c>
      <c r="J748" s="489">
        <f>LN((1+G748)/(1+H748))</f>
        <v>0.0384345768994494</v>
      </c>
      <c r="K748" s="489">
        <f>LN((1+I748)/(1+H748))</f>
        <v>-0.0136103638327465</v>
      </c>
      <c r="L748" s="489">
        <f>(1+INDEX($AC$21:$AC$97,B748))*(1+INDEX($AC$21:$AC$97,C748))*(1+INDEX($AC$21:$AC$97,D748))*(1+INDEX($AC$21:$AC$97,E748))*(1+INDEX($AC$21:$AC$97,F748))-1</f>
        <v>0.0649094889825177</v>
      </c>
      <c r="M748" s="489">
        <f>(1+INDEX($AD$21:$AD$97,B748))*(1+INDEX($AD$21:$AD$97,C748))*(1+INDEX($AD$21:$AD$97,D748))*(1+INDEX($AD$21:$AD$97,E748))*(1+INDEX($AD$21:$AD$97,F748))-1</f>
        <v>0.0726173905128114</v>
      </c>
      <c r="N748" s="489">
        <f>(1+INDEX($AE$21:$AE$97,B748))*(1+INDEX($AE$21:$AE$97,C748))*(1+INDEX($AE$21:$AE$97,D748))*(1+INDEX($AE$21:$AE$97,E748))*(1+INDEX($AE$21:$AE$97,F748))-1</f>
        <v>0.0619477478563366</v>
      </c>
      <c r="O748" s="489">
        <f>(1+INDEX($AF$21:$AF$97,B748))*(1+INDEX($AF$21:$AF$97,C748))*(1+INDEX($AF$21:$AF$97,D748))*(1+INDEX($AF$21:$AF$97,E748))*(1+INDEX($AF$21:$AF$97,F748))-1</f>
        <v>0.094611032155751</v>
      </c>
      <c r="P748" s="489">
        <f>LN((1+L748)/(1+H748))</f>
        <v>-0.0156041578646919</v>
      </c>
      <c r="Q748" s="489">
        <f>LN((1+M748)/(1+H748))</f>
        <v>-0.00839214568974499</v>
      </c>
      <c r="R748" s="489">
        <f>LN((1+N748)/(1+H748))</f>
        <v>-0.0183892465761773</v>
      </c>
      <c r="S748" s="542">
        <f>LN((1+O748)/(1+H748))</f>
        <v>0.0119051118430782</v>
      </c>
    </row>
    <row r="749">
      <c r="A749" s="320" t="n">
        <v>648</v>
      </c>
      <c r="B749" s="174" t="n">
        <v>32</v>
      </c>
      <c r="C749" s="174" t="n">
        <v>15</v>
      </c>
      <c r="D749" s="174" t="n">
        <v>16</v>
      </c>
      <c r="E749" s="174" t="n">
        <v>2</v>
      </c>
      <c r="F749" s="174" t="n">
        <v>3</v>
      </c>
      <c r="G749" s="68">
        <f>(1+INDEX($Z$21:$Z$97,B749))*(1+INDEX($Z$21:$Z$97,C749))*(1+INDEX($Z$21:$Z$97,D749))*(1+INDEX($Z$21:$Z$97,E749))*(1+INDEX($Z$21:$Z$97,F749))-1</f>
        <v>0.545398040793732</v>
      </c>
      <c r="H749" s="68">
        <f>(1+INDEX($AA$21:$AA$97,B749))*(1+INDEX($AA$21:$AA$97,C749))*(1+INDEX($AA$21:$AA$97,D749))*(1+INDEX($AA$21:$AA$97,E749))*(1+INDEX($AA$21:$AA$97,F749))-1</f>
        <v>0.431078850175717</v>
      </c>
      <c r="I749" s="68">
        <f>(1+INDEX($AB$21:$AB$97,B749))*(1+INDEX($AB$21:$AB$97,C749))*(1+INDEX($AB$21:$AB$97,D749))*(1+INDEX($AB$21:$AB$97,E749))*(1+INDEX($AB$21:$AB$97,F749))-1</f>
        <v>0.455493063046397</v>
      </c>
      <c r="J749" s="489">
        <f>LN((1+G749)/(1+H749))</f>
        <v>0.0768529082432746</v>
      </c>
      <c r="K749" s="489">
        <f>LN((1+I749)/(1+H749))</f>
        <v>0.0169161176574657</v>
      </c>
      <c r="L749" s="489">
        <f>(1+INDEX($AC$21:$AC$97,B749))*(1+INDEX($AC$21:$AC$97,C749))*(1+INDEX($AC$21:$AC$97,D749))*(1+INDEX($AC$21:$AC$97,E749))*(1+INDEX($AC$21:$AC$97,F749))-1</f>
        <v>0.430015166994518</v>
      </c>
      <c r="M749" s="489">
        <f>(1+INDEX($AD$21:$AD$97,B749))*(1+INDEX($AD$21:$AD$97,C749))*(1+INDEX($AD$21:$AD$97,D749))*(1+INDEX($AD$21:$AD$97,E749))*(1+INDEX($AD$21:$AD$97,F749))-1</f>
        <v>0.484454184919777</v>
      </c>
      <c r="N749" s="489">
        <f>(1+INDEX($AE$21:$AE$97,B749))*(1+INDEX($AE$21:$AE$97,C749))*(1+INDEX($AE$21:$AE$97,D749))*(1+INDEX($AE$21:$AE$97,E749))*(1+INDEX($AE$21:$AE$97,F749))-1</f>
        <v>0.422972326174192</v>
      </c>
      <c r="O749" s="489">
        <f>(1+INDEX($AF$21:$AF$97,B749))*(1+INDEX($AF$21:$AF$97,C749))*(1+INDEX($AF$21:$AF$97,D749))*(1+INDEX($AF$21:$AF$97,E749))*(1+INDEX($AF$21:$AF$97,F749))-1</f>
        <v>0.456179544590232</v>
      </c>
      <c r="P749" s="489">
        <f>LN((1+L749)/(1+H749))</f>
        <v>-0.00074355000137835</v>
      </c>
      <c r="Q749" s="489">
        <f>LN((1+M749)/(1+H749))</f>
        <v>0.0366185519413857</v>
      </c>
      <c r="R749" s="489">
        <f>LN((1+N749)/(1+H749))</f>
        <v>-0.00568072911161781</v>
      </c>
      <c r="S749" s="542">
        <f>LN((1+O749)/(1+H749))</f>
        <v>0.0173876552573695</v>
      </c>
    </row>
    <row r="750">
      <c r="A750" s="320" t="n">
        <v>649</v>
      </c>
      <c r="B750" s="174" t="n">
        <v>34</v>
      </c>
      <c r="C750" s="174" t="n">
        <v>23</v>
      </c>
      <c r="D750" s="174" t="n">
        <v>58</v>
      </c>
      <c r="E750" s="174" t="n">
        <v>5</v>
      </c>
      <c r="F750" s="174" t="n">
        <v>3</v>
      </c>
      <c r="G750" s="68">
        <f>(1+INDEX($Z$21:$Z$97,B750))*(1+INDEX($Z$21:$Z$97,C750))*(1+INDEX($Z$21:$Z$97,D750))*(1+INDEX($Z$21:$Z$97,E750))*(1+INDEX($Z$21:$Z$97,F750))-1</f>
        <v>0.574399947106066</v>
      </c>
      <c r="H750" s="68">
        <f>(1+INDEX($AA$21:$AA$97,B750))*(1+INDEX($AA$21:$AA$97,C750))*(1+INDEX($AA$21:$AA$97,D750))*(1+INDEX($AA$21:$AA$97,E750))*(1+INDEX($AA$21:$AA$97,F750))-1</f>
        <v>0.566677040826913</v>
      </c>
      <c r="I750" s="68">
        <f>(1+INDEX($AB$21:$AB$97,B750))*(1+INDEX($AB$21:$AB$97,C750))*(1+INDEX($AB$21:$AB$97,D750))*(1+INDEX($AB$21:$AB$97,E750))*(1+INDEX($AB$21:$AB$97,F750))-1</f>
        <v>0.571007822879655</v>
      </c>
      <c r="J750" s="489">
        <f>LN((1+G750)/(1+H750))</f>
        <v>0.00491737188921102</v>
      </c>
      <c r="K750" s="489">
        <f>LN((1+I750)/(1+H750))</f>
        <v>0.00276049698489876</v>
      </c>
      <c r="L750" s="489">
        <f>(1+INDEX($AC$21:$AC$97,B750))*(1+INDEX($AC$21:$AC$97,C750))*(1+INDEX($AC$21:$AC$97,D750))*(1+INDEX($AC$21:$AC$97,E750))*(1+INDEX($AC$21:$AC$97,F750))-1</f>
        <v>0.596715415348572</v>
      </c>
      <c r="M750" s="489">
        <f>(1+INDEX($AD$21:$AD$97,B750))*(1+INDEX($AD$21:$AD$97,C750))*(1+INDEX($AD$21:$AD$97,D750))*(1+INDEX($AD$21:$AD$97,E750))*(1+INDEX($AD$21:$AD$97,F750))-1</f>
        <v>0.558166714020262</v>
      </c>
      <c r="N750" s="489">
        <f>(1+INDEX($AE$21:$AE$97,B750))*(1+INDEX($AE$21:$AE$97,C750))*(1+INDEX($AE$21:$AE$97,D750))*(1+INDEX($AE$21:$AE$97,E750))*(1+INDEX($AE$21:$AE$97,F750))-1</f>
        <v>0.577057166538171</v>
      </c>
      <c r="O750" s="489">
        <f>(1+INDEX($AF$21:$AF$97,B750))*(1+INDEX($AF$21:$AF$97,C750))*(1+INDEX($AF$21:$AF$97,D750))*(1+INDEX($AF$21:$AF$97,E750))*(1+INDEX($AF$21:$AF$97,F750))-1</f>
        <v>0.529971486869144</v>
      </c>
      <c r="P750" s="489">
        <f>LN((1+L750)/(1+H750))</f>
        <v>0.0189918119917973</v>
      </c>
      <c r="Q750" s="489">
        <f>LN((1+M750)/(1+H750))</f>
        <v>-0.00544689495868407</v>
      </c>
      <c r="R750" s="489">
        <f>LN((1+N750)/(1+H750))</f>
        <v>0.00660371567622173</v>
      </c>
      <c r="S750" s="542">
        <f>LN((1+O750)/(1+H750))</f>
        <v>-0.0237077426329398</v>
      </c>
    </row>
    <row r="751">
      <c r="A751" s="320" t="n">
        <v>650</v>
      </c>
      <c r="B751" s="174" t="n">
        <v>47</v>
      </c>
      <c r="C751" s="174" t="n">
        <v>35</v>
      </c>
      <c r="D751" s="174" t="n">
        <v>74</v>
      </c>
      <c r="E751" s="174" t="n">
        <v>14</v>
      </c>
      <c r="F751" s="174" t="n">
        <v>18</v>
      </c>
      <c r="G751" s="68">
        <f>(1+INDEX($Z$21:$Z$97,B751))*(1+INDEX($Z$21:$Z$97,C751))*(1+INDEX($Z$21:$Z$97,D751))*(1+INDEX($Z$21:$Z$97,E751))*(1+INDEX($Z$21:$Z$97,F751))-1</f>
        <v>0.620551065118131</v>
      </c>
      <c r="H751" s="68">
        <f>(1+INDEX($AA$21:$AA$97,B751))*(1+INDEX($AA$21:$AA$97,C751))*(1+INDEX($AA$21:$AA$97,D751))*(1+INDEX($AA$21:$AA$97,E751))*(1+INDEX($AA$21:$AA$97,F751))-1</f>
        <v>0.548442182885268</v>
      </c>
      <c r="I751" s="68">
        <f>(1+INDEX($AB$21:$AB$97,B751))*(1+INDEX($AB$21:$AB$97,C751))*(1+INDEX($AB$21:$AB$97,D751))*(1+INDEX($AB$21:$AB$97,E751))*(1+INDEX($AB$21:$AB$97,F751))-1</f>
        <v>0.604884407812963</v>
      </c>
      <c r="J751" s="489">
        <f>LN((1+G751)/(1+H751))</f>
        <v>0.0455168728182676</v>
      </c>
      <c r="K751" s="489">
        <f>LN((1+I751)/(1+H751))</f>
        <v>0.0358023516975284</v>
      </c>
      <c r="L751" s="489">
        <f>(1+INDEX($AC$21:$AC$97,B751))*(1+INDEX($AC$21:$AC$97,C751))*(1+INDEX($AC$21:$AC$97,D751))*(1+INDEX($AC$21:$AC$97,E751))*(1+INDEX($AC$21:$AC$97,F751))-1</f>
        <v>0.58792327698205</v>
      </c>
      <c r="M751" s="489">
        <f>(1+INDEX($AD$21:$AD$97,B751))*(1+INDEX($AD$21:$AD$97,C751))*(1+INDEX($AD$21:$AD$97,D751))*(1+INDEX($AD$21:$AD$97,E751))*(1+INDEX($AD$21:$AD$97,F751))-1</f>
        <v>0.603130430619499</v>
      </c>
      <c r="N751" s="489">
        <f>(1+INDEX($AE$21:$AE$97,B751))*(1+INDEX($AE$21:$AE$97,C751))*(1+INDEX($AE$21:$AE$97,D751))*(1+INDEX($AE$21:$AE$97,E751))*(1+INDEX($AE$21:$AE$97,F751))-1</f>
        <v>0.592314456123933</v>
      </c>
      <c r="O751" s="489">
        <f>(1+INDEX($AF$21:$AF$97,B751))*(1+INDEX($AF$21:$AF$97,C751))*(1+INDEX($AF$21:$AF$97,D751))*(1+INDEX($AF$21:$AF$97,E751))*(1+INDEX($AF$21:$AF$97,F751))-1</f>
        <v>0.536984438068226</v>
      </c>
      <c r="P751" s="489">
        <f>LN((1+L751)/(1+H751))</f>
        <v>0.0251776651780786</v>
      </c>
      <c r="Q751" s="489">
        <f>LN((1+M751)/(1+H751))</f>
        <v>0.0347088546555412</v>
      </c>
      <c r="R751" s="489">
        <f>LN((1+N751)/(1+H751))</f>
        <v>0.0279392083714123</v>
      </c>
      <c r="S751" s="542">
        <f>LN((1+O751)/(1+H751))</f>
        <v>-0.00742704260573501</v>
      </c>
    </row>
    <row r="752">
      <c r="A752" s="320" t="n">
        <v>651</v>
      </c>
      <c r="B752" s="174" t="n">
        <v>57</v>
      </c>
      <c r="C752" s="174" t="n">
        <v>34</v>
      </c>
      <c r="D752" s="174" t="n">
        <v>8</v>
      </c>
      <c r="E752" s="174" t="n">
        <v>59</v>
      </c>
      <c r="F752" s="174" t="n">
        <v>72</v>
      </c>
      <c r="G752" s="68">
        <f>(1+INDEX($Z$21:$Z$97,B752))*(1+INDEX($Z$21:$Z$97,C752))*(1+INDEX($Z$21:$Z$97,D752))*(1+INDEX($Z$21:$Z$97,E752))*(1+INDEX($Z$21:$Z$97,F752))-1</f>
        <v>0.494684955434965</v>
      </c>
      <c r="H752" s="68">
        <f>(1+INDEX($AA$21:$AA$97,B752))*(1+INDEX($AA$21:$AA$97,C752))*(1+INDEX($AA$21:$AA$97,D752))*(1+INDEX($AA$21:$AA$97,E752))*(1+INDEX($AA$21:$AA$97,F752))-1</f>
        <v>0.529893673222634</v>
      </c>
      <c r="I752" s="68">
        <f>(1+INDEX($AB$21:$AB$97,B752))*(1+INDEX($AB$21:$AB$97,C752))*(1+INDEX($AB$21:$AB$97,D752))*(1+INDEX($AB$21:$AB$97,E752))*(1+INDEX($AB$21:$AB$97,F752))-1</f>
        <v>0.549986097375544</v>
      </c>
      <c r="J752" s="489">
        <f>LN((1+G752)/(1+H752))</f>
        <v>-0.0232827858787664</v>
      </c>
      <c r="K752" s="489">
        <f>LN((1+I752)/(1+H752))</f>
        <v>0.0130477230920457</v>
      </c>
      <c r="L752" s="489">
        <f>(1+INDEX($AC$21:$AC$97,B752))*(1+INDEX($AC$21:$AC$97,C752))*(1+INDEX($AC$21:$AC$97,D752))*(1+INDEX($AC$21:$AC$97,E752))*(1+INDEX($AC$21:$AC$97,F752))-1</f>
        <v>0.560165330639808</v>
      </c>
      <c r="M752" s="489">
        <f>(1+INDEX($AD$21:$AD$97,B752))*(1+INDEX($AD$21:$AD$97,C752))*(1+INDEX($AD$21:$AD$97,D752))*(1+INDEX($AD$21:$AD$97,E752))*(1+INDEX($AD$21:$AD$97,F752))-1</f>
        <v>0.535643583911944</v>
      </c>
      <c r="N752" s="489">
        <f>(1+INDEX($AE$21:$AE$97,B752))*(1+INDEX($AE$21:$AE$97,C752))*(1+INDEX($AE$21:$AE$97,D752))*(1+INDEX($AE$21:$AE$97,E752))*(1+INDEX($AE$21:$AE$97,F752))-1</f>
        <v>0.565641905117064</v>
      </c>
      <c r="O752" s="489">
        <f>(1+INDEX($AF$21:$AF$97,B752))*(1+INDEX($AF$21:$AF$97,C752))*(1+INDEX($AF$21:$AF$97,D752))*(1+INDEX($AF$21:$AF$97,E752))*(1+INDEX($AF$21:$AF$97,F752))-1</f>
        <v>0.509748713145236</v>
      </c>
      <c r="P752" s="489">
        <f>LN((1+L752)/(1+H752))</f>
        <v>0.0195935584614497</v>
      </c>
      <c r="Q752" s="489">
        <f>LN((1+M752)/(1+H752))</f>
        <v>0.00375132771188801</v>
      </c>
      <c r="R752" s="489">
        <f>LN((1+N752)/(1+H752))</f>
        <v>0.0230976645486083</v>
      </c>
      <c r="S752" s="542">
        <f>LN((1+O752)/(1+H752))</f>
        <v>-0.0132550165210591</v>
      </c>
    </row>
    <row r="753">
      <c r="A753" s="320" t="n">
        <v>652</v>
      </c>
      <c r="B753" s="174" t="n">
        <v>39</v>
      </c>
      <c r="C753" s="174" t="n">
        <v>38</v>
      </c>
      <c r="D753" s="174" t="n">
        <v>75</v>
      </c>
      <c r="E753" s="174" t="n">
        <v>24</v>
      </c>
      <c r="F753" s="174" t="n">
        <v>63</v>
      </c>
      <c r="G753" s="68">
        <f>(1+INDEX($Z$21:$Z$97,B753))*(1+INDEX($Z$21:$Z$97,C753))*(1+INDEX($Z$21:$Z$97,D753))*(1+INDEX($Z$21:$Z$97,E753))*(1+INDEX($Z$21:$Z$97,F753))-1</f>
        <v>0.306104277334442</v>
      </c>
      <c r="H753" s="68">
        <f>(1+INDEX($AA$21:$AA$97,B753))*(1+INDEX($AA$21:$AA$97,C753))*(1+INDEX($AA$21:$AA$97,D753))*(1+INDEX($AA$21:$AA$97,E753))*(1+INDEX($AA$21:$AA$97,F753))-1</f>
        <v>0.242370309531409</v>
      </c>
      <c r="I753" s="68">
        <f>(1+INDEX($AB$21:$AB$97,B753))*(1+INDEX($AB$21:$AB$97,C753))*(1+INDEX($AB$21:$AB$97,D753))*(1+INDEX($AB$21:$AB$97,E753))*(1+INDEX($AB$21:$AB$97,F753))-1</f>
        <v>0.286808639615292</v>
      </c>
      <c r="J753" s="489">
        <f>LN((1+G753)/(1+H753))</f>
        <v>0.0500277775923819</v>
      </c>
      <c r="K753" s="489">
        <f>LN((1+I753)/(1+H753))</f>
        <v>0.0351441354972888</v>
      </c>
      <c r="L753" s="489">
        <f>(1+INDEX($AC$21:$AC$97,B753))*(1+INDEX($AC$21:$AC$97,C753))*(1+INDEX($AC$21:$AC$97,D753))*(1+INDEX($AC$21:$AC$97,E753))*(1+INDEX($AC$21:$AC$97,F753))-1</f>
        <v>0.274418030850958</v>
      </c>
      <c r="M753" s="489">
        <f>(1+INDEX($AD$21:$AD$97,B753))*(1+INDEX($AD$21:$AD$97,C753))*(1+INDEX($AD$21:$AD$97,D753))*(1+INDEX($AD$21:$AD$97,E753))*(1+INDEX($AD$21:$AD$97,F753))-1</f>
        <v>0.27751619173706</v>
      </c>
      <c r="N753" s="489">
        <f>(1+INDEX($AE$21:$AE$97,B753))*(1+INDEX($AE$21:$AE$97,C753))*(1+INDEX($AE$21:$AE$97,D753))*(1+INDEX($AE$21:$AE$97,E753))*(1+INDEX($AE$21:$AE$97,F753))-1</f>
        <v>0.259996953629396</v>
      </c>
      <c r="O753" s="489">
        <f>(1+INDEX($AF$21:$AF$97,B753))*(1+INDEX($AF$21:$AF$97,C753))*(1+INDEX($AF$21:$AF$97,D753))*(1+INDEX($AF$21:$AF$97,E753))*(1+INDEX($AF$21:$AF$97,F753))-1</f>
        <v>0.250396517286325</v>
      </c>
      <c r="P753" s="489">
        <f>LN((1+L753)/(1+H753))</f>
        <v>0.0254685331215565</v>
      </c>
      <c r="Q753" s="489">
        <f>LN((1+M753)/(1+H753))</f>
        <v>0.0278966226708958</v>
      </c>
      <c r="R753" s="489">
        <f>LN((1+N753)/(1+H753))</f>
        <v>0.0140882083119534</v>
      </c>
      <c r="S753" s="542">
        <f>LN((1+O753)/(1+H753))</f>
        <v>0.00643961994753677</v>
      </c>
    </row>
    <row r="754">
      <c r="A754" s="320" t="n">
        <v>653</v>
      </c>
      <c r="B754" s="174" t="n">
        <v>28</v>
      </c>
      <c r="C754" s="174" t="n">
        <v>25</v>
      </c>
      <c r="D754" s="174" t="n">
        <v>9</v>
      </c>
      <c r="E754" s="174" t="n">
        <v>18</v>
      </c>
      <c r="F754" s="174" t="n">
        <v>20</v>
      </c>
      <c r="G754" s="68">
        <f>(1+INDEX($Z$21:$Z$97,B754))*(1+INDEX($Z$21:$Z$97,C754))*(1+INDEX($Z$21:$Z$97,D754))*(1+INDEX($Z$21:$Z$97,E754))*(1+INDEX($Z$21:$Z$97,F754))-1</f>
        <v>0.163478656588016</v>
      </c>
      <c r="H754" s="68">
        <f>(1+INDEX($AA$21:$AA$97,B754))*(1+INDEX($AA$21:$AA$97,C754))*(1+INDEX($AA$21:$AA$97,D754))*(1+INDEX($AA$21:$AA$97,E754))*(1+INDEX($AA$21:$AA$97,F754))-1</f>
        <v>0.167680476283262</v>
      </c>
      <c r="I754" s="68">
        <f>(1+INDEX($AB$21:$AB$97,B754))*(1+INDEX($AB$21:$AB$97,C754))*(1+INDEX($AB$21:$AB$97,D754))*(1+INDEX($AB$21:$AB$97,E754))*(1+INDEX($AB$21:$AB$97,F754))-1</f>
        <v>0.148249065915036</v>
      </c>
      <c r="J754" s="489">
        <f>LN((1+G754)/(1+H754))</f>
        <v>-0.003604922706803</v>
      </c>
      <c r="K754" s="489">
        <f>LN((1+I754)/(1+H754))</f>
        <v>-0.0167810514166516</v>
      </c>
      <c r="L754" s="489">
        <f>(1+INDEX($AC$21:$AC$97,B754))*(1+INDEX($AC$21:$AC$97,C754))*(1+INDEX($AC$21:$AC$97,D754))*(1+INDEX($AC$21:$AC$97,E754))*(1+INDEX($AC$21:$AC$97,F754))-1</f>
        <v>0.11941709159154</v>
      </c>
      <c r="M754" s="489">
        <f>(1+INDEX($AD$21:$AD$97,B754))*(1+INDEX($AD$21:$AD$97,C754))*(1+INDEX($AD$21:$AD$97,D754))*(1+INDEX($AD$21:$AD$97,E754))*(1+INDEX($AD$21:$AD$97,F754))-1</f>
        <v>0.166606342539077</v>
      </c>
      <c r="N754" s="489">
        <f>(1+INDEX($AE$21:$AE$97,B754))*(1+INDEX($AE$21:$AE$97,C754))*(1+INDEX($AE$21:$AE$97,D754))*(1+INDEX($AE$21:$AE$97,E754))*(1+INDEX($AE$21:$AE$97,F754))-1</f>
        <v>0.131088332262238</v>
      </c>
      <c r="O754" s="489">
        <f>(1+INDEX($AF$21:$AF$97,B754))*(1+INDEX($AF$21:$AF$97,C754))*(1+INDEX($AF$21:$AF$97,D754))*(1+INDEX($AF$21:$AF$97,E754))*(1+INDEX($AF$21:$AF$97,F754))-1</f>
        <v>0.232300862846443</v>
      </c>
      <c r="P754" s="489">
        <f>LN((1+L754)/(1+H754))</f>
        <v>-0.0422111862666602</v>
      </c>
      <c r="Q754" s="489">
        <f>LN((1+M754)/(1+H754))</f>
        <v>-0.000920310059018982</v>
      </c>
      <c r="R754" s="489">
        <f>LN((1+N754)/(1+H754))</f>
        <v>-0.031838987042502</v>
      </c>
      <c r="S754" s="542">
        <f>LN((1+O754)/(1+H754))</f>
        <v>0.053863759999188</v>
      </c>
    </row>
    <row r="755">
      <c r="A755" s="320" t="n">
        <v>654</v>
      </c>
      <c r="B755" s="174" t="n">
        <v>11</v>
      </c>
      <c r="C755" s="174" t="n">
        <v>68</v>
      </c>
      <c r="D755" s="174" t="n">
        <v>53</v>
      </c>
      <c r="E755" s="174" t="n">
        <v>9</v>
      </c>
      <c r="F755" s="174" t="n">
        <v>43</v>
      </c>
      <c r="G755" s="68">
        <f>(1+INDEX($Z$21:$Z$97,B755))*(1+INDEX($Z$21:$Z$97,C755))*(1+INDEX($Z$21:$Z$97,D755))*(1+INDEX($Z$21:$Z$97,E755))*(1+INDEX($Z$21:$Z$97,F755))-1</f>
        <v>-0.0701025627040377</v>
      </c>
      <c r="H755" s="68">
        <f>(1+INDEX($AA$21:$AA$97,B755))*(1+INDEX($AA$21:$AA$97,C755))*(1+INDEX($AA$21:$AA$97,D755))*(1+INDEX($AA$21:$AA$97,E755))*(1+INDEX($AA$21:$AA$97,F755))-1</f>
        <v>-0.0123413554085131</v>
      </c>
      <c r="I755" s="68">
        <f>(1+INDEX($AB$21:$AB$97,B755))*(1+INDEX($AB$21:$AB$97,C755))*(1+INDEX($AB$21:$AB$97,D755))*(1+INDEX($AB$21:$AB$97,E755))*(1+INDEX($AB$21:$AB$97,F755))-1</f>
        <v>-0.0626146112863841</v>
      </c>
      <c r="J755" s="489">
        <f>LN((1+G755)/(1+H755))</f>
        <v>-0.0602628390345964</v>
      </c>
      <c r="K755" s="489">
        <f>LN((1+I755)/(1+H755))</f>
        <v>-0.052242638290512</v>
      </c>
      <c r="L755" s="489">
        <f>(1+INDEX($AC$21:$AC$97,B755))*(1+INDEX($AC$21:$AC$97,C755))*(1+INDEX($AC$21:$AC$97,D755))*(1+INDEX($AC$21:$AC$97,E755))*(1+INDEX($AC$21:$AC$97,F755))-1</f>
        <v>-0.0726921338636933</v>
      </c>
      <c r="M755" s="489">
        <f>(1+INDEX($AD$21:$AD$97,B755))*(1+INDEX($AD$21:$AD$97,C755))*(1+INDEX($AD$21:$AD$97,D755))*(1+INDEX($AD$21:$AD$97,E755))*(1+INDEX($AD$21:$AD$97,F755))-1</f>
        <v>-0.022098772840061</v>
      </c>
      <c r="N755" s="489">
        <f>(1+INDEX($AE$21:$AE$97,B755))*(1+INDEX($AE$21:$AE$97,C755))*(1+INDEX($AE$21:$AE$97,D755))*(1+INDEX($AE$21:$AE$97,E755))*(1+INDEX($AE$21:$AE$97,F755))-1</f>
        <v>-0.0742434828778332</v>
      </c>
      <c r="O755" s="489">
        <f>(1+INDEX($AF$21:$AF$97,B755))*(1+INDEX($AF$21:$AF$97,C755))*(1+INDEX($AF$21:$AF$97,D755))*(1+INDEX($AF$21:$AF$97,E755))*(1+INDEX($AF$21:$AF$97,F755))-1</f>
        <v>0.0514378283339596</v>
      </c>
      <c r="P755" s="489">
        <f>LN((1+L755)/(1+H755))</f>
        <v>-0.0630515160139987</v>
      </c>
      <c r="Q755" s="489">
        <f>LN((1+M755)/(1+H755))</f>
        <v>-0.00992846641236048</v>
      </c>
      <c r="R755" s="489">
        <f>LN((1+N755)/(1+H755))</f>
        <v>-0.0647258770244282</v>
      </c>
      <c r="S755" s="542">
        <f>LN((1+O755)/(1+H755))</f>
        <v>0.0625767301279465</v>
      </c>
    </row>
    <row r="756">
      <c r="A756" s="320" t="n">
        <v>655</v>
      </c>
      <c r="B756" s="174" t="n">
        <v>25</v>
      </c>
      <c r="C756" s="174" t="n">
        <v>31</v>
      </c>
      <c r="D756" s="174" t="n">
        <v>12</v>
      </c>
      <c r="E756" s="174" t="n">
        <v>38</v>
      </c>
      <c r="F756" s="174" t="n">
        <v>7</v>
      </c>
      <c r="G756" s="68">
        <f>(1+INDEX($Z$21:$Z$97,B756))*(1+INDEX($Z$21:$Z$97,C756))*(1+INDEX($Z$21:$Z$97,D756))*(1+INDEX($Z$21:$Z$97,E756))*(1+INDEX($Z$21:$Z$97,F756))-1</f>
        <v>0.327983291161543</v>
      </c>
      <c r="H756" s="68">
        <f>(1+INDEX($AA$21:$AA$97,B756))*(1+INDEX($AA$21:$AA$97,C756))*(1+INDEX($AA$21:$AA$97,D756))*(1+INDEX($AA$21:$AA$97,E756))*(1+INDEX($AA$21:$AA$97,F756))-1</f>
        <v>0.287984029977936</v>
      </c>
      <c r="I756" s="68">
        <f>(1+INDEX($AB$21:$AB$97,B756))*(1+INDEX($AB$21:$AB$97,C756))*(1+INDEX($AB$21:$AB$97,D756))*(1+INDEX($AB$21:$AB$97,E756))*(1+INDEX($AB$21:$AB$97,F756))-1</f>
        <v>0.288644620036322</v>
      </c>
      <c r="J756" s="489">
        <f>LN((1+G756)/(1+H756))</f>
        <v>0.0305832404985804</v>
      </c>
      <c r="K756" s="489">
        <f>LN((1+I756)/(1+H756))</f>
        <v>0.000512755357941082</v>
      </c>
      <c r="L756" s="489">
        <f>(1+INDEX($AC$21:$AC$97,B756))*(1+INDEX($AC$21:$AC$97,C756))*(1+INDEX($AC$21:$AC$97,D756))*(1+INDEX($AC$21:$AC$97,E756))*(1+INDEX($AC$21:$AC$97,F756))-1</f>
        <v>0.276488277481002</v>
      </c>
      <c r="M756" s="489">
        <f>(1+INDEX($AD$21:$AD$97,B756))*(1+INDEX($AD$21:$AD$97,C756))*(1+INDEX($AD$21:$AD$97,D756))*(1+INDEX($AD$21:$AD$97,E756))*(1+INDEX($AD$21:$AD$97,F756))-1</f>
        <v>0.297279017057158</v>
      </c>
      <c r="N756" s="489">
        <f>(1+INDEX($AE$21:$AE$97,B756))*(1+INDEX($AE$21:$AE$97,C756))*(1+INDEX($AE$21:$AE$97,D756))*(1+INDEX($AE$21:$AE$97,E756))*(1+INDEX($AE$21:$AE$97,F756))-1</f>
        <v>0.269435628412146</v>
      </c>
      <c r="O756" s="489">
        <f>(1+INDEX($AF$21:$AF$97,B756))*(1+INDEX($AF$21:$AF$97,C756))*(1+INDEX($AF$21:$AF$97,D756))*(1+INDEX($AF$21:$AF$97,E756))*(1+INDEX($AF$21:$AF$97,F756))-1</f>
        <v>0.297751364392927</v>
      </c>
      <c r="P756" s="489">
        <f>LN((1+L756)/(1+H756))</f>
        <v>-0.00896545419123624</v>
      </c>
      <c r="Q756" s="489">
        <f>LN((1+M756)/(1+H756))</f>
        <v>0.00719077862610739</v>
      </c>
      <c r="R756" s="489">
        <f>LN((1+N756)/(1+H756))</f>
        <v>-0.0145058138955892</v>
      </c>
      <c r="S756" s="542">
        <f>LN((1+O756)/(1+H756))</f>
        <v>0.00755481855747932</v>
      </c>
    </row>
    <row r="757">
      <c r="A757" s="320" t="n">
        <v>656</v>
      </c>
      <c r="B757" s="174" t="n">
        <v>12</v>
      </c>
      <c r="C757" s="174" t="n">
        <v>18</v>
      </c>
      <c r="D757" s="174" t="n">
        <v>58</v>
      </c>
      <c r="E757" s="174" t="n">
        <v>34</v>
      </c>
      <c r="F757" s="174" t="n">
        <v>54</v>
      </c>
      <c r="G757" s="68">
        <f>(1+INDEX($Z$21:$Z$97,B757))*(1+INDEX($Z$21:$Z$97,C757))*(1+INDEX($Z$21:$Z$97,D757))*(1+INDEX($Z$21:$Z$97,E757))*(1+INDEX($Z$21:$Z$97,F757))-1</f>
        <v>0.618927211794444</v>
      </c>
      <c r="H757" s="68">
        <f>(1+INDEX($AA$21:$AA$97,B757))*(1+INDEX($AA$21:$AA$97,C757))*(1+INDEX($AA$21:$AA$97,D757))*(1+INDEX($AA$21:$AA$97,E757))*(1+INDEX($AA$21:$AA$97,F757))-1</f>
        <v>0.571364467927698</v>
      </c>
      <c r="I757" s="68">
        <f>(1+INDEX($AB$21:$AB$97,B757))*(1+INDEX($AB$21:$AB$97,C757))*(1+INDEX($AB$21:$AB$97,D757))*(1+INDEX($AB$21:$AB$97,E757))*(1+INDEX($AB$21:$AB$97,F757))-1</f>
        <v>0.585747198276388</v>
      </c>
      <c r="J757" s="489">
        <f>LN((1+G757)/(1+H757))</f>
        <v>0.0298193851673532</v>
      </c>
      <c r="K757" s="489">
        <f>LN((1+I757)/(1+H757))</f>
        <v>0.00911138494329826</v>
      </c>
      <c r="L757" s="489">
        <f>(1+INDEX($AC$21:$AC$97,B757))*(1+INDEX($AC$21:$AC$97,C757))*(1+INDEX($AC$21:$AC$97,D757))*(1+INDEX($AC$21:$AC$97,E757))*(1+INDEX($AC$21:$AC$97,F757))-1</f>
        <v>0.602950142367321</v>
      </c>
      <c r="M757" s="489">
        <f>(1+INDEX($AD$21:$AD$97,B757))*(1+INDEX($AD$21:$AD$97,C757))*(1+INDEX($AD$21:$AD$97,D757))*(1+INDEX($AD$21:$AD$97,E757))*(1+INDEX($AD$21:$AD$97,F757))-1</f>
        <v>0.597052887973914</v>
      </c>
      <c r="N757" s="489">
        <f>(1+INDEX($AE$21:$AE$97,B757))*(1+INDEX($AE$21:$AE$97,C757))*(1+INDEX($AE$21:$AE$97,D757))*(1+INDEX($AE$21:$AE$97,E757))*(1+INDEX($AE$21:$AE$97,F757))-1</f>
        <v>0.602644768438252</v>
      </c>
      <c r="O757" s="489">
        <f>(1+INDEX($AF$21:$AF$97,B757))*(1+INDEX($AF$21:$AF$97,C757))*(1+INDEX($AF$21:$AF$97,D757))*(1+INDEX($AF$21:$AF$97,E757))*(1+INDEX($AF$21:$AF$97,F757))-1</f>
        <v>0.573245505162456</v>
      </c>
      <c r="P757" s="489">
        <f>LN((1+L757)/(1+H757))</f>
        <v>0.0199014406667847</v>
      </c>
      <c r="Q757" s="489">
        <f>LN((1+M757)/(1+H757))</f>
        <v>0.0162156559886597</v>
      </c>
      <c r="R757" s="489">
        <f>LN((1+N757)/(1+H757))</f>
        <v>0.0197109150773142</v>
      </c>
      <c r="S757" s="542">
        <f>LN((1+O757)/(1+H757))</f>
        <v>0.00119635660715343</v>
      </c>
    </row>
    <row r="758">
      <c r="A758" s="320" t="n">
        <v>657</v>
      </c>
      <c r="B758" s="174" t="n">
        <v>33</v>
      </c>
      <c r="C758" s="174" t="n">
        <v>67</v>
      </c>
      <c r="D758" s="174" t="n">
        <v>12</v>
      </c>
      <c r="E758" s="174" t="n">
        <v>27</v>
      </c>
      <c r="F758" s="174" t="n">
        <v>10</v>
      </c>
      <c r="G758" s="68">
        <f>(1+INDEX($Z$21:$Z$97,B758))*(1+INDEX($Z$21:$Z$97,C758))*(1+INDEX($Z$21:$Z$97,D758))*(1+INDEX($Z$21:$Z$97,E758))*(1+INDEX($Z$21:$Z$97,F758))-1</f>
        <v>0.623398145712946</v>
      </c>
      <c r="H758" s="68">
        <f>(1+INDEX($AA$21:$AA$97,B758))*(1+INDEX($AA$21:$AA$97,C758))*(1+INDEX($AA$21:$AA$97,D758))*(1+INDEX($AA$21:$AA$97,E758))*(1+INDEX($AA$21:$AA$97,F758))-1</f>
        <v>0.595707289221844</v>
      </c>
      <c r="I758" s="68">
        <f>(1+INDEX($AB$21:$AB$97,B758))*(1+INDEX($AB$21:$AB$97,C758))*(1+INDEX($AB$21:$AB$97,D758))*(1+INDEX($AB$21:$AB$97,E758))*(1+INDEX($AB$21:$AB$97,F758))-1</f>
        <v>0.621316173661168</v>
      </c>
      <c r="J758" s="489">
        <f>LN((1+G758)/(1+H758))</f>
        <v>0.0172044936558371</v>
      </c>
      <c r="K758" s="489">
        <f>LN((1+I758)/(1+H758))</f>
        <v>0.0159211927962986</v>
      </c>
      <c r="L758" s="489">
        <f>(1+INDEX($AC$21:$AC$97,B758))*(1+INDEX($AC$21:$AC$97,C758))*(1+INDEX($AC$21:$AC$97,D758))*(1+INDEX($AC$21:$AC$97,E758))*(1+INDEX($AC$21:$AC$97,F758))-1</f>
        <v>0.629133038556353</v>
      </c>
      <c r="M758" s="489">
        <f>(1+INDEX($AD$21:$AD$97,B758))*(1+INDEX($AD$21:$AD$97,C758))*(1+INDEX($AD$21:$AD$97,D758))*(1+INDEX($AD$21:$AD$97,E758))*(1+INDEX($AD$21:$AD$97,F758))-1</f>
        <v>0.65493300888303</v>
      </c>
      <c r="N758" s="489">
        <f>(1+INDEX($AE$21:$AE$97,B758))*(1+INDEX($AE$21:$AE$97,C758))*(1+INDEX($AE$21:$AE$97,D758))*(1+INDEX($AE$21:$AE$97,E758))*(1+INDEX($AE$21:$AE$97,F758))-1</f>
        <v>0.619239989898272</v>
      </c>
      <c r="O758" s="489">
        <f>(1+INDEX($AF$21:$AF$97,B758))*(1+INDEX($AF$21:$AF$97,C758))*(1+INDEX($AF$21:$AF$97,D758))*(1+INDEX($AF$21:$AF$97,E758))*(1+INDEX($AF$21:$AF$97,F758))-1</f>
        <v>0.631727584016599</v>
      </c>
      <c r="P758" s="489">
        <f>LN((1+L758)/(1+H758))</f>
        <v>0.0207309156709354</v>
      </c>
      <c r="Q758" s="489">
        <f>LN((1+M758)/(1+H758))</f>
        <v>0.0364434505294015</v>
      </c>
      <c r="R758" s="489">
        <f>LN((1+N758)/(1+H758))</f>
        <v>0.0146398176605608</v>
      </c>
      <c r="S758" s="542">
        <f>LN((1+O758)/(1+H758))</f>
        <v>0.0223222415864332</v>
      </c>
    </row>
    <row r="759">
      <c r="A759" s="320" t="n">
        <v>658</v>
      </c>
      <c r="B759" s="174" t="n">
        <v>28</v>
      </c>
      <c r="C759" s="174" t="n">
        <v>22</v>
      </c>
      <c r="D759" s="174" t="n">
        <v>51</v>
      </c>
      <c r="E759" s="174" t="n">
        <v>51</v>
      </c>
      <c r="F759" s="174" t="n">
        <v>18</v>
      </c>
      <c r="G759" s="68">
        <f>(1+INDEX($Z$21:$Z$97,B759))*(1+INDEX($Z$21:$Z$97,C759))*(1+INDEX($Z$21:$Z$97,D759))*(1+INDEX($Z$21:$Z$97,E759))*(1+INDEX($Z$21:$Z$97,F759))-1</f>
        <v>0.621813007772873</v>
      </c>
      <c r="H759" s="68">
        <f>(1+INDEX($AA$21:$AA$97,B759))*(1+INDEX($AA$21:$AA$97,C759))*(1+INDEX($AA$21:$AA$97,D759))*(1+INDEX($AA$21:$AA$97,E759))*(1+INDEX($AA$21:$AA$97,F759))-1</f>
        <v>0.548503982177488</v>
      </c>
      <c r="I759" s="68">
        <f>(1+INDEX($AB$21:$AB$97,B759))*(1+INDEX($AB$21:$AB$97,C759))*(1+INDEX($AB$21:$AB$97,D759))*(1+INDEX($AB$21:$AB$97,E759))*(1+INDEX($AB$21:$AB$97,F759))-1</f>
        <v>0.595435533064072</v>
      </c>
      <c r="J759" s="489">
        <f>LN((1+G759)/(1+H759))</f>
        <v>0.0462553720105704</v>
      </c>
      <c r="K759" s="489">
        <f>LN((1+I759)/(1+H759))</f>
        <v>0.0298574683812239</v>
      </c>
      <c r="L759" s="489">
        <f>(1+INDEX($AC$21:$AC$97,B759))*(1+INDEX($AC$21:$AC$97,C759))*(1+INDEX($AC$21:$AC$97,D759))*(1+INDEX($AC$21:$AC$97,E759))*(1+INDEX($AC$21:$AC$97,F759))-1</f>
        <v>0.567602594779219</v>
      </c>
      <c r="M759" s="489">
        <f>(1+INDEX($AD$21:$AD$97,B759))*(1+INDEX($AD$21:$AD$97,C759))*(1+INDEX($AD$21:$AD$97,D759))*(1+INDEX($AD$21:$AD$97,E759))*(1+INDEX($AD$21:$AD$97,F759))-1</f>
        <v>0.603322321583441</v>
      </c>
      <c r="N759" s="489">
        <f>(1+INDEX($AE$21:$AE$97,B759))*(1+INDEX($AE$21:$AE$97,C759))*(1+INDEX($AE$21:$AE$97,D759))*(1+INDEX($AE$21:$AE$97,E759))*(1+INDEX($AE$21:$AE$97,F759))-1</f>
        <v>0.575521287232555</v>
      </c>
      <c r="O759" s="489">
        <f>(1+INDEX($AF$21:$AF$97,B759))*(1+INDEX($AF$21:$AF$97,C759))*(1+INDEX($AF$21:$AF$97,D759))*(1+INDEX($AF$21:$AF$97,E759))*(1+INDEX($AF$21:$AF$97,F759))-1</f>
        <v>0.584435041750236</v>
      </c>
      <c r="P759" s="489">
        <f>LN((1+L759)/(1+H759))</f>
        <v>0.0122581505346543</v>
      </c>
      <c r="Q759" s="489">
        <f>LN((1+M759)/(1+H759))</f>
        <v>0.0347886353274393</v>
      </c>
      <c r="R759" s="489">
        <f>LN((1+N759)/(1+H759))</f>
        <v>0.0172969014745257</v>
      </c>
      <c r="S759" s="542">
        <f>LN((1+O759)/(1+H759))</f>
        <v>0.0229386111898282</v>
      </c>
    </row>
    <row r="760">
      <c r="A760" s="320" t="n">
        <v>659</v>
      </c>
      <c r="B760" s="174" t="n">
        <v>17</v>
      </c>
      <c r="C760" s="174" t="n">
        <v>76</v>
      </c>
      <c r="D760" s="174" t="n">
        <v>42</v>
      </c>
      <c r="E760" s="174" t="n">
        <v>61</v>
      </c>
      <c r="F760" s="174" t="n">
        <v>49</v>
      </c>
      <c r="G760" s="68">
        <f>(1+INDEX($Z$21:$Z$97,B760))*(1+INDEX($Z$21:$Z$97,C760))*(1+INDEX($Z$21:$Z$97,D760))*(1+INDEX($Z$21:$Z$97,E760))*(1+INDEX($Z$21:$Z$97,F760))-1</f>
        <v>0.459656560964755</v>
      </c>
      <c r="H760" s="68">
        <f>(1+INDEX($AA$21:$AA$97,B760))*(1+INDEX($AA$21:$AA$97,C760))*(1+INDEX($AA$21:$AA$97,D760))*(1+INDEX($AA$21:$AA$97,E760))*(1+INDEX($AA$21:$AA$97,F760))-1</f>
        <v>0.411896835490807</v>
      </c>
      <c r="I760" s="68">
        <f>(1+INDEX($AB$21:$AB$97,B760))*(1+INDEX($AB$21:$AB$97,C760))*(1+INDEX($AB$21:$AB$97,D760))*(1+INDEX($AB$21:$AB$97,E760))*(1+INDEX($AB$21:$AB$97,F760))-1</f>
        <v>0.449907966578476</v>
      </c>
      <c r="J760" s="489">
        <f>LN((1+G760)/(1+H760))</f>
        <v>0.033267102114609</v>
      </c>
      <c r="K760" s="489">
        <f>LN((1+I760)/(1+H760))</f>
        <v>0.0265660093746265</v>
      </c>
      <c r="L760" s="489">
        <f>(1+INDEX($AC$21:$AC$97,B760))*(1+INDEX($AC$21:$AC$97,C760))*(1+INDEX($AC$21:$AC$97,D760))*(1+INDEX($AC$21:$AC$97,E760))*(1+INDEX($AC$21:$AC$97,F760))-1</f>
        <v>0.452882668758156</v>
      </c>
      <c r="M760" s="489">
        <f>(1+INDEX($AD$21:$AD$97,B760))*(1+INDEX($AD$21:$AD$97,C760))*(1+INDEX($AD$21:$AD$97,D760))*(1+INDEX($AD$21:$AD$97,E760))*(1+INDEX($AD$21:$AD$97,F760))-1</f>
        <v>0.421172554756296</v>
      </c>
      <c r="N760" s="489">
        <f>(1+INDEX($AE$21:$AE$97,B760))*(1+INDEX($AE$21:$AE$97,C760))*(1+INDEX($AE$21:$AE$97,D760))*(1+INDEX($AE$21:$AE$97,E760))*(1+INDEX($AE$21:$AE$97,F760))-1</f>
        <v>0.451174936928438</v>
      </c>
      <c r="O760" s="489">
        <f>(1+INDEX($AF$21:$AF$97,B760))*(1+INDEX($AF$21:$AF$97,C760))*(1+INDEX($AF$21:$AF$97,D760))*(1+INDEX($AF$21:$AF$97,E760))*(1+INDEX($AF$21:$AF$97,F760))-1</f>
        <v>0.392583459379811</v>
      </c>
      <c r="P760" s="489">
        <f>LN((1+L760)/(1+H760))</f>
        <v>0.0286155565825951</v>
      </c>
      <c r="Q760" s="489">
        <f>LN((1+M760)/(1+H760))</f>
        <v>0.00654819994300288</v>
      </c>
      <c r="R760" s="489">
        <f>LN((1+N760)/(1+H760))</f>
        <v>0.0274394559272769</v>
      </c>
      <c r="S760" s="542">
        <f>LN((1+O760)/(1+H760))</f>
        <v>-0.0137734477723362</v>
      </c>
    </row>
    <row r="761">
      <c r="A761" s="320" t="n">
        <v>660</v>
      </c>
      <c r="B761" s="174" t="n">
        <v>70</v>
      </c>
      <c r="C761" s="174" t="n">
        <v>58</v>
      </c>
      <c r="D761" s="174" t="n">
        <v>51</v>
      </c>
      <c r="E761" s="174" t="n">
        <v>51</v>
      </c>
      <c r="F761" s="174" t="n">
        <v>61</v>
      </c>
      <c r="G761" s="68">
        <f>(1+INDEX($Z$21:$Z$97,B761))*(1+INDEX($Z$21:$Z$97,C761))*(1+INDEX($Z$21:$Z$97,D761))*(1+INDEX($Z$21:$Z$97,E761))*(1+INDEX($Z$21:$Z$97,F761))-1</f>
        <v>0.8015482967968</v>
      </c>
      <c r="H761" s="68">
        <f>(1+INDEX($AA$21:$AA$97,B761))*(1+INDEX($AA$21:$AA$97,C761))*(1+INDEX($AA$21:$AA$97,D761))*(1+INDEX($AA$21:$AA$97,E761))*(1+INDEX($AA$21:$AA$97,F761))-1</f>
        <v>0.74375299479441</v>
      </c>
      <c r="I761" s="68">
        <f>(1+INDEX($AB$21:$AB$97,B761))*(1+INDEX($AB$21:$AB$97,C761))*(1+INDEX($AB$21:$AB$97,D761))*(1+INDEX($AB$21:$AB$97,E761))*(1+INDEX($AB$21:$AB$97,F761))-1</f>
        <v>0.787529890203784</v>
      </c>
      <c r="J761" s="489">
        <f>LN((1+G761)/(1+H761))</f>
        <v>0.0326067760285308</v>
      </c>
      <c r="K761" s="489">
        <f>LN((1+I761)/(1+H761))</f>
        <v>0.0247950332076583</v>
      </c>
      <c r="L761" s="489">
        <f>(1+INDEX($AC$21:$AC$97,B761))*(1+INDEX($AC$21:$AC$97,C761))*(1+INDEX($AC$21:$AC$97,D761))*(1+INDEX($AC$21:$AC$97,E761))*(1+INDEX($AC$21:$AC$97,F761))-1</f>
        <v>0.826793181913054</v>
      </c>
      <c r="M761" s="489">
        <f>(1+INDEX($AD$21:$AD$97,B761))*(1+INDEX($AD$21:$AD$97,C761))*(1+INDEX($AD$21:$AD$97,D761))*(1+INDEX($AD$21:$AD$97,E761))*(1+INDEX($AD$21:$AD$97,F761))-1</f>
        <v>0.736239619774053</v>
      </c>
      <c r="N761" s="489">
        <f>(1+INDEX($AE$21:$AE$97,B761))*(1+INDEX($AE$21:$AE$97,C761))*(1+INDEX($AE$21:$AE$97,D761))*(1+INDEX($AE$21:$AE$97,E761))*(1+INDEX($AE$21:$AE$97,F761))-1</f>
        <v>0.840412365575393</v>
      </c>
      <c r="O761" s="489">
        <f>(1+INDEX($AF$21:$AF$97,B761))*(1+INDEX($AF$21:$AF$97,C761))*(1+INDEX($AF$21:$AF$97,D761))*(1+INDEX($AF$21:$AF$97,E761))*(1+INDEX($AF$21:$AF$97,F761))-1</f>
        <v>0.667058702814948</v>
      </c>
      <c r="P761" s="489">
        <f>LN((1+L761)/(1+H761))</f>
        <v>0.0465223860339328</v>
      </c>
      <c r="Q761" s="489">
        <f>LN((1+M761)/(1+H761))</f>
        <v>-0.00431804749420482</v>
      </c>
      <c r="R761" s="489">
        <f>LN((1+N761)/(1+H761))</f>
        <v>0.0539499742064833</v>
      </c>
      <c r="S761" s="542">
        <f>LN((1+O761)/(1+H761))</f>
        <v>-0.0449788662362117</v>
      </c>
    </row>
    <row r="762">
      <c r="A762" s="320" t="n">
        <v>661</v>
      </c>
      <c r="B762" s="174" t="n">
        <v>69</v>
      </c>
      <c r="C762" s="174" t="n">
        <v>43</v>
      </c>
      <c r="D762" s="174" t="n">
        <v>75</v>
      </c>
      <c r="E762" s="174" t="n">
        <v>42</v>
      </c>
      <c r="F762" s="174" t="n">
        <v>77</v>
      </c>
      <c r="G762" s="68">
        <f>(1+INDEX($Z$21:$Z$97,B762))*(1+INDEX($Z$21:$Z$97,C762))*(1+INDEX($Z$21:$Z$97,D762))*(1+INDEX($Z$21:$Z$97,E762))*(1+INDEX($Z$21:$Z$97,F762))-1</f>
        <v>0.510315995613746</v>
      </c>
      <c r="H762" s="68">
        <f>(1+INDEX($AA$21:$AA$97,B762))*(1+INDEX($AA$21:$AA$97,C762))*(1+INDEX($AA$21:$AA$97,D762))*(1+INDEX($AA$21:$AA$97,E762))*(1+INDEX($AA$21:$AA$97,F762))-1</f>
        <v>0.518138201929059</v>
      </c>
      <c r="I762" s="68">
        <f>(1+INDEX($AB$21:$AB$97,B762))*(1+INDEX($AB$21:$AB$97,C762))*(1+INDEX($AB$21:$AB$97,D762))*(1+INDEX($AB$21:$AB$97,E762))*(1+INDEX($AB$21:$AB$97,F762))-1</f>
        <v>0.588696642345333</v>
      </c>
      <c r="J762" s="489">
        <f>LN((1+G762)/(1+H762))</f>
        <v>-0.0051658193917765</v>
      </c>
      <c r="K762" s="489">
        <f>LN((1+I762)/(1+H762))</f>
        <v>0.0454292413377648</v>
      </c>
      <c r="L762" s="489">
        <f>(1+INDEX($AC$21:$AC$97,B762))*(1+INDEX($AC$21:$AC$97,C762))*(1+INDEX($AC$21:$AC$97,D762))*(1+INDEX($AC$21:$AC$97,E762))*(1+INDEX($AC$21:$AC$97,F762))-1</f>
        <v>0.59268740251138</v>
      </c>
      <c r="M762" s="489">
        <f>(1+INDEX($AD$21:$AD$97,B762))*(1+INDEX($AD$21:$AD$97,C762))*(1+INDEX($AD$21:$AD$97,D762))*(1+INDEX($AD$21:$AD$97,E762))*(1+INDEX($AD$21:$AD$97,F762))-1</f>
        <v>0.565954217398739</v>
      </c>
      <c r="N762" s="489">
        <f>(1+INDEX($AE$21:$AE$97,B762))*(1+INDEX($AE$21:$AE$97,C762))*(1+INDEX($AE$21:$AE$97,D762))*(1+INDEX($AE$21:$AE$97,E762))*(1+INDEX($AE$21:$AE$97,F762))-1</f>
        <v>0.567877108717391</v>
      </c>
      <c r="O762" s="489">
        <f>(1+INDEX($AF$21:$AF$97,B762))*(1+INDEX($AF$21:$AF$97,C762))*(1+INDEX($AF$21:$AF$97,D762))*(1+INDEX($AF$21:$AF$97,E762))*(1+INDEX($AF$21:$AF$97,F762))-1</f>
        <v>0.540292285623402</v>
      </c>
      <c r="P762" s="489">
        <f>LN((1+L762)/(1+H762))</f>
        <v>0.0479380627833957</v>
      </c>
      <c r="Q762" s="489">
        <f>LN((1+M762)/(1+H762))</f>
        <v>0.0310106448203269</v>
      </c>
      <c r="R762" s="489">
        <f>LN((1+N762)/(1+H762))</f>
        <v>0.0322378273709299</v>
      </c>
      <c r="S762" s="542">
        <f>LN((1+O762)/(1+H762))</f>
        <v>0.0144874773325731</v>
      </c>
    </row>
    <row r="763">
      <c r="A763" s="320" t="n">
        <v>662</v>
      </c>
      <c r="B763" s="174" t="n">
        <v>29</v>
      </c>
      <c r="C763" s="174" t="n">
        <v>24</v>
      </c>
      <c r="D763" s="174" t="n">
        <v>24</v>
      </c>
      <c r="E763" s="174" t="n">
        <v>45</v>
      </c>
      <c r="F763" s="174" t="n">
        <v>35</v>
      </c>
      <c r="G763" s="68">
        <f>(1+INDEX($Z$21:$Z$97,B763))*(1+INDEX($Z$21:$Z$97,C763))*(1+INDEX($Z$21:$Z$97,D763))*(1+INDEX($Z$21:$Z$97,E763))*(1+INDEX($Z$21:$Z$97,F763))-1</f>
        <v>0.708334544142489</v>
      </c>
      <c r="H763" s="68">
        <f>(1+INDEX($AA$21:$AA$97,B763))*(1+INDEX($AA$21:$AA$97,C763))*(1+INDEX($AA$21:$AA$97,D763))*(1+INDEX($AA$21:$AA$97,E763))*(1+INDEX($AA$21:$AA$97,F763))-1</f>
        <v>0.678150731098782</v>
      </c>
      <c r="I763" s="68">
        <f>(1+INDEX($AB$21:$AB$97,B763))*(1+INDEX($AB$21:$AB$97,C763))*(1+INDEX($AB$21:$AB$97,D763))*(1+INDEX($AB$21:$AB$97,E763))*(1+INDEX($AB$21:$AB$97,F763))-1</f>
        <v>0.774834685963607</v>
      </c>
      <c r="J763" s="489">
        <f>LN((1+G763)/(1+H763))</f>
        <v>0.0178265132816846</v>
      </c>
      <c r="K763" s="489">
        <f>LN((1+I763)/(1+H763))</f>
        <v>0.0560148520809244</v>
      </c>
      <c r="L763" s="489">
        <f>(1+INDEX($AC$21:$AC$97,B763))*(1+INDEX($AC$21:$AC$97,C763))*(1+INDEX($AC$21:$AC$97,D763))*(1+INDEX($AC$21:$AC$97,E763))*(1+INDEX($AC$21:$AC$97,F763))-1</f>
        <v>0.764014167197557</v>
      </c>
      <c r="M763" s="489">
        <f>(1+INDEX($AD$21:$AD$97,B763))*(1+INDEX($AD$21:$AD$97,C763))*(1+INDEX($AD$21:$AD$97,D763))*(1+INDEX($AD$21:$AD$97,E763))*(1+INDEX($AD$21:$AD$97,F763))-1</f>
        <v>0.77420380302906</v>
      </c>
      <c r="N763" s="489">
        <f>(1+INDEX($AE$21:$AE$97,B763))*(1+INDEX($AE$21:$AE$97,C763))*(1+INDEX($AE$21:$AE$97,D763))*(1+INDEX($AE$21:$AE$97,E763))*(1+INDEX($AE$21:$AE$97,F763))-1</f>
        <v>0.738690092804371</v>
      </c>
      <c r="O763" s="489">
        <f>(1+INDEX($AF$21:$AF$97,B763))*(1+INDEX($AF$21:$AF$97,C763))*(1+INDEX($AF$21:$AF$97,D763))*(1+INDEX($AF$21:$AF$97,E763))*(1+INDEX($AF$21:$AF$97,F763))-1</f>
        <v>0.678528018110264</v>
      </c>
      <c r="P763" s="489">
        <f>LN((1+L763)/(1+H763))</f>
        <v>0.0498995570027195</v>
      </c>
      <c r="Q763" s="489">
        <f>LN((1+M763)/(1+H763))</f>
        <v>0.0556593287789662</v>
      </c>
      <c r="R763" s="489">
        <f>LN((1+N763)/(1+H763))</f>
        <v>0.0354395776468579</v>
      </c>
      <c r="S763" s="542">
        <f>LN((1+O763)/(1+H763))</f>
        <v>0.000224797808345152</v>
      </c>
    </row>
    <row r="764">
      <c r="A764" s="320" t="n">
        <v>663</v>
      </c>
      <c r="B764" s="174" t="n">
        <v>40</v>
      </c>
      <c r="C764" s="174" t="n">
        <v>59</v>
      </c>
      <c r="D764" s="174" t="n">
        <v>19</v>
      </c>
      <c r="E764" s="174" t="n">
        <v>22</v>
      </c>
      <c r="F764" s="174" t="n">
        <v>42</v>
      </c>
      <c r="G764" s="68">
        <f>(1+INDEX($Z$21:$Z$97,B764))*(1+INDEX($Z$21:$Z$97,C764))*(1+INDEX($Z$21:$Z$97,D764))*(1+INDEX($Z$21:$Z$97,E764))*(1+INDEX($Z$21:$Z$97,F764))-1</f>
        <v>0.395822841964434</v>
      </c>
      <c r="H764" s="68">
        <f>(1+INDEX($AA$21:$AA$97,B764))*(1+INDEX($AA$21:$AA$97,C764))*(1+INDEX($AA$21:$AA$97,D764))*(1+INDEX($AA$21:$AA$97,E764))*(1+INDEX($AA$21:$AA$97,F764))-1</f>
        <v>0.396341993674088</v>
      </c>
      <c r="I764" s="68">
        <f>(1+INDEX($AB$21:$AB$97,B764))*(1+INDEX($AB$21:$AB$97,C764))*(1+INDEX($AB$21:$AB$97,D764))*(1+INDEX($AB$21:$AB$97,E764))*(1+INDEX($AB$21:$AB$97,F764))-1</f>
        <v>0.400548893433665</v>
      </c>
      <c r="J764" s="489">
        <f>LN((1+G764)/(1+H764))</f>
        <v>-0.000371863228854001</v>
      </c>
      <c r="K764" s="489">
        <f>LN((1+I764)/(1+H764))</f>
        <v>0.00300827104236695</v>
      </c>
      <c r="L764" s="489">
        <f>(1+INDEX($AC$21:$AC$97,B764))*(1+INDEX($AC$21:$AC$97,C764))*(1+INDEX($AC$21:$AC$97,D764))*(1+INDEX($AC$21:$AC$97,E764))*(1+INDEX($AC$21:$AC$97,F764))-1</f>
        <v>0.415364799824299</v>
      </c>
      <c r="M764" s="489">
        <f>(1+INDEX($AD$21:$AD$97,B764))*(1+INDEX($AD$21:$AD$97,C764))*(1+INDEX($AD$21:$AD$97,D764))*(1+INDEX($AD$21:$AD$97,E764))*(1+INDEX($AD$21:$AD$97,F764))-1</f>
        <v>0.384511058684109</v>
      </c>
      <c r="N764" s="489">
        <f>(1+INDEX($AE$21:$AE$97,B764))*(1+INDEX($AE$21:$AE$97,C764))*(1+INDEX($AE$21:$AE$97,D764))*(1+INDEX($AE$21:$AE$97,E764))*(1+INDEX($AE$21:$AE$97,F764))-1</f>
        <v>0.410393106014393</v>
      </c>
      <c r="O764" s="489">
        <f>(1+INDEX($AF$21:$AF$97,B764))*(1+INDEX($AF$21:$AF$97,C764))*(1+INDEX($AF$21:$AF$97,D764))*(1+INDEX($AF$21:$AF$97,E764))*(1+INDEX($AF$21:$AF$97,F764))-1</f>
        <v>0.376515590839446</v>
      </c>
      <c r="P764" s="489">
        <f>LN((1+L764)/(1+H764))</f>
        <v>0.0135313514521664</v>
      </c>
      <c r="Q764" s="489">
        <f>LN((1+M764)/(1+H764))</f>
        <v>-0.00850890438908141</v>
      </c>
      <c r="R764" s="489">
        <f>LN((1+N764)/(1+H764))</f>
        <v>0.0100125086456417</v>
      </c>
      <c r="S764" s="542">
        <f>LN((1+O764)/(1+H764))</f>
        <v>-0.0143005835065043</v>
      </c>
    </row>
    <row r="765">
      <c r="A765" s="320" t="n">
        <v>664</v>
      </c>
      <c r="B765" s="174" t="n">
        <v>56</v>
      </c>
      <c r="C765" s="174" t="n">
        <v>35</v>
      </c>
      <c r="D765" s="174" t="n">
        <v>21</v>
      </c>
      <c r="E765" s="174" t="n">
        <v>38</v>
      </c>
      <c r="F765" s="174" t="n">
        <v>3</v>
      </c>
      <c r="G765" s="68">
        <f>(1+INDEX($Z$21:$Z$97,B765))*(1+INDEX($Z$21:$Z$97,C765))*(1+INDEX($Z$21:$Z$97,D765))*(1+INDEX($Z$21:$Z$97,E765))*(1+INDEX($Z$21:$Z$97,F765))-1</f>
        <v>0.33064533677003</v>
      </c>
      <c r="H765" s="68">
        <f>(1+INDEX($AA$21:$AA$97,B765))*(1+INDEX($AA$21:$AA$97,C765))*(1+INDEX($AA$21:$AA$97,D765))*(1+INDEX($AA$21:$AA$97,E765))*(1+INDEX($AA$21:$AA$97,F765))-1</f>
        <v>0.29393010293887</v>
      </c>
      <c r="I765" s="68">
        <f>(1+INDEX($AB$21:$AB$97,B765))*(1+INDEX($AB$21:$AB$97,C765))*(1+INDEX($AB$21:$AB$97,D765))*(1+INDEX($AB$21:$AB$97,E765))*(1+INDEX($AB$21:$AB$97,F765))-1</f>
        <v>0.295159330555294</v>
      </c>
      <c r="J765" s="489">
        <f>LN((1+G765)/(1+H765))</f>
        <v>0.0279798618274055</v>
      </c>
      <c r="K765" s="489">
        <f>LN((1+I765)/(1+H765))</f>
        <v>0.000949544417339919</v>
      </c>
      <c r="L765" s="489">
        <f>(1+INDEX($AC$21:$AC$97,B765))*(1+INDEX($AC$21:$AC$97,C765))*(1+INDEX($AC$21:$AC$97,D765))*(1+INDEX($AC$21:$AC$97,E765))*(1+INDEX($AC$21:$AC$97,F765))-1</f>
        <v>0.277337893519334</v>
      </c>
      <c r="M765" s="489">
        <f>(1+INDEX($AD$21:$AD$97,B765))*(1+INDEX($AD$21:$AD$97,C765))*(1+INDEX($AD$21:$AD$97,D765))*(1+INDEX($AD$21:$AD$97,E765))*(1+INDEX($AD$21:$AD$97,F765))-1</f>
        <v>0.328096012498234</v>
      </c>
      <c r="N765" s="489">
        <f>(1+INDEX($AE$21:$AE$97,B765))*(1+INDEX($AE$21:$AE$97,C765))*(1+INDEX($AE$21:$AE$97,D765))*(1+INDEX($AE$21:$AE$97,E765))*(1+INDEX($AE$21:$AE$97,F765))-1</f>
        <v>0.280194576612261</v>
      </c>
      <c r="O765" s="489">
        <f>(1+INDEX($AF$21:$AF$97,B765))*(1+INDEX($AF$21:$AF$97,C765))*(1+INDEX($AF$21:$AF$97,D765))*(1+INDEX($AF$21:$AF$97,E765))*(1+INDEX($AF$21:$AF$97,F765))-1</f>
        <v>0.316686400760535</v>
      </c>
      <c r="P765" s="489">
        <f>LN((1+L765)/(1+H765))</f>
        <v>-0.01290603682667</v>
      </c>
      <c r="Q765" s="489">
        <f>LN((1+M765)/(1+H765))</f>
        <v>0.0260621686649862</v>
      </c>
      <c r="R765" s="489">
        <f>LN((1+N765)/(1+H765))</f>
        <v>-0.0106720989867354</v>
      </c>
      <c r="S765" s="542">
        <f>LN((1+O765)/(1+H765))</f>
        <v>0.0174340997082085</v>
      </c>
    </row>
    <row r="766">
      <c r="A766" s="320" t="n">
        <v>665</v>
      </c>
      <c r="B766" s="174" t="n">
        <v>69</v>
      </c>
      <c r="C766" s="174" t="n">
        <v>66</v>
      </c>
      <c r="D766" s="174" t="n">
        <v>59</v>
      </c>
      <c r="E766" s="174" t="n">
        <v>69</v>
      </c>
      <c r="F766" s="174" t="n">
        <v>63</v>
      </c>
      <c r="G766" s="68">
        <f>(1+INDEX($Z$21:$Z$97,B766))*(1+INDEX($Z$21:$Z$97,C766))*(1+INDEX($Z$21:$Z$97,D766))*(1+INDEX($Z$21:$Z$97,E766))*(1+INDEX($Z$21:$Z$97,F766))-1</f>
        <v>0.578276112459134</v>
      </c>
      <c r="H766" s="68">
        <f>(1+INDEX($AA$21:$AA$97,B766))*(1+INDEX($AA$21:$AA$97,C766))*(1+INDEX($AA$21:$AA$97,D766))*(1+INDEX($AA$21:$AA$97,E766))*(1+INDEX($AA$21:$AA$97,F766))-1</f>
        <v>0.576945785317131</v>
      </c>
      <c r="I766" s="68">
        <f>(1+INDEX($AB$21:$AB$97,B766))*(1+INDEX($AB$21:$AB$97,C766))*(1+INDEX($AB$21:$AB$97,D766))*(1+INDEX($AB$21:$AB$97,E766))*(1+INDEX($AB$21:$AB$97,F766))-1</f>
        <v>0.615331905840674</v>
      </c>
      <c r="J766" s="489">
        <f>LN((1+G766)/(1+H766))</f>
        <v>0.000843254302825154</v>
      </c>
      <c r="K766" s="489">
        <f>LN((1+I766)/(1+H766))</f>
        <v>0.0240505209876972</v>
      </c>
      <c r="L766" s="489">
        <f>(1+INDEX($AC$21:$AC$97,B766))*(1+INDEX($AC$21:$AC$97,C766))*(1+INDEX($AC$21:$AC$97,D766))*(1+INDEX($AC$21:$AC$97,E766))*(1+INDEX($AC$21:$AC$97,F766))-1</f>
        <v>0.656867530060024</v>
      </c>
      <c r="M766" s="489">
        <f>(1+INDEX($AD$21:$AD$97,B766))*(1+INDEX($AD$21:$AD$97,C766))*(1+INDEX($AD$21:$AD$97,D766))*(1+INDEX($AD$21:$AD$97,E766))*(1+INDEX($AD$21:$AD$97,F766))-1</f>
        <v>0.554576253366669</v>
      </c>
      <c r="N766" s="489">
        <f>(1+INDEX($AE$21:$AE$97,B766))*(1+INDEX($AE$21:$AE$97,C766))*(1+INDEX($AE$21:$AE$97,D766))*(1+INDEX($AE$21:$AE$97,E766))*(1+INDEX($AE$21:$AE$97,F766))-1</f>
        <v>0.685479028738073</v>
      </c>
      <c r="O766" s="489">
        <f>(1+INDEX($AF$21:$AF$97,B766))*(1+INDEX($AF$21:$AF$97,C766))*(1+INDEX($AF$21:$AF$97,D766))*(1+INDEX($AF$21:$AF$97,E766))*(1+INDEX($AF$21:$AF$97,F766))-1</f>
        <v>0.525554564577639</v>
      </c>
      <c r="P766" s="489">
        <f>LN((1+L766)/(1+H766))</f>
        <v>0.0494388605757036</v>
      </c>
      <c r="Q766" s="489">
        <f>LN((1+M766)/(1+H766))</f>
        <v>-0.0142869264029498</v>
      </c>
      <c r="R766" s="489">
        <f>LN((1+N766)/(1+H766))</f>
        <v>0.0665598844296845</v>
      </c>
      <c r="S766" s="542">
        <f>LN((1+O766)/(1+H766))</f>
        <v>-0.0331319361656423</v>
      </c>
    </row>
    <row r="767">
      <c r="A767" s="320" t="n">
        <v>666</v>
      </c>
      <c r="B767" s="174" t="n">
        <v>23</v>
      </c>
      <c r="C767" s="174" t="n">
        <v>62</v>
      </c>
      <c r="D767" s="174" t="n">
        <v>71</v>
      </c>
      <c r="E767" s="174" t="n">
        <v>1</v>
      </c>
      <c r="F767" s="174" t="n">
        <v>37</v>
      </c>
      <c r="G767" s="68">
        <f>(1+INDEX($Z$21:$Z$97,B767))*(1+INDEX($Z$21:$Z$97,C767))*(1+INDEX($Z$21:$Z$97,D767))*(1+INDEX($Z$21:$Z$97,E767))*(1+INDEX($Z$21:$Z$97,F767))-1</f>
        <v>0.321315329883284</v>
      </c>
      <c r="H767" s="68">
        <f>(1+INDEX($AA$21:$AA$97,B767))*(1+INDEX($AA$21:$AA$97,C767))*(1+INDEX($AA$21:$AA$97,D767))*(1+INDEX($AA$21:$AA$97,E767))*(1+INDEX($AA$21:$AA$97,F767))-1</f>
        <v>0.26679370054684</v>
      </c>
      <c r="I767" s="68">
        <f>(1+INDEX($AB$21:$AB$97,B767))*(1+INDEX($AB$21:$AB$97,C767))*(1+INDEX($AB$21:$AB$97,D767))*(1+INDEX($AB$21:$AB$97,E767))*(1+INDEX($AB$21:$AB$97,F767))-1</f>
        <v>0.269106094530345</v>
      </c>
      <c r="J767" s="489">
        <f>LN((1+G767)/(1+H767))</f>
        <v>0.0421386395514063</v>
      </c>
      <c r="K767" s="489">
        <f>LN((1+I767)/(1+H767))</f>
        <v>0.00182372712747442</v>
      </c>
      <c r="L767" s="489">
        <f>(1+INDEX($AC$21:$AC$97,B767))*(1+INDEX($AC$21:$AC$97,C767))*(1+INDEX($AC$21:$AC$97,D767))*(1+INDEX($AC$21:$AC$97,E767))*(1+INDEX($AC$21:$AC$97,F767))-1</f>
        <v>0.268652613557167</v>
      </c>
      <c r="M767" s="489">
        <f>(1+INDEX($AD$21:$AD$97,B767))*(1+INDEX($AD$21:$AD$97,C767))*(1+INDEX($AD$21:$AD$97,D767))*(1+INDEX($AD$21:$AD$97,E767))*(1+INDEX($AD$21:$AD$97,F767))-1</f>
        <v>0.262962897592901</v>
      </c>
      <c r="N767" s="489">
        <f>(1+INDEX($AE$21:$AE$97,B767))*(1+INDEX($AE$21:$AE$97,C767))*(1+INDEX($AE$21:$AE$97,D767))*(1+INDEX($AE$21:$AE$97,E767))*(1+INDEX($AE$21:$AE$97,F767))-1</f>
        <v>0.282167638739471</v>
      </c>
      <c r="O767" s="489">
        <f>(1+INDEX($AF$21:$AF$97,B767))*(1+INDEX($AF$21:$AF$97,C767))*(1+INDEX($AF$21:$AF$97,D767))*(1+INDEX($AF$21:$AF$97,E767))*(1+INDEX($AF$21:$AF$97,F767))-1</f>
        <v>0.24402368329923</v>
      </c>
      <c r="P767" s="489">
        <f>LN((1+L767)/(1+H767))</f>
        <v>0.00146634013354236</v>
      </c>
      <c r="Q767" s="489">
        <f>LN((1+M767)/(1+H767))</f>
        <v>-0.00302859641507985</v>
      </c>
      <c r="R767" s="489">
        <f>LN((1+N767)/(1+H767))</f>
        <v>0.012063050456075</v>
      </c>
      <c r="S767" s="542">
        <f>LN((1+O767)/(1+H767))</f>
        <v>-0.0181380307832781</v>
      </c>
    </row>
    <row r="768">
      <c r="A768" s="320" t="n">
        <v>667</v>
      </c>
      <c r="B768" s="174" t="n">
        <v>30</v>
      </c>
      <c r="C768" s="174" t="n">
        <v>72</v>
      </c>
      <c r="D768" s="174" t="n">
        <v>19</v>
      </c>
      <c r="E768" s="174" t="n">
        <v>39</v>
      </c>
      <c r="F768" s="174" t="n">
        <v>16</v>
      </c>
      <c r="G768" s="68">
        <f>(1+INDEX($Z$21:$Z$97,B768))*(1+INDEX($Z$21:$Z$97,C768))*(1+INDEX($Z$21:$Z$97,D768))*(1+INDEX($Z$21:$Z$97,E768))*(1+INDEX($Z$21:$Z$97,F768))-1</f>
        <v>0.390530307480417</v>
      </c>
      <c r="H768" s="68">
        <f>(1+INDEX($AA$21:$AA$97,B768))*(1+INDEX($AA$21:$AA$97,C768))*(1+INDEX($AA$21:$AA$97,D768))*(1+INDEX($AA$21:$AA$97,E768))*(1+INDEX($AA$21:$AA$97,F768))-1</f>
        <v>0.352162387533525</v>
      </c>
      <c r="I768" s="68">
        <f>(1+INDEX($AB$21:$AB$97,B768))*(1+INDEX($AB$21:$AB$97,C768))*(1+INDEX($AB$21:$AB$97,D768))*(1+INDEX($AB$21:$AB$97,E768))*(1+INDEX($AB$21:$AB$97,F768))-1</f>
        <v>0.375871875692717</v>
      </c>
      <c r="J768" s="489">
        <f>LN((1+G768)/(1+H768))</f>
        <v>0.0279801110260929</v>
      </c>
      <c r="K768" s="489">
        <f>LN((1+I768)/(1+H768))</f>
        <v>0.017382542049724</v>
      </c>
      <c r="L768" s="489">
        <f>(1+INDEX($AC$21:$AC$97,B768))*(1+INDEX($AC$21:$AC$97,C768))*(1+INDEX($AC$21:$AC$97,D768))*(1+INDEX($AC$21:$AC$97,E768))*(1+INDEX($AC$21:$AC$97,F768))-1</f>
        <v>0.351816990809528</v>
      </c>
      <c r="M768" s="489">
        <f>(1+INDEX($AD$21:$AD$97,B768))*(1+INDEX($AD$21:$AD$97,C768))*(1+INDEX($AD$21:$AD$97,D768))*(1+INDEX($AD$21:$AD$97,E768))*(1+INDEX($AD$21:$AD$97,F768))-1</f>
        <v>0.37787435450895</v>
      </c>
      <c r="N768" s="489">
        <f>(1+INDEX($AE$21:$AE$97,B768))*(1+INDEX($AE$21:$AE$97,C768))*(1+INDEX($AE$21:$AE$97,D768))*(1+INDEX($AE$21:$AE$97,E768))*(1+INDEX($AE$21:$AE$97,F768))-1</f>
        <v>0.350737703496429</v>
      </c>
      <c r="O768" s="489">
        <f>(1+INDEX($AF$21:$AF$97,B768))*(1+INDEX($AF$21:$AF$97,C768))*(1+INDEX($AF$21:$AF$97,D768))*(1+INDEX($AF$21:$AF$97,E768))*(1+INDEX($AF$21:$AF$97,F768))-1</f>
        <v>0.386876788677686</v>
      </c>
      <c r="P768" s="489">
        <f>LN((1+L768)/(1+H768))</f>
        <v>-0.00025547289941809</v>
      </c>
      <c r="Q768" s="489">
        <f>LN((1+M768)/(1+H768))</f>
        <v>0.0188369093020426</v>
      </c>
      <c r="R768" s="489">
        <f>LN((1+N768)/(1+H768))</f>
        <v>-0.00105418929376134</v>
      </c>
      <c r="S768" s="542">
        <f>LN((1+O768)/(1+H768))</f>
        <v>0.0253492248912354</v>
      </c>
    </row>
    <row r="769">
      <c r="A769" s="320" t="n">
        <v>668</v>
      </c>
      <c r="B769" s="174" t="n">
        <v>14</v>
      </c>
      <c r="C769" s="174" t="n">
        <v>57</v>
      </c>
      <c r="D769" s="174" t="n">
        <v>20</v>
      </c>
      <c r="E769" s="174" t="n">
        <v>3</v>
      </c>
      <c r="F769" s="174" t="n">
        <v>49</v>
      </c>
      <c r="G769" s="68">
        <f>(1+INDEX($Z$21:$Z$97,B769))*(1+INDEX($Z$21:$Z$97,C769))*(1+INDEX($Z$21:$Z$97,D769))*(1+INDEX($Z$21:$Z$97,E769))*(1+INDEX($Z$21:$Z$97,F769))-1</f>
        <v>0.658721383140488</v>
      </c>
      <c r="H769" s="68">
        <f>(1+INDEX($AA$21:$AA$97,B769))*(1+INDEX($AA$21:$AA$97,C769))*(1+INDEX($AA$21:$AA$97,D769))*(1+INDEX($AA$21:$AA$97,E769))*(1+INDEX($AA$21:$AA$97,F769))-1</f>
        <v>0.520968928741775</v>
      </c>
      <c r="I769" s="68">
        <f>(1+INDEX($AB$21:$AB$97,B769))*(1+INDEX($AB$21:$AB$97,C769))*(1+INDEX($AB$21:$AB$97,D769))*(1+INDEX($AB$21:$AB$97,E769))*(1+INDEX($AB$21:$AB$97,F769))-1</f>
        <v>0.56996250956162</v>
      </c>
      <c r="J769" s="489">
        <f>LN((1+G769)/(1+H769))</f>
        <v>0.0866994695616202</v>
      </c>
      <c r="K769" s="489">
        <f>LN((1+I769)/(1+H769))</f>
        <v>0.0317041549241531</v>
      </c>
      <c r="L769" s="489">
        <f>(1+INDEX($AC$21:$AC$97,B769))*(1+INDEX($AC$21:$AC$97,C769))*(1+INDEX($AC$21:$AC$97,D769))*(1+INDEX($AC$21:$AC$97,E769))*(1+INDEX($AC$21:$AC$97,F769))-1</f>
        <v>0.556253095288826</v>
      </c>
      <c r="M769" s="489">
        <f>(1+INDEX($AD$21:$AD$97,B769))*(1+INDEX($AD$21:$AD$97,C769))*(1+INDEX($AD$21:$AD$97,D769))*(1+INDEX($AD$21:$AD$97,E769))*(1+INDEX($AD$21:$AD$97,F769))-1</f>
        <v>0.568706899237251</v>
      </c>
      <c r="N769" s="489">
        <f>(1+INDEX($AE$21:$AE$97,B769))*(1+INDEX($AE$21:$AE$97,C769))*(1+INDEX($AE$21:$AE$97,D769))*(1+INDEX($AE$21:$AE$97,E769))*(1+INDEX($AE$21:$AE$97,F769))-1</f>
        <v>0.543821539523588</v>
      </c>
      <c r="O769" s="489">
        <f>(1+INDEX($AF$21:$AF$97,B769))*(1+INDEX($AF$21:$AF$97,C769))*(1+INDEX($AF$21:$AF$97,D769))*(1+INDEX($AF$21:$AF$97,E769))*(1+INDEX($AF$21:$AF$97,F769))-1</f>
        <v>0.54603671502434</v>
      </c>
      <c r="P769" s="489">
        <f>LN((1+L769)/(1+H769))</f>
        <v>0.0229334852786789</v>
      </c>
      <c r="Q769" s="489">
        <f>LN((1+M769)/(1+H769))</f>
        <v>0.0309040640398885</v>
      </c>
      <c r="R769" s="489">
        <f>LN((1+N769)/(1+H769))</f>
        <v>0.0149132768213841</v>
      </c>
      <c r="S769" s="542">
        <f>LN((1+O769)/(1+H769))</f>
        <v>0.0163471133910744</v>
      </c>
    </row>
    <row r="770">
      <c r="A770" s="320" t="n">
        <v>669</v>
      </c>
      <c r="B770" s="174" t="n">
        <v>25</v>
      </c>
      <c r="C770" s="174" t="n">
        <v>9</v>
      </c>
      <c r="D770" s="174" t="n">
        <v>6</v>
      </c>
      <c r="E770" s="174" t="n">
        <v>55</v>
      </c>
      <c r="F770" s="174" t="n">
        <v>63</v>
      </c>
      <c r="G770" s="68">
        <f>(1+INDEX($Z$21:$Z$97,B770))*(1+INDEX($Z$21:$Z$97,C770))*(1+INDEX($Z$21:$Z$97,D770))*(1+INDEX($Z$21:$Z$97,E770))*(1+INDEX($Z$21:$Z$97,F770))-1</f>
        <v>-0.274387785156774</v>
      </c>
      <c r="H770" s="68">
        <f>(1+INDEX($AA$21:$AA$97,B770))*(1+INDEX($AA$21:$AA$97,C770))*(1+INDEX($AA$21:$AA$97,D770))*(1+INDEX($AA$21:$AA$97,E770))*(1+INDEX($AA$21:$AA$97,F770))-1</f>
        <v>-0.232776003105933</v>
      </c>
      <c r="I770" s="68">
        <f>(1+INDEX($AB$21:$AB$97,B770))*(1+INDEX($AB$21:$AB$97,C770))*(1+INDEX($AB$21:$AB$97,D770))*(1+INDEX($AB$21:$AB$97,E770))*(1+INDEX($AB$21:$AB$97,F770))-1</f>
        <v>-0.26561405581778</v>
      </c>
      <c r="J770" s="489">
        <f>LN((1+G770)/(1+H770))</f>
        <v>-0.0557630688305278</v>
      </c>
      <c r="K770" s="489">
        <f>LN((1+I770)/(1+H770))</f>
        <v>-0.0437441016799984</v>
      </c>
      <c r="L770" s="489">
        <f>(1+INDEX($AC$21:$AC$97,B770))*(1+INDEX($AC$21:$AC$97,C770))*(1+INDEX($AC$21:$AC$97,D770))*(1+INDEX($AC$21:$AC$97,E770))*(1+INDEX($AC$21:$AC$97,F770))-1</f>
        <v>-0.280100436557631</v>
      </c>
      <c r="M770" s="489">
        <f>(1+INDEX($AD$21:$AD$97,B770))*(1+INDEX($AD$21:$AD$97,C770))*(1+INDEX($AD$21:$AD$97,D770))*(1+INDEX($AD$21:$AD$97,E770))*(1+INDEX($AD$21:$AD$97,F770))-1</f>
        <v>-0.265998641607986</v>
      </c>
      <c r="N770" s="489">
        <f>(1+INDEX($AE$21:$AE$97,B770))*(1+INDEX($AE$21:$AE$97,C770))*(1+INDEX($AE$21:$AE$97,D770))*(1+INDEX($AE$21:$AE$97,E770))*(1+INDEX($AE$21:$AE$97,F770))-1</f>
        <v>-0.290631094595956</v>
      </c>
      <c r="O770" s="489">
        <f>(1+INDEX($AF$21:$AF$97,B770))*(1+INDEX($AF$21:$AF$97,C770))*(1+INDEX($AF$21:$AF$97,D770))*(1+INDEX($AF$21:$AF$97,E770))*(1+INDEX($AF$21:$AF$97,F770))-1</f>
        <v>-0.203967024665033</v>
      </c>
      <c r="P770" s="489">
        <f>LN((1+L770)/(1+H770))</f>
        <v>-0.0636670945568863</v>
      </c>
      <c r="Q770" s="489">
        <f>LN((1+M770)/(1+H770))</f>
        <v>-0.0442679223345694</v>
      </c>
      <c r="R770" s="489">
        <f>LN((1+N770)/(1+H770))</f>
        <v>-0.0784030924857392</v>
      </c>
      <c r="S770" s="542">
        <f>LN((1+O770)/(1+H770))</f>
        <v>0.0368618096688554</v>
      </c>
    </row>
    <row r="771">
      <c r="A771" s="320" t="n">
        <v>670</v>
      </c>
      <c r="B771" s="174" t="n">
        <v>17</v>
      </c>
      <c r="C771" s="174" t="n">
        <v>12</v>
      </c>
      <c r="D771" s="174" t="n">
        <v>17</v>
      </c>
      <c r="E771" s="174" t="n">
        <v>68</v>
      </c>
      <c r="F771" s="174" t="n">
        <v>15</v>
      </c>
      <c r="G771" s="68">
        <f>(1+INDEX($Z$21:$Z$97,B771))*(1+INDEX($Z$21:$Z$97,C771))*(1+INDEX($Z$21:$Z$97,D771))*(1+INDEX($Z$21:$Z$97,E771))*(1+INDEX($Z$21:$Z$97,F771))-1</f>
        <v>0.432923704701349</v>
      </c>
      <c r="H771" s="68">
        <f>(1+INDEX($AA$21:$AA$97,B771))*(1+INDEX($AA$21:$AA$97,C771))*(1+INDEX($AA$21:$AA$97,D771))*(1+INDEX($AA$21:$AA$97,E771))*(1+INDEX($AA$21:$AA$97,F771))-1</f>
        <v>0.353478989285335</v>
      </c>
      <c r="I771" s="68">
        <f>(1+INDEX($AB$21:$AB$97,B771))*(1+INDEX($AB$21:$AB$97,C771))*(1+INDEX($AB$21:$AB$97,D771))*(1+INDEX($AB$21:$AB$97,E771))*(1+INDEX($AB$21:$AB$97,F771))-1</f>
        <v>0.358540298431353</v>
      </c>
      <c r="J771" s="489">
        <f>LN((1+G771)/(1+H771))</f>
        <v>0.0570385990638949</v>
      </c>
      <c r="K771" s="489">
        <f>LN((1+I771)/(1+H771))</f>
        <v>0.00373250665653763</v>
      </c>
      <c r="L771" s="489">
        <f>(1+INDEX($AC$21:$AC$97,B771))*(1+INDEX($AC$21:$AC$97,C771))*(1+INDEX($AC$21:$AC$97,D771))*(1+INDEX($AC$21:$AC$97,E771))*(1+INDEX($AC$21:$AC$97,F771))-1</f>
        <v>0.342855377111521</v>
      </c>
      <c r="M771" s="489">
        <f>(1+INDEX($AD$21:$AD$97,B771))*(1+INDEX($AD$21:$AD$97,C771))*(1+INDEX($AD$21:$AD$97,D771))*(1+INDEX($AD$21:$AD$97,E771))*(1+INDEX($AD$21:$AD$97,F771))-1</f>
        <v>0.366210055217735</v>
      </c>
      <c r="N771" s="489">
        <f>(1+INDEX($AE$21:$AE$97,B771))*(1+INDEX($AE$21:$AE$97,C771))*(1+INDEX($AE$21:$AE$97,D771))*(1+INDEX($AE$21:$AE$97,E771))*(1+INDEX($AE$21:$AE$97,F771))-1</f>
        <v>0.337977590590177</v>
      </c>
      <c r="O771" s="489">
        <f>(1+INDEX($AF$21:$AF$97,B771))*(1+INDEX($AF$21:$AF$97,C771))*(1+INDEX($AF$21:$AF$97,D771))*(1+INDEX($AF$21:$AF$97,E771))*(1+INDEX($AF$21:$AF$97,F771))-1</f>
        <v>0.370684586176822</v>
      </c>
      <c r="P771" s="489">
        <f>LN((1+L771)/(1+H771))</f>
        <v>-0.00788008140201413</v>
      </c>
      <c r="Q771" s="489">
        <f>LN((1+M771)/(1+H771))</f>
        <v>0.0093622165732435</v>
      </c>
      <c r="R771" s="489">
        <f>LN((1+N771)/(1+H771))</f>
        <v>-0.011519093576897</v>
      </c>
      <c r="S771" s="542">
        <f>LN((1+O771)/(1+H771))</f>
        <v>0.0126320062670379</v>
      </c>
    </row>
    <row r="772">
      <c r="A772" s="320" t="n">
        <v>671</v>
      </c>
      <c r="B772" s="174" t="n">
        <v>71</v>
      </c>
      <c r="C772" s="174" t="n">
        <v>65</v>
      </c>
      <c r="D772" s="174" t="n">
        <v>8</v>
      </c>
      <c r="E772" s="174" t="n">
        <v>23</v>
      </c>
      <c r="F772" s="174" t="n">
        <v>56</v>
      </c>
      <c r="G772" s="68">
        <f>(1+INDEX($Z$21:$Z$97,B772))*(1+INDEX($Z$21:$Z$97,C772))*(1+INDEX($Z$21:$Z$97,D772))*(1+INDEX($Z$21:$Z$97,E772))*(1+INDEX($Z$21:$Z$97,F772))-1</f>
        <v>0.0545993290027391</v>
      </c>
      <c r="H772" s="68">
        <f>(1+INDEX($AA$21:$AA$97,B772))*(1+INDEX($AA$21:$AA$97,C772))*(1+INDEX($AA$21:$AA$97,D772))*(1+INDEX($AA$21:$AA$97,E772))*(1+INDEX($AA$21:$AA$97,F772))-1</f>
        <v>0.0608542180254839</v>
      </c>
      <c r="I772" s="68">
        <f>(1+INDEX($AB$21:$AB$97,B772))*(1+INDEX($AB$21:$AB$97,C772))*(1+INDEX($AB$21:$AB$97,D772))*(1+INDEX($AB$21:$AB$97,E772))*(1+INDEX($AB$21:$AB$97,F772))-1</f>
        <v>0.0492998113806047</v>
      </c>
      <c r="J772" s="489">
        <f>LN((1+G772)/(1+H772))</f>
        <v>-0.0059135377936076</v>
      </c>
      <c r="K772" s="489">
        <f>LN((1+I772)/(1+H772))</f>
        <v>-0.0109513542256869</v>
      </c>
      <c r="L772" s="489">
        <f>(1+INDEX($AC$21:$AC$97,B772))*(1+INDEX($AC$21:$AC$97,C772))*(1+INDEX($AC$21:$AC$97,D772))*(1+INDEX($AC$21:$AC$97,E772))*(1+INDEX($AC$21:$AC$97,F772))-1</f>
        <v>0.0139090768667973</v>
      </c>
      <c r="M772" s="489">
        <f>(1+INDEX($AD$21:$AD$97,B772))*(1+INDEX($AD$21:$AD$97,C772))*(1+INDEX($AD$21:$AD$97,D772))*(1+INDEX($AD$21:$AD$97,E772))*(1+INDEX($AD$21:$AD$97,F772))-1</f>
        <v>0.072028791972498</v>
      </c>
      <c r="N772" s="489">
        <f>(1+INDEX($AE$21:$AE$97,B772))*(1+INDEX($AE$21:$AE$97,C772))*(1+INDEX($AE$21:$AE$97,D772))*(1+INDEX($AE$21:$AE$97,E772))*(1+INDEX($AE$21:$AE$97,F772))-1</f>
        <v>0.0206157355321794</v>
      </c>
      <c r="O772" s="489">
        <f>(1+INDEX($AF$21:$AF$97,B772))*(1+INDEX($AF$21:$AF$97,C772))*(1+INDEX($AF$21:$AF$97,D772))*(1+INDEX($AF$21:$AF$97,E772))*(1+INDEX($AF$21:$AF$97,F772))-1</f>
        <v>0.12090349962284</v>
      </c>
      <c r="P772" s="489">
        <f>LN((1+L772)/(1+H772))</f>
        <v>-0.0452612162856696</v>
      </c>
      <c r="Q772" s="489">
        <f>LN((1+M772)/(1+H772))</f>
        <v>0.0104784708211947</v>
      </c>
      <c r="R772" s="489">
        <f>LN((1+N772)/(1+H772))</f>
        <v>-0.038668342198196</v>
      </c>
      <c r="S772" s="542">
        <f>LN((1+O772)/(1+H772))</f>
        <v>0.0550606065443727</v>
      </c>
    </row>
    <row r="773">
      <c r="A773" s="320" t="n">
        <v>672</v>
      </c>
      <c r="B773" s="174" t="n">
        <v>61</v>
      </c>
      <c r="C773" s="174" t="n">
        <v>51</v>
      </c>
      <c r="D773" s="174" t="n">
        <v>69</v>
      </c>
      <c r="E773" s="174" t="n">
        <v>43</v>
      </c>
      <c r="F773" s="174" t="n">
        <v>30</v>
      </c>
      <c r="G773" s="68">
        <f>(1+INDEX($Z$21:$Z$97,B773))*(1+INDEX($Z$21:$Z$97,C773))*(1+INDEX($Z$21:$Z$97,D773))*(1+INDEX($Z$21:$Z$97,E773))*(1+INDEX($Z$21:$Z$97,F773))-1</f>
        <v>0.668957337727556</v>
      </c>
      <c r="H773" s="68">
        <f>(1+INDEX($AA$21:$AA$97,B773))*(1+INDEX($AA$21:$AA$97,C773))*(1+INDEX($AA$21:$AA$97,D773))*(1+INDEX($AA$21:$AA$97,E773))*(1+INDEX($AA$21:$AA$97,F773))-1</f>
        <v>0.641630668063916</v>
      </c>
      <c r="I773" s="68">
        <f>(1+INDEX($AB$21:$AB$97,B773))*(1+INDEX($AB$21:$AB$97,C773))*(1+INDEX($AB$21:$AB$97,D773))*(1+INDEX($AB$21:$AB$97,E773))*(1+INDEX($AB$21:$AB$97,F773))-1</f>
        <v>0.68341732475195</v>
      </c>
      <c r="J773" s="489">
        <f>LN((1+G773)/(1+H773))</f>
        <v>0.0165090251431123</v>
      </c>
      <c r="K773" s="489">
        <f>LN((1+I773)/(1+H773))</f>
        <v>0.025135791634023</v>
      </c>
      <c r="L773" s="489">
        <f>(1+INDEX($AC$21:$AC$97,B773))*(1+INDEX($AC$21:$AC$97,C773))*(1+INDEX($AC$21:$AC$97,D773))*(1+INDEX($AC$21:$AC$97,E773))*(1+INDEX($AC$21:$AC$97,F773))-1</f>
        <v>0.706973481779816</v>
      </c>
      <c r="M773" s="489">
        <f>(1+INDEX($AD$21:$AD$97,B773))*(1+INDEX($AD$21:$AD$97,C773))*(1+INDEX($AD$21:$AD$97,D773))*(1+INDEX($AD$21:$AD$97,E773))*(1+INDEX($AD$21:$AD$97,F773))-1</f>
        <v>0.646543343703598</v>
      </c>
      <c r="N773" s="489">
        <f>(1+INDEX($AE$21:$AE$97,B773))*(1+INDEX($AE$21:$AE$97,C773))*(1+INDEX($AE$21:$AE$97,D773))*(1+INDEX($AE$21:$AE$97,E773))*(1+INDEX($AE$21:$AE$97,F773))-1</f>
        <v>0.719700951009988</v>
      </c>
      <c r="O773" s="489">
        <f>(1+INDEX($AF$21:$AF$97,B773))*(1+INDEX($AF$21:$AF$97,C773))*(1+INDEX($AF$21:$AF$97,D773))*(1+INDEX($AF$21:$AF$97,E773))*(1+INDEX($AF$21:$AF$97,F773))-1</f>
        <v>0.615133273431323</v>
      </c>
      <c r="P773" s="489">
        <f>LN((1+L773)/(1+H773))</f>
        <v>0.0390318510735477</v>
      </c>
      <c r="Q773" s="489">
        <f>LN((1+M773)/(1+H773))</f>
        <v>0.00298808960682094</v>
      </c>
      <c r="R773" s="489">
        <f>LN((1+N773)/(1+H773))</f>
        <v>0.0464603523844782</v>
      </c>
      <c r="S773" s="542">
        <f>LN((1+O773)/(1+H773))</f>
        <v>-0.016272582114281</v>
      </c>
    </row>
    <row r="774">
      <c r="A774" s="320" t="n">
        <v>673</v>
      </c>
      <c r="B774" s="174" t="n">
        <v>26</v>
      </c>
      <c r="C774" s="174" t="n">
        <v>64</v>
      </c>
      <c r="D774" s="174" t="n">
        <v>28</v>
      </c>
      <c r="E774" s="174" t="n">
        <v>60</v>
      </c>
      <c r="F774" s="174" t="n">
        <v>4</v>
      </c>
      <c r="G774" s="68">
        <f>(1+INDEX($Z$21:$Z$97,B774))*(1+INDEX($Z$21:$Z$97,C774))*(1+INDEX($Z$21:$Z$97,D774))*(1+INDEX($Z$21:$Z$97,E774))*(1+INDEX($Z$21:$Z$97,F774))-1</f>
        <v>0.624245893528181</v>
      </c>
      <c r="H774" s="68">
        <f>(1+INDEX($AA$21:$AA$97,B774))*(1+INDEX($AA$21:$AA$97,C774))*(1+INDEX($AA$21:$AA$97,D774))*(1+INDEX($AA$21:$AA$97,E774))*(1+INDEX($AA$21:$AA$97,F774))-1</f>
        <v>0.616769790721333</v>
      </c>
      <c r="I774" s="68">
        <f>(1+INDEX($AB$21:$AB$97,B774))*(1+INDEX($AB$21:$AB$97,C774))*(1+INDEX($AB$21:$AB$97,D774))*(1+INDEX($AB$21:$AB$97,E774))*(1+INDEX($AB$21:$AB$97,F774))-1</f>
        <v>0.669553715413848</v>
      </c>
      <c r="J774" s="489">
        <f>LN((1+G774)/(1+H774))</f>
        <v>0.0046134402268919</v>
      </c>
      <c r="K774" s="489">
        <f>LN((1+I774)/(1+H774))</f>
        <v>0.0321261521135928</v>
      </c>
      <c r="L774" s="489">
        <f>(1+INDEX($AC$21:$AC$97,B774))*(1+INDEX($AC$21:$AC$97,C774))*(1+INDEX($AC$21:$AC$97,D774))*(1+INDEX($AC$21:$AC$97,E774))*(1+INDEX($AC$21:$AC$97,F774))-1</f>
        <v>0.710388168243496</v>
      </c>
      <c r="M774" s="489">
        <f>(1+INDEX($AD$21:$AD$97,B774))*(1+INDEX($AD$21:$AD$97,C774))*(1+INDEX($AD$21:$AD$97,D774))*(1+INDEX($AD$21:$AD$97,E774))*(1+INDEX($AD$21:$AD$97,F774))-1</f>
        <v>0.606376373109481</v>
      </c>
      <c r="N774" s="489">
        <f>(1+INDEX($AE$21:$AE$97,B774))*(1+INDEX($AE$21:$AE$97,C774))*(1+INDEX($AE$21:$AE$97,D774))*(1+INDEX($AE$21:$AE$97,E774))*(1+INDEX($AE$21:$AE$97,F774))-1</f>
        <v>0.707373838742983</v>
      </c>
      <c r="O774" s="489">
        <f>(1+INDEX($AF$21:$AF$97,B774))*(1+INDEX($AF$21:$AF$97,C774))*(1+INDEX($AF$21:$AF$97,D774))*(1+INDEX($AF$21:$AF$97,E774))*(1+INDEX($AF$21:$AF$97,F774))-1</f>
        <v>0.575621656066453</v>
      </c>
      <c r="P774" s="489">
        <f>LN((1+L774)/(1+H774))</f>
        <v>0.056290141405044</v>
      </c>
      <c r="Q774" s="489">
        <f>LN((1+M774)/(1+H774))</f>
        <v>-0.00644925988952687</v>
      </c>
      <c r="R774" s="489">
        <f>LN((1+N774)/(1+H774))</f>
        <v>0.0545262208769785</v>
      </c>
      <c r="S774" s="542">
        <f>LN((1+O774)/(1+H774))</f>
        <v>-0.0257803056543979</v>
      </c>
    </row>
    <row r="775">
      <c r="A775" s="320" t="n">
        <v>674</v>
      </c>
      <c r="B775" s="174" t="n">
        <v>69</v>
      </c>
      <c r="C775" s="174" t="n">
        <v>62</v>
      </c>
      <c r="D775" s="174" t="n">
        <v>18</v>
      </c>
      <c r="E775" s="174" t="n">
        <v>61</v>
      </c>
      <c r="F775" s="174" t="n">
        <v>34</v>
      </c>
      <c r="G775" s="68">
        <f>(1+INDEX($Z$21:$Z$97,B775))*(1+INDEX($Z$21:$Z$97,C775))*(1+INDEX($Z$21:$Z$97,D775))*(1+INDEX($Z$21:$Z$97,E775))*(1+INDEX($Z$21:$Z$97,F775))-1</f>
        <v>0.400295903022696</v>
      </c>
      <c r="H775" s="68">
        <f>(1+INDEX($AA$21:$AA$97,B775))*(1+INDEX($AA$21:$AA$97,C775))*(1+INDEX($AA$21:$AA$97,D775))*(1+INDEX($AA$21:$AA$97,E775))*(1+INDEX($AA$21:$AA$97,F775))-1</f>
        <v>0.414931510816759</v>
      </c>
      <c r="I775" s="68">
        <f>(1+INDEX($AB$21:$AB$97,B775))*(1+INDEX($AB$21:$AB$97,C775))*(1+INDEX($AB$21:$AB$97,D775))*(1+INDEX($AB$21:$AB$97,E775))*(1+INDEX($AB$21:$AB$97,F775))-1</f>
        <v>0.424092643099444</v>
      </c>
      <c r="J775" s="489">
        <f>LN((1+G775)/(1+H775))</f>
        <v>-0.0103975540842259</v>
      </c>
      <c r="K775" s="489">
        <f>LN((1+I775)/(1+H775))</f>
        <v>0.00645374155579798</v>
      </c>
      <c r="L775" s="489">
        <f>(1+INDEX($AC$21:$AC$97,B775))*(1+INDEX($AC$21:$AC$97,C775))*(1+INDEX($AC$21:$AC$97,D775))*(1+INDEX($AC$21:$AC$97,E775))*(1+INDEX($AC$21:$AC$97,F775))-1</f>
        <v>0.458028273237491</v>
      </c>
      <c r="M775" s="489">
        <f>(1+INDEX($AD$21:$AD$97,B775))*(1+INDEX($AD$21:$AD$97,C775))*(1+INDEX($AD$21:$AD$97,D775))*(1+INDEX($AD$21:$AD$97,E775))*(1+INDEX($AD$21:$AD$97,F775))-1</f>
        <v>0.371165547170454</v>
      </c>
      <c r="N775" s="489">
        <f>(1+INDEX($AE$21:$AE$97,B775))*(1+INDEX($AE$21:$AE$97,C775))*(1+INDEX($AE$21:$AE$97,D775))*(1+INDEX($AE$21:$AE$97,E775))*(1+INDEX($AE$21:$AE$97,F775))-1</f>
        <v>0.480116486722165</v>
      </c>
      <c r="O775" s="489">
        <f>(1+INDEX($AF$21:$AF$97,B775))*(1+INDEX($AF$21:$AF$97,C775))*(1+INDEX($AF$21:$AF$97,D775))*(1+INDEX($AF$21:$AF$97,E775))*(1+INDEX($AF$21:$AF$97,F775))-1</f>
        <v>0.33192603455646</v>
      </c>
      <c r="P775" s="489">
        <f>LN((1+L775)/(1+H775))</f>
        <v>0.0300038975195752</v>
      </c>
      <c r="Q775" s="489">
        <f>LN((1+M775)/(1+H775))</f>
        <v>-0.0314199851709706</v>
      </c>
      <c r="R775" s="489">
        <f>LN((1+N775)/(1+H775))</f>
        <v>0.0450396642493436</v>
      </c>
      <c r="S775" s="542">
        <f>LN((1+O775)/(1+H775))</f>
        <v>-0.0604550867100299</v>
      </c>
    </row>
    <row r="776">
      <c r="A776" s="320" t="n">
        <v>675</v>
      </c>
      <c r="B776" s="174" t="n">
        <v>48</v>
      </c>
      <c r="C776" s="174" t="n">
        <v>57</v>
      </c>
      <c r="D776" s="174" t="n">
        <v>55</v>
      </c>
      <c r="E776" s="174" t="n">
        <v>43</v>
      </c>
      <c r="F776" s="174" t="n">
        <v>46</v>
      </c>
      <c r="G776" s="68">
        <f>(1+INDEX($Z$21:$Z$97,B776))*(1+INDEX($Z$21:$Z$97,C776))*(1+INDEX($Z$21:$Z$97,D776))*(1+INDEX($Z$21:$Z$97,E776))*(1+INDEX($Z$21:$Z$97,F776))-1</f>
        <v>0.34638347297634</v>
      </c>
      <c r="H776" s="68">
        <f>(1+INDEX($AA$21:$AA$97,B776))*(1+INDEX($AA$21:$AA$97,C776))*(1+INDEX($AA$21:$AA$97,D776))*(1+INDEX($AA$21:$AA$97,E776))*(1+INDEX($AA$21:$AA$97,F776))-1</f>
        <v>0.326626165974127</v>
      </c>
      <c r="I776" s="68">
        <f>(1+INDEX($AB$21:$AB$97,B776))*(1+INDEX($AB$21:$AB$97,C776))*(1+INDEX($AB$21:$AB$97,D776))*(1+INDEX($AB$21:$AB$97,E776))*(1+INDEX($AB$21:$AB$97,F776))-1</f>
        <v>0.370514961276899</v>
      </c>
      <c r="J776" s="489">
        <f>LN((1+G776)/(1+H776))</f>
        <v>0.0147830868440743</v>
      </c>
      <c r="K776" s="489">
        <f>LN((1+I776)/(1+H776))</f>
        <v>0.0325475513549715</v>
      </c>
      <c r="L776" s="489">
        <f>(1+INDEX($AC$21:$AC$97,B776))*(1+INDEX($AC$21:$AC$97,C776))*(1+INDEX($AC$21:$AC$97,D776))*(1+INDEX($AC$21:$AC$97,E776))*(1+INDEX($AC$21:$AC$97,F776))-1</f>
        <v>0.35640033939615</v>
      </c>
      <c r="M776" s="489">
        <f>(1+INDEX($AD$21:$AD$97,B776))*(1+INDEX($AD$21:$AD$97,C776))*(1+INDEX($AD$21:$AD$97,D776))*(1+INDEX($AD$21:$AD$97,E776))*(1+INDEX($AD$21:$AD$97,F776))-1</f>
        <v>0.362936623984167</v>
      </c>
      <c r="N776" s="489">
        <f>(1+INDEX($AE$21:$AE$97,B776))*(1+INDEX($AE$21:$AE$97,C776))*(1+INDEX($AE$21:$AE$97,D776))*(1+INDEX($AE$21:$AE$97,E776))*(1+INDEX($AE$21:$AE$97,F776))-1</f>
        <v>0.346177830505612</v>
      </c>
      <c r="O776" s="489">
        <f>(1+INDEX($AF$21:$AF$97,B776))*(1+INDEX($AF$21:$AF$97,C776))*(1+INDEX($AF$21:$AF$97,D776))*(1+INDEX($AF$21:$AF$97,E776))*(1+INDEX($AF$21:$AF$97,F776))-1</f>
        <v>0.367025576239427</v>
      </c>
      <c r="P776" s="489">
        <f>LN((1+L776)/(1+H776))</f>
        <v>0.0221953794856135</v>
      </c>
      <c r="Q776" s="489">
        <f>LN((1+M776)/(1+H776))</f>
        <v>0.0270026521875675</v>
      </c>
      <c r="R776" s="489">
        <f>LN((1+N776)/(1+H776))</f>
        <v>0.0146303382542002</v>
      </c>
      <c r="S776" s="542">
        <f>LN((1+O776)/(1+H776))</f>
        <v>0.0299982653229263</v>
      </c>
    </row>
    <row r="777">
      <c r="A777" s="320" t="n">
        <v>676</v>
      </c>
      <c r="B777" s="174" t="n">
        <v>9</v>
      </c>
      <c r="C777" s="174" t="n">
        <v>68</v>
      </c>
      <c r="D777" s="174" t="n">
        <v>19</v>
      </c>
      <c r="E777" s="174" t="n">
        <v>73</v>
      </c>
      <c r="F777" s="174" t="n">
        <v>50</v>
      </c>
      <c r="G777" s="68">
        <f>(1+INDEX($Z$21:$Z$97,B777))*(1+INDEX($Z$21:$Z$97,C777))*(1+INDEX($Z$21:$Z$97,D777))*(1+INDEX($Z$21:$Z$97,E777))*(1+INDEX($Z$21:$Z$97,F777))-1</f>
        <v>0.0467155214070996</v>
      </c>
      <c r="H777" s="68">
        <f>(1+INDEX($AA$21:$AA$97,B777))*(1+INDEX($AA$21:$AA$97,C777))*(1+INDEX($AA$21:$AA$97,D777))*(1+INDEX($AA$21:$AA$97,E777))*(1+INDEX($AA$21:$AA$97,F777))-1</f>
        <v>0.0702224389370336</v>
      </c>
      <c r="I777" s="68">
        <f>(1+INDEX($AB$21:$AB$97,B777))*(1+INDEX($AB$21:$AB$97,C777))*(1+INDEX($AB$21:$AB$97,D777))*(1+INDEX($AB$21:$AB$97,E777))*(1+INDEX($AB$21:$AB$97,F777))-1</f>
        <v>0.0585146953506102</v>
      </c>
      <c r="J777" s="489">
        <f>LN((1+G777)/(1+H777))</f>
        <v>-0.0222093270590407</v>
      </c>
      <c r="K777" s="489">
        <f>LN((1+I777)/(1+H777))</f>
        <v>-0.0109998190446379</v>
      </c>
      <c r="L777" s="489">
        <f>(1+INDEX($AC$21:$AC$97,B777))*(1+INDEX($AC$21:$AC$97,C777))*(1+INDEX($AC$21:$AC$97,D777))*(1+INDEX($AC$21:$AC$97,E777))*(1+INDEX($AC$21:$AC$97,F777))-1</f>
        <v>0.0316309175104021</v>
      </c>
      <c r="M777" s="489">
        <f>(1+INDEX($AD$21:$AD$97,B777))*(1+INDEX($AD$21:$AD$97,C777))*(1+INDEX($AD$21:$AD$97,D777))*(1+INDEX($AD$21:$AD$97,E777))*(1+INDEX($AD$21:$AD$97,F777))-1</f>
        <v>0.0753721226919737</v>
      </c>
      <c r="N777" s="489">
        <f>(1+INDEX($AE$21:$AE$97,B777))*(1+INDEX($AE$21:$AE$97,C777))*(1+INDEX($AE$21:$AE$97,D777))*(1+INDEX($AE$21:$AE$97,E777))*(1+INDEX($AE$21:$AE$97,F777))-1</f>
        <v>0.0291629940202232</v>
      </c>
      <c r="O777" s="489">
        <f>(1+INDEX($AF$21:$AF$97,B777))*(1+INDEX($AF$21:$AF$97,C777))*(1+INDEX($AF$21:$AF$97,D777))*(1+INDEX($AF$21:$AF$97,E777))*(1+INDEX($AF$21:$AF$97,F777))-1</f>
        <v>0.115449235269438</v>
      </c>
      <c r="P777" s="489">
        <f>LN((1+L777)/(1+H777))</f>
        <v>-0.0367255487050689</v>
      </c>
      <c r="Q777" s="489">
        <f>LN((1+M777)/(1+H777))</f>
        <v>0.00480024859817268</v>
      </c>
      <c r="R777" s="489">
        <f>LN((1+N777)/(1+H777))</f>
        <v>-0.0391206690091045</v>
      </c>
      <c r="S777" s="542">
        <f>LN((1+O777)/(1+H777))</f>
        <v>0.0413907116305946</v>
      </c>
    </row>
    <row r="778">
      <c r="A778" s="320" t="n">
        <v>677</v>
      </c>
      <c r="B778" s="174" t="n">
        <v>72</v>
      </c>
      <c r="C778" s="174" t="n">
        <v>42</v>
      </c>
      <c r="D778" s="174" t="n">
        <v>14</v>
      </c>
      <c r="E778" s="174" t="n">
        <v>67</v>
      </c>
      <c r="F778" s="174" t="n">
        <v>71</v>
      </c>
      <c r="G778" s="68">
        <f>(1+INDEX($Z$21:$Z$97,B778))*(1+INDEX($Z$21:$Z$97,C778))*(1+INDEX($Z$21:$Z$97,D778))*(1+INDEX($Z$21:$Z$97,E778))*(1+INDEX($Z$21:$Z$97,F778))-1</f>
        <v>0.757967270017983</v>
      </c>
      <c r="H778" s="68">
        <f>(1+INDEX($AA$21:$AA$97,B778))*(1+INDEX($AA$21:$AA$97,C778))*(1+INDEX($AA$21:$AA$97,D778))*(1+INDEX($AA$21:$AA$97,E778))*(1+INDEX($AA$21:$AA$97,F778))-1</f>
        <v>0.712329364945679</v>
      </c>
      <c r="I778" s="68">
        <f>(1+INDEX($AB$21:$AB$97,B778))*(1+INDEX($AB$21:$AB$97,C778))*(1+INDEX($AB$21:$AB$97,D778))*(1+INDEX($AB$21:$AB$97,E778))*(1+INDEX($AB$21:$AB$97,F778))-1</f>
        <v>0.785233846914535</v>
      </c>
      <c r="J778" s="489">
        <f>LN((1+G778)/(1+H778))</f>
        <v>0.0263035360703366</v>
      </c>
      <c r="K778" s="489">
        <f>LN((1+I778)/(1+H778))</f>
        <v>0.0416947680436615</v>
      </c>
      <c r="L778" s="489">
        <f>(1+INDEX($AC$21:$AC$97,B778))*(1+INDEX($AC$21:$AC$97,C778))*(1+INDEX($AC$21:$AC$97,D778))*(1+INDEX($AC$21:$AC$97,E778))*(1+INDEX($AC$21:$AC$97,F778))-1</f>
        <v>0.785232950194184</v>
      </c>
      <c r="M778" s="489">
        <f>(1+INDEX($AD$21:$AD$97,B778))*(1+INDEX($AD$21:$AD$97,C778))*(1+INDEX($AD$21:$AD$97,D778))*(1+INDEX($AD$21:$AD$97,E778))*(1+INDEX($AD$21:$AD$97,F778))-1</f>
        <v>0.78114656032685</v>
      </c>
      <c r="N778" s="489">
        <f>(1+INDEX($AE$21:$AE$97,B778))*(1+INDEX($AE$21:$AE$97,C778))*(1+INDEX($AE$21:$AE$97,D778))*(1+INDEX($AE$21:$AE$97,E778))*(1+INDEX($AE$21:$AE$97,F778))-1</f>
        <v>0.787448806531436</v>
      </c>
      <c r="O778" s="489">
        <f>(1+INDEX($AF$21:$AF$97,B778))*(1+INDEX($AF$21:$AF$97,C778))*(1+INDEX($AF$21:$AF$97,D778))*(1+INDEX($AF$21:$AF$97,E778))*(1+INDEX($AF$21:$AF$97,F778))-1</f>
        <v>0.720496314425738</v>
      </c>
      <c r="P778" s="489">
        <f>LN((1+L778)/(1+H778))</f>
        <v>0.0416942657449972</v>
      </c>
      <c r="Q778" s="489">
        <f>LN((1+M778)/(1+H778))</f>
        <v>0.0394026466710371</v>
      </c>
      <c r="R778" s="489">
        <f>LN((1+N778)/(1+H778))</f>
        <v>0.0429347101910828</v>
      </c>
      <c r="S778" s="542">
        <f>LN((1+O778)/(1+H778))</f>
        <v>0.00475815881796339</v>
      </c>
    </row>
    <row r="779">
      <c r="A779" s="320" t="n">
        <v>678</v>
      </c>
      <c r="B779" s="174" t="n">
        <v>69</v>
      </c>
      <c r="C779" s="174" t="n">
        <v>61</v>
      </c>
      <c r="D779" s="174" t="n">
        <v>4</v>
      </c>
      <c r="E779" s="174" t="n">
        <v>32</v>
      </c>
      <c r="F779" s="174" t="n">
        <v>76</v>
      </c>
      <c r="G779" s="68">
        <f>(1+INDEX($Z$21:$Z$97,B779))*(1+INDEX($Z$21:$Z$97,C779))*(1+INDEX($Z$21:$Z$97,D779))*(1+INDEX($Z$21:$Z$97,E779))*(1+INDEX($Z$21:$Z$97,F779))-1</f>
        <v>0.564158612406849</v>
      </c>
      <c r="H779" s="68">
        <f>(1+INDEX($AA$21:$AA$97,B779))*(1+INDEX($AA$21:$AA$97,C779))*(1+INDEX($AA$21:$AA$97,D779))*(1+INDEX($AA$21:$AA$97,E779))*(1+INDEX($AA$21:$AA$97,F779))-1</f>
        <v>0.561908663316014</v>
      </c>
      <c r="I779" s="68">
        <f>(1+INDEX($AB$21:$AB$97,B779))*(1+INDEX($AB$21:$AB$97,C779))*(1+INDEX($AB$21:$AB$97,D779))*(1+INDEX($AB$21:$AB$97,E779))*(1+INDEX($AB$21:$AB$97,F779))-1</f>
        <v>0.580163827975443</v>
      </c>
      <c r="J779" s="489">
        <f>LN((1+G779)/(1+H779))</f>
        <v>0.00143947604507184</v>
      </c>
      <c r="K779" s="489">
        <f>LN((1+I779)/(1+H779))</f>
        <v>0.0116199547373169</v>
      </c>
      <c r="L779" s="489">
        <f>(1+INDEX($AC$21:$AC$97,B779))*(1+INDEX($AC$21:$AC$97,C779))*(1+INDEX($AC$21:$AC$97,D779))*(1+INDEX($AC$21:$AC$97,E779))*(1+INDEX($AC$21:$AC$97,F779))-1</f>
        <v>0.607141857253844</v>
      </c>
      <c r="M779" s="489">
        <f>(1+INDEX($AD$21:$AD$97,B779))*(1+INDEX($AD$21:$AD$97,C779))*(1+INDEX($AD$21:$AD$97,D779))*(1+INDEX($AD$21:$AD$97,E779))*(1+INDEX($AD$21:$AD$97,F779))-1</f>
        <v>0.549879956071518</v>
      </c>
      <c r="N779" s="489">
        <f>(1+INDEX($AE$21:$AE$97,B779))*(1+INDEX($AE$21:$AE$97,C779))*(1+INDEX($AE$21:$AE$97,D779))*(1+INDEX($AE$21:$AE$97,E779))*(1+INDEX($AE$21:$AE$97,F779))-1</f>
        <v>0.608180810793369</v>
      </c>
      <c r="O779" s="489">
        <f>(1+INDEX($AF$21:$AF$97,B779))*(1+INDEX($AF$21:$AF$97,C779))*(1+INDEX($AF$21:$AF$97,D779))*(1+INDEX($AF$21:$AF$97,E779))*(1+INDEX($AF$21:$AF$97,F779))-1</f>
        <v>0.513811454089705</v>
      </c>
      <c r="P779" s="489">
        <f>LN((1+L779)/(1+H779))</f>
        <v>0.028548781923438</v>
      </c>
      <c r="Q779" s="489">
        <f>LN((1+M779)/(1+H779))</f>
        <v>-0.00773109528218824</v>
      </c>
      <c r="R779" s="489">
        <f>LN((1+N779)/(1+H779))</f>
        <v>0.0291950334402814</v>
      </c>
      <c r="S779" s="542">
        <f>LN((1+O779)/(1+H779))</f>
        <v>-0.0312779632055388</v>
      </c>
    </row>
    <row r="780">
      <c r="A780" s="320" t="n">
        <v>679</v>
      </c>
      <c r="B780" s="174" t="n">
        <v>56</v>
      </c>
      <c r="C780" s="174" t="n">
        <v>8</v>
      </c>
      <c r="D780" s="174" t="n">
        <v>12</v>
      </c>
      <c r="E780" s="174" t="n">
        <v>34</v>
      </c>
      <c r="F780" s="174" t="n">
        <v>75</v>
      </c>
      <c r="G780" s="68">
        <f>(1+INDEX($Z$21:$Z$97,B780))*(1+INDEX($Z$21:$Z$97,C780))*(1+INDEX($Z$21:$Z$97,D780))*(1+INDEX($Z$21:$Z$97,E780))*(1+INDEX($Z$21:$Z$97,F780))-1</f>
        <v>0.166101643456212</v>
      </c>
      <c r="H780" s="68">
        <f>(1+INDEX($AA$21:$AA$97,B780))*(1+INDEX($AA$21:$AA$97,C780))*(1+INDEX($AA$21:$AA$97,D780))*(1+INDEX($AA$21:$AA$97,E780))*(1+INDEX($AA$21:$AA$97,F780))-1</f>
        <v>0.188114945006064</v>
      </c>
      <c r="I780" s="68">
        <f>(1+INDEX($AB$21:$AB$97,B780))*(1+INDEX($AB$21:$AB$97,C780))*(1+INDEX($AB$21:$AB$97,D780))*(1+INDEX($AB$21:$AB$97,E780))*(1+INDEX($AB$21:$AB$97,F780))-1</f>
        <v>0.177363558496958</v>
      </c>
      <c r="J780" s="489">
        <f>LN((1+G780)/(1+H780))</f>
        <v>-0.0187017144111374</v>
      </c>
      <c r="K780" s="489">
        <f>LN((1+I780)/(1+H780))</f>
        <v>-0.00909030500898994</v>
      </c>
      <c r="L780" s="489">
        <f>(1+INDEX($AC$21:$AC$97,B780))*(1+INDEX($AC$21:$AC$97,C780))*(1+INDEX($AC$21:$AC$97,D780))*(1+INDEX($AC$21:$AC$97,E780))*(1+INDEX($AC$21:$AC$97,F780))-1</f>
        <v>0.160751204874486</v>
      </c>
      <c r="M780" s="489">
        <f>(1+INDEX($AD$21:$AD$97,B780))*(1+INDEX($AD$21:$AD$97,C780))*(1+INDEX($AD$21:$AD$97,D780))*(1+INDEX($AD$21:$AD$97,E780))*(1+INDEX($AD$21:$AD$97,F780))-1</f>
        <v>0.208081555370917</v>
      </c>
      <c r="N780" s="489">
        <f>(1+INDEX($AE$21:$AE$97,B780))*(1+INDEX($AE$21:$AE$97,C780))*(1+INDEX($AE$21:$AE$97,D780))*(1+INDEX($AE$21:$AE$97,E780))*(1+INDEX($AE$21:$AE$97,F780))-1</f>
        <v>0.150363563384742</v>
      </c>
      <c r="O780" s="489">
        <f>(1+INDEX($AF$21:$AF$97,B780))*(1+INDEX($AF$21:$AF$97,C780))*(1+INDEX($AF$21:$AF$97,D780))*(1+INDEX($AF$21:$AF$97,E780))*(1+INDEX($AF$21:$AF$97,F780))-1</f>
        <v>0.233918255167885</v>
      </c>
      <c r="P780" s="489">
        <f>LN((1+L780)/(1+H780))</f>
        <v>-0.0233005853844665</v>
      </c>
      <c r="Q780" s="489">
        <f>LN((1+M780)/(1+H780))</f>
        <v>0.0166656386424163</v>
      </c>
      <c r="R780" s="489">
        <f>LN((1+N780)/(1+H780))</f>
        <v>-0.032289936829122</v>
      </c>
      <c r="S780" s="542">
        <f>LN((1+O780)/(1+H780))</f>
        <v>0.0378267081872302</v>
      </c>
    </row>
    <row r="781">
      <c r="A781" s="320" t="n">
        <v>680</v>
      </c>
      <c r="B781" s="174" t="n">
        <v>26</v>
      </c>
      <c r="C781" s="174" t="n">
        <v>57</v>
      </c>
      <c r="D781" s="174" t="n">
        <v>48</v>
      </c>
      <c r="E781" s="174" t="n">
        <v>8</v>
      </c>
      <c r="F781" s="174" t="n">
        <v>13</v>
      </c>
      <c r="G781" s="68">
        <f>(1+INDEX($Z$21:$Z$97,B781))*(1+INDEX($Z$21:$Z$97,C781))*(1+INDEX($Z$21:$Z$97,D781))*(1+INDEX($Z$21:$Z$97,E781))*(1+INDEX($Z$21:$Z$97,F781))-1</f>
        <v>0.435629229671506</v>
      </c>
      <c r="H781" s="68">
        <f>(1+INDEX($AA$21:$AA$97,B781))*(1+INDEX($AA$21:$AA$97,C781))*(1+INDEX($AA$21:$AA$97,D781))*(1+INDEX($AA$21:$AA$97,E781))*(1+INDEX($AA$21:$AA$97,F781))-1</f>
        <v>0.365563020573152</v>
      </c>
      <c r="I781" s="68">
        <f>(1+INDEX($AB$21:$AB$97,B781))*(1+INDEX($AB$21:$AB$97,C781))*(1+INDEX($AB$21:$AB$97,D781))*(1+INDEX($AB$21:$AB$97,E781))*(1+INDEX($AB$21:$AB$97,F781))-1</f>
        <v>0.39082146694606</v>
      </c>
      <c r="J781" s="489">
        <f>LN((1+G781)/(1+H781))</f>
        <v>0.0500364278007513</v>
      </c>
      <c r="K781" s="489">
        <f>LN((1+I781)/(1+H781))</f>
        <v>0.0183277431158944</v>
      </c>
      <c r="L781" s="489">
        <f>(1+INDEX($AC$21:$AC$97,B781))*(1+INDEX($AC$21:$AC$97,C781))*(1+INDEX($AC$21:$AC$97,D781))*(1+INDEX($AC$21:$AC$97,E781))*(1+INDEX($AC$21:$AC$97,F781))-1</f>
        <v>0.377093893773269</v>
      </c>
      <c r="M781" s="489">
        <f>(1+INDEX($AD$21:$AD$97,B781))*(1+INDEX($AD$21:$AD$97,C781))*(1+INDEX($AD$21:$AD$97,D781))*(1+INDEX($AD$21:$AD$97,E781))*(1+INDEX($AD$21:$AD$97,F781))-1</f>
        <v>0.39736388313675</v>
      </c>
      <c r="N781" s="489">
        <f>(1+INDEX($AE$21:$AE$97,B781))*(1+INDEX($AE$21:$AE$97,C781))*(1+INDEX($AE$21:$AE$97,D781))*(1+INDEX($AE$21:$AE$97,E781))*(1+INDEX($AE$21:$AE$97,F781))-1</f>
        <v>0.369854891091174</v>
      </c>
      <c r="O781" s="489">
        <f>(1+INDEX($AF$21:$AF$97,B781))*(1+INDEX($AF$21:$AF$97,C781))*(1+INDEX($AF$21:$AF$97,D781))*(1+INDEX($AF$21:$AF$97,E781))*(1+INDEX($AF$21:$AF$97,F781))-1</f>
        <v>0.410078326822408</v>
      </c>
      <c r="P781" s="489">
        <f>LN((1+L781)/(1+H781))</f>
        <v>0.00840859174184349</v>
      </c>
      <c r="Q781" s="489">
        <f>LN((1+M781)/(1+H781))</f>
        <v>0.0230207081642637</v>
      </c>
      <c r="R781" s="489">
        <f>LN((1+N781)/(1+H781))</f>
        <v>0.00313800243946563</v>
      </c>
      <c r="S781" s="542">
        <f>LN((1+O781)/(1+H781))</f>
        <v>0.0320784409058472</v>
      </c>
    </row>
    <row r="782">
      <c r="A782" s="320" t="n">
        <v>681</v>
      </c>
      <c r="B782" s="174" t="n">
        <v>37</v>
      </c>
      <c r="C782" s="174" t="n">
        <v>48</v>
      </c>
      <c r="D782" s="174" t="n">
        <v>62</v>
      </c>
      <c r="E782" s="174" t="n">
        <v>14</v>
      </c>
      <c r="F782" s="174" t="n">
        <v>73</v>
      </c>
      <c r="G782" s="68">
        <f>(1+INDEX($Z$21:$Z$97,B782))*(1+INDEX($Z$21:$Z$97,C782))*(1+INDEX($Z$21:$Z$97,D782))*(1+INDEX($Z$21:$Z$97,E782))*(1+INDEX($Z$21:$Z$97,F782))-1</f>
        <v>0.0732627990641652</v>
      </c>
      <c r="H782" s="68">
        <f>(1+INDEX($AA$21:$AA$97,B782))*(1+INDEX($AA$21:$AA$97,C782))*(1+INDEX($AA$21:$AA$97,D782))*(1+INDEX($AA$21:$AA$97,E782))*(1+INDEX($AA$21:$AA$97,F782))-1</f>
        <v>0.0699952057491116</v>
      </c>
      <c r="I782" s="68">
        <f>(1+INDEX($AB$21:$AB$97,B782))*(1+INDEX($AB$21:$AB$97,C782))*(1+INDEX($AB$21:$AB$97,D782))*(1+INDEX($AB$21:$AB$97,E782))*(1+INDEX($AB$21:$AB$97,F782))-1</f>
        <v>0.082601535399998</v>
      </c>
      <c r="J782" s="489">
        <f>LN((1+G782)/(1+H782))</f>
        <v>0.00304918571579164</v>
      </c>
      <c r="K782" s="489">
        <f>LN((1+I782)/(1+H782))</f>
        <v>0.0117128057766185</v>
      </c>
      <c r="L782" s="489">
        <f>(1+INDEX($AC$21:$AC$97,B782))*(1+INDEX($AC$21:$AC$97,C782))*(1+INDEX($AC$21:$AC$97,D782))*(1+INDEX($AC$21:$AC$97,E782))*(1+INDEX($AC$21:$AC$97,F782))-1</f>
        <v>0.0814825010224884</v>
      </c>
      <c r="M782" s="489">
        <f>(1+INDEX($AD$21:$AD$97,B782))*(1+INDEX($AD$21:$AD$97,C782))*(1+INDEX($AD$21:$AD$97,D782))*(1+INDEX($AD$21:$AD$97,E782))*(1+INDEX($AD$21:$AD$97,F782))-1</f>
        <v>0.0694657169889508</v>
      </c>
      <c r="N782" s="489">
        <f>(1+INDEX($AE$21:$AE$97,B782))*(1+INDEX($AE$21:$AE$97,C782))*(1+INDEX($AE$21:$AE$97,D782))*(1+INDEX($AE$21:$AE$97,E782))*(1+INDEX($AE$21:$AE$97,F782))-1</f>
        <v>0.0719285029619561</v>
      </c>
      <c r="O782" s="489">
        <f>(1+INDEX($AF$21:$AF$97,B782))*(1+INDEX($AF$21:$AF$97,C782))*(1+INDEX($AF$21:$AF$97,D782))*(1+INDEX($AF$21:$AF$97,E782))*(1+INDEX($AF$21:$AF$97,F782))-1</f>
        <v>0.0276337938789517</v>
      </c>
      <c r="P782" s="489">
        <f>LN((1+L782)/(1+H782))</f>
        <v>0.0106786181402663</v>
      </c>
      <c r="Q782" s="489">
        <f>LN((1+M782)/(1+H782))</f>
        <v>-0.000494974005221358</v>
      </c>
      <c r="R782" s="489">
        <f>LN((1+N782)/(1+H782))</f>
        <v>0.00180519757075481</v>
      </c>
      <c r="S782" s="542">
        <f>LN((1+O782)/(1+H782))</f>
        <v>-0.0403952959233192</v>
      </c>
    </row>
    <row r="783">
      <c r="A783" s="320" t="n">
        <v>682</v>
      </c>
      <c r="B783" s="174" t="n">
        <v>19</v>
      </c>
      <c r="C783" s="174" t="n">
        <v>67</v>
      </c>
      <c r="D783" s="174" t="n">
        <v>27</v>
      </c>
      <c r="E783" s="174" t="n">
        <v>38</v>
      </c>
      <c r="F783" s="174" t="n">
        <v>18</v>
      </c>
      <c r="G783" s="68">
        <f>(1+INDEX($Z$21:$Z$97,B783))*(1+INDEX($Z$21:$Z$97,C783))*(1+INDEX($Z$21:$Z$97,D783))*(1+INDEX($Z$21:$Z$97,E783))*(1+INDEX($Z$21:$Z$97,F783))-1</f>
        <v>0.414139039963541</v>
      </c>
      <c r="H783" s="68">
        <f>(1+INDEX($AA$21:$AA$97,B783))*(1+INDEX($AA$21:$AA$97,C783))*(1+INDEX($AA$21:$AA$97,D783))*(1+INDEX($AA$21:$AA$97,E783))*(1+INDEX($AA$21:$AA$97,F783))-1</f>
        <v>0.36655673164102</v>
      </c>
      <c r="I783" s="68">
        <f>(1+INDEX($AB$21:$AB$97,B783))*(1+INDEX($AB$21:$AB$97,C783))*(1+INDEX($AB$21:$AB$97,D783))*(1+INDEX($AB$21:$AB$97,E783))*(1+INDEX($AB$21:$AB$97,F783))-1</f>
        <v>0.368508534591157</v>
      </c>
      <c r="J783" s="489">
        <f>LN((1+G783)/(1+H783))</f>
        <v>0.0342266520463883</v>
      </c>
      <c r="K783" s="489">
        <f>LN((1+I783)/(1+H783))</f>
        <v>0.00142724439197653</v>
      </c>
      <c r="L783" s="489">
        <f>(1+INDEX($AC$21:$AC$97,B783))*(1+INDEX($AC$21:$AC$97,C783))*(1+INDEX($AC$21:$AC$97,D783))*(1+INDEX($AC$21:$AC$97,E783))*(1+INDEX($AC$21:$AC$97,F783))-1</f>
        <v>0.359374565644265</v>
      </c>
      <c r="M783" s="489">
        <f>(1+INDEX($AD$21:$AD$97,B783))*(1+INDEX($AD$21:$AD$97,C783))*(1+INDEX($AD$21:$AD$97,D783))*(1+INDEX($AD$21:$AD$97,E783))*(1+INDEX($AD$21:$AD$97,F783))-1</f>
        <v>0.370031099267236</v>
      </c>
      <c r="N783" s="489">
        <f>(1+INDEX($AE$21:$AE$97,B783))*(1+INDEX($AE$21:$AE$97,C783))*(1+INDEX($AE$21:$AE$97,D783))*(1+INDEX($AE$21:$AE$97,E783))*(1+INDEX($AE$21:$AE$97,F783))-1</f>
        <v>0.379465384344188</v>
      </c>
      <c r="O783" s="489">
        <f>(1+INDEX($AF$21:$AF$97,B783))*(1+INDEX($AF$21:$AF$97,C783))*(1+INDEX($AF$21:$AF$97,D783))*(1+INDEX($AF$21:$AF$97,E783))*(1+INDEX($AF$21:$AF$97,F783))-1</f>
        <v>0.388513590153399</v>
      </c>
      <c r="P783" s="489">
        <f>LN((1+L783)/(1+H783))</f>
        <v>-0.0052695257751895</v>
      </c>
      <c r="Q783" s="489">
        <f>LN((1+M783)/(1+H783))</f>
        <v>0.00253919823345859</v>
      </c>
      <c r="R783" s="489">
        <f>LN((1+N783)/(1+H783))</f>
        <v>0.00940177991618968</v>
      </c>
      <c r="S783" s="542">
        <f>LN((1+O783)/(1+H783))</f>
        <v>0.0159395738238152</v>
      </c>
    </row>
    <row r="784">
      <c r="A784" s="320" t="n">
        <v>683</v>
      </c>
      <c r="B784" s="174" t="n">
        <v>61</v>
      </c>
      <c r="C784" s="174" t="n">
        <v>11</v>
      </c>
      <c r="D784" s="174" t="n">
        <v>46</v>
      </c>
      <c r="E784" s="174" t="n">
        <v>53</v>
      </c>
      <c r="F784" s="174" t="n">
        <v>29</v>
      </c>
      <c r="G784" s="68">
        <f>(1+INDEX($Z$21:$Z$97,B784))*(1+INDEX($Z$21:$Z$97,C784))*(1+INDEX($Z$21:$Z$97,D784))*(1+INDEX($Z$21:$Z$97,E784))*(1+INDEX($Z$21:$Z$97,F784))-1</f>
        <v>0.306922716328989</v>
      </c>
      <c r="H784" s="68">
        <f>(1+INDEX($AA$21:$AA$97,B784))*(1+INDEX($AA$21:$AA$97,C784))*(1+INDEX($AA$21:$AA$97,D784))*(1+INDEX($AA$21:$AA$97,E784))*(1+INDEX($AA$21:$AA$97,F784))-1</f>
        <v>0.339201950313884</v>
      </c>
      <c r="I784" s="68">
        <f>(1+INDEX($AB$21:$AB$97,B784))*(1+INDEX($AB$21:$AB$97,C784))*(1+INDEX($AB$21:$AB$97,D784))*(1+INDEX($AB$21:$AB$97,E784))*(1+INDEX($AB$21:$AB$97,F784))-1</f>
        <v>0.323974546191998</v>
      </c>
      <c r="J784" s="489">
        <f>LN((1+G784)/(1+H784))</f>
        <v>-0.0243985747680392</v>
      </c>
      <c r="K784" s="489">
        <f>LN((1+I784)/(1+H784))</f>
        <v>-0.0114356446800847</v>
      </c>
      <c r="L784" s="489">
        <f>(1+INDEX($AC$21:$AC$97,B784))*(1+INDEX($AC$21:$AC$97,C784))*(1+INDEX($AC$21:$AC$97,D784))*(1+INDEX($AC$21:$AC$97,E784))*(1+INDEX($AC$21:$AC$97,F784))-1</f>
        <v>0.344623645708852</v>
      </c>
      <c r="M784" s="489">
        <f>(1+INDEX($AD$21:$AD$97,B784))*(1+INDEX($AD$21:$AD$97,C784))*(1+INDEX($AD$21:$AD$97,D784))*(1+INDEX($AD$21:$AD$97,E784))*(1+INDEX($AD$21:$AD$97,F784))-1</f>
        <v>0.317403896573479</v>
      </c>
      <c r="N784" s="489">
        <f>(1+INDEX($AE$21:$AE$97,B784))*(1+INDEX($AE$21:$AE$97,C784))*(1+INDEX($AE$21:$AE$97,D784))*(1+INDEX($AE$21:$AE$97,E784))*(1+INDEX($AE$21:$AE$97,F784))-1</f>
        <v>0.343651439998146</v>
      </c>
      <c r="O784" s="489">
        <f>(1+INDEX($AF$21:$AF$97,B784))*(1+INDEX($AF$21:$AF$97,C784))*(1+INDEX($AF$21:$AF$97,D784))*(1+INDEX($AF$21:$AF$97,E784))*(1+INDEX($AF$21:$AF$97,F784))-1</f>
        <v>0.339551799700064</v>
      </c>
      <c r="P784" s="489">
        <f>LN((1+L784)/(1+H784))</f>
        <v>0.00404027950120878</v>
      </c>
      <c r="Q784" s="489">
        <f>LN((1+M784)/(1+H784))</f>
        <v>-0.0164108220839765</v>
      </c>
      <c r="R784" s="489">
        <f>LN((1+N784)/(1+H784))</f>
        <v>0.00331698614610633</v>
      </c>
      <c r="S784" s="542">
        <f>LN((1+O784)/(1+H784))</f>
        <v>0.00026120309727463</v>
      </c>
    </row>
    <row r="785">
      <c r="A785" s="320" t="n">
        <v>684</v>
      </c>
      <c r="B785" s="174" t="n">
        <v>76</v>
      </c>
      <c r="C785" s="174" t="n">
        <v>5</v>
      </c>
      <c r="D785" s="174" t="n">
        <v>41</v>
      </c>
      <c r="E785" s="174" t="n">
        <v>10</v>
      </c>
      <c r="F785" s="174" t="n">
        <v>40</v>
      </c>
      <c r="G785" s="68">
        <f>(1+INDEX($Z$21:$Z$97,B785))*(1+INDEX($Z$21:$Z$97,C785))*(1+INDEX($Z$21:$Z$97,D785))*(1+INDEX($Z$21:$Z$97,E785))*(1+INDEX($Z$21:$Z$97,F785))-1</f>
        <v>0.0548033766868017</v>
      </c>
      <c r="H785" s="68">
        <f>(1+INDEX($AA$21:$AA$97,B785))*(1+INDEX($AA$21:$AA$97,C785))*(1+INDEX($AA$21:$AA$97,D785))*(1+INDEX($AA$21:$AA$97,E785))*(1+INDEX($AA$21:$AA$97,F785))-1</f>
        <v>0.0955460991576844</v>
      </c>
      <c r="I785" s="68">
        <f>(1+INDEX($AB$21:$AB$97,B785))*(1+INDEX($AB$21:$AB$97,C785))*(1+INDEX($AB$21:$AB$97,D785))*(1+INDEX($AB$21:$AB$97,E785))*(1+INDEX($AB$21:$AB$97,F785))-1</f>
        <v>0.0658309075718957</v>
      </c>
      <c r="J785" s="489">
        <f>LN((1+G785)/(1+H785))</f>
        <v>-0.0378985828908404</v>
      </c>
      <c r="K785" s="489">
        <f>LN((1+I785)/(1+H785))</f>
        <v>-0.0274982697698379</v>
      </c>
      <c r="L785" s="489">
        <f>(1+INDEX($AC$21:$AC$97,B785))*(1+INDEX($AC$21:$AC$97,C785))*(1+INDEX($AC$21:$AC$97,D785))*(1+INDEX($AC$21:$AC$97,E785))*(1+INDEX($AC$21:$AC$97,F785))-1</f>
        <v>0.0703830054038492</v>
      </c>
      <c r="M785" s="489">
        <f>(1+INDEX($AD$21:$AD$97,B785))*(1+INDEX($AD$21:$AD$97,C785))*(1+INDEX($AD$21:$AD$97,D785))*(1+INDEX($AD$21:$AD$97,E785))*(1+INDEX($AD$21:$AD$97,F785))-1</f>
        <v>0.0768769480663356</v>
      </c>
      <c r="N785" s="489">
        <f>(1+INDEX($AE$21:$AE$97,B785))*(1+INDEX($AE$21:$AE$97,C785))*(1+INDEX($AE$21:$AE$97,D785))*(1+INDEX($AE$21:$AE$97,E785))*(1+INDEX($AE$21:$AE$97,F785))-1</f>
        <v>0.043970929293129</v>
      </c>
      <c r="O785" s="489">
        <f>(1+INDEX($AF$21:$AF$97,B785))*(1+INDEX($AF$21:$AF$97,C785))*(1+INDEX($AF$21:$AF$97,D785))*(1+INDEX($AF$21:$AF$97,E785))*(1+INDEX($AF$21:$AF$97,F785))-1</f>
        <v>0.119538877758665</v>
      </c>
      <c r="P785" s="489">
        <f>LN((1+L785)/(1+H785))</f>
        <v>-0.0232364262396574</v>
      </c>
      <c r="Q785" s="489">
        <f>LN((1+M785)/(1+H785))</f>
        <v>-0.0171878223426615</v>
      </c>
      <c r="R785" s="489">
        <f>LN((1+N785)/(1+H785))</f>
        <v>-0.0482213160724933</v>
      </c>
      <c r="S785" s="542">
        <f>LN((1+O785)/(1+H785))</f>
        <v>0.0216639246010949</v>
      </c>
    </row>
    <row r="786">
      <c r="A786" s="320" t="n">
        <v>685</v>
      </c>
      <c r="B786" s="174" t="n">
        <v>76</v>
      </c>
      <c r="C786" s="174" t="n">
        <v>40</v>
      </c>
      <c r="D786" s="174" t="n">
        <v>51</v>
      </c>
      <c r="E786" s="174" t="n">
        <v>36</v>
      </c>
      <c r="F786" s="174" t="n">
        <v>38</v>
      </c>
      <c r="G786" s="68">
        <f>(1+INDEX($Z$21:$Z$97,B786))*(1+INDEX($Z$21:$Z$97,C786))*(1+INDEX($Z$21:$Z$97,D786))*(1+INDEX($Z$21:$Z$97,E786))*(1+INDEX($Z$21:$Z$97,F786))-1</f>
        <v>0.443559380762905</v>
      </c>
      <c r="H786" s="68">
        <f>(1+INDEX($AA$21:$AA$97,B786))*(1+INDEX($AA$21:$AA$97,C786))*(1+INDEX($AA$21:$AA$97,D786))*(1+INDEX($AA$21:$AA$97,E786))*(1+INDEX($AA$21:$AA$97,F786))-1</f>
        <v>0.38913012038854</v>
      </c>
      <c r="I786" s="68">
        <f>(1+INDEX($AB$21:$AB$97,B786))*(1+INDEX($AB$21:$AB$97,C786))*(1+INDEX($AB$21:$AB$97,D786))*(1+INDEX($AB$21:$AB$97,E786))*(1+INDEX($AB$21:$AB$97,F786))-1</f>
        <v>0.422713518452813</v>
      </c>
      <c r="J786" s="489">
        <f>LN((1+G786)/(1+H786))</f>
        <v>0.0384341173607426</v>
      </c>
      <c r="K786" s="489">
        <f>LN((1+I786)/(1+H786))</f>
        <v>0.023888238029907</v>
      </c>
      <c r="L786" s="489">
        <f>(1+INDEX($AC$21:$AC$97,B786))*(1+INDEX($AC$21:$AC$97,C786))*(1+INDEX($AC$21:$AC$97,D786))*(1+INDEX($AC$21:$AC$97,E786))*(1+INDEX($AC$21:$AC$97,F786))-1</f>
        <v>0.413471723824134</v>
      </c>
      <c r="M786" s="489">
        <f>(1+INDEX($AD$21:$AD$97,B786))*(1+INDEX($AD$21:$AD$97,C786))*(1+INDEX($AD$21:$AD$97,D786))*(1+INDEX($AD$21:$AD$97,E786))*(1+INDEX($AD$21:$AD$97,F786))-1</f>
        <v>0.438174135886811</v>
      </c>
      <c r="N786" s="489">
        <f>(1+INDEX($AE$21:$AE$97,B786))*(1+INDEX($AE$21:$AE$97,C786))*(1+INDEX($AE$21:$AE$97,D786))*(1+INDEX($AE$21:$AE$97,E786))*(1+INDEX($AE$21:$AE$97,F786))-1</f>
        <v>0.40712395648665</v>
      </c>
      <c r="O786" s="489">
        <f>(1+INDEX($AF$21:$AF$97,B786))*(1+INDEX($AF$21:$AF$97,C786))*(1+INDEX($AF$21:$AF$97,D786))*(1+INDEX($AF$21:$AF$97,E786))*(1+INDEX($AF$21:$AF$97,F786))-1</f>
        <v>0.394410095678346</v>
      </c>
      <c r="P786" s="489">
        <f>LN((1+L786)/(1+H786))</f>
        <v>0.0173711550122172</v>
      </c>
      <c r="Q786" s="489">
        <f>LN((1+M786)/(1+H786))</f>
        <v>0.0346966092852476</v>
      </c>
      <c r="R786" s="489">
        <f>LN((1+N786)/(1+H786))</f>
        <v>0.0128701355300541</v>
      </c>
      <c r="S786" s="542">
        <f>LN((1+O786)/(1+H786))</f>
        <v>0.00379371678692125</v>
      </c>
    </row>
    <row r="787">
      <c r="A787" s="320" t="n">
        <v>686</v>
      </c>
      <c r="B787" s="174" t="n">
        <v>49</v>
      </c>
      <c r="C787" s="174" t="n">
        <v>48</v>
      </c>
      <c r="D787" s="174" t="n">
        <v>65</v>
      </c>
      <c r="E787" s="174" t="n">
        <v>42</v>
      </c>
      <c r="F787" s="174" t="n">
        <v>16</v>
      </c>
      <c r="G787" s="68">
        <f>(1+INDEX($Z$21:$Z$97,B787))*(1+INDEX($Z$21:$Z$97,C787))*(1+INDEX($Z$21:$Z$97,D787))*(1+INDEX($Z$21:$Z$97,E787))*(1+INDEX($Z$21:$Z$97,F787))-1</f>
        <v>0.238093303357491</v>
      </c>
      <c r="H787" s="68">
        <f>(1+INDEX($AA$21:$AA$97,B787))*(1+INDEX($AA$21:$AA$97,C787))*(1+INDEX($AA$21:$AA$97,D787))*(1+INDEX($AA$21:$AA$97,E787))*(1+INDEX($AA$21:$AA$97,F787))-1</f>
        <v>0.191771768440368</v>
      </c>
      <c r="I787" s="68">
        <f>(1+INDEX($AB$21:$AB$97,B787))*(1+INDEX($AB$21:$AB$97,C787))*(1+INDEX($AB$21:$AB$97,D787))*(1+INDEX($AB$21:$AB$97,E787))*(1+INDEX($AB$21:$AB$97,F787))-1</f>
        <v>0.234485762128734</v>
      </c>
      <c r="J787" s="489">
        <f>LN((1+G787)/(1+H787))</f>
        <v>0.038131456742717</v>
      </c>
      <c r="K787" s="489">
        <f>LN((1+I787)/(1+H787))</f>
        <v>0.0352134155452047</v>
      </c>
      <c r="L787" s="489">
        <f>(1+INDEX($AC$21:$AC$97,B787))*(1+INDEX($AC$21:$AC$97,C787))*(1+INDEX($AC$21:$AC$97,D787))*(1+INDEX($AC$21:$AC$97,E787))*(1+INDEX($AC$21:$AC$97,F787))-1</f>
        <v>0.203424612073418</v>
      </c>
      <c r="M787" s="489">
        <f>(1+INDEX($AD$21:$AD$97,B787))*(1+INDEX($AD$21:$AD$97,C787))*(1+INDEX($AD$21:$AD$97,D787))*(1+INDEX($AD$21:$AD$97,E787))*(1+INDEX($AD$21:$AD$97,F787))-1</f>
        <v>0.234060102614472</v>
      </c>
      <c r="N787" s="489">
        <f>(1+INDEX($AE$21:$AE$97,B787))*(1+INDEX($AE$21:$AE$97,C787))*(1+INDEX($AE$21:$AE$97,D787))*(1+INDEX($AE$21:$AE$97,E787))*(1+INDEX($AE$21:$AE$97,F787))-1</f>
        <v>0.200527442520086</v>
      </c>
      <c r="O787" s="489">
        <f>(1+INDEX($AF$21:$AF$97,B787))*(1+INDEX($AF$21:$AF$97,C787))*(1+INDEX($AF$21:$AF$97,D787))*(1+INDEX($AF$21:$AF$97,E787))*(1+INDEX($AF$21:$AF$97,F787))-1</f>
        <v>0.221065540505723</v>
      </c>
      <c r="P787" s="489">
        <f>LN((1+L787)/(1+H787))</f>
        <v>0.00973025482717391</v>
      </c>
      <c r="Q787" s="489">
        <f>LN((1+M787)/(1+H787))</f>
        <v>0.0348685489380581</v>
      </c>
      <c r="R787" s="489">
        <f>LN((1+N787)/(1+H787))</f>
        <v>0.00731991477863106</v>
      </c>
      <c r="S787" s="542">
        <f>LN((1+O787)/(1+H787))</f>
        <v>0.024282790534509</v>
      </c>
    </row>
    <row r="788">
      <c r="A788" s="320" t="n">
        <v>687</v>
      </c>
      <c r="B788" s="174" t="n">
        <v>43</v>
      </c>
      <c r="C788" s="174" t="n">
        <v>22</v>
      </c>
      <c r="D788" s="174" t="n">
        <v>59</v>
      </c>
      <c r="E788" s="174" t="n">
        <v>24</v>
      </c>
      <c r="F788" s="174" t="n">
        <v>37</v>
      </c>
      <c r="G788" s="68">
        <f>(1+INDEX($Z$21:$Z$97,B788))*(1+INDEX($Z$21:$Z$97,C788))*(1+INDEX($Z$21:$Z$97,D788))*(1+INDEX($Z$21:$Z$97,E788))*(1+INDEX($Z$21:$Z$97,F788))-1</f>
        <v>0.438665223768577</v>
      </c>
      <c r="H788" s="68">
        <f>(1+INDEX($AA$21:$AA$97,B788))*(1+INDEX($AA$21:$AA$97,C788))*(1+INDEX($AA$21:$AA$97,D788))*(1+INDEX($AA$21:$AA$97,E788))*(1+INDEX($AA$21:$AA$97,F788))-1</f>
        <v>0.421001249155367</v>
      </c>
      <c r="I788" s="68">
        <f>(1+INDEX($AB$21:$AB$97,B788))*(1+INDEX($AB$21:$AB$97,C788))*(1+INDEX($AB$21:$AB$97,D788))*(1+INDEX($AB$21:$AB$97,E788))*(1+INDEX($AB$21:$AB$97,F788))-1</f>
        <v>0.440516189381157</v>
      </c>
      <c r="J788" s="489">
        <f>LN((1+G788)/(1+H788))</f>
        <v>0.0123540276036707</v>
      </c>
      <c r="K788" s="489">
        <f>LN((1+I788)/(1+H788))</f>
        <v>0.0136397860203675</v>
      </c>
      <c r="L788" s="489">
        <f>(1+INDEX($AC$21:$AC$97,B788))*(1+INDEX($AC$21:$AC$97,C788))*(1+INDEX($AC$21:$AC$97,D788))*(1+INDEX($AC$21:$AC$97,E788))*(1+INDEX($AC$21:$AC$97,F788))-1</f>
        <v>0.448578007620291</v>
      </c>
      <c r="M788" s="489">
        <f>(1+INDEX($AD$21:$AD$97,B788))*(1+INDEX($AD$21:$AD$97,C788))*(1+INDEX($AD$21:$AD$97,D788))*(1+INDEX($AD$21:$AD$97,E788))*(1+INDEX($AD$21:$AD$97,F788))-1</f>
        <v>0.43535901876597</v>
      </c>
      <c r="N788" s="489">
        <f>(1+INDEX($AE$21:$AE$97,B788))*(1+INDEX($AE$21:$AE$97,C788))*(1+INDEX($AE$21:$AE$97,D788))*(1+INDEX($AE$21:$AE$97,E788))*(1+INDEX($AE$21:$AE$97,F788))-1</f>
        <v>0.444969703936066</v>
      </c>
      <c r="O788" s="489">
        <f>(1+INDEX($AF$21:$AF$97,B788))*(1+INDEX($AF$21:$AF$97,C788))*(1+INDEX($AF$21:$AF$97,D788))*(1+INDEX($AF$21:$AF$97,E788))*(1+INDEX($AF$21:$AF$97,F788))-1</f>
        <v>0.398947928487947</v>
      </c>
      <c r="P788" s="489">
        <f>LN((1+L788)/(1+H788))</f>
        <v>0.019220662664724</v>
      </c>
      <c r="Q788" s="489">
        <f>LN((1+M788)/(1+H788))</f>
        <v>0.010053277030928</v>
      </c>
      <c r="R788" s="489">
        <f>LN((1+N788)/(1+H788))</f>
        <v>0.0167266270279993</v>
      </c>
      <c r="S788" s="542">
        <f>LN((1+O788)/(1+H788))</f>
        <v>-0.0156412537150192</v>
      </c>
    </row>
    <row r="789">
      <c r="A789" s="320" t="n">
        <v>688</v>
      </c>
      <c r="B789" s="174" t="n">
        <v>51</v>
      </c>
      <c r="C789" s="174" t="n">
        <v>51</v>
      </c>
      <c r="D789" s="174" t="n">
        <v>75</v>
      </c>
      <c r="E789" s="174" t="n">
        <v>49</v>
      </c>
      <c r="F789" s="174" t="n">
        <v>9</v>
      </c>
      <c r="G789" s="68">
        <f>(1+INDEX($Z$21:$Z$97,B789))*(1+INDEX($Z$21:$Z$97,C789))*(1+INDEX($Z$21:$Z$97,D789))*(1+INDEX($Z$21:$Z$97,E789))*(1+INDEX($Z$21:$Z$97,F789))-1</f>
        <v>0.265505589507352</v>
      </c>
      <c r="H789" s="68">
        <f>(1+INDEX($AA$21:$AA$97,B789))*(1+INDEX($AA$21:$AA$97,C789))*(1+INDEX($AA$21:$AA$97,D789))*(1+INDEX($AA$21:$AA$97,E789))*(1+INDEX($AA$21:$AA$97,F789))-1</f>
        <v>0.243554168667174</v>
      </c>
      <c r="I789" s="68">
        <f>(1+INDEX($AB$21:$AB$97,B789))*(1+INDEX($AB$21:$AB$97,C789))*(1+INDEX($AB$21:$AB$97,D789))*(1+INDEX($AB$21:$AB$97,E789))*(1+INDEX($AB$21:$AB$97,F789))-1</f>
        <v>0.269310202239766</v>
      </c>
      <c r="J789" s="489">
        <f>LN((1+G789)/(1+H789))</f>
        <v>0.0174981730645434</v>
      </c>
      <c r="K789" s="489">
        <f>LN((1+I789)/(1+H789))</f>
        <v>0.0205000603037276</v>
      </c>
      <c r="L789" s="489">
        <f>(1+INDEX($AC$21:$AC$97,B789))*(1+INDEX($AC$21:$AC$97,C789))*(1+INDEX($AC$21:$AC$97,D789))*(1+INDEX($AC$21:$AC$97,E789))*(1+INDEX($AC$21:$AC$97,F789))-1</f>
        <v>0.23250648139863</v>
      </c>
      <c r="M789" s="489">
        <f>(1+INDEX($AD$21:$AD$97,B789))*(1+INDEX($AD$21:$AD$97,C789))*(1+INDEX($AD$21:$AD$97,D789))*(1+INDEX($AD$21:$AD$97,E789))*(1+INDEX($AD$21:$AD$97,F789))-1</f>
        <v>0.288342233551732</v>
      </c>
      <c r="N789" s="489">
        <f>(1+INDEX($AE$21:$AE$97,B789))*(1+INDEX($AE$21:$AE$97,C789))*(1+INDEX($AE$21:$AE$97,D789))*(1+INDEX($AE$21:$AE$97,E789))*(1+INDEX($AE$21:$AE$97,F789))-1</f>
        <v>0.223140174942408</v>
      </c>
      <c r="O789" s="489">
        <f>(1+INDEX($AF$21:$AF$97,B789))*(1+INDEX($AF$21:$AF$97,C789))*(1+INDEX($AF$21:$AF$97,D789))*(1+INDEX($AF$21:$AF$97,E789))*(1+INDEX($AF$21:$AF$97,F789))-1</f>
        <v>0.29422668008243</v>
      </c>
      <c r="P789" s="489">
        <f>LN((1+L789)/(1+H789))</f>
        <v>-0.00892365910368275</v>
      </c>
      <c r="Q789" s="489">
        <f>LN((1+M789)/(1+H789))</f>
        <v>0.0353827569011522</v>
      </c>
      <c r="R789" s="489">
        <f>LN((1+N789)/(1+H789))</f>
        <v>-0.0165520789766725</v>
      </c>
      <c r="S789" s="542">
        <f>LN((1+O789)/(1+H789))</f>
        <v>0.0399398137781557</v>
      </c>
    </row>
    <row r="790">
      <c r="A790" s="320" t="n">
        <v>689</v>
      </c>
      <c r="B790" s="174" t="n">
        <v>29</v>
      </c>
      <c r="C790" s="174" t="n">
        <v>20</v>
      </c>
      <c r="D790" s="174" t="n">
        <v>30</v>
      </c>
      <c r="E790" s="174" t="n">
        <v>25</v>
      </c>
      <c r="F790" s="174" t="n">
        <v>10</v>
      </c>
      <c r="G790" s="68">
        <f>(1+INDEX($Z$21:$Z$97,B790))*(1+INDEX($Z$21:$Z$97,C790))*(1+INDEX($Z$21:$Z$97,D790))*(1+INDEX($Z$21:$Z$97,E790))*(1+INDEX($Z$21:$Z$97,F790))-1</f>
        <v>0.265531478490792</v>
      </c>
      <c r="H790" s="68">
        <f>(1+INDEX($AA$21:$AA$97,B790))*(1+INDEX($AA$21:$AA$97,C790))*(1+INDEX($AA$21:$AA$97,D790))*(1+INDEX($AA$21:$AA$97,E790))*(1+INDEX($AA$21:$AA$97,F790))-1</f>
        <v>0.2784694123586</v>
      </c>
      <c r="I790" s="68">
        <f>(1+INDEX($AB$21:$AB$97,B790))*(1+INDEX($AB$21:$AB$97,C790))*(1+INDEX($AB$21:$AB$97,D790))*(1+INDEX($AB$21:$AB$97,E790))*(1+INDEX($AB$21:$AB$97,F790))-1</f>
        <v>0.271749505939432</v>
      </c>
      <c r="J790" s="489">
        <f>LN((1+G790)/(1+H790))</f>
        <v>-0.0101714157870187</v>
      </c>
      <c r="K790" s="489">
        <f>LN((1+I790)/(1+H790))</f>
        <v>-0.00527007459947198</v>
      </c>
      <c r="L790" s="489">
        <f>(1+INDEX($AC$21:$AC$97,B790))*(1+INDEX($AC$21:$AC$97,C790))*(1+INDEX($AC$21:$AC$97,D790))*(1+INDEX($AC$21:$AC$97,E790))*(1+INDEX($AC$21:$AC$97,F790))-1</f>
        <v>0.25519601353223</v>
      </c>
      <c r="M790" s="489">
        <f>(1+INDEX($AD$21:$AD$97,B790))*(1+INDEX($AD$21:$AD$97,C790))*(1+INDEX($AD$21:$AD$97,D790))*(1+INDEX($AD$21:$AD$97,E790))*(1+INDEX($AD$21:$AD$97,F790))-1</f>
        <v>0.292655799496465</v>
      </c>
      <c r="N790" s="489">
        <f>(1+INDEX($AE$21:$AE$97,B790))*(1+INDEX($AE$21:$AE$97,C790))*(1+INDEX($AE$21:$AE$97,D790))*(1+INDEX($AE$21:$AE$97,E790))*(1+INDEX($AE$21:$AE$97,F790))-1</f>
        <v>0.253321420796695</v>
      </c>
      <c r="O790" s="489">
        <f>(1+INDEX($AF$21:$AF$97,B790))*(1+INDEX($AF$21:$AF$97,C790))*(1+INDEX($AF$21:$AF$97,D790))*(1+INDEX($AF$21:$AF$97,E790))*(1+INDEX($AF$21:$AF$97,F790))-1</f>
        <v>0.328868293517394</v>
      </c>
      <c r="P790" s="489">
        <f>LN((1+L790)/(1+H790))</f>
        <v>-0.0183718443619552</v>
      </c>
      <c r="Q790" s="489">
        <f>LN((1+M790)/(1+H790))</f>
        <v>0.0110352705010479</v>
      </c>
      <c r="R790" s="489">
        <f>LN((1+N790)/(1+H790))</f>
        <v>-0.0198664268263486</v>
      </c>
      <c r="S790" s="542">
        <f>LN((1+O790)/(1+H790))</f>
        <v>0.0386640820455319</v>
      </c>
    </row>
    <row r="791">
      <c r="A791" s="320" t="n">
        <v>690</v>
      </c>
      <c r="B791" s="174" t="n">
        <v>43</v>
      </c>
      <c r="C791" s="174" t="n">
        <v>34</v>
      </c>
      <c r="D791" s="174" t="n">
        <v>19</v>
      </c>
      <c r="E791" s="174" t="n">
        <v>59</v>
      </c>
      <c r="F791" s="174" t="n">
        <v>61</v>
      </c>
      <c r="G791" s="68">
        <f>(1+INDEX($Z$21:$Z$97,B791))*(1+INDEX($Z$21:$Z$97,C791))*(1+INDEX($Z$21:$Z$97,D791))*(1+INDEX($Z$21:$Z$97,E791))*(1+INDEX($Z$21:$Z$97,F791))-1</f>
        <v>0.548061664379784</v>
      </c>
      <c r="H791" s="68">
        <f>(1+INDEX($AA$21:$AA$97,B791))*(1+INDEX($AA$21:$AA$97,C791))*(1+INDEX($AA$21:$AA$97,D791))*(1+INDEX($AA$21:$AA$97,E791))*(1+INDEX($AA$21:$AA$97,F791))-1</f>
        <v>0.573671911253002</v>
      </c>
      <c r="I791" s="68">
        <f>(1+INDEX($AB$21:$AB$97,B791))*(1+INDEX($AB$21:$AB$97,C791))*(1+INDEX($AB$21:$AB$97,D791))*(1+INDEX($AB$21:$AB$97,E791))*(1+INDEX($AB$21:$AB$97,F791))-1</f>
        <v>0.593046938412444</v>
      </c>
      <c r="J791" s="489">
        <f>LN((1+G791)/(1+H791))</f>
        <v>-0.0164080763631107</v>
      </c>
      <c r="K791" s="489">
        <f>LN((1+I791)/(1+H791))</f>
        <v>0.0122368103048796</v>
      </c>
      <c r="L791" s="489">
        <f>(1+INDEX($AC$21:$AC$97,B791))*(1+INDEX($AC$21:$AC$97,C791))*(1+INDEX($AC$21:$AC$97,D791))*(1+INDEX($AC$21:$AC$97,E791))*(1+INDEX($AC$21:$AC$97,F791))-1</f>
        <v>0.636581964986592</v>
      </c>
      <c r="M791" s="489">
        <f>(1+INDEX($AD$21:$AD$97,B791))*(1+INDEX($AD$21:$AD$97,C791))*(1+INDEX($AD$21:$AD$97,D791))*(1+INDEX($AD$21:$AD$97,E791))*(1+INDEX($AD$21:$AD$97,F791))-1</f>
        <v>0.546672380615448</v>
      </c>
      <c r="N791" s="489">
        <f>(1+INDEX($AE$21:$AE$97,B791))*(1+INDEX($AE$21:$AE$97,C791))*(1+INDEX($AE$21:$AE$97,D791))*(1+INDEX($AE$21:$AE$97,E791))*(1+INDEX($AE$21:$AE$97,F791))-1</f>
        <v>0.647029117337174</v>
      </c>
      <c r="O791" s="489">
        <f>(1+INDEX($AF$21:$AF$97,B791))*(1+INDEX($AF$21:$AF$97,C791))*(1+INDEX($AF$21:$AF$97,D791))*(1+INDEX($AF$21:$AF$97,E791))*(1+INDEX($AF$21:$AF$97,F791))-1</f>
        <v>0.487671148650472</v>
      </c>
      <c r="P791" s="489">
        <f>LN((1+L791)/(1+H791))</f>
        <v>0.0391982136371722</v>
      </c>
      <c r="Q791" s="489">
        <f>LN((1+M791)/(1+H791))</f>
        <v>-0.0173059136812539</v>
      </c>
      <c r="R791" s="489">
        <f>LN((1+N791)/(1+H791))</f>
        <v>0.0455614444459888</v>
      </c>
      <c r="S791" s="542">
        <f>LN((1+O791)/(1+H791))</f>
        <v>-0.0561997758726434</v>
      </c>
    </row>
    <row r="792">
      <c r="A792" s="320" t="n">
        <v>691</v>
      </c>
      <c r="B792" s="174" t="n">
        <v>9</v>
      </c>
      <c r="C792" s="174" t="n">
        <v>51</v>
      </c>
      <c r="D792" s="174" t="n">
        <v>24</v>
      </c>
      <c r="E792" s="174" t="n">
        <v>34</v>
      </c>
      <c r="F792" s="174" t="n">
        <v>12</v>
      </c>
      <c r="G792" s="68">
        <f>(1+INDEX($Z$21:$Z$97,B792))*(1+INDEX($Z$21:$Z$97,C792))*(1+INDEX($Z$21:$Z$97,D792))*(1+INDEX($Z$21:$Z$97,E792))*(1+INDEX($Z$21:$Z$97,F792))-1</f>
        <v>0.391763876375133</v>
      </c>
      <c r="H792" s="68">
        <f>(1+INDEX($AA$21:$AA$97,B792))*(1+INDEX($AA$21:$AA$97,C792))*(1+INDEX($AA$21:$AA$97,D792))*(1+INDEX($AA$21:$AA$97,E792))*(1+INDEX($AA$21:$AA$97,F792))-1</f>
        <v>0.356233006311088</v>
      </c>
      <c r="I792" s="68">
        <f>(1+INDEX($AB$21:$AB$97,B792))*(1+INDEX($AB$21:$AB$97,C792))*(1+INDEX($AB$21:$AB$97,D792))*(1+INDEX($AB$21:$AB$97,E792))*(1+INDEX($AB$21:$AB$97,F792))-1</f>
        <v>0.367775475772863</v>
      </c>
      <c r="J792" s="489">
        <f>LN((1+G792)/(1+H792))</f>
        <v>0.0258609101634851</v>
      </c>
      <c r="K792" s="489">
        <f>LN((1+I792)/(1+H792))</f>
        <v>0.00847467151394277</v>
      </c>
      <c r="L792" s="489">
        <f>(1+INDEX($AC$21:$AC$97,B792))*(1+INDEX($AC$21:$AC$97,C792))*(1+INDEX($AC$21:$AC$97,D792))*(1+INDEX($AC$21:$AC$97,E792))*(1+INDEX($AC$21:$AC$97,F792))-1</f>
        <v>0.350777690302254</v>
      </c>
      <c r="M792" s="489">
        <f>(1+INDEX($AD$21:$AD$97,B792))*(1+INDEX($AD$21:$AD$97,C792))*(1+INDEX($AD$21:$AD$97,D792))*(1+INDEX($AD$21:$AD$97,E792))*(1+INDEX($AD$21:$AD$97,F792))-1</f>
        <v>0.406253384451211</v>
      </c>
      <c r="N792" s="489">
        <f>(1+INDEX($AE$21:$AE$97,B792))*(1+INDEX($AE$21:$AE$97,C792))*(1+INDEX($AE$21:$AE$97,D792))*(1+INDEX($AE$21:$AE$97,E792))*(1+INDEX($AE$21:$AE$97,F792))-1</f>
        <v>0.332869007707621</v>
      </c>
      <c r="O792" s="489">
        <f>(1+INDEX($AF$21:$AF$97,B792))*(1+INDEX($AF$21:$AF$97,C792))*(1+INDEX($AF$21:$AF$97,D792))*(1+INDEX($AF$21:$AF$97,E792))*(1+INDEX($AF$21:$AF$97,F792))-1</f>
        <v>0.405162951943555</v>
      </c>
      <c r="P792" s="489">
        <f>LN((1+L792)/(1+H792))</f>
        <v>-0.00403051484119607</v>
      </c>
      <c r="Q792" s="489">
        <f>LN((1+M792)/(1+H792))</f>
        <v>0.0362179853693008</v>
      </c>
      <c r="R792" s="489">
        <f>LN((1+N792)/(1+H792))</f>
        <v>-0.01737724073786</v>
      </c>
      <c r="S792" s="542">
        <f>LN((1+O792)/(1+H792))</f>
        <v>0.0354422677722883</v>
      </c>
    </row>
    <row r="793">
      <c r="A793" s="320" t="n">
        <v>692</v>
      </c>
      <c r="B793" s="174" t="n">
        <v>43</v>
      </c>
      <c r="C793" s="174" t="n">
        <v>37</v>
      </c>
      <c r="D793" s="174" t="n">
        <v>4</v>
      </c>
      <c r="E793" s="174" t="n">
        <v>75</v>
      </c>
      <c r="F793" s="174" t="n">
        <v>24</v>
      </c>
      <c r="G793" s="68">
        <f>(1+INDEX($Z$21:$Z$97,B793))*(1+INDEX($Z$21:$Z$97,C793))*(1+INDEX($Z$21:$Z$97,D793))*(1+INDEX($Z$21:$Z$97,E793))*(1+INDEX($Z$21:$Z$97,F793))-1</f>
        <v>0.34932003357405</v>
      </c>
      <c r="H793" s="68">
        <f>(1+INDEX($AA$21:$AA$97,B793))*(1+INDEX($AA$21:$AA$97,C793))*(1+INDEX($AA$21:$AA$97,D793))*(1+INDEX($AA$21:$AA$97,E793))*(1+INDEX($AA$21:$AA$97,F793))-1</f>
        <v>0.334044870158619</v>
      </c>
      <c r="I793" s="68">
        <f>(1+INDEX($AB$21:$AB$97,B793))*(1+INDEX($AB$21:$AB$97,C793))*(1+INDEX($AB$21:$AB$97,D793))*(1+INDEX($AB$21:$AB$97,E793))*(1+INDEX($AB$21:$AB$97,F793))-1</f>
        <v>0.357576781257651</v>
      </c>
      <c r="J793" s="489">
        <f>LN((1+G793)/(1+H793))</f>
        <v>0.0113852039986827</v>
      </c>
      <c r="K793" s="489">
        <f>LN((1+I793)/(1+H793))</f>
        <v>0.0174857492767449</v>
      </c>
      <c r="L793" s="489">
        <f>(1+INDEX($AC$21:$AC$97,B793))*(1+INDEX($AC$21:$AC$97,C793))*(1+INDEX($AC$21:$AC$97,D793))*(1+INDEX($AC$21:$AC$97,E793))*(1+INDEX($AC$21:$AC$97,F793))-1</f>
        <v>0.353620293757268</v>
      </c>
      <c r="M793" s="489">
        <f>(1+INDEX($AD$21:$AD$97,B793))*(1+INDEX($AD$21:$AD$97,C793))*(1+INDEX($AD$21:$AD$97,D793))*(1+INDEX($AD$21:$AD$97,E793))*(1+INDEX($AD$21:$AD$97,F793))-1</f>
        <v>0.359787402878807</v>
      </c>
      <c r="N793" s="489">
        <f>(1+INDEX($AE$21:$AE$97,B793))*(1+INDEX($AE$21:$AE$97,C793))*(1+INDEX($AE$21:$AE$97,D793))*(1+INDEX($AE$21:$AE$97,E793))*(1+INDEX($AE$21:$AE$97,F793))-1</f>
        <v>0.33174276557452</v>
      </c>
      <c r="O793" s="489">
        <f>(1+INDEX($AF$21:$AF$97,B793))*(1+INDEX($AF$21:$AF$97,C793))*(1+INDEX($AF$21:$AF$97,D793))*(1+INDEX($AF$21:$AF$97,E793))*(1+INDEX($AF$21:$AF$97,F793))-1</f>
        <v>0.355975215139634</v>
      </c>
      <c r="P793" s="489">
        <f>LN((1+L793)/(1+H793))</f>
        <v>0.0145671194615817</v>
      </c>
      <c r="Q793" s="489">
        <f>LN((1+M793)/(1+H793))</f>
        <v>0.0191127833870281</v>
      </c>
      <c r="R793" s="489">
        <f>LN((1+N793)/(1+H793))</f>
        <v>-0.00172714819853907</v>
      </c>
      <c r="S793" s="542">
        <f>LN((1+O793)/(1+H793))</f>
        <v>0.0163053287017122</v>
      </c>
    </row>
    <row r="794">
      <c r="A794" s="320" t="n">
        <v>693</v>
      </c>
      <c r="B794" s="174" t="n">
        <v>70</v>
      </c>
      <c r="C794" s="174" t="n">
        <v>14</v>
      </c>
      <c r="D794" s="174" t="n">
        <v>60</v>
      </c>
      <c r="E794" s="174" t="n">
        <v>77</v>
      </c>
      <c r="F794" s="174" t="n">
        <v>76</v>
      </c>
      <c r="G794" s="68">
        <f>(1+INDEX($Z$21:$Z$97,B794))*(1+INDEX($Z$21:$Z$97,C794))*(1+INDEX($Z$21:$Z$97,D794))*(1+INDEX($Z$21:$Z$97,E794))*(1+INDEX($Z$21:$Z$97,F794))-1</f>
        <v>0.6391943513515</v>
      </c>
      <c r="H794" s="68">
        <f>(1+INDEX($AA$21:$AA$97,B794))*(1+INDEX($AA$21:$AA$97,C794))*(1+INDEX($AA$21:$AA$97,D794))*(1+INDEX($AA$21:$AA$97,E794))*(1+INDEX($AA$21:$AA$97,F794))-1</f>
        <v>0.616078328346369</v>
      </c>
      <c r="I794" s="68">
        <f>(1+INDEX($AB$21:$AB$97,B794))*(1+INDEX($AB$21:$AB$97,C794))*(1+INDEX($AB$21:$AB$97,D794))*(1+INDEX($AB$21:$AB$97,E794))*(1+INDEX($AB$21:$AB$97,F794))-1</f>
        <v>0.677722551787654</v>
      </c>
      <c r="J794" s="489">
        <f>LN((1+G794)/(1+H794))</f>
        <v>0.0142024425221711</v>
      </c>
      <c r="K794" s="489">
        <f>LN((1+I794)/(1+H794))</f>
        <v>0.0374348203542438</v>
      </c>
      <c r="L794" s="489">
        <f>(1+INDEX($AC$21:$AC$97,B794))*(1+INDEX($AC$21:$AC$97,C794))*(1+INDEX($AC$21:$AC$97,D794))*(1+INDEX($AC$21:$AC$97,E794))*(1+INDEX($AC$21:$AC$97,F794))-1</f>
        <v>0.70257891612604</v>
      </c>
      <c r="M794" s="489">
        <f>(1+INDEX($AD$21:$AD$97,B794))*(1+INDEX($AD$21:$AD$97,C794))*(1+INDEX($AD$21:$AD$97,D794))*(1+INDEX($AD$21:$AD$97,E794))*(1+INDEX($AD$21:$AD$97,F794))-1</f>
        <v>0.640207183934124</v>
      </c>
      <c r="N794" s="489">
        <f>(1+INDEX($AE$21:$AE$97,B794))*(1+INDEX($AE$21:$AE$97,C794))*(1+INDEX($AE$21:$AE$97,D794))*(1+INDEX($AE$21:$AE$97,E794))*(1+INDEX($AE$21:$AE$97,F794))-1</f>
        <v>0.681584259947273</v>
      </c>
      <c r="O794" s="489">
        <f>(1+INDEX($AF$21:$AF$97,B794))*(1+INDEX($AF$21:$AF$97,C794))*(1+INDEX($AF$21:$AF$97,D794))*(1+INDEX($AF$21:$AF$97,E794))*(1+INDEX($AF$21:$AF$97,F794))-1</f>
        <v>0.558325653991257</v>
      </c>
      <c r="P794" s="489">
        <f>LN((1+L794)/(1+H794))</f>
        <v>0.0521416816159576</v>
      </c>
      <c r="Q794" s="489">
        <f>LN((1+M794)/(1+H794))</f>
        <v>0.0148201360884694</v>
      </c>
      <c r="R794" s="489">
        <f>LN((1+N794)/(1+H794))</f>
        <v>0.0397339314965677</v>
      </c>
      <c r="S794" s="542">
        <f>LN((1+O794)/(1+H794))</f>
        <v>-0.0363904832952641</v>
      </c>
    </row>
    <row r="795">
      <c r="A795" s="320" t="n">
        <v>694</v>
      </c>
      <c r="B795" s="174" t="n">
        <v>65</v>
      </c>
      <c r="C795" s="174" t="n">
        <v>1</v>
      </c>
      <c r="D795" s="174" t="n">
        <v>28</v>
      </c>
      <c r="E795" s="174" t="n">
        <v>16</v>
      </c>
      <c r="F795" s="174" t="n">
        <v>68</v>
      </c>
      <c r="G795" s="68">
        <f>(1+INDEX($Z$21:$Z$97,B795))*(1+INDEX($Z$21:$Z$97,C795))*(1+INDEX($Z$21:$Z$97,D795))*(1+INDEX($Z$21:$Z$97,E795))*(1+INDEX($Z$21:$Z$97,F795))-1</f>
        <v>0.531119271004851</v>
      </c>
      <c r="H795" s="68">
        <f>(1+INDEX($AA$21:$AA$97,B795))*(1+INDEX($AA$21:$AA$97,C795))*(1+INDEX($AA$21:$AA$97,D795))*(1+INDEX($AA$21:$AA$97,E795))*(1+INDEX($AA$21:$AA$97,F795))-1</f>
        <v>0.477775494616399</v>
      </c>
      <c r="I795" s="68">
        <f>(1+INDEX($AB$21:$AB$97,B795))*(1+INDEX($AB$21:$AB$97,C795))*(1+INDEX($AB$21:$AB$97,D795))*(1+INDEX($AB$21:$AB$97,E795))*(1+INDEX($AB$21:$AB$97,F795))-1</f>
        <v>0.510707480224851</v>
      </c>
      <c r="J795" s="489">
        <f>LN((1+G795)/(1+H795))</f>
        <v>0.0354611047348076</v>
      </c>
      <c r="K795" s="489">
        <f>LN((1+I795)/(1+H795))</f>
        <v>0.0220401581573064</v>
      </c>
      <c r="L795" s="489">
        <f>(1+INDEX($AC$21:$AC$97,B795))*(1+INDEX($AC$21:$AC$97,C795))*(1+INDEX($AC$21:$AC$97,D795))*(1+INDEX($AC$21:$AC$97,E795))*(1+INDEX($AC$21:$AC$97,F795))-1</f>
        <v>0.50087154604589</v>
      </c>
      <c r="M795" s="489">
        <f>(1+INDEX($AD$21:$AD$97,B795))*(1+INDEX($AD$21:$AD$97,C795))*(1+INDEX($AD$21:$AD$97,D795))*(1+INDEX($AD$21:$AD$97,E795))*(1+INDEX($AD$21:$AD$97,F795))-1</f>
        <v>0.511566064814004</v>
      </c>
      <c r="N795" s="489">
        <f>(1+INDEX($AE$21:$AE$97,B795))*(1+INDEX($AE$21:$AE$97,C795))*(1+INDEX($AE$21:$AE$97,D795))*(1+INDEX($AE$21:$AE$97,E795))*(1+INDEX($AE$21:$AE$97,F795))-1</f>
        <v>0.517844304703293</v>
      </c>
      <c r="O795" s="489">
        <f>(1+INDEX($AF$21:$AF$97,B795))*(1+INDEX($AF$21:$AF$97,C795))*(1+INDEX($AF$21:$AF$97,D795))*(1+INDEX($AF$21:$AF$97,E795))*(1+INDEX($AF$21:$AF$97,F795))-1</f>
        <v>0.506973773100464</v>
      </c>
      <c r="P795" s="489">
        <f>LN((1+L795)/(1+H795))</f>
        <v>0.0155080571785715</v>
      </c>
      <c r="Q795" s="489">
        <f>LN((1+M795)/(1+H795))</f>
        <v>0.0226083295021269</v>
      </c>
      <c r="R795" s="489">
        <f>LN((1+N795)/(1+H795))</f>
        <v>0.0267531947476932</v>
      </c>
      <c r="S795" s="542">
        <f>LN((1+O795)/(1+H795))</f>
        <v>0.0195656032151452</v>
      </c>
    </row>
    <row r="796">
      <c r="A796" s="320" t="n">
        <v>695</v>
      </c>
      <c r="B796" s="174" t="n">
        <v>48</v>
      </c>
      <c r="C796" s="174" t="n">
        <v>41</v>
      </c>
      <c r="D796" s="174" t="n">
        <v>6</v>
      </c>
      <c r="E796" s="174" t="n">
        <v>16</v>
      </c>
      <c r="F796" s="174" t="n">
        <v>20</v>
      </c>
      <c r="G796" s="68">
        <f>(1+INDEX($Z$21:$Z$97,B796))*(1+INDEX($Z$21:$Z$97,C796))*(1+INDEX($Z$21:$Z$97,D796))*(1+INDEX($Z$21:$Z$97,E796))*(1+INDEX($Z$21:$Z$97,F796))-1</f>
        <v>-0.00384217259128761</v>
      </c>
      <c r="H796" s="68">
        <f>(1+INDEX($AA$21:$AA$97,B796))*(1+INDEX($AA$21:$AA$97,C796))*(1+INDEX($AA$21:$AA$97,D796))*(1+INDEX($AA$21:$AA$97,E796))*(1+INDEX($AA$21:$AA$97,F796))-1</f>
        <v>0.0079970041701769</v>
      </c>
      <c r="I796" s="68">
        <f>(1+INDEX($AB$21:$AB$97,B796))*(1+INDEX($AB$21:$AB$97,C796))*(1+INDEX($AB$21:$AB$97,D796))*(1+INDEX($AB$21:$AB$97,E796))*(1+INDEX($AB$21:$AB$97,F796))-1</f>
        <v>-0.00959029171914072</v>
      </c>
      <c r="J796" s="489">
        <f>LN((1+G796)/(1+H796))</f>
        <v>-0.0118147702888342</v>
      </c>
      <c r="K796" s="489">
        <f>LN((1+I796)/(1+H796))</f>
        <v>-0.0176017723074696</v>
      </c>
      <c r="L796" s="489">
        <f>(1+INDEX($AC$21:$AC$97,B796))*(1+INDEX($AC$21:$AC$97,C796))*(1+INDEX($AC$21:$AC$97,D796))*(1+INDEX($AC$21:$AC$97,E796))*(1+INDEX($AC$21:$AC$97,F796))-1</f>
        <v>-0.0286094745132888</v>
      </c>
      <c r="M796" s="489">
        <f>(1+INDEX($AD$21:$AD$97,B796))*(1+INDEX($AD$21:$AD$97,C796))*(1+INDEX($AD$21:$AD$97,D796))*(1+INDEX($AD$21:$AD$97,E796))*(1+INDEX($AD$21:$AD$97,F796))-1</f>
        <v>-0.0193000394084278</v>
      </c>
      <c r="N796" s="489">
        <f>(1+INDEX($AE$21:$AE$97,B796))*(1+INDEX($AE$21:$AE$97,C796))*(1+INDEX($AE$21:$AE$97,D796))*(1+INDEX($AE$21:$AE$97,E796))*(1+INDEX($AE$21:$AE$97,F796))-1</f>
        <v>-0.0405277656146817</v>
      </c>
      <c r="O796" s="489">
        <f>(1+INDEX($AF$21:$AF$97,B796))*(1+INDEX($AF$21:$AF$97,C796))*(1+INDEX($AF$21:$AF$97,D796))*(1+INDEX($AF$21:$AF$97,E796))*(1+INDEX($AF$21:$AF$97,F796))-1</f>
        <v>0.0201458013469669</v>
      </c>
      <c r="P796" s="489">
        <f>LN((1+L796)/(1+H796))</f>
        <v>-0.0369919001717332</v>
      </c>
      <c r="Q796" s="489">
        <f>LN((1+M796)/(1+H796))</f>
        <v>-0.0274539143592063</v>
      </c>
      <c r="R796" s="489">
        <f>LN((1+N796)/(1+H796))</f>
        <v>-0.0493370991314002</v>
      </c>
      <c r="S796" s="542">
        <f>LN((1+O796)/(1+H796))</f>
        <v>0.0119803619865365</v>
      </c>
    </row>
    <row r="797">
      <c r="A797" s="320" t="n">
        <v>696</v>
      </c>
      <c r="B797" s="174" t="n">
        <v>74</v>
      </c>
      <c r="C797" s="174" t="n">
        <v>61</v>
      </c>
      <c r="D797" s="174" t="n">
        <v>70</v>
      </c>
      <c r="E797" s="174" t="n">
        <v>33</v>
      </c>
      <c r="F797" s="174" t="n">
        <v>70</v>
      </c>
      <c r="G797" s="68">
        <f>(1+INDEX($Z$21:$Z$97,B797))*(1+INDEX($Z$21:$Z$97,C797))*(1+INDEX($Z$21:$Z$97,D797))*(1+INDEX($Z$21:$Z$97,E797))*(1+INDEX($Z$21:$Z$97,F797))-1</f>
        <v>0.795165620427939</v>
      </c>
      <c r="H797" s="68">
        <f>(1+INDEX($AA$21:$AA$97,B797))*(1+INDEX($AA$21:$AA$97,C797))*(1+INDEX($AA$21:$AA$97,D797))*(1+INDEX($AA$21:$AA$97,E797))*(1+INDEX($AA$21:$AA$97,F797))-1</f>
        <v>0.780617667125442</v>
      </c>
      <c r="I797" s="68">
        <f>(1+INDEX($AB$21:$AB$97,B797))*(1+INDEX($AB$21:$AB$97,C797))*(1+INDEX($AB$21:$AB$97,D797))*(1+INDEX($AB$21:$AB$97,E797))*(1+INDEX($AB$21:$AB$97,F797))-1</f>
        <v>0.854766319404977</v>
      </c>
      <c r="J797" s="489">
        <f>LN((1+G797)/(1+H797))</f>
        <v>0.0081369772166353</v>
      </c>
      <c r="K797" s="489">
        <f>LN((1+I797)/(1+H797))</f>
        <v>0.0407984066424122</v>
      </c>
      <c r="L797" s="489">
        <f>(1+INDEX($AC$21:$AC$97,B797))*(1+INDEX($AC$21:$AC$97,C797))*(1+INDEX($AC$21:$AC$97,D797))*(1+INDEX($AC$21:$AC$97,E797))*(1+INDEX($AC$21:$AC$97,F797))-1</f>
        <v>0.865877925461912</v>
      </c>
      <c r="M797" s="489">
        <f>(1+INDEX($AD$21:$AD$97,B797))*(1+INDEX($AD$21:$AD$97,C797))*(1+INDEX($AD$21:$AD$97,D797))*(1+INDEX($AD$21:$AD$97,E797))*(1+INDEX($AD$21:$AD$97,F797))-1</f>
        <v>0.81194302441459</v>
      </c>
      <c r="N797" s="489">
        <f>(1+INDEX($AE$21:$AE$97,B797))*(1+INDEX($AE$21:$AE$97,C797))*(1+INDEX($AE$21:$AE$97,D797))*(1+INDEX($AE$21:$AE$97,E797))*(1+INDEX($AE$21:$AE$97,F797))-1</f>
        <v>0.887027104787028</v>
      </c>
      <c r="O797" s="489">
        <f>(1+INDEX($AF$21:$AF$97,B797))*(1+INDEX($AF$21:$AF$97,C797))*(1+INDEX($AF$21:$AF$97,D797))*(1+INDEX($AF$21:$AF$97,E797))*(1+INDEX($AF$21:$AF$97,F797))-1</f>
        <v>0.721569319808262</v>
      </c>
      <c r="P797" s="489">
        <f>LN((1+L797)/(1+H797))</f>
        <v>0.0467713717316379</v>
      </c>
      <c r="Q797" s="489">
        <f>LN((1+M797)/(1+H797))</f>
        <v>0.0174394555315382</v>
      </c>
      <c r="R797" s="489">
        <f>LN((1+N797)/(1+H797))</f>
        <v>0.058042322125256</v>
      </c>
      <c r="S797" s="542">
        <f>LN((1+O797)/(1+H797))</f>
        <v>-0.0337240380318916</v>
      </c>
    </row>
    <row r="798">
      <c r="A798" s="320" t="n">
        <v>697</v>
      </c>
      <c r="B798" s="174" t="n">
        <v>69</v>
      </c>
      <c r="C798" s="174" t="n">
        <v>13</v>
      </c>
      <c r="D798" s="174" t="n">
        <v>40</v>
      </c>
      <c r="E798" s="174" t="n">
        <v>30</v>
      </c>
      <c r="F798" s="174" t="n">
        <v>46</v>
      </c>
      <c r="G798" s="68">
        <f>(1+INDEX($Z$21:$Z$97,B798))*(1+INDEX($Z$21:$Z$97,C798))*(1+INDEX($Z$21:$Z$97,D798))*(1+INDEX($Z$21:$Z$97,E798))*(1+INDEX($Z$21:$Z$97,F798))-1</f>
        <v>0.899689841062267</v>
      </c>
      <c r="H798" s="68">
        <f>(1+INDEX($AA$21:$AA$97,B798))*(1+INDEX($AA$21:$AA$97,C798))*(1+INDEX($AA$21:$AA$97,D798))*(1+INDEX($AA$21:$AA$97,E798))*(1+INDEX($AA$21:$AA$97,F798))-1</f>
        <v>0.796435601372424</v>
      </c>
      <c r="I798" s="68">
        <f>(1+INDEX($AB$21:$AB$97,B798))*(1+INDEX($AB$21:$AB$97,C798))*(1+INDEX($AB$21:$AB$97,D798))*(1+INDEX($AB$21:$AB$97,E798))*(1+INDEX($AB$21:$AB$97,F798))-1</f>
        <v>0.87386557380207</v>
      </c>
      <c r="J798" s="489">
        <f>LN((1+G798)/(1+H798))</f>
        <v>0.0558861510892109</v>
      </c>
      <c r="K798" s="489">
        <f>LN((1+I798)/(1+H798))</f>
        <v>0.0421989688022756</v>
      </c>
      <c r="L798" s="489">
        <f>(1+INDEX($AC$21:$AC$97,B798))*(1+INDEX($AC$21:$AC$97,C798))*(1+INDEX($AC$21:$AC$97,D798))*(1+INDEX($AC$21:$AC$97,E798))*(1+INDEX($AC$21:$AC$97,F798))-1</f>
        <v>0.89031432126096</v>
      </c>
      <c r="M798" s="489">
        <f>(1+INDEX($AD$21:$AD$97,B798))*(1+INDEX($AD$21:$AD$97,C798))*(1+INDEX($AD$21:$AD$97,D798))*(1+INDEX($AD$21:$AD$97,E798))*(1+INDEX($AD$21:$AD$97,F798))-1</f>
        <v>0.845228811271051</v>
      </c>
      <c r="N798" s="489">
        <f>(1+INDEX($AE$21:$AE$97,B798))*(1+INDEX($AE$21:$AE$97,C798))*(1+INDEX($AE$21:$AE$97,D798))*(1+INDEX($AE$21:$AE$97,E798))*(1+INDEX($AE$21:$AE$97,F798))-1</f>
        <v>0.879056347533607</v>
      </c>
      <c r="O798" s="489">
        <f>(1+INDEX($AF$21:$AF$97,B798))*(1+INDEX($AF$21:$AF$97,C798))*(1+INDEX($AF$21:$AF$97,D798))*(1+INDEX($AF$21:$AF$97,E798))*(1+INDEX($AF$21:$AF$97,F798))-1</f>
        <v>0.805364229362894</v>
      </c>
      <c r="P798" s="489">
        <f>LN((1+L798)/(1+H798))</f>
        <v>0.0509386425778086</v>
      </c>
      <c r="Q798" s="489">
        <f>LN((1+M798)/(1+H798))</f>
        <v>0.0267988065404467</v>
      </c>
      <c r="R798" s="489">
        <f>LN((1+N798)/(1+H798))</f>
        <v>0.0449652278134701</v>
      </c>
      <c r="S798" s="542">
        <f>LN((1+O798)/(1+H798))</f>
        <v>0.00495788033721806</v>
      </c>
    </row>
    <row r="799">
      <c r="A799" s="320" t="n">
        <v>698</v>
      </c>
      <c r="B799" s="174" t="n">
        <v>26</v>
      </c>
      <c r="C799" s="174" t="n">
        <v>48</v>
      </c>
      <c r="D799" s="174" t="n">
        <v>40</v>
      </c>
      <c r="E799" s="174" t="n">
        <v>35</v>
      </c>
      <c r="F799" s="174" t="n">
        <v>27</v>
      </c>
      <c r="G799" s="68">
        <f>(1+INDEX($Z$21:$Z$97,B799))*(1+INDEX($Z$21:$Z$97,C799))*(1+INDEX($Z$21:$Z$97,D799))*(1+INDEX($Z$21:$Z$97,E799))*(1+INDEX($Z$21:$Z$97,F799))-1</f>
        <v>0.698913304242518</v>
      </c>
      <c r="H799" s="68">
        <f>(1+INDEX($AA$21:$AA$97,B799))*(1+INDEX($AA$21:$AA$97,C799))*(1+INDEX($AA$21:$AA$97,D799))*(1+INDEX($AA$21:$AA$97,E799))*(1+INDEX($AA$21:$AA$97,F799))-1</f>
        <v>0.662923366633108</v>
      </c>
      <c r="I799" s="68">
        <f>(1+INDEX($AB$21:$AB$97,B799))*(1+INDEX($AB$21:$AB$97,C799))*(1+INDEX($AB$21:$AB$97,D799))*(1+INDEX($AB$21:$AB$97,E799))*(1+INDEX($AB$21:$AB$97,F799))-1</f>
        <v>0.756682310188724</v>
      </c>
      <c r="J799" s="489">
        <f>LN((1+G799)/(1+H799))</f>
        <v>0.0214116961174605</v>
      </c>
      <c r="K799" s="489">
        <f>LN((1+I799)/(1+H799))</f>
        <v>0.0548498613264859</v>
      </c>
      <c r="L799" s="489">
        <f>(1+INDEX($AC$21:$AC$97,B799))*(1+INDEX($AC$21:$AC$97,C799))*(1+INDEX($AC$21:$AC$97,D799))*(1+INDEX($AC$21:$AC$97,E799))*(1+INDEX($AC$21:$AC$97,F799))-1</f>
        <v>0.757969795159706</v>
      </c>
      <c r="M799" s="489">
        <f>(1+INDEX($AD$21:$AD$97,B799))*(1+INDEX($AD$21:$AD$97,C799))*(1+INDEX($AD$21:$AD$97,D799))*(1+INDEX($AD$21:$AD$97,E799))*(1+INDEX($AD$21:$AD$97,F799))-1</f>
        <v>0.748268007544236</v>
      </c>
      <c r="N799" s="489">
        <f>(1+INDEX($AE$21:$AE$97,B799))*(1+INDEX($AE$21:$AE$97,C799))*(1+INDEX($AE$21:$AE$97,D799))*(1+INDEX($AE$21:$AE$97,E799))*(1+INDEX($AE$21:$AE$97,F799))-1</f>
        <v>0.747989256523735</v>
      </c>
      <c r="O799" s="489">
        <f>(1+INDEX($AF$21:$AF$97,B799))*(1+INDEX($AF$21:$AF$97,C799))*(1+INDEX($AF$21:$AF$97,D799))*(1+INDEX($AF$21:$AF$97,E799))*(1+INDEX($AF$21:$AF$97,F799))-1</f>
        <v>0.658981831981629</v>
      </c>
      <c r="P799" s="489">
        <f>LN((1+L799)/(1+H799))</f>
        <v>0.0555825000002322</v>
      </c>
      <c r="Q799" s="489">
        <f>LN((1+M799)/(1+H799))</f>
        <v>0.0500484701245976</v>
      </c>
      <c r="R799" s="489">
        <f>LN((1+N799)/(1+H799))</f>
        <v>0.0498890133111894</v>
      </c>
      <c r="S799" s="542">
        <f>LN((1+O799)/(1+H799))</f>
        <v>-0.00237305778793447</v>
      </c>
    </row>
    <row r="800">
      <c r="A800" s="320" t="n">
        <v>699</v>
      </c>
      <c r="B800" s="174" t="n">
        <v>41</v>
      </c>
      <c r="C800" s="174" t="n">
        <v>20</v>
      </c>
      <c r="D800" s="174" t="n">
        <v>15</v>
      </c>
      <c r="E800" s="174" t="n">
        <v>63</v>
      </c>
      <c r="F800" s="174" t="n">
        <v>4</v>
      </c>
      <c r="G800" s="68">
        <f>(1+INDEX($Z$21:$Z$97,B800))*(1+INDEX($Z$21:$Z$97,C800))*(1+INDEX($Z$21:$Z$97,D800))*(1+INDEX($Z$21:$Z$97,E800))*(1+INDEX($Z$21:$Z$97,F800))-1</f>
        <v>0.079804356017559</v>
      </c>
      <c r="H800" s="68">
        <f>(1+INDEX($AA$21:$AA$97,B800))*(1+INDEX($AA$21:$AA$97,C800))*(1+INDEX($AA$21:$AA$97,D800))*(1+INDEX($AA$21:$AA$97,E800))*(1+INDEX($AA$21:$AA$97,F800))-1</f>
        <v>0.0763065303479737</v>
      </c>
      <c r="I800" s="68">
        <f>(1+INDEX($AB$21:$AB$97,B800))*(1+INDEX($AB$21:$AB$97,C800))*(1+INDEX($AB$21:$AB$97,D800))*(1+INDEX($AB$21:$AB$97,E800))*(1+INDEX($AB$21:$AB$97,F800))-1</f>
        <v>0.0702601360289452</v>
      </c>
      <c r="J800" s="489">
        <f>LN((1+G800)/(1+H800))</f>
        <v>0.003244572215876</v>
      </c>
      <c r="K800" s="489">
        <f>LN((1+I800)/(1+H800))</f>
        <v>-0.0056335639651467</v>
      </c>
      <c r="L800" s="489">
        <f>(1+INDEX($AC$21:$AC$97,B800))*(1+INDEX($AC$21:$AC$97,C800))*(1+INDEX($AC$21:$AC$97,D800))*(1+INDEX($AC$21:$AC$97,E800))*(1+INDEX($AC$21:$AC$97,F800))-1</f>
        <v>0.0678661775097158</v>
      </c>
      <c r="M800" s="489">
        <f>(1+INDEX($AD$21:$AD$97,B800))*(1+INDEX($AD$21:$AD$97,C800))*(1+INDEX($AD$21:$AD$97,D800))*(1+INDEX($AD$21:$AD$97,E800))*(1+INDEX($AD$21:$AD$97,F800))-1</f>
        <v>0.0544728726500219</v>
      </c>
      <c r="N800" s="489">
        <f>(1+INDEX($AE$21:$AE$97,B800))*(1+INDEX($AE$21:$AE$97,C800))*(1+INDEX($AE$21:$AE$97,D800))*(1+INDEX($AE$21:$AE$97,E800))*(1+INDEX($AE$21:$AE$97,F800))-1</f>
        <v>0.0514563530747592</v>
      </c>
      <c r="O800" s="489">
        <f>(1+INDEX($AF$21:$AF$97,B800))*(1+INDEX($AF$21:$AF$97,C800))*(1+INDEX($AF$21:$AF$97,D800))*(1+INDEX($AF$21:$AF$97,E800))*(1+INDEX($AF$21:$AF$97,F800))-1</f>
        <v>0.0760067052561018</v>
      </c>
      <c r="P800" s="489">
        <f>LN((1+L800)/(1+H800))</f>
        <v>-0.00787286994482102</v>
      </c>
      <c r="Q800" s="489">
        <f>LN((1+M800)/(1+H800))</f>
        <v>-0.0204943053889287</v>
      </c>
      <c r="R800" s="489">
        <f>LN((1+N800)/(1+H800))</f>
        <v>-0.0233590945769667</v>
      </c>
      <c r="S800" s="542">
        <f>LN((1+O800)/(1+H800))</f>
        <v>-0.000278607303854819</v>
      </c>
    </row>
    <row r="801">
      <c r="A801" s="320" t="n">
        <v>700</v>
      </c>
      <c r="B801" s="174" t="n">
        <v>42</v>
      </c>
      <c r="C801" s="174" t="n">
        <v>42</v>
      </c>
      <c r="D801" s="174" t="n">
        <v>33</v>
      </c>
      <c r="E801" s="174" t="n">
        <v>53</v>
      </c>
      <c r="F801" s="174" t="n">
        <v>41</v>
      </c>
      <c r="G801" s="68">
        <f>(1+INDEX($Z$21:$Z$97,B801))*(1+INDEX($Z$21:$Z$97,C801))*(1+INDEX($Z$21:$Z$97,D801))*(1+INDEX($Z$21:$Z$97,E801))*(1+INDEX($Z$21:$Z$97,F801))-1</f>
        <v>0.505416872496512</v>
      </c>
      <c r="H801" s="68">
        <f>(1+INDEX($AA$21:$AA$97,B801))*(1+INDEX($AA$21:$AA$97,C801))*(1+INDEX($AA$21:$AA$97,D801))*(1+INDEX($AA$21:$AA$97,E801))*(1+INDEX($AA$21:$AA$97,F801))-1</f>
        <v>0.527282702056613</v>
      </c>
      <c r="I801" s="68">
        <f>(1+INDEX($AB$21:$AB$97,B801))*(1+INDEX($AB$21:$AB$97,C801))*(1+INDEX($AB$21:$AB$97,D801))*(1+INDEX($AB$21:$AB$97,E801))*(1+INDEX($AB$21:$AB$97,F801))-1</f>
        <v>0.569022735379673</v>
      </c>
      <c r="J801" s="489">
        <f>LN((1+G801)/(1+H801))</f>
        <v>-0.0144202931602545</v>
      </c>
      <c r="K801" s="489">
        <f>LN((1+I801)/(1+H801))</f>
        <v>0.02696281931098</v>
      </c>
      <c r="L801" s="489">
        <f>(1+INDEX($AC$21:$AC$97,B801))*(1+INDEX($AC$21:$AC$97,C801))*(1+INDEX($AC$21:$AC$97,D801))*(1+INDEX($AC$21:$AC$97,E801))*(1+INDEX($AC$21:$AC$97,F801))-1</f>
        <v>0.57317263295063</v>
      </c>
      <c r="M801" s="489">
        <f>(1+INDEX($AD$21:$AD$97,B801))*(1+INDEX($AD$21:$AD$97,C801))*(1+INDEX($AD$21:$AD$97,D801))*(1+INDEX($AD$21:$AD$97,E801))*(1+INDEX($AD$21:$AD$97,F801))-1</f>
        <v>0.593624006193027</v>
      </c>
      <c r="N801" s="489">
        <f>(1+INDEX($AE$21:$AE$97,B801))*(1+INDEX($AE$21:$AE$97,C801))*(1+INDEX($AE$21:$AE$97,D801))*(1+INDEX($AE$21:$AE$97,E801))*(1+INDEX($AE$21:$AE$97,F801))-1</f>
        <v>0.563828176700825</v>
      </c>
      <c r="O801" s="489">
        <f>(1+INDEX($AF$21:$AF$97,B801))*(1+INDEX($AF$21:$AF$97,C801))*(1+INDEX($AF$21:$AF$97,D801))*(1+INDEX($AF$21:$AF$97,E801))*(1+INDEX($AF$21:$AF$97,F801))-1</f>
        <v>0.556152002135313</v>
      </c>
      <c r="P801" s="489">
        <f>LN((1+L801)/(1+H801))</f>
        <v>0.0296042209409378</v>
      </c>
      <c r="Q801" s="489">
        <f>LN((1+M801)/(1+H801))</f>
        <v>0.0425205271638729</v>
      </c>
      <c r="R801" s="489">
        <f>LN((1+N801)/(1+H801))</f>
        <v>0.0236466299454118</v>
      </c>
      <c r="S801" s="542">
        <f>LN((1+O801)/(1+H801))</f>
        <v>0.0187259640346812</v>
      </c>
    </row>
    <row r="802">
      <c r="A802" s="320" t="n">
        <v>701</v>
      </c>
      <c r="B802" s="174" t="n">
        <v>12</v>
      </c>
      <c r="C802" s="174" t="n">
        <v>18</v>
      </c>
      <c r="D802" s="174" t="n">
        <v>70</v>
      </c>
      <c r="E802" s="174" t="n">
        <v>28</v>
      </c>
      <c r="F802" s="174" t="n">
        <v>30</v>
      </c>
      <c r="G802" s="68">
        <f>(1+INDEX($Z$21:$Z$97,B802))*(1+INDEX($Z$21:$Z$97,C802))*(1+INDEX($Z$21:$Z$97,D802))*(1+INDEX($Z$21:$Z$97,E802))*(1+INDEX($Z$21:$Z$97,F802))-1</f>
        <v>0.851960117484513</v>
      </c>
      <c r="H802" s="68">
        <f>(1+INDEX($AA$21:$AA$97,B802))*(1+INDEX($AA$21:$AA$97,C802))*(1+INDEX($AA$21:$AA$97,D802))*(1+INDEX($AA$21:$AA$97,E802))*(1+INDEX($AA$21:$AA$97,F802))-1</f>
        <v>0.752279762859919</v>
      </c>
      <c r="I802" s="68">
        <f>(1+INDEX($AB$21:$AB$97,B802))*(1+INDEX($AB$21:$AB$97,C802))*(1+INDEX($AB$21:$AB$97,D802))*(1+INDEX($AB$21:$AB$97,E802))*(1+INDEX($AB$21:$AB$97,F802))-1</f>
        <v>0.798651441612622</v>
      </c>
      <c r="J802" s="489">
        <f>LN((1+G802)/(1+H802))</f>
        <v>0.0553269393924763</v>
      </c>
      <c r="K802" s="489">
        <f>LN((1+I802)/(1+H802))</f>
        <v>0.0261195232440605</v>
      </c>
      <c r="L802" s="489">
        <f>(1+INDEX($AC$21:$AC$97,B802))*(1+INDEX($AC$21:$AC$97,C802))*(1+INDEX($AC$21:$AC$97,D802))*(1+INDEX($AC$21:$AC$97,E802))*(1+INDEX($AC$21:$AC$97,F802))-1</f>
        <v>0.801138747650566</v>
      </c>
      <c r="M802" s="489">
        <f>(1+INDEX($AD$21:$AD$97,B802))*(1+INDEX($AD$21:$AD$97,C802))*(1+INDEX($AD$21:$AD$97,D802))*(1+INDEX($AD$21:$AD$97,E802))*(1+INDEX($AD$21:$AD$97,F802))-1</f>
        <v>0.790606096200984</v>
      </c>
      <c r="N802" s="489">
        <f>(1+INDEX($AE$21:$AE$97,B802))*(1+INDEX($AE$21:$AE$97,C802))*(1+INDEX($AE$21:$AE$97,D802))*(1+INDEX($AE$21:$AE$97,E802))*(1+INDEX($AE$21:$AE$97,F802))-1</f>
        <v>0.813354121858197</v>
      </c>
      <c r="O802" s="489">
        <f>(1+INDEX($AF$21:$AF$97,B802))*(1+INDEX($AF$21:$AF$97,C802))*(1+INDEX($AF$21:$AF$97,D802))*(1+INDEX($AF$21:$AF$97,E802))*(1+INDEX($AF$21:$AF$97,F802))-1</f>
        <v>0.805083641991593</v>
      </c>
      <c r="P802" s="489">
        <f>LN((1+L802)/(1+H802))</f>
        <v>0.0275014406909138</v>
      </c>
      <c r="Q802" s="489">
        <f>LN((1+M802)/(1+H802))</f>
        <v>0.0216365020057469</v>
      </c>
      <c r="R802" s="489">
        <f>LN((1+N802)/(1+H802))</f>
        <v>0.0342605746300057</v>
      </c>
      <c r="S802" s="542">
        <f>LN((1+O802)/(1+H802))</f>
        <v>0.0296892680006808</v>
      </c>
    </row>
    <row r="803">
      <c r="A803" s="320" t="n">
        <v>702</v>
      </c>
      <c r="B803" s="174" t="n">
        <v>16</v>
      </c>
      <c r="C803" s="174" t="n">
        <v>8</v>
      </c>
      <c r="D803" s="174" t="n">
        <v>56</v>
      </c>
      <c r="E803" s="174" t="n">
        <v>71</v>
      </c>
      <c r="F803" s="174" t="n">
        <v>42</v>
      </c>
      <c r="G803" s="68">
        <f>(1+INDEX($Z$21:$Z$97,B803))*(1+INDEX($Z$21:$Z$97,C803))*(1+INDEX($Z$21:$Z$97,D803))*(1+INDEX($Z$21:$Z$97,E803))*(1+INDEX($Z$21:$Z$97,F803))-1</f>
        <v>0.0491165705485721</v>
      </c>
      <c r="H803" s="68">
        <f>(1+INDEX($AA$21:$AA$97,B803))*(1+INDEX($AA$21:$AA$97,C803))*(1+INDEX($AA$21:$AA$97,D803))*(1+INDEX($AA$21:$AA$97,E803))*(1+INDEX($AA$21:$AA$97,F803))-1</f>
        <v>0.0543406944935101</v>
      </c>
      <c r="I803" s="68">
        <f>(1+INDEX($AB$21:$AB$97,B803))*(1+INDEX($AB$21:$AB$97,C803))*(1+INDEX($AB$21:$AB$97,D803))*(1+INDEX($AB$21:$AB$97,E803))*(1+INDEX($AB$21:$AB$97,F803))-1</f>
        <v>0.0346573463576654</v>
      </c>
      <c r="J803" s="489">
        <f>LN((1+G803)/(1+H803))</f>
        <v>-0.00496718880195341</v>
      </c>
      <c r="K803" s="489">
        <f>LN((1+I803)/(1+H803))</f>
        <v>-0.0188453318642467</v>
      </c>
      <c r="L803" s="489">
        <f>(1+INDEX($AC$21:$AC$97,B803))*(1+INDEX($AC$21:$AC$97,C803))*(1+INDEX($AC$21:$AC$97,D803))*(1+INDEX($AC$21:$AC$97,E803))*(1+INDEX($AC$21:$AC$97,F803))-1</f>
        <v>0.00249035569731215</v>
      </c>
      <c r="M803" s="489">
        <f>(1+INDEX($AD$21:$AD$97,B803))*(1+INDEX($AD$21:$AD$97,C803))*(1+INDEX($AD$21:$AD$97,D803))*(1+INDEX($AD$21:$AD$97,E803))*(1+INDEX($AD$21:$AD$97,F803))-1</f>
        <v>0.0651012009738834</v>
      </c>
      <c r="N803" s="489">
        <f>(1+INDEX($AE$21:$AE$97,B803))*(1+INDEX($AE$21:$AE$97,C803))*(1+INDEX($AE$21:$AE$97,D803))*(1+INDEX($AE$21:$AE$97,E803))*(1+INDEX($AE$21:$AE$97,F803))-1</f>
        <v>0.00666348570835273</v>
      </c>
      <c r="O803" s="489">
        <f>(1+INDEX($AF$21:$AF$97,B803))*(1+INDEX($AF$21:$AF$97,C803))*(1+INDEX($AF$21:$AF$97,D803))*(1+INDEX($AF$21:$AF$97,E803))*(1+INDEX($AF$21:$AF$97,F803))-1</f>
        <v>0.119352704179893</v>
      </c>
      <c r="P803" s="489">
        <f>LN((1+L803)/(1+H803))</f>
        <v>-0.0504283775456753</v>
      </c>
      <c r="Q803" s="489">
        <f>LN((1+M803)/(1+H803))</f>
        <v>0.0101541815895502</v>
      </c>
      <c r="R803" s="489">
        <f>LN((1+N803)/(1+H803))</f>
        <v>-0.0462742546246186</v>
      </c>
      <c r="S803" s="542">
        <f>LN((1+O803)/(1+H803))</f>
        <v>0.0598349380912934</v>
      </c>
    </row>
    <row r="804">
      <c r="A804" s="320" t="n">
        <v>703</v>
      </c>
      <c r="B804" s="174" t="n">
        <v>41</v>
      </c>
      <c r="C804" s="174" t="n">
        <v>39</v>
      </c>
      <c r="D804" s="174" t="n">
        <v>3</v>
      </c>
      <c r="E804" s="174" t="n">
        <v>53</v>
      </c>
      <c r="F804" s="174" t="n">
        <v>8</v>
      </c>
      <c r="G804" s="68">
        <f>(1+INDEX($Z$21:$Z$97,B804))*(1+INDEX($Z$21:$Z$97,C804))*(1+INDEX($Z$21:$Z$97,D804))*(1+INDEX($Z$21:$Z$97,E804))*(1+INDEX($Z$21:$Z$97,F804))-1</f>
        <v>0.0446142857966665</v>
      </c>
      <c r="H804" s="68">
        <f>(1+INDEX($AA$21:$AA$97,B804))*(1+INDEX($AA$21:$AA$97,C804))*(1+INDEX($AA$21:$AA$97,D804))*(1+INDEX($AA$21:$AA$97,E804))*(1+INDEX($AA$21:$AA$97,F804))-1</f>
        <v>0.0570054303726451</v>
      </c>
      <c r="I804" s="68">
        <f>(1+INDEX($AB$21:$AB$97,B804))*(1+INDEX($AB$21:$AB$97,C804))*(1+INDEX($AB$21:$AB$97,D804))*(1+INDEX($AB$21:$AB$97,E804))*(1+INDEX($AB$21:$AB$97,F804))-1</f>
        <v>0.0168271853804931</v>
      </c>
      <c r="J804" s="489">
        <f>LN((1+G804)/(1+H804))</f>
        <v>-0.0117921316280095</v>
      </c>
      <c r="K804" s="489">
        <f>LN((1+I804)/(1+H804))</f>
        <v>-0.0387526676603229</v>
      </c>
      <c r="L804" s="489">
        <f>(1+INDEX($AC$21:$AC$97,B804))*(1+INDEX($AC$21:$AC$97,C804))*(1+INDEX($AC$21:$AC$97,D804))*(1+INDEX($AC$21:$AC$97,E804))*(1+INDEX($AC$21:$AC$97,F804))-1</f>
        <v>0.00503581621556237</v>
      </c>
      <c r="M804" s="489">
        <f>(1+INDEX($AD$21:$AD$97,B804))*(1+INDEX($AD$21:$AD$97,C804))*(1+INDEX($AD$21:$AD$97,D804))*(1+INDEX($AD$21:$AD$97,E804))*(1+INDEX($AD$21:$AD$97,F804))-1</f>
        <v>0.0454496371392199</v>
      </c>
      <c r="N804" s="489">
        <f>(1+INDEX($AE$21:$AE$97,B804))*(1+INDEX($AE$21:$AE$97,C804))*(1+INDEX($AE$21:$AE$97,D804))*(1+INDEX($AE$21:$AE$97,E804))*(1+INDEX($AE$21:$AE$97,F804))-1</f>
        <v>0.00278706966711106</v>
      </c>
      <c r="O804" s="489">
        <f>(1+INDEX($AF$21:$AF$97,B804))*(1+INDEX($AF$21:$AF$97,C804))*(1+INDEX($AF$21:$AF$97,D804))*(1+INDEX($AF$21:$AF$97,E804))*(1+INDEX($AF$21:$AF$97,F804))-1</f>
        <v>0.106426628892483</v>
      </c>
      <c r="P804" s="489">
        <f>LN((1+L804)/(1+H804))</f>
        <v>-0.0504166655066984</v>
      </c>
      <c r="Q804" s="489">
        <f>LN((1+M804)/(1+H804))</f>
        <v>-0.0109927767586521</v>
      </c>
      <c r="R804" s="489">
        <f>LN((1+N804)/(1+H804))</f>
        <v>-0.0526566514183309</v>
      </c>
      <c r="S804" s="542">
        <f>LN((1+O804)/(1+H804))</f>
        <v>0.0456957247224014</v>
      </c>
    </row>
    <row r="805">
      <c r="A805" s="320" t="n">
        <v>704</v>
      </c>
      <c r="B805" s="174" t="n">
        <v>52</v>
      </c>
      <c r="C805" s="174" t="n">
        <v>46</v>
      </c>
      <c r="D805" s="174" t="n">
        <v>75</v>
      </c>
      <c r="E805" s="174" t="n">
        <v>13</v>
      </c>
      <c r="F805" s="174" t="n">
        <v>53</v>
      </c>
      <c r="G805" s="68">
        <f>(1+INDEX($Z$21:$Z$97,B805))*(1+INDEX($Z$21:$Z$97,C805))*(1+INDEX($Z$21:$Z$97,D805))*(1+INDEX($Z$21:$Z$97,E805))*(1+INDEX($Z$21:$Z$97,F805))-1</f>
        <v>0.708031479027248</v>
      </c>
      <c r="H805" s="68">
        <f>(1+INDEX($AA$21:$AA$97,B805))*(1+INDEX($AA$21:$AA$97,C805))*(1+INDEX($AA$21:$AA$97,D805))*(1+INDEX($AA$21:$AA$97,E805))*(1+INDEX($AA$21:$AA$97,F805))-1</f>
        <v>0.663468105954906</v>
      </c>
      <c r="I805" s="68">
        <f>(1+INDEX($AB$21:$AB$97,B805))*(1+INDEX($AB$21:$AB$97,C805))*(1+INDEX($AB$21:$AB$97,D805))*(1+INDEX($AB$21:$AB$97,E805))*(1+INDEX($AB$21:$AB$97,F805))-1</f>
        <v>0.733613931738094</v>
      </c>
      <c r="J805" s="489">
        <f>LN((1+G805)/(1+H805))</f>
        <v>0.0264368821032527</v>
      </c>
      <c r="K805" s="489">
        <f>LN((1+I805)/(1+H805))</f>
        <v>0.0413035640754638</v>
      </c>
      <c r="L805" s="489">
        <f>(1+INDEX($AC$21:$AC$97,B805))*(1+INDEX($AC$21:$AC$97,C805))*(1+INDEX($AC$21:$AC$97,D805))*(1+INDEX($AC$21:$AC$97,E805))*(1+INDEX($AC$21:$AC$97,F805))-1</f>
        <v>0.739244497738228</v>
      </c>
      <c r="M805" s="489">
        <f>(1+INDEX($AD$21:$AD$97,B805))*(1+INDEX($AD$21:$AD$97,C805))*(1+INDEX($AD$21:$AD$97,D805))*(1+INDEX($AD$21:$AD$97,E805))*(1+INDEX($AD$21:$AD$97,F805))-1</f>
        <v>0.723100988495451</v>
      </c>
      <c r="N805" s="489">
        <f>(1+INDEX($AE$21:$AE$97,B805))*(1+INDEX($AE$21:$AE$97,C805))*(1+INDEX($AE$21:$AE$97,D805))*(1+INDEX($AE$21:$AE$97,E805))*(1+INDEX($AE$21:$AE$97,F805))-1</f>
        <v>0.71391496523999</v>
      </c>
      <c r="O805" s="489">
        <f>(1+INDEX($AF$21:$AF$97,B805))*(1+INDEX($AF$21:$AF$97,C805))*(1+INDEX($AF$21:$AF$97,D805))*(1+INDEX($AF$21:$AF$97,E805))*(1+INDEX($AF$21:$AF$97,F805))-1</f>
        <v>0.681227334696877</v>
      </c>
      <c r="P805" s="489">
        <f>LN((1+L805)/(1+H805))</f>
        <v>0.0445461787964761</v>
      </c>
      <c r="Q805" s="489">
        <f>LN((1+M805)/(1+H805))</f>
        <v>0.0352209244023537</v>
      </c>
      <c r="R805" s="489">
        <f>LN((1+N805)/(1+H805))</f>
        <v>0.0298755636291149</v>
      </c>
      <c r="S805" s="542">
        <f>LN((1+O805)/(1+H805))</f>
        <v>0.0106194396188401</v>
      </c>
    </row>
    <row r="806">
      <c r="A806" s="320" t="n">
        <v>705</v>
      </c>
      <c r="B806" s="174" t="n">
        <v>34</v>
      </c>
      <c r="C806" s="174" t="n">
        <v>75</v>
      </c>
      <c r="D806" s="174" t="n">
        <v>8</v>
      </c>
      <c r="E806" s="174" t="n">
        <v>16</v>
      </c>
      <c r="F806" s="174" t="n">
        <v>60</v>
      </c>
      <c r="G806" s="68">
        <f>(1+INDEX($Z$21:$Z$97,B806))*(1+INDEX($Z$21:$Z$97,C806))*(1+INDEX($Z$21:$Z$97,D806))*(1+INDEX($Z$21:$Z$97,E806))*(1+INDEX($Z$21:$Z$97,F806))-1</f>
        <v>0.193989371999665</v>
      </c>
      <c r="H806" s="68">
        <f>(1+INDEX($AA$21:$AA$97,B806))*(1+INDEX($AA$21:$AA$97,C806))*(1+INDEX($AA$21:$AA$97,D806))*(1+INDEX($AA$21:$AA$97,E806))*(1+INDEX($AA$21:$AA$97,F806))-1</f>
        <v>0.252968643022565</v>
      </c>
      <c r="I806" s="68">
        <f>(1+INDEX($AB$21:$AB$97,B806))*(1+INDEX($AB$21:$AB$97,C806))*(1+INDEX($AB$21:$AB$97,D806))*(1+INDEX($AB$21:$AB$97,E806))*(1+INDEX($AB$21:$AB$97,F806))-1</f>
        <v>0.247874089908589</v>
      </c>
      <c r="J806" s="489">
        <f>LN((1+G806)/(1+H806))</f>
        <v>-0.0482155363221045</v>
      </c>
      <c r="K806" s="489">
        <f>LN((1+I806)/(1+H806))</f>
        <v>-0.00407427471886386</v>
      </c>
      <c r="L806" s="489">
        <f>(1+INDEX($AC$21:$AC$97,B806))*(1+INDEX($AC$21:$AC$97,C806))*(1+INDEX($AC$21:$AC$97,D806))*(1+INDEX($AC$21:$AC$97,E806))*(1+INDEX($AC$21:$AC$97,F806))-1</f>
        <v>0.240823094873796</v>
      </c>
      <c r="M806" s="489">
        <f>(1+INDEX($AD$21:$AD$97,B806))*(1+INDEX($AD$21:$AD$97,C806))*(1+INDEX($AD$21:$AD$97,D806))*(1+INDEX($AD$21:$AD$97,E806))*(1+INDEX($AD$21:$AD$97,F806))-1</f>
        <v>0.249358968868266</v>
      </c>
      <c r="N806" s="489">
        <f>(1+INDEX($AE$21:$AE$97,B806))*(1+INDEX($AE$21:$AE$97,C806))*(1+INDEX($AE$21:$AE$97,D806))*(1+INDEX($AE$21:$AE$97,E806))*(1+INDEX($AE$21:$AE$97,F806))-1</f>
        <v>0.243575421401972</v>
      </c>
      <c r="O806" s="489">
        <f>(1+INDEX($AF$21:$AF$97,B806))*(1+INDEX($AF$21:$AF$97,C806))*(1+INDEX($AF$21:$AF$97,D806))*(1+INDEX($AF$21:$AF$97,E806))*(1+INDEX($AF$21:$AF$97,F806))-1</f>
        <v>0.229641225589339</v>
      </c>
      <c r="P806" s="489">
        <f>LN((1+L806)/(1+H806))</f>
        <v>-0.00974070448320845</v>
      </c>
      <c r="Q806" s="489">
        <f>LN((1+M806)/(1+H806))</f>
        <v>-0.00288505521093155</v>
      </c>
      <c r="R806" s="489">
        <f>LN((1+N806)/(1+H806))</f>
        <v>-0.00752501514340278</v>
      </c>
      <c r="S806" s="542">
        <f>LN((1+O806)/(1+H806))</f>
        <v>-0.018793209757281</v>
      </c>
    </row>
    <row r="807">
      <c r="A807" s="320" t="n">
        <v>706</v>
      </c>
      <c r="B807" s="174" t="n">
        <v>22</v>
      </c>
      <c r="C807" s="174" t="n">
        <v>2</v>
      </c>
      <c r="D807" s="174" t="n">
        <v>33</v>
      </c>
      <c r="E807" s="174" t="n">
        <v>21</v>
      </c>
      <c r="F807" s="174" t="n">
        <v>8</v>
      </c>
      <c r="G807" s="68">
        <f>(1+INDEX($Z$21:$Z$97,B807))*(1+INDEX($Z$21:$Z$97,C807))*(1+INDEX($Z$21:$Z$97,D807))*(1+INDEX($Z$21:$Z$97,E807))*(1+INDEX($Z$21:$Z$97,F807))-1</f>
        <v>0.13900358131095</v>
      </c>
      <c r="H807" s="68">
        <f>(1+INDEX($AA$21:$AA$97,B807))*(1+INDEX($AA$21:$AA$97,C807))*(1+INDEX($AA$21:$AA$97,D807))*(1+INDEX($AA$21:$AA$97,E807))*(1+INDEX($AA$21:$AA$97,F807))-1</f>
        <v>0.160481586409571</v>
      </c>
      <c r="I807" s="68">
        <f>(1+INDEX($AB$21:$AB$97,B807))*(1+INDEX($AB$21:$AB$97,C807))*(1+INDEX($AB$21:$AB$97,D807))*(1+INDEX($AB$21:$AB$97,E807))*(1+INDEX($AB$21:$AB$97,F807))-1</f>
        <v>0.140149403781665</v>
      </c>
      <c r="J807" s="489">
        <f>LN((1+G807)/(1+H807))</f>
        <v>-0.0186812509417645</v>
      </c>
      <c r="K807" s="489">
        <f>LN((1+I807)/(1+H807))</f>
        <v>-0.0176757698926691</v>
      </c>
      <c r="L807" s="489">
        <f>(1+INDEX($AC$21:$AC$97,B807))*(1+INDEX($AC$21:$AC$97,C807))*(1+INDEX($AC$21:$AC$97,D807))*(1+INDEX($AC$21:$AC$97,E807))*(1+INDEX($AC$21:$AC$97,F807))-1</f>
        <v>0.106209084933381</v>
      </c>
      <c r="M807" s="489">
        <f>(1+INDEX($AD$21:$AD$97,B807))*(1+INDEX($AD$21:$AD$97,C807))*(1+INDEX($AD$21:$AD$97,D807))*(1+INDEX($AD$21:$AD$97,E807))*(1+INDEX($AD$21:$AD$97,F807))-1</f>
        <v>0.175704892783502</v>
      </c>
      <c r="N807" s="489">
        <f>(1+INDEX($AE$21:$AE$97,B807))*(1+INDEX($AE$21:$AE$97,C807))*(1+INDEX($AE$21:$AE$97,D807))*(1+INDEX($AE$21:$AE$97,E807))*(1+INDEX($AE$21:$AE$97,F807))-1</f>
        <v>0.111141768636389</v>
      </c>
      <c r="O807" s="489">
        <f>(1+INDEX($AF$21:$AF$97,B807))*(1+INDEX($AF$21:$AF$97,C807))*(1+INDEX($AF$21:$AF$97,D807))*(1+INDEX($AF$21:$AF$97,E807))*(1+INDEX($AF$21:$AF$97,F807))-1</f>
        <v>0.183255291609833</v>
      </c>
      <c r="P807" s="489">
        <f>LN((1+L807)/(1+H807))</f>
        <v>-0.0478961483757502</v>
      </c>
      <c r="Q807" s="489">
        <f>LN((1+M807)/(1+H807))</f>
        <v>0.0130327968138962</v>
      </c>
      <c r="R807" s="489">
        <f>LN((1+N807)/(1+H807))</f>
        <v>-0.0434469726108913</v>
      </c>
      <c r="S807" s="542">
        <f>LN((1+O807)/(1+H807))</f>
        <v>0.0194342822312925</v>
      </c>
    </row>
    <row r="808">
      <c r="A808" s="320" t="n">
        <v>707</v>
      </c>
      <c r="B808" s="174" t="n">
        <v>34</v>
      </c>
      <c r="C808" s="174" t="n">
        <v>11</v>
      </c>
      <c r="D808" s="174" t="n">
        <v>22</v>
      </c>
      <c r="E808" s="174" t="n">
        <v>49</v>
      </c>
      <c r="F808" s="174" t="n">
        <v>57</v>
      </c>
      <c r="G808" s="68">
        <f>(1+INDEX($Z$21:$Z$97,B808))*(1+INDEX($Z$21:$Z$97,C808))*(1+INDEX($Z$21:$Z$97,D808))*(1+INDEX($Z$21:$Z$97,E808))*(1+INDEX($Z$21:$Z$97,F808))-1</f>
        <v>0.542124498870181</v>
      </c>
      <c r="H808" s="68">
        <f>(1+INDEX($AA$21:$AA$97,B808))*(1+INDEX($AA$21:$AA$97,C808))*(1+INDEX($AA$21:$AA$97,D808))*(1+INDEX($AA$21:$AA$97,E808))*(1+INDEX($AA$21:$AA$97,F808))-1</f>
        <v>0.479035542609594</v>
      </c>
      <c r="I808" s="68">
        <f>(1+INDEX($AB$21:$AB$97,B808))*(1+INDEX($AB$21:$AB$97,C808))*(1+INDEX($AB$21:$AB$97,D808))*(1+INDEX($AB$21:$AB$97,E808))*(1+INDEX($AB$21:$AB$97,F808))-1</f>
        <v>0.518272869953699</v>
      </c>
      <c r="J808" s="489">
        <f>LN((1+G808)/(1+H808))</f>
        <v>0.0417707954946956</v>
      </c>
      <c r="K808" s="489">
        <f>LN((1+I808)/(1+H808))</f>
        <v>0.0261832040927834</v>
      </c>
      <c r="L808" s="489">
        <f>(1+INDEX($AC$21:$AC$97,B808))*(1+INDEX($AC$21:$AC$97,C808))*(1+INDEX($AC$21:$AC$97,D808))*(1+INDEX($AC$21:$AC$97,E808))*(1+INDEX($AC$21:$AC$97,F808))-1</f>
        <v>0.504339961751496</v>
      </c>
      <c r="M808" s="489">
        <f>(1+INDEX($AD$21:$AD$97,B808))*(1+INDEX($AD$21:$AD$97,C808))*(1+INDEX($AD$21:$AD$97,D808))*(1+INDEX($AD$21:$AD$97,E808))*(1+INDEX($AD$21:$AD$97,F808))-1</f>
        <v>0.542746254179884</v>
      </c>
      <c r="N808" s="489">
        <f>(1+INDEX($AE$21:$AE$97,B808))*(1+INDEX($AE$21:$AE$97,C808))*(1+INDEX($AE$21:$AE$97,D808))*(1+INDEX($AE$21:$AE$97,E808))*(1+INDEX($AE$21:$AE$97,F808))-1</f>
        <v>0.491873338802213</v>
      </c>
      <c r="O808" s="489">
        <f>(1+INDEX($AF$21:$AF$97,B808))*(1+INDEX($AF$21:$AF$97,C808))*(1+INDEX($AF$21:$AF$97,D808))*(1+INDEX($AF$21:$AF$97,E808))*(1+INDEX($AF$21:$AF$97,F808))-1</f>
        <v>0.52208408030311</v>
      </c>
      <c r="P808" s="489">
        <f>LN((1+L808)/(1+H808))</f>
        <v>0.0169640234292466</v>
      </c>
      <c r="Q808" s="489">
        <f>LN((1+M808)/(1+H808))</f>
        <v>0.0421738952469353</v>
      </c>
      <c r="R808" s="489">
        <f>LN((1+N808)/(1+H808))</f>
        <v>0.00864238965953315</v>
      </c>
      <c r="S808" s="542">
        <f>LN((1+O808)/(1+H808))</f>
        <v>0.0286902862598012</v>
      </c>
    </row>
    <row r="809">
      <c r="A809" s="320" t="n">
        <v>708</v>
      </c>
      <c r="B809" s="174" t="n">
        <v>21</v>
      </c>
      <c r="C809" s="174" t="n">
        <v>75</v>
      </c>
      <c r="D809" s="174" t="n">
        <v>22</v>
      </c>
      <c r="E809" s="174" t="n">
        <v>49</v>
      </c>
      <c r="F809" s="174" t="n">
        <v>72</v>
      </c>
      <c r="G809" s="68">
        <f>(1+INDEX($Z$21:$Z$97,B809))*(1+INDEX($Z$21:$Z$97,C809))*(1+INDEX($Z$21:$Z$97,D809))*(1+INDEX($Z$21:$Z$97,E809))*(1+INDEX($Z$21:$Z$97,F809))-1</f>
        <v>0.42892737139661</v>
      </c>
      <c r="H809" s="68">
        <f>(1+INDEX($AA$21:$AA$97,B809))*(1+INDEX($AA$21:$AA$97,C809))*(1+INDEX($AA$21:$AA$97,D809))*(1+INDEX($AA$21:$AA$97,E809))*(1+INDEX($AA$21:$AA$97,F809))-1</f>
        <v>0.432786653706899</v>
      </c>
      <c r="I809" s="68">
        <f>(1+INDEX($AB$21:$AB$97,B809))*(1+INDEX($AB$21:$AB$97,C809))*(1+INDEX($AB$21:$AB$97,D809))*(1+INDEX($AB$21:$AB$97,E809))*(1+INDEX($AB$21:$AB$97,F809))-1</f>
        <v>0.493924617757545</v>
      </c>
      <c r="J809" s="489">
        <f>LN((1+G809)/(1+H809))</f>
        <v>-0.00269718400655066</v>
      </c>
      <c r="K809" s="489">
        <f>LN((1+I809)/(1+H809))</f>
        <v>0.0417853718950054</v>
      </c>
      <c r="L809" s="489">
        <f>(1+INDEX($AC$21:$AC$97,B809))*(1+INDEX($AC$21:$AC$97,C809))*(1+INDEX($AC$21:$AC$97,D809))*(1+INDEX($AC$21:$AC$97,E809))*(1+INDEX($AC$21:$AC$97,F809))-1</f>
        <v>0.461501585441549</v>
      </c>
      <c r="M809" s="489">
        <f>(1+INDEX($AD$21:$AD$97,B809))*(1+INDEX($AD$21:$AD$97,C809))*(1+INDEX($AD$21:$AD$97,D809))*(1+INDEX($AD$21:$AD$97,E809))*(1+INDEX($AD$21:$AD$97,F809))-1</f>
        <v>0.485325651162239</v>
      </c>
      <c r="N809" s="489">
        <f>(1+INDEX($AE$21:$AE$97,B809))*(1+INDEX($AE$21:$AE$97,C809))*(1+INDEX($AE$21:$AE$97,D809))*(1+INDEX($AE$21:$AE$97,E809))*(1+INDEX($AE$21:$AE$97,F809))-1</f>
        <v>0.451065344524656</v>
      </c>
      <c r="O809" s="489">
        <f>(1+INDEX($AF$21:$AF$97,B809))*(1+INDEX($AF$21:$AF$97,C809))*(1+INDEX($AF$21:$AF$97,D809))*(1+INDEX($AF$21:$AF$97,E809))*(1+INDEX($AF$21:$AF$97,F809))-1</f>
        <v>0.44260349933536</v>
      </c>
      <c r="P809" s="489">
        <f>LN((1+L809)/(1+H809))</f>
        <v>0.0198431334852018</v>
      </c>
      <c r="Q809" s="489">
        <f>LN((1+M809)/(1+H809))</f>
        <v>0.0360127850375392</v>
      </c>
      <c r="R809" s="489">
        <f>LN((1+N809)/(1+H809))</f>
        <v>0.0126767501317234</v>
      </c>
      <c r="S809" s="542">
        <f>LN((1+O809)/(1+H809))</f>
        <v>0.00682820991101403</v>
      </c>
    </row>
    <row r="810">
      <c r="A810" s="320" t="n">
        <v>709</v>
      </c>
      <c r="B810" s="174" t="n">
        <v>51</v>
      </c>
      <c r="C810" s="174" t="n">
        <v>30</v>
      </c>
      <c r="D810" s="174" t="n">
        <v>19</v>
      </c>
      <c r="E810" s="174" t="n">
        <v>32</v>
      </c>
      <c r="F810" s="174" t="n">
        <v>31</v>
      </c>
      <c r="G810" s="68">
        <f>(1+INDEX($Z$21:$Z$97,B810))*(1+INDEX($Z$21:$Z$97,C810))*(1+INDEX($Z$21:$Z$97,D810))*(1+INDEX($Z$21:$Z$97,E810))*(1+INDEX($Z$21:$Z$97,F810))-1</f>
        <v>0.529972067676142</v>
      </c>
      <c r="H810" s="68">
        <f>(1+INDEX($AA$21:$AA$97,B810))*(1+INDEX($AA$21:$AA$97,C810))*(1+INDEX($AA$21:$AA$97,D810))*(1+INDEX($AA$21:$AA$97,E810))*(1+INDEX($AA$21:$AA$97,F810))-1</f>
        <v>0.506907014112944</v>
      </c>
      <c r="I810" s="68">
        <f>(1+INDEX($AB$21:$AB$97,B810))*(1+INDEX($AB$21:$AB$97,C810))*(1+INDEX($AB$21:$AB$97,D810))*(1+INDEX($AB$21:$AB$97,E810))*(1+INDEX($AB$21:$AB$97,F810))-1</f>
        <v>0.542643770511472</v>
      </c>
      <c r="J810" s="489">
        <f>LN((1+G810)/(1+H810))</f>
        <v>0.0151902637218899</v>
      </c>
      <c r="K810" s="489">
        <f>LN((1+I810)/(1+H810))</f>
        <v>0.02343846352527</v>
      </c>
      <c r="L810" s="489">
        <f>(1+INDEX($AC$21:$AC$97,B810))*(1+INDEX($AC$21:$AC$97,C810))*(1+INDEX($AC$21:$AC$97,D810))*(1+INDEX($AC$21:$AC$97,E810))*(1+INDEX($AC$21:$AC$97,F810))-1</f>
        <v>0.519585922813988</v>
      </c>
      <c r="M810" s="489">
        <f>(1+INDEX($AD$21:$AD$97,B810))*(1+INDEX($AD$21:$AD$97,C810))*(1+INDEX($AD$21:$AD$97,D810))*(1+INDEX($AD$21:$AD$97,E810))*(1+INDEX($AD$21:$AD$97,F810))-1</f>
        <v>0.555382733167181</v>
      </c>
      <c r="N810" s="489">
        <f>(1+INDEX($AE$21:$AE$97,B810))*(1+INDEX($AE$21:$AE$97,C810))*(1+INDEX($AE$21:$AE$97,D810))*(1+INDEX($AE$21:$AE$97,E810))*(1+INDEX($AE$21:$AE$97,F810))-1</f>
        <v>0.525821016788659</v>
      </c>
      <c r="O810" s="489">
        <f>(1+INDEX($AF$21:$AF$97,B810))*(1+INDEX($AF$21:$AF$97,C810))*(1+INDEX($AF$21:$AF$97,D810))*(1+INDEX($AF$21:$AF$97,E810))*(1+INDEX($AF$21:$AF$97,F810))-1</f>
        <v>0.510716771067356</v>
      </c>
      <c r="P810" s="489">
        <f>LN((1+L810)/(1+H810))</f>
        <v>0.00837866344902886</v>
      </c>
      <c r="Q810" s="489">
        <f>LN((1+M810)/(1+H810))</f>
        <v>0.0316624309051719</v>
      </c>
      <c r="R810" s="489">
        <f>LN((1+N810)/(1+H810))</f>
        <v>0.0124734217590572</v>
      </c>
      <c r="S810" s="542">
        <f>LN((1+O810)/(1+H810))</f>
        <v>0.00252500593166253</v>
      </c>
    </row>
    <row r="811">
      <c r="A811" s="320" t="n">
        <v>710</v>
      </c>
      <c r="B811" s="174" t="n">
        <v>45</v>
      </c>
      <c r="C811" s="174" t="n">
        <v>33</v>
      </c>
      <c r="D811" s="174" t="n">
        <v>1</v>
      </c>
      <c r="E811" s="174" t="n">
        <v>52</v>
      </c>
      <c r="F811" s="174" t="n">
        <v>12</v>
      </c>
      <c r="G811" s="68">
        <f>(1+INDEX($Z$21:$Z$97,B811))*(1+INDEX($Z$21:$Z$97,C811))*(1+INDEX($Z$21:$Z$97,D811))*(1+INDEX($Z$21:$Z$97,E811))*(1+INDEX($Z$21:$Z$97,F811))-1</f>
        <v>0.91894263074817</v>
      </c>
      <c r="H811" s="68">
        <f>(1+INDEX($AA$21:$AA$97,B811))*(1+INDEX($AA$21:$AA$97,C811))*(1+INDEX($AA$21:$AA$97,D811))*(1+INDEX($AA$21:$AA$97,E811))*(1+INDEX($AA$21:$AA$97,F811))-1</f>
        <v>0.79310223420752</v>
      </c>
      <c r="I811" s="68">
        <f>(1+INDEX($AB$21:$AB$97,B811))*(1+INDEX($AB$21:$AB$97,C811))*(1+INDEX($AB$21:$AB$97,D811))*(1+INDEX($AB$21:$AB$97,E811))*(1+INDEX($AB$21:$AB$97,F811))-1</f>
        <v>0.870608892225933</v>
      </c>
      <c r="J811" s="489">
        <f>LN((1+G811)/(1+H811))</f>
        <v>0.0678271096713614</v>
      </c>
      <c r="K811" s="489">
        <f>LN((1+I811)/(1+H811))</f>
        <v>0.0423167771646564</v>
      </c>
      <c r="L811" s="489">
        <f>(1+INDEX($AC$21:$AC$97,B811))*(1+INDEX($AC$21:$AC$97,C811))*(1+INDEX($AC$21:$AC$97,D811))*(1+INDEX($AC$21:$AC$97,E811))*(1+INDEX($AC$21:$AC$97,F811))-1</f>
        <v>0.868588073325797</v>
      </c>
      <c r="M811" s="489">
        <f>(1+INDEX($AD$21:$AD$97,B811))*(1+INDEX($AD$21:$AD$97,C811))*(1+INDEX($AD$21:$AD$97,D811))*(1+INDEX($AD$21:$AD$97,E811))*(1+INDEX($AD$21:$AD$97,F811))-1</f>
        <v>0.88452121690988</v>
      </c>
      <c r="N811" s="489">
        <f>(1+INDEX($AE$21:$AE$97,B811))*(1+INDEX($AE$21:$AE$97,C811))*(1+INDEX($AE$21:$AE$97,D811))*(1+INDEX($AE$21:$AE$97,E811))*(1+INDEX($AE$21:$AE$97,F811))-1</f>
        <v>0.852064282006306</v>
      </c>
      <c r="O811" s="489">
        <f>(1+INDEX($AF$21:$AF$97,B811))*(1+INDEX($AF$21:$AF$97,C811))*(1+INDEX($AF$21:$AF$97,D811))*(1+INDEX($AF$21:$AF$97,E811))*(1+INDEX($AF$21:$AF$97,F811))-1</f>
        <v>0.799129119541012</v>
      </c>
      <c r="P811" s="489">
        <f>LN((1+L811)/(1+H811))</f>
        <v>0.0412358931590804</v>
      </c>
      <c r="Q811" s="489">
        <f>LN((1+M811)/(1+H811))</f>
        <v>0.0497265807850118</v>
      </c>
      <c r="R811" s="489">
        <f>LN((1+N811)/(1+H811))</f>
        <v>0.0323536336101224</v>
      </c>
      <c r="S811" s="542">
        <f>LN((1+O811)/(1+H811))</f>
        <v>0.00335551382689431</v>
      </c>
    </row>
    <row r="812">
      <c r="A812" s="320" t="n">
        <v>711</v>
      </c>
      <c r="B812" s="174" t="n">
        <v>9</v>
      </c>
      <c r="C812" s="174" t="n">
        <v>21</v>
      </c>
      <c r="D812" s="174" t="n">
        <v>18</v>
      </c>
      <c r="E812" s="174" t="n">
        <v>26</v>
      </c>
      <c r="F812" s="174" t="n">
        <v>26</v>
      </c>
      <c r="G812" s="68">
        <f>(1+INDEX($Z$21:$Z$97,B812))*(1+INDEX($Z$21:$Z$97,C812))*(1+INDEX($Z$21:$Z$97,D812))*(1+INDEX($Z$21:$Z$97,E812))*(1+INDEX($Z$21:$Z$97,F812))-1</f>
        <v>0.253042857332903</v>
      </c>
      <c r="H812" s="68">
        <f>(1+INDEX($AA$21:$AA$97,B812))*(1+INDEX($AA$21:$AA$97,C812))*(1+INDEX($AA$21:$AA$97,D812))*(1+INDEX($AA$21:$AA$97,E812))*(1+INDEX($AA$21:$AA$97,F812))-1</f>
        <v>0.255158804573022</v>
      </c>
      <c r="I812" s="68">
        <f>(1+INDEX($AB$21:$AB$97,B812))*(1+INDEX($AB$21:$AB$97,C812))*(1+INDEX($AB$21:$AB$97,D812))*(1+INDEX($AB$21:$AB$97,E812))*(1+INDEX($AB$21:$AB$97,F812))-1</f>
        <v>0.257360445911544</v>
      </c>
      <c r="J812" s="489">
        <f>LN((1+G812)/(1+H812))</f>
        <v>-0.00168722298068339</v>
      </c>
      <c r="K812" s="489">
        <f>LN((1+I812)/(1+H812))</f>
        <v>0.00175253734004605</v>
      </c>
      <c r="L812" s="489">
        <f>(1+INDEX($AC$21:$AC$97,B812))*(1+INDEX($AC$21:$AC$97,C812))*(1+INDEX($AC$21:$AC$97,D812))*(1+INDEX($AC$21:$AC$97,E812))*(1+INDEX($AC$21:$AC$97,F812))-1</f>
        <v>0.228905967641108</v>
      </c>
      <c r="M812" s="489">
        <f>(1+INDEX($AD$21:$AD$97,B812))*(1+INDEX($AD$21:$AD$97,C812))*(1+INDEX($AD$21:$AD$97,D812))*(1+INDEX($AD$21:$AD$97,E812))*(1+INDEX($AD$21:$AD$97,F812))-1</f>
        <v>0.272763097193751</v>
      </c>
      <c r="N812" s="489">
        <f>(1+INDEX($AE$21:$AE$97,B812))*(1+INDEX($AE$21:$AE$97,C812))*(1+INDEX($AE$21:$AE$97,D812))*(1+INDEX($AE$21:$AE$97,E812))*(1+INDEX($AE$21:$AE$97,F812))-1</f>
        <v>0.231510293038688</v>
      </c>
      <c r="O812" s="489">
        <f>(1+INDEX($AF$21:$AF$97,B812))*(1+INDEX($AF$21:$AF$97,C812))*(1+INDEX($AF$21:$AF$97,D812))*(1+INDEX($AF$21:$AF$97,E812))*(1+INDEX($AF$21:$AF$97,F812))-1</f>
        <v>0.31575010095404</v>
      </c>
      <c r="P812" s="489">
        <f>LN((1+L812)/(1+H812))</f>
        <v>-0.0211377857067352</v>
      </c>
      <c r="Q812" s="489">
        <f>LN((1+M812)/(1+H812))</f>
        <v>0.0139281021289003</v>
      </c>
      <c r="R812" s="489">
        <f>LN((1+N812)/(1+H812))</f>
        <v>-0.019020805412116</v>
      </c>
      <c r="S812" s="542">
        <f>LN((1+O812)/(1+H812))</f>
        <v>0.0471448198921846</v>
      </c>
    </row>
    <row r="813">
      <c r="A813" s="320" t="n">
        <v>712</v>
      </c>
      <c r="B813" s="174" t="n">
        <v>39</v>
      </c>
      <c r="C813" s="174" t="n">
        <v>17</v>
      </c>
      <c r="D813" s="174" t="n">
        <v>55</v>
      </c>
      <c r="E813" s="174" t="n">
        <v>60</v>
      </c>
      <c r="F813" s="174" t="n">
        <v>42</v>
      </c>
      <c r="G813" s="68">
        <f>(1+INDEX($Z$21:$Z$97,B813))*(1+INDEX($Z$21:$Z$97,C813))*(1+INDEX($Z$21:$Z$97,D813))*(1+INDEX($Z$21:$Z$97,E813))*(1+INDEX($Z$21:$Z$97,F813))-1</f>
        <v>0.341166858667809</v>
      </c>
      <c r="H813" s="68">
        <f>(1+INDEX($AA$21:$AA$97,B813))*(1+INDEX($AA$21:$AA$97,C813))*(1+INDEX($AA$21:$AA$97,D813))*(1+INDEX($AA$21:$AA$97,E813))*(1+INDEX($AA$21:$AA$97,F813))-1</f>
        <v>0.331387912374401</v>
      </c>
      <c r="I813" s="68">
        <f>(1+INDEX($AB$21:$AB$97,B813))*(1+INDEX($AB$21:$AB$97,C813))*(1+INDEX($AB$21:$AB$97,D813))*(1+INDEX($AB$21:$AB$97,E813))*(1+INDEX($AB$21:$AB$97,F813))-1</f>
        <v>0.335480497925802</v>
      </c>
      <c r="J813" s="489">
        <f>LN((1+G813)/(1+H813))</f>
        <v>0.00731808383605045</v>
      </c>
      <c r="K813" s="489">
        <f>LN((1+I813)/(1+H813))</f>
        <v>0.0030692093755273</v>
      </c>
      <c r="L813" s="489">
        <f>(1+INDEX($AC$21:$AC$97,B813))*(1+INDEX($AC$21:$AC$97,C813))*(1+INDEX($AC$21:$AC$97,D813))*(1+INDEX($AC$21:$AC$97,E813))*(1+INDEX($AC$21:$AC$97,F813))-1</f>
        <v>0.337025061690082</v>
      </c>
      <c r="M813" s="489">
        <f>(1+INDEX($AD$21:$AD$97,B813))*(1+INDEX($AD$21:$AD$97,C813))*(1+INDEX($AD$21:$AD$97,D813))*(1+INDEX($AD$21:$AD$97,E813))*(1+INDEX($AD$21:$AD$97,F813))-1</f>
        <v>0.337632392719943</v>
      </c>
      <c r="N813" s="489">
        <f>(1+INDEX($AE$21:$AE$97,B813))*(1+INDEX($AE$21:$AE$97,C813))*(1+INDEX($AE$21:$AE$97,D813))*(1+INDEX($AE$21:$AE$97,E813))*(1+INDEX($AE$21:$AE$97,F813))-1</f>
        <v>0.344046695175401</v>
      </c>
      <c r="O813" s="489">
        <f>(1+INDEX($AF$21:$AF$97,B813))*(1+INDEX($AF$21:$AF$97,C813))*(1+INDEX($AF$21:$AF$97,D813))*(1+INDEX($AF$21:$AF$97,E813))*(1+INDEX($AF$21:$AF$97,F813))-1</f>
        <v>0.337664081865938</v>
      </c>
      <c r="P813" s="489">
        <f>LN((1+L813)/(1+H813))</f>
        <v>0.00422510140403631</v>
      </c>
      <c r="Q813" s="489">
        <f>LN((1+M813)/(1+H813))</f>
        <v>0.00467923884081115</v>
      </c>
      <c r="R813" s="489">
        <f>LN((1+N813)/(1+H813))</f>
        <v>0.00946304367182418</v>
      </c>
      <c r="S813" s="542">
        <f>LN((1+O813)/(1+H813))</f>
        <v>0.00470292903462598</v>
      </c>
    </row>
    <row r="814">
      <c r="A814" s="320" t="n">
        <v>713</v>
      </c>
      <c r="B814" s="174" t="n">
        <v>38</v>
      </c>
      <c r="C814" s="174" t="n">
        <v>22</v>
      </c>
      <c r="D814" s="174" t="n">
        <v>8</v>
      </c>
      <c r="E814" s="174" t="n">
        <v>19</v>
      </c>
      <c r="F814" s="174" t="n">
        <v>5</v>
      </c>
      <c r="G814" s="68">
        <f>(1+INDEX($Z$21:$Z$97,B814))*(1+INDEX($Z$21:$Z$97,C814))*(1+INDEX($Z$21:$Z$97,D814))*(1+INDEX($Z$21:$Z$97,E814))*(1+INDEX($Z$21:$Z$97,F814))-1</f>
        <v>-0.237613235335581</v>
      </c>
      <c r="H814" s="68">
        <f>(1+INDEX($AA$21:$AA$97,B814))*(1+INDEX($AA$21:$AA$97,C814))*(1+INDEX($AA$21:$AA$97,D814))*(1+INDEX($AA$21:$AA$97,E814))*(1+INDEX($AA$21:$AA$97,F814))-1</f>
        <v>-0.192484101011684</v>
      </c>
      <c r="I814" s="68">
        <f>(1+INDEX($AB$21:$AB$97,B814))*(1+INDEX($AB$21:$AB$97,C814))*(1+INDEX($AB$21:$AB$97,D814))*(1+INDEX($AB$21:$AB$97,E814))*(1+INDEX($AB$21:$AB$97,F814))-1</f>
        <v>-0.246529301953855</v>
      </c>
      <c r="J814" s="489">
        <f>LN((1+G814)/(1+H814))</f>
        <v>-0.0575087519571846</v>
      </c>
      <c r="K814" s="489">
        <f>LN((1+I814)/(1+H814))</f>
        <v>-0.0692726145376277</v>
      </c>
      <c r="L814" s="489">
        <f>(1+INDEX($AC$21:$AC$97,B814))*(1+INDEX($AC$21:$AC$97,C814))*(1+INDEX($AC$21:$AC$97,D814))*(1+INDEX($AC$21:$AC$97,E814))*(1+INDEX($AC$21:$AC$97,F814))-1</f>
        <v>-0.266277944535902</v>
      </c>
      <c r="M814" s="489">
        <f>(1+INDEX($AD$21:$AD$97,B814))*(1+INDEX($AD$21:$AD$97,C814))*(1+INDEX($AD$21:$AD$97,D814))*(1+INDEX($AD$21:$AD$97,E814))*(1+INDEX($AD$21:$AD$97,F814))-1</f>
        <v>-0.2309096293793</v>
      </c>
      <c r="N814" s="489">
        <f>(1+INDEX($AE$21:$AE$97,B814))*(1+INDEX($AE$21:$AE$97,C814))*(1+INDEX($AE$21:$AE$97,D814))*(1+INDEX($AE$21:$AE$97,E814))*(1+INDEX($AE$21:$AE$97,F814))-1</f>
        <v>-0.26794301894679</v>
      </c>
      <c r="O814" s="489">
        <f>(1+INDEX($AF$21:$AF$97,B814))*(1+INDEX($AF$21:$AF$97,C814))*(1+INDEX($AF$21:$AF$97,D814))*(1+INDEX($AF$21:$AF$97,E814))*(1+INDEX($AF$21:$AF$97,F814))-1</f>
        <v>-0.179283081217</v>
      </c>
      <c r="P814" s="489">
        <f>LN((1+L814)/(1+H814))</f>
        <v>-0.0958324581819028</v>
      </c>
      <c r="Q814" s="489">
        <f>LN((1+M814)/(1+H814))</f>
        <v>-0.048754264389517</v>
      </c>
      <c r="R814" s="489">
        <f>LN((1+N814)/(1+H814))</f>
        <v>-0.0981043901520296</v>
      </c>
      <c r="S814" s="542">
        <f>LN((1+O814)/(1+H814))</f>
        <v>0.0162155054345475</v>
      </c>
    </row>
    <row r="815">
      <c r="A815" s="320" t="n">
        <v>714</v>
      </c>
      <c r="B815" s="174" t="n">
        <v>26</v>
      </c>
      <c r="C815" s="174" t="n">
        <v>46</v>
      </c>
      <c r="D815" s="174" t="n">
        <v>77</v>
      </c>
      <c r="E815" s="174" t="n">
        <v>49</v>
      </c>
      <c r="F815" s="174" t="n">
        <v>27</v>
      </c>
      <c r="G815" s="68">
        <f>(1+INDEX($Z$21:$Z$97,B815))*(1+INDEX($Z$21:$Z$97,C815))*(1+INDEX($Z$21:$Z$97,D815))*(1+INDEX($Z$21:$Z$97,E815))*(1+INDEX($Z$21:$Z$97,F815))-1</f>
        <v>0.849616489012382</v>
      </c>
      <c r="H815" s="68">
        <f>(1+INDEX($AA$21:$AA$97,B815))*(1+INDEX($AA$21:$AA$97,C815))*(1+INDEX($AA$21:$AA$97,D815))*(1+INDEX($AA$21:$AA$97,E815))*(1+INDEX($AA$21:$AA$97,F815))-1</f>
        <v>0.758000528073806</v>
      </c>
      <c r="I815" s="68">
        <f>(1+INDEX($AB$21:$AB$97,B815))*(1+INDEX($AB$21:$AB$97,C815))*(1+INDEX($AB$21:$AB$97,D815))*(1+INDEX($AB$21:$AB$97,E815))*(1+INDEX($AB$21:$AB$97,F815))-1</f>
        <v>0.90734452176096</v>
      </c>
      <c r="J815" s="489">
        <f>LN((1+G815)/(1+H815))</f>
        <v>0.0508012147171771</v>
      </c>
      <c r="K815" s="489">
        <f>LN((1+I815)/(1+H815))</f>
        <v>0.0815348723017809</v>
      </c>
      <c r="L815" s="489">
        <f>(1+INDEX($AC$21:$AC$97,B815))*(1+INDEX($AC$21:$AC$97,C815))*(1+INDEX($AC$21:$AC$97,D815))*(1+INDEX($AC$21:$AC$97,E815))*(1+INDEX($AC$21:$AC$97,F815))-1</f>
        <v>0.893147866041588</v>
      </c>
      <c r="M815" s="489">
        <f>(1+INDEX($AD$21:$AD$97,B815))*(1+INDEX($AD$21:$AD$97,C815))*(1+INDEX($AD$21:$AD$97,D815))*(1+INDEX($AD$21:$AD$97,E815))*(1+INDEX($AD$21:$AD$97,F815))-1</f>
        <v>0.860447951337934</v>
      </c>
      <c r="N815" s="489">
        <f>(1+INDEX($AE$21:$AE$97,B815))*(1+INDEX($AE$21:$AE$97,C815))*(1+INDEX($AE$21:$AE$97,D815))*(1+INDEX($AE$21:$AE$97,E815))*(1+INDEX($AE$21:$AE$97,F815))-1</f>
        <v>0.85912385683061</v>
      </c>
      <c r="O815" s="489">
        <f>(1+INDEX($AF$21:$AF$97,B815))*(1+INDEX($AF$21:$AF$97,C815))*(1+INDEX($AF$21:$AF$97,D815))*(1+INDEX($AF$21:$AF$97,E815))*(1+INDEX($AF$21:$AF$97,F815))-1</f>
        <v>0.78882143681535</v>
      </c>
      <c r="P815" s="489">
        <f>LN((1+L815)/(1+H815))</f>
        <v>0.0740638815438985</v>
      </c>
      <c r="Q815" s="489">
        <f>LN((1+M815)/(1+H815))</f>
        <v>0.0566401931356775</v>
      </c>
      <c r="R815" s="489">
        <f>LN((1+N815)/(1+H815))</f>
        <v>0.0559282323877512</v>
      </c>
      <c r="S815" s="542">
        <f>LN((1+O815)/(1+H815))</f>
        <v>0.0173798881690188</v>
      </c>
    </row>
    <row r="816">
      <c r="A816" s="320" t="n">
        <v>715</v>
      </c>
      <c r="B816" s="174" t="n">
        <v>69</v>
      </c>
      <c r="C816" s="174" t="n">
        <v>70</v>
      </c>
      <c r="D816" s="174" t="n">
        <v>47</v>
      </c>
      <c r="E816" s="174" t="n">
        <v>29</v>
      </c>
      <c r="F816" s="174" t="n">
        <v>15</v>
      </c>
      <c r="G816" s="68">
        <f>(1+INDEX($Z$21:$Z$97,B816))*(1+INDEX($Z$21:$Z$97,C816))*(1+INDEX($Z$21:$Z$97,D816))*(1+INDEX($Z$21:$Z$97,E816))*(1+INDEX($Z$21:$Z$97,F816))-1</f>
        <v>0.656533345530145</v>
      </c>
      <c r="H816" s="68">
        <f>(1+INDEX($AA$21:$AA$97,B816))*(1+INDEX($AA$21:$AA$97,C816))*(1+INDEX($AA$21:$AA$97,D816))*(1+INDEX($AA$21:$AA$97,E816))*(1+INDEX($AA$21:$AA$97,F816))-1</f>
        <v>0.657106172419492</v>
      </c>
      <c r="I816" s="68">
        <f>(1+INDEX($AB$21:$AB$97,B816))*(1+INDEX($AB$21:$AB$97,C816))*(1+INDEX($AB$21:$AB$97,D816))*(1+INDEX($AB$21:$AB$97,E816))*(1+INDEX($AB$21:$AB$97,F816))-1</f>
        <v>0.724667521030835</v>
      </c>
      <c r="J816" s="489">
        <f>LN((1+G816)/(1+H816))</f>
        <v>-0.000345738811931533</v>
      </c>
      <c r="K816" s="489">
        <f>LN((1+I816)/(1+H816))</f>
        <v>0.0399614789960004</v>
      </c>
      <c r="L816" s="489">
        <f>(1+INDEX($AC$21:$AC$97,B816))*(1+INDEX($AC$21:$AC$97,C816))*(1+INDEX($AC$21:$AC$97,D816))*(1+INDEX($AC$21:$AC$97,E816))*(1+INDEX($AC$21:$AC$97,F816))-1</f>
        <v>0.719490749061707</v>
      </c>
      <c r="M816" s="489">
        <f>(1+INDEX($AD$21:$AD$97,B816))*(1+INDEX($AD$21:$AD$97,C816))*(1+INDEX($AD$21:$AD$97,D816))*(1+INDEX($AD$21:$AD$97,E816))*(1+INDEX($AD$21:$AD$97,F816))-1</f>
        <v>0.693217232722024</v>
      </c>
      <c r="N816" s="489">
        <f>(1+INDEX($AE$21:$AE$97,B816))*(1+INDEX($AE$21:$AE$97,C816))*(1+INDEX($AE$21:$AE$97,D816))*(1+INDEX($AE$21:$AE$97,E816))*(1+INDEX($AE$21:$AE$97,F816))-1</f>
        <v>0.72422861796216</v>
      </c>
      <c r="O816" s="489">
        <f>(1+INDEX($AF$21:$AF$97,B816))*(1+INDEX($AF$21:$AF$97,C816))*(1+INDEX($AF$21:$AF$97,D816))*(1+INDEX($AF$21:$AF$97,E816))*(1+INDEX($AF$21:$AF$97,F816))-1</f>
        <v>0.660070069898146</v>
      </c>
      <c r="P816" s="489">
        <f>LN((1+L816)/(1+H816))</f>
        <v>0.0369553593803515</v>
      </c>
      <c r="Q816" s="489">
        <f>LN((1+M816)/(1+H816))</f>
        <v>0.0215575957396657</v>
      </c>
      <c r="R816" s="489">
        <f>LN((1+N816)/(1+H816))</f>
        <v>0.0397069609975707</v>
      </c>
      <c r="S816" s="542">
        <f>LN((1+O816)/(1+H816))</f>
        <v>0.00178700078071157</v>
      </c>
    </row>
    <row r="817">
      <c r="A817" s="320" t="n">
        <v>716</v>
      </c>
      <c r="B817" s="174" t="n">
        <v>49</v>
      </c>
      <c r="C817" s="174" t="n">
        <v>33</v>
      </c>
      <c r="D817" s="174" t="n">
        <v>46</v>
      </c>
      <c r="E817" s="174" t="n">
        <v>38</v>
      </c>
      <c r="F817" s="174" t="n">
        <v>27</v>
      </c>
      <c r="G817" s="68">
        <f>(1+INDEX($Z$21:$Z$97,B817))*(1+INDEX($Z$21:$Z$97,C817))*(1+INDEX($Z$21:$Z$97,D817))*(1+INDEX($Z$21:$Z$97,E817))*(1+INDEX($Z$21:$Z$97,F817))-1</f>
        <v>0.852349253555935</v>
      </c>
      <c r="H817" s="68">
        <f>(1+INDEX($AA$21:$AA$97,B817))*(1+INDEX($AA$21:$AA$97,C817))*(1+INDEX($AA$21:$AA$97,D817))*(1+INDEX($AA$21:$AA$97,E817))*(1+INDEX($AA$21:$AA$97,F817))-1</f>
        <v>0.753296133675889</v>
      </c>
      <c r="I817" s="68">
        <f>(1+INDEX($AB$21:$AB$97,B817))*(1+INDEX($AB$21:$AB$97,C817))*(1+INDEX($AB$21:$AB$97,D817))*(1+INDEX($AB$21:$AB$97,E817))*(1+INDEX($AB$21:$AB$97,F817))-1</f>
        <v>0.882335039379763</v>
      </c>
      <c r="J817" s="489">
        <f>LN((1+G817)/(1+H817))</f>
        <v>0.0549571789565561</v>
      </c>
      <c r="K817" s="489">
        <f>LN((1+I817)/(1+H817))</f>
        <v>0.0710155270470148</v>
      </c>
      <c r="L817" s="489">
        <f>(1+INDEX($AC$21:$AC$97,B817))*(1+INDEX($AC$21:$AC$97,C817))*(1+INDEX($AC$21:$AC$97,D817))*(1+INDEX($AC$21:$AC$97,E817))*(1+INDEX($AC$21:$AC$97,F817))-1</f>
        <v>0.848707283711578</v>
      </c>
      <c r="M817" s="489">
        <f>(1+INDEX($AD$21:$AD$97,B817))*(1+INDEX($AD$21:$AD$97,C817))*(1+INDEX($AD$21:$AD$97,D817))*(1+INDEX($AD$21:$AD$97,E817))*(1+INDEX($AD$21:$AD$97,F817))-1</f>
        <v>0.877361609879591</v>
      </c>
      <c r="N817" s="489">
        <f>(1+INDEX($AE$21:$AE$97,B817))*(1+INDEX($AE$21:$AE$97,C817))*(1+INDEX($AE$21:$AE$97,D817))*(1+INDEX($AE$21:$AE$97,E817))*(1+INDEX($AE$21:$AE$97,F817))-1</f>
        <v>0.846441194365692</v>
      </c>
      <c r="O817" s="489">
        <f>(1+INDEX($AF$21:$AF$97,B817))*(1+INDEX($AF$21:$AF$97,C817))*(1+INDEX($AF$21:$AF$97,D817))*(1+INDEX($AF$21:$AF$97,E817))*(1+INDEX($AF$21:$AF$97,F817))-1</f>
        <v>0.759454006280288</v>
      </c>
      <c r="P817" s="489">
        <f>LN((1+L817)/(1+H817))</f>
        <v>0.0529891079567092</v>
      </c>
      <c r="Q817" s="489">
        <f>LN((1+M817)/(1+H817))</f>
        <v>0.0683698708331763</v>
      </c>
      <c r="R817" s="489">
        <f>LN((1+N817)/(1+H817))</f>
        <v>0.0517625864009913</v>
      </c>
      <c r="S817" s="542">
        <f>LN((1+O817)/(1+H817))</f>
        <v>0.00350601589457961</v>
      </c>
    </row>
    <row r="818">
      <c r="A818" s="320" t="n">
        <v>717</v>
      </c>
      <c r="B818" s="174" t="n">
        <v>65</v>
      </c>
      <c r="C818" s="174" t="n">
        <v>3</v>
      </c>
      <c r="D818" s="174" t="n">
        <v>16</v>
      </c>
      <c r="E818" s="174" t="n">
        <v>18</v>
      </c>
      <c r="F818" s="174" t="n">
        <v>17</v>
      </c>
      <c r="G818" s="68">
        <f>(1+INDEX($Z$21:$Z$97,B818))*(1+INDEX($Z$21:$Z$97,C818))*(1+INDEX($Z$21:$Z$97,D818))*(1+INDEX($Z$21:$Z$97,E818))*(1+INDEX($Z$21:$Z$97,F818))-1</f>
        <v>0.266856176647241</v>
      </c>
      <c r="H818" s="68">
        <f>(1+INDEX($AA$21:$AA$97,B818))*(1+INDEX($AA$21:$AA$97,C818))*(1+INDEX($AA$21:$AA$97,D818))*(1+INDEX($AA$21:$AA$97,E818))*(1+INDEX($AA$21:$AA$97,F818))-1</f>
        <v>0.184069554009474</v>
      </c>
      <c r="I818" s="68">
        <f>(1+INDEX($AB$21:$AB$97,B818))*(1+INDEX($AB$21:$AB$97,C818))*(1+INDEX($AB$21:$AB$97,D818))*(1+INDEX($AB$21:$AB$97,E818))*(1+INDEX($AB$21:$AB$97,F818))-1</f>
        <v>0.185416815955</v>
      </c>
      <c r="J818" s="489">
        <f>LN((1+G818)/(1+H818))</f>
        <v>0.0675811003390274</v>
      </c>
      <c r="K818" s="489">
        <f>LN((1+I818)/(1+H818))</f>
        <v>0.00113717648498867</v>
      </c>
      <c r="L818" s="489">
        <f>(1+INDEX($AC$21:$AC$97,B818))*(1+INDEX($AC$21:$AC$97,C818))*(1+INDEX($AC$21:$AC$97,D818))*(1+INDEX($AC$21:$AC$97,E818))*(1+INDEX($AC$21:$AC$97,F818))-1</f>
        <v>0.156931982645476</v>
      </c>
      <c r="M818" s="489">
        <f>(1+INDEX($AD$21:$AD$97,B818))*(1+INDEX($AD$21:$AD$97,C818))*(1+INDEX($AD$21:$AD$97,D818))*(1+INDEX($AD$21:$AD$97,E818))*(1+INDEX($AD$21:$AD$97,F818))-1</f>
        <v>0.187903469855678</v>
      </c>
      <c r="N818" s="489">
        <f>(1+INDEX($AE$21:$AE$97,B818))*(1+INDEX($AE$21:$AE$97,C818))*(1+INDEX($AE$21:$AE$97,D818))*(1+INDEX($AE$21:$AE$97,E818))*(1+INDEX($AE$21:$AE$97,F818))-1</f>
        <v>0.163017035328336</v>
      </c>
      <c r="O818" s="489">
        <f>(1+INDEX($AF$21:$AF$97,B818))*(1+INDEX($AF$21:$AF$97,C818))*(1+INDEX($AF$21:$AF$97,D818))*(1+INDEX($AF$21:$AF$97,E818))*(1+INDEX($AF$21:$AF$97,F818))-1</f>
        <v>0.216927818878354</v>
      </c>
      <c r="P818" s="489">
        <f>LN((1+L818)/(1+H818))</f>
        <v>-0.0231856208809312</v>
      </c>
      <c r="Q818" s="489">
        <f>LN((1+M818)/(1+H818))</f>
        <v>0.00323268363207192</v>
      </c>
      <c r="R818" s="489">
        <f>LN((1+N818)/(1+H818))</f>
        <v>-0.0179397585018072</v>
      </c>
      <c r="S818" s="542">
        <f>LN((1+O818)/(1+H818))</f>
        <v>0.0273722218698179</v>
      </c>
    </row>
    <row r="819">
      <c r="A819" s="320" t="n">
        <v>718</v>
      </c>
      <c r="B819" s="174" t="n">
        <v>52</v>
      </c>
      <c r="C819" s="174" t="n">
        <v>26</v>
      </c>
      <c r="D819" s="174" t="n">
        <v>33</v>
      </c>
      <c r="E819" s="174" t="n">
        <v>15</v>
      </c>
      <c r="F819" s="174" t="n">
        <v>48</v>
      </c>
      <c r="G819" s="68">
        <f>(1+INDEX($Z$21:$Z$97,B819))*(1+INDEX($Z$21:$Z$97,C819))*(1+INDEX($Z$21:$Z$97,D819))*(1+INDEX($Z$21:$Z$97,E819))*(1+INDEX($Z$21:$Z$97,F819))-1</f>
        <v>0.771364529249775</v>
      </c>
      <c r="H819" s="68">
        <f>(1+INDEX($AA$21:$AA$97,B819))*(1+INDEX($AA$21:$AA$97,C819))*(1+INDEX($AA$21:$AA$97,D819))*(1+INDEX($AA$21:$AA$97,E819))*(1+INDEX($AA$21:$AA$97,F819))-1</f>
        <v>0.710954585710815</v>
      </c>
      <c r="I819" s="68">
        <f>(1+INDEX($AB$21:$AB$97,B819))*(1+INDEX($AB$21:$AB$97,C819))*(1+INDEX($AB$21:$AB$97,D819))*(1+INDEX($AB$21:$AB$97,E819))*(1+INDEX($AB$21:$AB$97,F819))-1</f>
        <v>0.824902918540954</v>
      </c>
      <c r="J819" s="489">
        <f>LN((1+G819)/(1+H819))</f>
        <v>0.0346987180433785</v>
      </c>
      <c r="K819" s="489">
        <f>LN((1+I819)/(1+H819))</f>
        <v>0.0644753382836081</v>
      </c>
      <c r="L819" s="489">
        <f>(1+INDEX($AC$21:$AC$97,B819))*(1+INDEX($AC$21:$AC$97,C819))*(1+INDEX($AC$21:$AC$97,D819))*(1+INDEX($AC$21:$AC$97,E819))*(1+INDEX($AC$21:$AC$97,F819))-1</f>
        <v>0.797945453391128</v>
      </c>
      <c r="M819" s="489">
        <f>(1+INDEX($AD$21:$AD$97,B819))*(1+INDEX($AD$21:$AD$97,C819))*(1+INDEX($AD$21:$AD$97,D819))*(1+INDEX($AD$21:$AD$97,E819))*(1+INDEX($AD$21:$AD$97,F819))-1</f>
        <v>0.824638052057755</v>
      </c>
      <c r="N819" s="489">
        <f>(1+INDEX($AE$21:$AE$97,B819))*(1+INDEX($AE$21:$AE$97,C819))*(1+INDEX($AE$21:$AE$97,D819))*(1+INDEX($AE$21:$AE$97,E819))*(1+INDEX($AE$21:$AE$97,F819))-1</f>
        <v>0.779086007355945</v>
      </c>
      <c r="O819" s="489">
        <f>(1+INDEX($AF$21:$AF$97,B819))*(1+INDEX($AF$21:$AF$97,C819))*(1+INDEX($AF$21:$AF$97,D819))*(1+INDEX($AF$21:$AF$97,E819))*(1+INDEX($AF$21:$AF$97,F819))-1</f>
        <v>0.716802549421873</v>
      </c>
      <c r="P819" s="489">
        <f>LN((1+L819)/(1+H819))</f>
        <v>0.049593146193545</v>
      </c>
      <c r="Q819" s="489">
        <f>LN((1+M819)/(1+H819))</f>
        <v>0.0643301877094408</v>
      </c>
      <c r="R819" s="489">
        <f>LN((1+N819)/(1+H819))</f>
        <v>0.0390483013990848</v>
      </c>
      <c r="S819" s="542">
        <f>LN((1+O819)/(1+H819))</f>
        <v>0.00341212586207555</v>
      </c>
    </row>
    <row r="820">
      <c r="A820" s="320" t="n">
        <v>719</v>
      </c>
      <c r="B820" s="174" t="n">
        <v>66</v>
      </c>
      <c r="C820" s="174" t="n">
        <v>39</v>
      </c>
      <c r="D820" s="174" t="n">
        <v>34</v>
      </c>
      <c r="E820" s="174" t="n">
        <v>45</v>
      </c>
      <c r="F820" s="174" t="n">
        <v>58</v>
      </c>
      <c r="G820" s="68">
        <f>(1+INDEX($Z$21:$Z$97,B820))*(1+INDEX($Z$21:$Z$97,C820))*(1+INDEX($Z$21:$Z$97,D820))*(1+INDEX($Z$21:$Z$97,E820))*(1+INDEX($Z$21:$Z$97,F820))-1</f>
        <v>0.666406174633388</v>
      </c>
      <c r="H820" s="68">
        <f>(1+INDEX($AA$21:$AA$97,B820))*(1+INDEX($AA$21:$AA$97,C820))*(1+INDEX($AA$21:$AA$97,D820))*(1+INDEX($AA$21:$AA$97,E820))*(1+INDEX($AA$21:$AA$97,F820))-1</f>
        <v>0.648509057649183</v>
      </c>
      <c r="I820" s="68">
        <f>(1+INDEX($AB$21:$AB$97,B820))*(1+INDEX($AB$21:$AB$97,C820))*(1+INDEX($AB$21:$AB$97,D820))*(1+INDEX($AB$21:$AB$97,E820))*(1+INDEX($AB$21:$AB$97,F820))-1</f>
        <v>0.706156991121484</v>
      </c>
      <c r="J820" s="489">
        <f>LN((1+G820)/(1+H820))</f>
        <v>0.0107980383367639</v>
      </c>
      <c r="K820" s="489">
        <f>LN((1+I820)/(1+H820))</f>
        <v>0.0343721897734502</v>
      </c>
      <c r="L820" s="489">
        <f>(1+INDEX($AC$21:$AC$97,B820))*(1+INDEX($AC$21:$AC$97,C820))*(1+INDEX($AC$21:$AC$97,D820))*(1+INDEX($AC$21:$AC$97,E820))*(1+INDEX($AC$21:$AC$97,F820))-1</f>
        <v>0.718274840628808</v>
      </c>
      <c r="M820" s="489">
        <f>(1+INDEX($AD$21:$AD$97,B820))*(1+INDEX($AD$21:$AD$97,C820))*(1+INDEX($AD$21:$AD$97,D820))*(1+INDEX($AD$21:$AD$97,E820))*(1+INDEX($AD$21:$AD$97,F820))-1</f>
        <v>0.69862045320057</v>
      </c>
      <c r="N820" s="489">
        <f>(1+INDEX($AE$21:$AE$97,B820))*(1+INDEX($AE$21:$AE$97,C820))*(1+INDEX($AE$21:$AE$97,D820))*(1+INDEX($AE$21:$AE$97,E820))*(1+INDEX($AE$21:$AE$97,F820))-1</f>
        <v>0.717842600113819</v>
      </c>
      <c r="O820" s="489">
        <f>(1+INDEX($AF$21:$AF$97,B820))*(1+INDEX($AF$21:$AF$97,C820))*(1+INDEX($AF$21:$AF$97,D820))*(1+INDEX($AF$21:$AF$97,E820))*(1+INDEX($AF$21:$AF$97,F820))-1</f>
        <v>0.635520017331957</v>
      </c>
      <c r="P820" s="489">
        <f>LN((1+L820)/(1+H820))</f>
        <v>0.0414495098563307</v>
      </c>
      <c r="Q820" s="489">
        <f>LN((1+M820)/(1+H820))</f>
        <v>0.0299451455081324</v>
      </c>
      <c r="R820" s="489">
        <f>LN((1+N820)/(1+H820))</f>
        <v>0.0411979232765795</v>
      </c>
      <c r="S820" s="542">
        <f>LN((1+O820)/(1+H820))</f>
        <v>-0.00791047079889597</v>
      </c>
    </row>
    <row r="821">
      <c r="A821" s="320" t="n">
        <v>720</v>
      </c>
      <c r="B821" s="174" t="n">
        <v>6</v>
      </c>
      <c r="C821" s="174" t="n">
        <v>56</v>
      </c>
      <c r="D821" s="174" t="n">
        <v>46</v>
      </c>
      <c r="E821" s="174" t="n">
        <v>59</v>
      </c>
      <c r="F821" s="174" t="n">
        <v>13</v>
      </c>
      <c r="G821" s="68">
        <f>(1+INDEX($Z$21:$Z$97,B821))*(1+INDEX($Z$21:$Z$97,C821))*(1+INDEX($Z$21:$Z$97,D821))*(1+INDEX($Z$21:$Z$97,E821))*(1+INDEX($Z$21:$Z$97,F821))-1</f>
        <v>0.475000895680396</v>
      </c>
      <c r="H821" s="68">
        <f>(1+INDEX($AA$21:$AA$97,B821))*(1+INDEX($AA$21:$AA$97,C821))*(1+INDEX($AA$21:$AA$97,D821))*(1+INDEX($AA$21:$AA$97,E821))*(1+INDEX($AA$21:$AA$97,F821))-1</f>
        <v>0.43308097047486</v>
      </c>
      <c r="I821" s="68">
        <f>(1+INDEX($AB$21:$AB$97,B821))*(1+INDEX($AB$21:$AB$97,C821))*(1+INDEX($AB$21:$AB$97,D821))*(1+INDEX($AB$21:$AB$97,E821))*(1+INDEX($AB$21:$AB$97,F821))-1</f>
        <v>0.443813084556683</v>
      </c>
      <c r="J821" s="489">
        <f>LN((1+G821)/(1+H821))</f>
        <v>0.0288319456133346</v>
      </c>
      <c r="K821" s="489">
        <f>LN((1+I821)/(1+H821))</f>
        <v>0.00746093784519597</v>
      </c>
      <c r="L821" s="489">
        <f>(1+INDEX($AC$21:$AC$97,B821))*(1+INDEX($AC$21:$AC$97,C821))*(1+INDEX($AC$21:$AC$97,D821))*(1+INDEX($AC$21:$AC$97,E821))*(1+INDEX($AC$21:$AC$97,F821))-1</f>
        <v>0.458243132896335</v>
      </c>
      <c r="M821" s="489">
        <f>(1+INDEX($AD$21:$AD$97,B821))*(1+INDEX($AD$21:$AD$97,C821))*(1+INDEX($AD$21:$AD$97,D821))*(1+INDEX($AD$21:$AD$97,E821))*(1+INDEX($AD$21:$AD$97,F821))-1</f>
        <v>0.408119321257004</v>
      </c>
      <c r="N821" s="489">
        <f>(1+INDEX($AE$21:$AE$97,B821))*(1+INDEX($AE$21:$AE$97,C821))*(1+INDEX($AE$21:$AE$97,D821))*(1+INDEX($AE$21:$AE$97,E821))*(1+INDEX($AE$21:$AE$97,F821))-1</f>
        <v>0.437541983108849</v>
      </c>
      <c r="O821" s="489">
        <f>(1+INDEX($AF$21:$AF$97,B821))*(1+INDEX($AF$21:$AF$97,C821))*(1+INDEX($AF$21:$AF$97,D821))*(1+INDEX($AF$21:$AF$97,E821))*(1+INDEX($AF$21:$AF$97,F821))-1</f>
        <v>0.424789772159691</v>
      </c>
      <c r="P821" s="489">
        <f>LN((1+L821)/(1+H821))</f>
        <v>0.0174057260811332</v>
      </c>
      <c r="Q821" s="489">
        <f>LN((1+M821)/(1+H821))</f>
        <v>-0.0175716520630919</v>
      </c>
      <c r="R821" s="489">
        <f>LN((1+N821)/(1+H821))</f>
        <v>0.00310804748462007</v>
      </c>
      <c r="S821" s="542">
        <f>LN((1+O821)/(1+H821))</f>
        <v>-0.0058023768909571</v>
      </c>
    </row>
    <row r="822">
      <c r="A822" s="320" t="n">
        <v>721</v>
      </c>
      <c r="B822" s="174" t="n">
        <v>7</v>
      </c>
      <c r="C822" s="174" t="n">
        <v>35</v>
      </c>
      <c r="D822" s="174" t="n">
        <v>75</v>
      </c>
      <c r="E822" s="174" t="n">
        <v>34</v>
      </c>
      <c r="F822" s="174" t="n">
        <v>70</v>
      </c>
      <c r="G822" s="68">
        <f>(1+INDEX($Z$21:$Z$97,B822))*(1+INDEX($Z$21:$Z$97,C822))*(1+INDEX($Z$21:$Z$97,D822))*(1+INDEX($Z$21:$Z$97,E822))*(1+INDEX($Z$21:$Z$97,F822))-1</f>
        <v>0.31235215899313</v>
      </c>
      <c r="H822" s="68">
        <f>(1+INDEX($AA$21:$AA$97,B822))*(1+INDEX($AA$21:$AA$97,C822))*(1+INDEX($AA$21:$AA$97,D822))*(1+INDEX($AA$21:$AA$97,E822))*(1+INDEX($AA$21:$AA$97,F822))-1</f>
        <v>0.388366316679057</v>
      </c>
      <c r="I822" s="68">
        <f>(1+INDEX($AB$21:$AB$97,B822))*(1+INDEX($AB$21:$AB$97,C822))*(1+INDEX($AB$21:$AB$97,D822))*(1+INDEX($AB$21:$AB$97,E822))*(1+INDEX($AB$21:$AB$97,F822))-1</f>
        <v>0.418545909424009</v>
      </c>
      <c r="J822" s="489">
        <f>LN((1+G822)/(1+H822))</f>
        <v>-0.0563066758083617</v>
      </c>
      <c r="K822" s="489">
        <f>LN((1+I822)/(1+H822))</f>
        <v>0.0215045953310479</v>
      </c>
      <c r="L822" s="489">
        <f>(1+INDEX($AC$21:$AC$97,B822))*(1+INDEX($AC$21:$AC$97,C822))*(1+INDEX($AC$21:$AC$97,D822))*(1+INDEX($AC$21:$AC$97,E822))*(1+INDEX($AC$21:$AC$97,F822))-1</f>
        <v>0.409072568166844</v>
      </c>
      <c r="M822" s="489">
        <f>(1+INDEX($AD$21:$AD$97,B822))*(1+INDEX($AD$21:$AD$97,C822))*(1+INDEX($AD$21:$AD$97,D822))*(1+INDEX($AD$21:$AD$97,E822))*(1+INDEX($AD$21:$AD$97,F822))-1</f>
        <v>0.410502660540172</v>
      </c>
      <c r="N822" s="489">
        <f>(1+INDEX($AE$21:$AE$97,B822))*(1+INDEX($AE$21:$AE$97,C822))*(1+INDEX($AE$21:$AE$97,D822))*(1+INDEX($AE$21:$AE$97,E822))*(1+INDEX($AE$21:$AE$97,F822))-1</f>
        <v>0.404737267994902</v>
      </c>
      <c r="O822" s="489">
        <f>(1+INDEX($AF$21:$AF$97,B822))*(1+INDEX($AF$21:$AF$97,C822))*(1+INDEX($AF$21:$AF$97,D822))*(1+INDEX($AF$21:$AF$97,E822))*(1+INDEX($AF$21:$AF$97,F822))-1</f>
        <v>0.348533109854734</v>
      </c>
      <c r="P822" s="489">
        <f>LN((1+L822)/(1+H822))</f>
        <v>0.0148039907220442</v>
      </c>
      <c r="Q822" s="489">
        <f>LN((1+M822)/(1+H822))</f>
        <v>0.015818393516763</v>
      </c>
      <c r="R822" s="489">
        <f>LN((1+N822)/(1+H822))</f>
        <v>0.0117225432506142</v>
      </c>
      <c r="S822" s="542">
        <f>LN((1+O822)/(1+H822))</f>
        <v>-0.0291103277846485</v>
      </c>
    </row>
    <row r="823">
      <c r="A823" s="320" t="n">
        <v>722</v>
      </c>
      <c r="B823" s="174" t="n">
        <v>11</v>
      </c>
      <c r="C823" s="174" t="n">
        <v>4</v>
      </c>
      <c r="D823" s="174" t="n">
        <v>65</v>
      </c>
      <c r="E823" s="174" t="n">
        <v>16</v>
      </c>
      <c r="F823" s="174" t="n">
        <v>1</v>
      </c>
      <c r="G823" s="68">
        <f>(1+INDEX($Z$21:$Z$97,B823))*(1+INDEX($Z$21:$Z$97,C823))*(1+INDEX($Z$21:$Z$97,D823))*(1+INDEX($Z$21:$Z$97,E823))*(1+INDEX($Z$21:$Z$97,F823))-1</f>
        <v>0.181327357154234</v>
      </c>
      <c r="H823" s="68">
        <f>(1+INDEX($AA$21:$AA$97,B823))*(1+INDEX($AA$21:$AA$97,C823))*(1+INDEX($AA$21:$AA$97,D823))*(1+INDEX($AA$21:$AA$97,E823))*(1+INDEX($AA$21:$AA$97,F823))-1</f>
        <v>0.125697117929403</v>
      </c>
      <c r="I823" s="68">
        <f>(1+INDEX($AB$21:$AB$97,B823))*(1+INDEX($AB$21:$AB$97,C823))*(1+INDEX($AB$21:$AB$97,D823))*(1+INDEX($AB$21:$AB$97,E823))*(1+INDEX($AB$21:$AB$97,F823))-1</f>
        <v>0.099496573800417</v>
      </c>
      <c r="J823" s="489">
        <f>LN((1+G823)/(1+H823))</f>
        <v>0.0482361810917203</v>
      </c>
      <c r="K823" s="489">
        <f>LN((1+I823)/(1+H823))</f>
        <v>-0.0235500892633545</v>
      </c>
      <c r="L823" s="489">
        <f>(1+INDEX($AC$21:$AC$97,B823))*(1+INDEX($AC$21:$AC$97,C823))*(1+INDEX($AC$21:$AC$97,D823))*(1+INDEX($AC$21:$AC$97,E823))*(1+INDEX($AC$21:$AC$97,F823))-1</f>
        <v>0.088512971799573</v>
      </c>
      <c r="M823" s="489">
        <f>(1+INDEX($AD$21:$AD$97,B823))*(1+INDEX($AD$21:$AD$97,C823))*(1+INDEX($AD$21:$AD$97,D823))*(1+INDEX($AD$21:$AD$97,E823))*(1+INDEX($AD$21:$AD$97,F823))-1</f>
        <v>0.121505417441857</v>
      </c>
      <c r="N823" s="489">
        <f>(1+INDEX($AE$21:$AE$97,B823))*(1+INDEX($AE$21:$AE$97,C823))*(1+INDEX($AE$21:$AE$97,D823))*(1+INDEX($AE$21:$AE$97,E823))*(1+INDEX($AE$21:$AE$97,F823))-1</f>
        <v>0.0828800437719972</v>
      </c>
      <c r="O823" s="489">
        <f>(1+INDEX($AF$21:$AF$97,B823))*(1+INDEX($AF$21:$AF$97,C823))*(1+INDEX($AF$21:$AF$97,D823))*(1+INDEX($AF$21:$AF$97,E823))*(1+INDEX($AF$21:$AF$97,F823))-1</f>
        <v>0.171405570123827</v>
      </c>
      <c r="P823" s="489">
        <f>LN((1+L823)/(1+H823))</f>
        <v>-0.0335899853731213</v>
      </c>
      <c r="Q823" s="489">
        <f>LN((1+M823)/(1+H823))</f>
        <v>-0.00373059862920117</v>
      </c>
      <c r="R823" s="489">
        <f>LN((1+N823)/(1+H823))</f>
        <v>-0.0387783051504091</v>
      </c>
      <c r="S823" s="542">
        <f>LN((1+O823)/(1+H823))</f>
        <v>0.0398018656341164</v>
      </c>
    </row>
    <row r="824">
      <c r="A824" s="320" t="n">
        <v>723</v>
      </c>
      <c r="B824" s="174" t="n">
        <v>36</v>
      </c>
      <c r="C824" s="174" t="n">
        <v>24</v>
      </c>
      <c r="D824" s="174" t="n">
        <v>59</v>
      </c>
      <c r="E824" s="174" t="n">
        <v>26</v>
      </c>
      <c r="F824" s="174" t="n">
        <v>62</v>
      </c>
      <c r="G824" s="68">
        <f>(1+INDEX($Z$21:$Z$97,B824))*(1+INDEX($Z$21:$Z$97,C824))*(1+INDEX($Z$21:$Z$97,D824))*(1+INDEX($Z$21:$Z$97,E824))*(1+INDEX($Z$21:$Z$97,F824))-1</f>
        <v>0.647968806552007</v>
      </c>
      <c r="H824" s="68">
        <f>(1+INDEX($AA$21:$AA$97,B824))*(1+INDEX($AA$21:$AA$97,C824))*(1+INDEX($AA$21:$AA$97,D824))*(1+INDEX($AA$21:$AA$97,E824))*(1+INDEX($AA$21:$AA$97,F824))-1</f>
        <v>0.614948404452739</v>
      </c>
      <c r="I824" s="68">
        <f>(1+INDEX($AB$21:$AB$97,B824))*(1+INDEX($AB$21:$AB$97,C824))*(1+INDEX($AB$21:$AB$97,D824))*(1+INDEX($AB$21:$AB$97,E824))*(1+INDEX($AB$21:$AB$97,F824))-1</f>
        <v>0.676432574110573</v>
      </c>
      <c r="J824" s="489">
        <f>LN((1+G824)/(1+H824))</f>
        <v>0.0202404947880405</v>
      </c>
      <c r="K824" s="489">
        <f>LN((1+I824)/(1+H824))</f>
        <v>0.0373650594123677</v>
      </c>
      <c r="L824" s="489">
        <f>(1+INDEX($AC$21:$AC$97,B824))*(1+INDEX($AC$21:$AC$97,C824))*(1+INDEX($AC$21:$AC$97,D824))*(1+INDEX($AC$21:$AC$97,E824))*(1+INDEX($AC$21:$AC$97,F824))-1</f>
        <v>0.717122599045907</v>
      </c>
      <c r="M824" s="489">
        <f>(1+INDEX($AD$21:$AD$97,B824))*(1+INDEX($AD$21:$AD$97,C824))*(1+INDEX($AD$21:$AD$97,D824))*(1+INDEX($AD$21:$AD$97,E824))*(1+INDEX($AD$21:$AD$97,F824))-1</f>
        <v>0.622245511473938</v>
      </c>
      <c r="N824" s="489">
        <f>(1+INDEX($AE$21:$AE$97,B824))*(1+INDEX($AE$21:$AE$97,C824))*(1+INDEX($AE$21:$AE$97,D824))*(1+INDEX($AE$21:$AE$97,E824))*(1+INDEX($AE$21:$AE$97,F824))-1</f>
        <v>0.713831004312346</v>
      </c>
      <c r="O824" s="489">
        <f>(1+INDEX($AF$21:$AF$97,B824))*(1+INDEX($AF$21:$AF$97,C824))*(1+INDEX($AF$21:$AF$97,D824))*(1+INDEX($AF$21:$AF$97,E824))*(1+INDEX($AF$21:$AF$97,F824))-1</f>
        <v>0.544000590190733</v>
      </c>
      <c r="P824" s="489">
        <f>LN((1+L824)/(1+H824))</f>
        <v>0.0613469739645377</v>
      </c>
      <c r="Q824" s="489">
        <f>LN((1+M824)/(1+H824))</f>
        <v>0.00450829920606474</v>
      </c>
      <c r="R824" s="489">
        <f>LN((1+N824)/(1+H824))</f>
        <v>0.0594282096068876</v>
      </c>
      <c r="S824" s="542">
        <f>LN((1+O824)/(1+H824))</f>
        <v>-0.0449261746066035</v>
      </c>
    </row>
    <row r="825">
      <c r="A825" s="320" t="n">
        <v>724</v>
      </c>
      <c r="B825" s="174" t="n">
        <v>14</v>
      </c>
      <c r="C825" s="174" t="n">
        <v>6</v>
      </c>
      <c r="D825" s="174" t="n">
        <v>75</v>
      </c>
      <c r="E825" s="174" t="n">
        <v>45</v>
      </c>
      <c r="F825" s="174" t="n">
        <v>41</v>
      </c>
      <c r="G825" s="68">
        <f>(1+INDEX($Z$21:$Z$97,B825))*(1+INDEX($Z$21:$Z$97,C825))*(1+INDEX($Z$21:$Z$97,D825))*(1+INDEX($Z$21:$Z$97,E825))*(1+INDEX($Z$21:$Z$97,F825))-1</f>
        <v>0.263483425677352</v>
      </c>
      <c r="H825" s="68">
        <f>(1+INDEX($AA$21:$AA$97,B825))*(1+INDEX($AA$21:$AA$97,C825))*(1+INDEX($AA$21:$AA$97,D825))*(1+INDEX($AA$21:$AA$97,E825))*(1+INDEX($AA$21:$AA$97,F825))-1</f>
        <v>0.278691419966499</v>
      </c>
      <c r="I825" s="68">
        <f>(1+INDEX($AB$21:$AB$97,B825))*(1+INDEX($AB$21:$AB$97,C825))*(1+INDEX($AB$21:$AB$97,D825))*(1+INDEX($AB$21:$AB$97,E825))*(1+INDEX($AB$21:$AB$97,F825))-1</f>
        <v>0.303343192987494</v>
      </c>
      <c r="J825" s="489">
        <f>LN((1+G825)/(1+H825))</f>
        <v>-0.0119646968724483</v>
      </c>
      <c r="K825" s="489">
        <f>LN((1+I825)/(1+H825))</f>
        <v>0.0190954234061</v>
      </c>
      <c r="L825" s="489">
        <f>(1+INDEX($AC$21:$AC$97,B825))*(1+INDEX($AC$21:$AC$97,C825))*(1+INDEX($AC$21:$AC$97,D825))*(1+INDEX($AC$21:$AC$97,E825))*(1+INDEX($AC$21:$AC$97,F825))-1</f>
        <v>0.296576363494392</v>
      </c>
      <c r="M825" s="489">
        <f>(1+INDEX($AD$21:$AD$97,B825))*(1+INDEX($AD$21:$AD$97,C825))*(1+INDEX($AD$21:$AD$97,D825))*(1+INDEX($AD$21:$AD$97,E825))*(1+INDEX($AD$21:$AD$97,F825))-1</f>
        <v>0.278991244005312</v>
      </c>
      <c r="N825" s="489">
        <f>(1+INDEX($AE$21:$AE$97,B825))*(1+INDEX($AE$21:$AE$97,C825))*(1+INDEX($AE$21:$AE$97,D825))*(1+INDEX($AE$21:$AE$97,E825))*(1+INDEX($AE$21:$AE$97,F825))-1</f>
        <v>0.259338686073398</v>
      </c>
      <c r="O825" s="489">
        <f>(1+INDEX($AF$21:$AF$97,B825))*(1+INDEX($AF$21:$AF$97,C825))*(1+INDEX($AF$21:$AF$97,D825))*(1+INDEX($AF$21:$AF$97,E825))*(1+INDEX($AF$21:$AF$97,F825))-1</f>
        <v>0.277286813743855</v>
      </c>
      <c r="P825" s="489">
        <f>LN((1+L825)/(1+H825))</f>
        <v>0.0138899971412861</v>
      </c>
      <c r="Q825" s="489">
        <f>LN((1+M825)/(1+H825))</f>
        <v>0.000234449757516388</v>
      </c>
      <c r="R825" s="489">
        <f>LN((1+N825)/(1+H825))</f>
        <v>-0.0152504959889979</v>
      </c>
      <c r="S825" s="542">
        <f>LN((1+O825)/(1+H825))</f>
        <v>-0.00109907537201392</v>
      </c>
    </row>
    <row r="826">
      <c r="A826" s="320" t="n">
        <v>725</v>
      </c>
      <c r="B826" s="174" t="n">
        <v>62</v>
      </c>
      <c r="C826" s="174" t="n">
        <v>37</v>
      </c>
      <c r="D826" s="174" t="n">
        <v>32</v>
      </c>
      <c r="E826" s="174" t="n">
        <v>60</v>
      </c>
      <c r="F826" s="174" t="n">
        <v>12</v>
      </c>
      <c r="G826" s="68">
        <f>(1+INDEX($Z$21:$Z$97,B826))*(1+INDEX($Z$21:$Z$97,C826))*(1+INDEX($Z$21:$Z$97,D826))*(1+INDEX($Z$21:$Z$97,E826))*(1+INDEX($Z$21:$Z$97,F826))-1</f>
        <v>0.377726269003608</v>
      </c>
      <c r="H826" s="68">
        <f>(1+INDEX($AA$21:$AA$97,B826))*(1+INDEX($AA$21:$AA$97,C826))*(1+INDEX($AA$21:$AA$97,D826))*(1+INDEX($AA$21:$AA$97,E826))*(1+INDEX($AA$21:$AA$97,F826))-1</f>
        <v>0.358044568512711</v>
      </c>
      <c r="I826" s="68">
        <f>(1+INDEX($AB$21:$AB$97,B826))*(1+INDEX($AB$21:$AB$97,C826))*(1+INDEX($AB$21:$AB$97,D826))*(1+INDEX($AB$21:$AB$97,E826))*(1+INDEX($AB$21:$AB$97,F826))-1</f>
        <v>0.357192391035458</v>
      </c>
      <c r="J826" s="489">
        <f>LN((1+G826)/(1+H826))</f>
        <v>0.0143886613485476</v>
      </c>
      <c r="K826" s="489">
        <f>LN((1+I826)/(1+H826))</f>
        <v>-0.000627700283937793</v>
      </c>
      <c r="L826" s="489">
        <f>(1+INDEX($AC$21:$AC$97,B826))*(1+INDEX($AC$21:$AC$97,C826))*(1+INDEX($AC$21:$AC$97,D826))*(1+INDEX($AC$21:$AC$97,E826))*(1+INDEX($AC$21:$AC$97,F826))-1</f>
        <v>0.39345443115549</v>
      </c>
      <c r="M826" s="489">
        <f>(1+INDEX($AD$21:$AD$97,B826))*(1+INDEX($AD$21:$AD$97,C826))*(1+INDEX($AD$21:$AD$97,D826))*(1+INDEX($AD$21:$AD$97,E826))*(1+INDEX($AD$21:$AD$97,F826))-1</f>
        <v>0.335753907278448</v>
      </c>
      <c r="N826" s="489">
        <f>(1+INDEX($AE$21:$AE$97,B826))*(1+INDEX($AE$21:$AE$97,C826))*(1+INDEX($AE$21:$AE$97,D826))*(1+INDEX($AE$21:$AE$97,E826))*(1+INDEX($AE$21:$AE$97,F826))-1</f>
        <v>0.400469742559499</v>
      </c>
      <c r="O826" s="489">
        <f>(1+INDEX($AF$21:$AF$97,B826))*(1+INDEX($AF$21:$AF$97,C826))*(1+INDEX($AF$21:$AF$97,D826))*(1+INDEX($AF$21:$AF$97,E826))*(1+INDEX($AF$21:$AF$97,F826))-1</f>
        <v>0.27562812920282</v>
      </c>
      <c r="P826" s="489">
        <f>LN((1+L826)/(1+H826))</f>
        <v>0.0257400185776858</v>
      </c>
      <c r="Q826" s="489">
        <f>LN((1+M826)/(1+H826))</f>
        <v>-0.016549990818311</v>
      </c>
      <c r="R826" s="489">
        <f>LN((1+N826)/(1+H826))</f>
        <v>0.0307618629163529</v>
      </c>
      <c r="S826" s="542">
        <f>LN((1+O826)/(1+H826))</f>
        <v>-0.0626071401735684</v>
      </c>
    </row>
    <row r="827">
      <c r="A827" s="320" t="n">
        <v>726</v>
      </c>
      <c r="B827" s="174" t="n">
        <v>41</v>
      </c>
      <c r="C827" s="174" t="n">
        <v>7</v>
      </c>
      <c r="D827" s="174" t="n">
        <v>73</v>
      </c>
      <c r="E827" s="174" t="n">
        <v>74</v>
      </c>
      <c r="F827" s="174" t="n">
        <v>59</v>
      </c>
      <c r="G827" s="68">
        <f>(1+INDEX($Z$21:$Z$97,B827))*(1+INDEX($Z$21:$Z$97,C827))*(1+INDEX($Z$21:$Z$97,D827))*(1+INDEX($Z$21:$Z$97,E827))*(1+INDEX($Z$21:$Z$97,F827))-1</f>
        <v>0.372188696940913</v>
      </c>
      <c r="H827" s="68">
        <f>(1+INDEX($AA$21:$AA$97,B827))*(1+INDEX($AA$21:$AA$97,C827))*(1+INDEX($AA$21:$AA$97,D827))*(1+INDEX($AA$21:$AA$97,E827))*(1+INDEX($AA$21:$AA$97,F827))-1</f>
        <v>0.395251637623573</v>
      </c>
      <c r="I827" s="68">
        <f>(1+INDEX($AB$21:$AB$97,B827))*(1+INDEX($AB$21:$AB$97,C827))*(1+INDEX($AB$21:$AB$97,D827))*(1+INDEX($AB$21:$AB$97,E827))*(1+INDEX($AB$21:$AB$97,F827))-1</f>
        <v>0.412125129809794</v>
      </c>
      <c r="J827" s="489">
        <f>LN((1+G827)/(1+H827))</f>
        <v>-0.0166677303388583</v>
      </c>
      <c r="K827" s="489">
        <f>LN((1+I827)/(1+H827))</f>
        <v>0.012020969591013</v>
      </c>
      <c r="L827" s="489">
        <f>(1+INDEX($AC$21:$AC$97,B827))*(1+INDEX($AC$21:$AC$97,C827))*(1+INDEX($AC$21:$AC$97,D827))*(1+INDEX($AC$21:$AC$97,E827))*(1+INDEX($AC$21:$AC$97,F827))-1</f>
        <v>0.424805686892764</v>
      </c>
      <c r="M827" s="489">
        <f>(1+INDEX($AD$21:$AD$97,B827))*(1+INDEX($AD$21:$AD$97,C827))*(1+INDEX($AD$21:$AD$97,D827))*(1+INDEX($AD$21:$AD$97,E827))*(1+INDEX($AD$21:$AD$97,F827))-1</f>
        <v>0.375085072879608</v>
      </c>
      <c r="N827" s="489">
        <f>(1+INDEX($AE$21:$AE$97,B827))*(1+INDEX($AE$21:$AE$97,C827))*(1+INDEX($AE$21:$AE$97,D827))*(1+INDEX($AE$21:$AE$97,E827))*(1+INDEX($AE$21:$AE$97,F827))-1</f>
        <v>0.413797744955319</v>
      </c>
      <c r="O827" s="489">
        <f>(1+INDEX($AF$21:$AF$97,B827))*(1+INDEX($AF$21:$AF$97,C827))*(1+INDEX($AF$21:$AF$97,D827))*(1+INDEX($AF$21:$AF$97,E827))*(1+INDEX($AF$21:$AF$97,F827))-1</f>
        <v>0.355543363319231</v>
      </c>
      <c r="P827" s="489">
        <f>LN((1+L827)/(1+H827))</f>
        <v>0.0209606599483977</v>
      </c>
      <c r="Q827" s="489">
        <f>LN((1+M827)/(1+H827))</f>
        <v>-0.0145591840093216</v>
      </c>
      <c r="R827" s="489">
        <f>LN((1+N827)/(1+H827))</f>
        <v>0.0132047353305388</v>
      </c>
      <c r="S827" s="542">
        <f>LN((1+O827)/(1+H827))</f>
        <v>-0.0288724043092385</v>
      </c>
    </row>
    <row r="828">
      <c r="A828" s="320" t="n">
        <v>727</v>
      </c>
      <c r="B828" s="174" t="n">
        <v>61</v>
      </c>
      <c r="C828" s="174" t="n">
        <v>5</v>
      </c>
      <c r="D828" s="174" t="n">
        <v>73</v>
      </c>
      <c r="E828" s="174" t="n">
        <v>72</v>
      </c>
      <c r="F828" s="174" t="n">
        <v>3</v>
      </c>
      <c r="G828" s="68">
        <f>(1+INDEX($Z$21:$Z$97,B828))*(1+INDEX($Z$21:$Z$97,C828))*(1+INDEX($Z$21:$Z$97,D828))*(1+INDEX($Z$21:$Z$97,E828))*(1+INDEX($Z$21:$Z$97,F828))-1</f>
        <v>0.359974015484864</v>
      </c>
      <c r="H828" s="68">
        <f>(1+INDEX($AA$21:$AA$97,B828))*(1+INDEX($AA$21:$AA$97,C828))*(1+INDEX($AA$21:$AA$97,D828))*(1+INDEX($AA$21:$AA$97,E828))*(1+INDEX($AA$21:$AA$97,F828))-1</f>
        <v>0.365597945434779</v>
      </c>
      <c r="I828" s="68">
        <f>(1+INDEX($AB$21:$AB$97,B828))*(1+INDEX($AB$21:$AB$97,C828))*(1+INDEX($AB$21:$AB$97,D828))*(1+INDEX($AB$21:$AB$97,E828))*(1+INDEX($AB$21:$AB$97,F828))-1</f>
        <v>0.36985118717753</v>
      </c>
      <c r="J828" s="489">
        <f>LN((1+G828)/(1+H828))</f>
        <v>-0.00412679467799665</v>
      </c>
      <c r="K828" s="489">
        <f>LN((1+I828)/(1+H828))</f>
        <v>0.00310972345972847</v>
      </c>
      <c r="L828" s="489">
        <f>(1+INDEX($AC$21:$AC$97,B828))*(1+INDEX($AC$21:$AC$97,C828))*(1+INDEX($AC$21:$AC$97,D828))*(1+INDEX($AC$21:$AC$97,E828))*(1+INDEX($AC$21:$AC$97,F828))-1</f>
        <v>0.390326858357557</v>
      </c>
      <c r="M828" s="489">
        <f>(1+INDEX($AD$21:$AD$97,B828))*(1+INDEX($AD$21:$AD$97,C828))*(1+INDEX($AD$21:$AD$97,D828))*(1+INDEX($AD$21:$AD$97,E828))*(1+INDEX($AD$21:$AD$97,F828))-1</f>
        <v>0.332614422518666</v>
      </c>
      <c r="N828" s="489">
        <f>(1+INDEX($AE$21:$AE$97,B828))*(1+INDEX($AE$21:$AE$97,C828))*(1+INDEX($AE$21:$AE$97,D828))*(1+INDEX($AE$21:$AE$97,E828))*(1+INDEX($AE$21:$AE$97,F828))-1</f>
        <v>0.372838101095396</v>
      </c>
      <c r="O828" s="489">
        <f>(1+INDEX($AF$21:$AF$97,B828))*(1+INDEX($AF$21:$AF$97,C828))*(1+INDEX($AF$21:$AF$97,D828))*(1+INDEX($AF$21:$AF$97,E828))*(1+INDEX($AF$21:$AF$97,F828))-1</f>
        <v>0.32519371911374</v>
      </c>
      <c r="P828" s="489">
        <f>LN((1+L828)/(1+H828))</f>
        <v>0.0179464814144184</v>
      </c>
      <c r="Q828" s="489">
        <f>LN((1+M828)/(1+H828))</f>
        <v>-0.0244496440530052</v>
      </c>
      <c r="R828" s="489">
        <f>LN((1+N828)/(1+H828))</f>
        <v>0.00528781567854784</v>
      </c>
      <c r="S828" s="542">
        <f>LN((1+O828)/(1+H828))</f>
        <v>-0.0300337361260384</v>
      </c>
    </row>
    <row r="829">
      <c r="A829" s="320" t="n">
        <v>728</v>
      </c>
      <c r="B829" s="174" t="n">
        <v>56</v>
      </c>
      <c r="C829" s="174" t="n">
        <v>69</v>
      </c>
      <c r="D829" s="174" t="n">
        <v>70</v>
      </c>
      <c r="E829" s="174" t="n">
        <v>37</v>
      </c>
      <c r="F829" s="174" t="n">
        <v>29</v>
      </c>
      <c r="G829" s="68">
        <f>(1+INDEX($Z$21:$Z$97,B829))*(1+INDEX($Z$21:$Z$97,C829))*(1+INDEX($Z$21:$Z$97,D829))*(1+INDEX($Z$21:$Z$97,E829))*(1+INDEX($Z$21:$Z$97,F829))-1</f>
        <v>0.402545911382216</v>
      </c>
      <c r="H829" s="68">
        <f>(1+INDEX($AA$21:$AA$97,B829))*(1+INDEX($AA$21:$AA$97,C829))*(1+INDEX($AA$21:$AA$97,D829))*(1+INDEX($AA$21:$AA$97,E829))*(1+INDEX($AA$21:$AA$97,F829))-1</f>
        <v>0.424853303848327</v>
      </c>
      <c r="I829" s="68">
        <f>(1+INDEX($AB$21:$AB$97,B829))*(1+INDEX($AB$21:$AB$97,C829))*(1+INDEX($AB$21:$AB$97,D829))*(1+INDEX($AB$21:$AB$97,E829))*(1+INDEX($AB$21:$AB$97,F829))-1</f>
        <v>0.438453603541108</v>
      </c>
      <c r="J829" s="489">
        <f>LN((1+G829)/(1+H829))</f>
        <v>-0.0157797704862945</v>
      </c>
      <c r="K829" s="489">
        <f>LN((1+I829)/(1+H829))</f>
        <v>0.00949978637533769</v>
      </c>
      <c r="L829" s="489">
        <f>(1+INDEX($AC$21:$AC$97,B829))*(1+INDEX($AC$21:$AC$97,C829))*(1+INDEX($AC$21:$AC$97,D829))*(1+INDEX($AC$21:$AC$97,E829))*(1+INDEX($AC$21:$AC$97,F829))-1</f>
        <v>0.435818984205591</v>
      </c>
      <c r="M829" s="489">
        <f>(1+INDEX($AD$21:$AD$97,B829))*(1+INDEX($AD$21:$AD$97,C829))*(1+INDEX($AD$21:$AD$97,D829))*(1+INDEX($AD$21:$AD$97,E829))*(1+INDEX($AD$21:$AD$97,F829))-1</f>
        <v>0.44318143021592</v>
      </c>
      <c r="N829" s="489">
        <f>(1+INDEX($AE$21:$AE$97,B829))*(1+INDEX($AE$21:$AE$97,C829))*(1+INDEX($AE$21:$AE$97,D829))*(1+INDEX($AE$21:$AE$97,E829))*(1+INDEX($AE$21:$AE$97,F829))-1</f>
        <v>0.453907041884531</v>
      </c>
      <c r="O829" s="489">
        <f>(1+INDEX($AF$21:$AF$97,B829))*(1+INDEX($AF$21:$AF$97,C829))*(1+INDEX($AF$21:$AF$97,D829))*(1+INDEX($AF$21:$AF$97,E829))*(1+INDEX($AF$21:$AF$97,F829))-1</f>
        <v>0.449817694446909</v>
      </c>
      <c r="P829" s="489">
        <f>LN((1+L829)/(1+H829))</f>
        <v>0.00766654335961755</v>
      </c>
      <c r="Q829" s="489">
        <f>LN((1+M829)/(1+H829))</f>
        <v>0.0127811393999778</v>
      </c>
      <c r="R829" s="489">
        <f>LN((1+N829)/(1+H829))</f>
        <v>0.0201855806348005</v>
      </c>
      <c r="S829" s="542">
        <f>LN((1+O829)/(1+H829))</f>
        <v>0.0173689568068036</v>
      </c>
    </row>
    <row r="830">
      <c r="A830" s="320" t="n">
        <v>729</v>
      </c>
      <c r="B830" s="174" t="n">
        <v>23</v>
      </c>
      <c r="C830" s="174" t="n">
        <v>2</v>
      </c>
      <c r="D830" s="174" t="n">
        <v>61</v>
      </c>
      <c r="E830" s="174" t="n">
        <v>54</v>
      </c>
      <c r="F830" s="174" t="n">
        <v>40</v>
      </c>
      <c r="G830" s="68">
        <f>(1+INDEX($Z$21:$Z$97,B830))*(1+INDEX($Z$21:$Z$97,C830))*(1+INDEX($Z$21:$Z$97,D830))*(1+INDEX($Z$21:$Z$97,E830))*(1+INDEX($Z$21:$Z$97,F830))-1</f>
        <v>0.498048671801326</v>
      </c>
      <c r="H830" s="68">
        <f>(1+INDEX($AA$21:$AA$97,B830))*(1+INDEX($AA$21:$AA$97,C830))*(1+INDEX($AA$21:$AA$97,D830))*(1+INDEX($AA$21:$AA$97,E830))*(1+INDEX($AA$21:$AA$97,F830))-1</f>
        <v>0.449607359929311</v>
      </c>
      <c r="I830" s="68">
        <f>(1+INDEX($AB$21:$AB$97,B830))*(1+INDEX($AB$21:$AB$97,C830))*(1+INDEX($AB$21:$AB$97,D830))*(1+INDEX($AB$21:$AB$97,E830))*(1+INDEX($AB$21:$AB$97,F830))-1</f>
        <v>0.465711359229309</v>
      </c>
      <c r="J830" s="489">
        <f>LN((1+G830)/(1+H830))</f>
        <v>0.0328706422487196</v>
      </c>
      <c r="K830" s="489">
        <f>LN((1+I830)/(1+H830))</f>
        <v>0.0110479605505225</v>
      </c>
      <c r="L830" s="489">
        <f>(1+INDEX($AC$21:$AC$97,B830))*(1+INDEX($AC$21:$AC$97,C830))*(1+INDEX($AC$21:$AC$97,D830))*(1+INDEX($AC$21:$AC$97,E830))*(1+INDEX($AC$21:$AC$97,F830))-1</f>
        <v>0.480448812568181</v>
      </c>
      <c r="M830" s="489">
        <f>(1+INDEX($AD$21:$AD$97,B830))*(1+INDEX($AD$21:$AD$97,C830))*(1+INDEX($AD$21:$AD$97,D830))*(1+INDEX($AD$21:$AD$97,E830))*(1+INDEX($AD$21:$AD$97,F830))-1</f>
        <v>0.456129951529461</v>
      </c>
      <c r="N830" s="489">
        <f>(1+INDEX($AE$21:$AE$97,B830))*(1+INDEX($AE$21:$AE$97,C830))*(1+INDEX($AE$21:$AE$97,D830))*(1+INDEX($AE$21:$AE$97,E830))*(1+INDEX($AE$21:$AE$97,F830))-1</f>
        <v>0.477434219260976</v>
      </c>
      <c r="O830" s="489">
        <f>(1+INDEX($AF$21:$AF$97,B830))*(1+INDEX($AF$21:$AF$97,C830))*(1+INDEX($AF$21:$AF$97,D830))*(1+INDEX($AF$21:$AF$97,E830))*(1+INDEX($AF$21:$AF$97,F830))-1</f>
        <v>0.451845517955073</v>
      </c>
      <c r="P830" s="489">
        <f>LN((1+L830)/(1+H830))</f>
        <v>0.0210525600321502</v>
      </c>
      <c r="Q830" s="489">
        <f>LN((1+M830)/(1+H830))</f>
        <v>0.00448946470819694</v>
      </c>
      <c r="R830" s="489">
        <f>LN((1+N830)/(1+H830))</f>
        <v>0.0190142141486033</v>
      </c>
      <c r="S830" s="542">
        <f>LN((1+O830)/(1+H830))</f>
        <v>0.00154278464196869</v>
      </c>
    </row>
    <row r="831">
      <c r="A831" s="320" t="n">
        <v>730</v>
      </c>
      <c r="B831" s="174" t="n">
        <v>10</v>
      </c>
      <c r="C831" s="174" t="n">
        <v>21</v>
      </c>
      <c r="D831" s="174" t="n">
        <v>22</v>
      </c>
      <c r="E831" s="174" t="n">
        <v>57</v>
      </c>
      <c r="F831" s="174" t="n">
        <v>8</v>
      </c>
      <c r="G831" s="68">
        <f>(1+INDEX($Z$21:$Z$97,B831))*(1+INDEX($Z$21:$Z$97,C831))*(1+INDEX($Z$21:$Z$97,D831))*(1+INDEX($Z$21:$Z$97,E831))*(1+INDEX($Z$21:$Z$97,F831))-1</f>
        <v>-0.122772831894189</v>
      </c>
      <c r="H831" s="68">
        <f>(1+INDEX($AA$21:$AA$97,B831))*(1+INDEX($AA$21:$AA$97,C831))*(1+INDEX($AA$21:$AA$97,D831))*(1+INDEX($AA$21:$AA$97,E831))*(1+INDEX($AA$21:$AA$97,F831))-1</f>
        <v>-0.0811661896638272</v>
      </c>
      <c r="I831" s="68">
        <f>(1+INDEX($AB$21:$AB$97,B831))*(1+INDEX($AB$21:$AB$97,C831))*(1+INDEX($AB$21:$AB$97,D831))*(1+INDEX($AB$21:$AB$97,E831))*(1+INDEX($AB$21:$AB$97,F831))-1</f>
        <v>-0.125971490558563</v>
      </c>
      <c r="J831" s="489">
        <f>LN((1+G831)/(1+H831))</f>
        <v>-0.046339281044188</v>
      </c>
      <c r="K831" s="489">
        <f>LN((1+I831)/(1+H831))</f>
        <v>-0.0499922738794274</v>
      </c>
      <c r="L831" s="489">
        <f>(1+INDEX($AC$21:$AC$97,B831))*(1+INDEX($AC$21:$AC$97,C831))*(1+INDEX($AC$21:$AC$97,D831))*(1+INDEX($AC$21:$AC$97,E831))*(1+INDEX($AC$21:$AC$97,F831))-1</f>
        <v>-0.148218398861593</v>
      </c>
      <c r="M831" s="489">
        <f>(1+INDEX($AD$21:$AD$97,B831))*(1+INDEX($AD$21:$AD$97,C831))*(1+INDEX($AD$21:$AD$97,D831))*(1+INDEX($AD$21:$AD$97,E831))*(1+INDEX($AD$21:$AD$97,F831))-1</f>
        <v>-0.0977149652471522</v>
      </c>
      <c r="N831" s="489">
        <f>(1+INDEX($AE$21:$AE$97,B831))*(1+INDEX($AE$21:$AE$97,C831))*(1+INDEX($AE$21:$AE$97,D831))*(1+INDEX($AE$21:$AE$97,E831))*(1+INDEX($AE$21:$AE$97,F831))-1</f>
        <v>-0.150989144018006</v>
      </c>
      <c r="O831" s="489">
        <f>(1+INDEX($AF$21:$AF$97,B831))*(1+INDEX($AF$21:$AF$97,C831))*(1+INDEX($AF$21:$AF$97,D831))*(1+INDEX($AF$21:$AF$97,E831))*(1+INDEX($AF$21:$AF$97,F831))-1</f>
        <v>-0.0385095363506675</v>
      </c>
      <c r="P831" s="489">
        <f>LN((1+L831)/(1+H831))</f>
        <v>-0.0757751112237303</v>
      </c>
      <c r="Q831" s="489">
        <f>LN((1+M831)/(1+H831))</f>
        <v>-0.0181747953050575</v>
      </c>
      <c r="R831" s="489">
        <f>LN((1+N831)/(1+H831))</f>
        <v>-0.079033295484773</v>
      </c>
      <c r="S831" s="542">
        <f>LN((1+O831)/(1+H831))</f>
        <v>0.0453793782770562</v>
      </c>
    </row>
    <row r="832">
      <c r="A832" s="320" t="n">
        <v>731</v>
      </c>
      <c r="B832" s="174" t="n">
        <v>10</v>
      </c>
      <c r="C832" s="174" t="n">
        <v>7</v>
      </c>
      <c r="D832" s="174" t="n">
        <v>61</v>
      </c>
      <c r="E832" s="174" t="n">
        <v>53</v>
      </c>
      <c r="F832" s="174" t="n">
        <v>27</v>
      </c>
      <c r="G832" s="68">
        <f>(1+INDEX($Z$21:$Z$97,B832))*(1+INDEX($Z$21:$Z$97,C832))*(1+INDEX($Z$21:$Z$97,D832))*(1+INDEX($Z$21:$Z$97,E832))*(1+INDEX($Z$21:$Z$97,F832))-1</f>
        <v>-0.0372793345987706</v>
      </c>
      <c r="H832" s="68">
        <f>(1+INDEX($AA$21:$AA$97,B832))*(1+INDEX($AA$21:$AA$97,C832))*(1+INDEX($AA$21:$AA$97,D832))*(1+INDEX($AA$21:$AA$97,E832))*(1+INDEX($AA$21:$AA$97,F832))-1</f>
        <v>0.0421420896995479</v>
      </c>
      <c r="I832" s="68">
        <f>(1+INDEX($AB$21:$AB$97,B832))*(1+INDEX($AB$21:$AB$97,C832))*(1+INDEX($AB$21:$AB$97,D832))*(1+INDEX($AB$21:$AB$97,E832))*(1+INDEX($AB$21:$AB$97,F832))-1</f>
        <v>-0.00246970934268953</v>
      </c>
      <c r="J832" s="489">
        <f>LN((1+G832)/(1+H832))</f>
        <v>-0.0792702728525947</v>
      </c>
      <c r="K832" s="489">
        <f>LN((1+I832)/(1+H832))</f>
        <v>-0.0437510606156605</v>
      </c>
      <c r="L832" s="489">
        <f>(1+INDEX($AC$21:$AC$97,B832))*(1+INDEX($AC$21:$AC$97,C832))*(1+INDEX($AC$21:$AC$97,D832))*(1+INDEX($AC$21:$AC$97,E832))*(1+INDEX($AC$21:$AC$97,F832))-1</f>
        <v>0.00564433386937036</v>
      </c>
      <c r="M832" s="489">
        <f>(1+INDEX($AD$21:$AD$97,B832))*(1+INDEX($AD$21:$AD$97,C832))*(1+INDEX($AD$21:$AD$97,D832))*(1+INDEX($AD$21:$AD$97,E832))*(1+INDEX($AD$21:$AD$97,F832))-1</f>
        <v>-0.00248460931832817</v>
      </c>
      <c r="N832" s="489">
        <f>(1+INDEX($AE$21:$AE$97,B832))*(1+INDEX($AE$21:$AE$97,C832))*(1+INDEX($AE$21:$AE$97,D832))*(1+INDEX($AE$21:$AE$97,E832))*(1+INDEX($AE$21:$AE$97,F832))-1</f>
        <v>0.00507496023634668</v>
      </c>
      <c r="O832" s="489">
        <f>(1+INDEX($AF$21:$AF$97,B832))*(1+INDEX($AF$21:$AF$97,C832))*(1+INDEX($AF$21:$AF$97,D832))*(1+INDEX($AF$21:$AF$97,E832))*(1+INDEX($AF$21:$AF$97,F832))-1</f>
        <v>0.0336948029394293</v>
      </c>
      <c r="P832" s="489">
        <f>LN((1+L832)/(1+H832))</f>
        <v>-0.035649832205864</v>
      </c>
      <c r="Q832" s="489">
        <f>LN((1+M832)/(1+H832))</f>
        <v>-0.0437659975925711</v>
      </c>
      <c r="R832" s="489">
        <f>LN((1+N832)/(1+H832))</f>
        <v>-0.0362161704808396</v>
      </c>
      <c r="S832" s="542">
        <f>LN((1+O832)/(1+H832))</f>
        <v>-0.00813872556002632</v>
      </c>
    </row>
    <row r="833">
      <c r="A833" s="320" t="n">
        <v>732</v>
      </c>
      <c r="B833" s="174" t="n">
        <v>19</v>
      </c>
      <c r="C833" s="174" t="n">
        <v>2</v>
      </c>
      <c r="D833" s="174" t="n">
        <v>9</v>
      </c>
      <c r="E833" s="174" t="n">
        <v>40</v>
      </c>
      <c r="F833" s="174" t="n">
        <v>59</v>
      </c>
      <c r="G833" s="68">
        <f>(1+INDEX($Z$21:$Z$97,B833))*(1+INDEX($Z$21:$Z$97,C833))*(1+INDEX($Z$21:$Z$97,D833))*(1+INDEX($Z$21:$Z$97,E833))*(1+INDEX($Z$21:$Z$97,F833))-1</f>
        <v>0.208730665843793</v>
      </c>
      <c r="H833" s="68">
        <f>(1+INDEX($AA$21:$AA$97,B833))*(1+INDEX($AA$21:$AA$97,C833))*(1+INDEX($AA$21:$AA$97,D833))*(1+INDEX($AA$21:$AA$97,E833))*(1+INDEX($AA$21:$AA$97,F833))-1</f>
        <v>0.21616717337918</v>
      </c>
      <c r="I833" s="68">
        <f>(1+INDEX($AB$21:$AB$97,B833))*(1+INDEX($AB$21:$AB$97,C833))*(1+INDEX($AB$21:$AB$97,D833))*(1+INDEX($AB$21:$AB$97,E833))*(1+INDEX($AB$21:$AB$97,F833))-1</f>
        <v>0.180424686275766</v>
      </c>
      <c r="J833" s="489">
        <f>LN((1+G833)/(1+H833))</f>
        <v>-0.00613347971058615</v>
      </c>
      <c r="K833" s="489">
        <f>LN((1+I833)/(1+H833))</f>
        <v>-0.0298299748512746</v>
      </c>
      <c r="L833" s="489">
        <f>(1+INDEX($AC$21:$AC$97,B833))*(1+INDEX($AC$21:$AC$97,C833))*(1+INDEX($AC$21:$AC$97,D833))*(1+INDEX($AC$21:$AC$97,E833))*(1+INDEX($AC$21:$AC$97,F833))-1</f>
        <v>0.184100120368375</v>
      </c>
      <c r="M833" s="489">
        <f>(1+INDEX($AD$21:$AD$97,B833))*(1+INDEX($AD$21:$AD$97,C833))*(1+INDEX($AD$21:$AD$97,D833))*(1+INDEX($AD$21:$AD$97,E833))*(1+INDEX($AD$21:$AD$97,F833))-1</f>
        <v>0.186743976453889</v>
      </c>
      <c r="N833" s="489">
        <f>(1+INDEX($AE$21:$AE$97,B833))*(1+INDEX($AE$21:$AE$97,C833))*(1+INDEX($AE$21:$AE$97,D833))*(1+INDEX($AE$21:$AE$97,E833))*(1+INDEX($AE$21:$AE$97,F833))-1</f>
        <v>0.187263228319547</v>
      </c>
      <c r="O833" s="489">
        <f>(1+INDEX($AF$21:$AF$97,B833))*(1+INDEX($AF$21:$AF$97,C833))*(1+INDEX($AF$21:$AF$97,D833))*(1+INDEX($AF$21:$AF$97,E833))*(1+INDEX($AF$21:$AF$97,F833))-1</f>
        <v>0.2286590258134</v>
      </c>
      <c r="P833" s="489">
        <f>LN((1+L833)/(1+H833))</f>
        <v>-0.0267211581939425</v>
      </c>
      <c r="Q833" s="489">
        <f>LN((1+M833)/(1+H833))</f>
        <v>-0.0244908494317616</v>
      </c>
      <c r="R833" s="489">
        <f>LN((1+N833)/(1+H833))</f>
        <v>-0.0240534018343881</v>
      </c>
      <c r="S833" s="542">
        <f>LN((1+O833)/(1+H833))</f>
        <v>0.010219099540489</v>
      </c>
    </row>
    <row r="834">
      <c r="A834" s="320" t="n">
        <v>733</v>
      </c>
      <c r="B834" s="174" t="n">
        <v>77</v>
      </c>
      <c r="C834" s="174" t="n">
        <v>36</v>
      </c>
      <c r="D834" s="174" t="n">
        <v>58</v>
      </c>
      <c r="E834" s="174" t="n">
        <v>54</v>
      </c>
      <c r="F834" s="174" t="n">
        <v>41</v>
      </c>
      <c r="G834" s="68">
        <f>(1+INDEX($Z$21:$Z$97,B834))*(1+INDEX($Z$21:$Z$97,C834))*(1+INDEX($Z$21:$Z$97,D834))*(1+INDEX($Z$21:$Z$97,E834))*(1+INDEX($Z$21:$Z$97,F834))-1</f>
        <v>0.47551109538601</v>
      </c>
      <c r="H834" s="68">
        <f>(1+INDEX($AA$21:$AA$97,B834))*(1+INDEX($AA$21:$AA$97,C834))*(1+INDEX($AA$21:$AA$97,D834))*(1+INDEX($AA$21:$AA$97,E834))*(1+INDEX($AA$21:$AA$97,F834))-1</f>
        <v>0.475921974226708</v>
      </c>
      <c r="I834" s="68">
        <f>(1+INDEX($AB$21:$AB$97,B834))*(1+INDEX($AB$21:$AB$97,C834))*(1+INDEX($AB$21:$AB$97,D834))*(1+INDEX($AB$21:$AB$97,E834))*(1+INDEX($AB$21:$AB$97,F834))-1</f>
        <v>0.508004791239155</v>
      </c>
      <c r="J834" s="489">
        <f>LN((1+G834)/(1+H834))</f>
        <v>-0.000278426671830717</v>
      </c>
      <c r="K834" s="489">
        <f>LN((1+I834)/(1+H834))</f>
        <v>0.0215045850040626</v>
      </c>
      <c r="L834" s="489">
        <f>(1+INDEX($AC$21:$AC$97,B834))*(1+INDEX($AC$21:$AC$97,C834))*(1+INDEX($AC$21:$AC$97,D834))*(1+INDEX($AC$21:$AC$97,E834))*(1+INDEX($AC$21:$AC$97,F834))-1</f>
        <v>0.530585622841227</v>
      </c>
      <c r="M834" s="489">
        <f>(1+INDEX($AD$21:$AD$97,B834))*(1+INDEX($AD$21:$AD$97,C834))*(1+INDEX($AD$21:$AD$97,D834))*(1+INDEX($AD$21:$AD$97,E834))*(1+INDEX($AD$21:$AD$97,F834))-1</f>
        <v>0.496717847769411</v>
      </c>
      <c r="N834" s="489">
        <f>(1+INDEX($AE$21:$AE$97,B834))*(1+INDEX($AE$21:$AE$97,C834))*(1+INDEX($AE$21:$AE$97,D834))*(1+INDEX($AE$21:$AE$97,E834))*(1+INDEX($AE$21:$AE$97,F834))-1</f>
        <v>0.514786253018664</v>
      </c>
      <c r="O834" s="489">
        <f>(1+INDEX($AF$21:$AF$97,B834))*(1+INDEX($AF$21:$AF$97,C834))*(1+INDEX($AF$21:$AF$97,D834))*(1+INDEX($AF$21:$AF$97,E834))*(1+INDEX($AF$21:$AF$97,F834))-1</f>
        <v>0.4751964231092</v>
      </c>
      <c r="P834" s="489">
        <f>LN((1+L834)/(1+H834))</f>
        <v>0.0363675604064091</v>
      </c>
      <c r="Q834" s="489">
        <f>LN((1+M834)/(1+H834))</f>
        <v>0.0139917474383019</v>
      </c>
      <c r="R834" s="489">
        <f>LN((1+N834)/(1+H834))</f>
        <v>0.025991480100267</v>
      </c>
      <c r="S834" s="542">
        <f>LN((1+O834)/(1+H834))</f>
        <v>-0.000491712655637</v>
      </c>
    </row>
    <row r="835">
      <c r="A835" s="320" t="n">
        <v>734</v>
      </c>
      <c r="B835" s="174" t="n">
        <v>42</v>
      </c>
      <c r="C835" s="174" t="n">
        <v>63</v>
      </c>
      <c r="D835" s="174" t="n">
        <v>37</v>
      </c>
      <c r="E835" s="174" t="n">
        <v>35</v>
      </c>
      <c r="F835" s="174" t="n">
        <v>18</v>
      </c>
      <c r="G835" s="68">
        <f>(1+INDEX($Z$21:$Z$97,B835))*(1+INDEX($Z$21:$Z$97,C835))*(1+INDEX($Z$21:$Z$97,D835))*(1+INDEX($Z$21:$Z$97,E835))*(1+INDEX($Z$21:$Z$97,F835))-1</f>
        <v>0.11146113983299</v>
      </c>
      <c r="H835" s="68">
        <f>(1+INDEX($AA$21:$AA$97,B835))*(1+INDEX($AA$21:$AA$97,C835))*(1+INDEX($AA$21:$AA$97,D835))*(1+INDEX($AA$21:$AA$97,E835))*(1+INDEX($AA$21:$AA$97,F835))-1</f>
        <v>0.0977872735392706</v>
      </c>
      <c r="I835" s="68">
        <f>(1+INDEX($AB$21:$AB$97,B835))*(1+INDEX($AB$21:$AB$97,C835))*(1+INDEX($AB$21:$AB$97,D835))*(1+INDEX($AB$21:$AB$97,E835))*(1+INDEX($AB$21:$AB$97,F835))-1</f>
        <v>0.0993630215231154</v>
      </c>
      <c r="J835" s="489">
        <f>LN((1+G835)/(1+H835))</f>
        <v>0.0123789075259813</v>
      </c>
      <c r="K835" s="489">
        <f>LN((1+I835)/(1+H835))</f>
        <v>0.00143435636382728</v>
      </c>
      <c r="L835" s="489">
        <f>(1+INDEX($AC$21:$AC$97,B835))*(1+INDEX($AC$21:$AC$97,C835))*(1+INDEX($AC$21:$AC$97,D835))*(1+INDEX($AC$21:$AC$97,E835))*(1+INDEX($AC$21:$AC$97,F835))-1</f>
        <v>0.0965323031508196</v>
      </c>
      <c r="M835" s="489">
        <f>(1+INDEX($AD$21:$AD$97,B835))*(1+INDEX($AD$21:$AD$97,C835))*(1+INDEX($AD$21:$AD$97,D835))*(1+INDEX($AD$21:$AD$97,E835))*(1+INDEX($AD$21:$AD$97,F835))-1</f>
        <v>0.0992157184279672</v>
      </c>
      <c r="N835" s="489">
        <f>(1+INDEX($AE$21:$AE$97,B835))*(1+INDEX($AE$21:$AE$97,C835))*(1+INDEX($AE$21:$AE$97,D835))*(1+INDEX($AE$21:$AE$97,E835))*(1+INDEX($AE$21:$AE$97,F835))-1</f>
        <v>0.105204824397459</v>
      </c>
      <c r="O835" s="489">
        <f>(1+INDEX($AF$21:$AF$97,B835))*(1+INDEX($AF$21:$AF$97,C835))*(1+INDEX($AF$21:$AF$97,D835))*(1+INDEX($AF$21:$AF$97,E835))*(1+INDEX($AF$21:$AF$97,F835))-1</f>
        <v>0.0840955900574216</v>
      </c>
      <c r="P835" s="489">
        <f>LN((1+L835)/(1+H835))</f>
        <v>-0.0011438356915846</v>
      </c>
      <c r="Q835" s="489">
        <f>LN((1+M835)/(1+H835))</f>
        <v>0.00130035789227651</v>
      </c>
      <c r="R835" s="489">
        <f>LN((1+N835)/(1+H835))</f>
        <v>0.00673409486675876</v>
      </c>
      <c r="S835" s="542">
        <f>LN((1+O835)/(1+H835))</f>
        <v>-0.0125505025319253</v>
      </c>
    </row>
    <row r="836">
      <c r="A836" s="320" t="n">
        <v>735</v>
      </c>
      <c r="B836" s="174" t="n">
        <v>3</v>
      </c>
      <c r="C836" s="174" t="n">
        <v>30</v>
      </c>
      <c r="D836" s="174" t="n">
        <v>73</v>
      </c>
      <c r="E836" s="174" t="n">
        <v>59</v>
      </c>
      <c r="F836" s="174" t="n">
        <v>59</v>
      </c>
      <c r="G836" s="68">
        <f>(1+INDEX($Z$21:$Z$97,B836))*(1+INDEX($Z$21:$Z$97,C836))*(1+INDEX($Z$21:$Z$97,D836))*(1+INDEX($Z$21:$Z$97,E836))*(1+INDEX($Z$21:$Z$97,F836))-1</f>
        <v>0.959991428890704</v>
      </c>
      <c r="H836" s="68">
        <f>(1+INDEX($AA$21:$AA$97,B836))*(1+INDEX($AA$21:$AA$97,C836))*(1+INDEX($AA$21:$AA$97,D836))*(1+INDEX($AA$21:$AA$97,E836))*(1+INDEX($AA$21:$AA$97,F836))-1</f>
        <v>0.883526050225593</v>
      </c>
      <c r="I836" s="68">
        <f>(1+INDEX($AB$21:$AB$97,B836))*(1+INDEX($AB$21:$AB$97,C836))*(1+INDEX($AB$21:$AB$97,D836))*(1+INDEX($AB$21:$AB$97,E836))*(1+INDEX($AB$21:$AB$97,F836))-1</f>
        <v>0.932506154838869</v>
      </c>
      <c r="J836" s="489">
        <f>LN((1+G836)/(1+H836))</f>
        <v>0.0397945214093721</v>
      </c>
      <c r="K836" s="489">
        <f>LN((1+I836)/(1+H836))</f>
        <v>0.0256721075759748</v>
      </c>
      <c r="L836" s="489">
        <f>(1+INDEX($AC$21:$AC$97,B836))*(1+INDEX($AC$21:$AC$97,C836))*(1+INDEX($AC$21:$AC$97,D836))*(1+INDEX($AC$21:$AC$97,E836))*(1+INDEX($AC$21:$AC$97,F836))-1</f>
        <v>0.992573815222438</v>
      </c>
      <c r="M836" s="489">
        <f>(1+INDEX($AD$21:$AD$97,B836))*(1+INDEX($AD$21:$AD$97,C836))*(1+INDEX($AD$21:$AD$97,D836))*(1+INDEX($AD$21:$AD$97,E836))*(1+INDEX($AD$21:$AD$97,F836))-1</f>
        <v>0.874077142380027</v>
      </c>
      <c r="N836" s="489">
        <f>(1+INDEX($AE$21:$AE$97,B836))*(1+INDEX($AE$21:$AE$97,C836))*(1+INDEX($AE$21:$AE$97,D836))*(1+INDEX($AE$21:$AE$97,E836))*(1+INDEX($AE$21:$AE$97,F836))-1</f>
        <v>0.990362336560147</v>
      </c>
      <c r="O836" s="489">
        <f>(1+INDEX($AF$21:$AF$97,B836))*(1+INDEX($AF$21:$AF$97,C836))*(1+INDEX($AF$21:$AF$97,D836))*(1+INDEX($AF$21:$AF$97,E836))*(1+INDEX($AF$21:$AF$97,F836))-1</f>
        <v>0.808080964043094</v>
      </c>
      <c r="P836" s="489">
        <f>LN((1+L836)/(1+H836))</f>
        <v>0.0562815987232101</v>
      </c>
      <c r="Q836" s="489">
        <f>LN((1+M836)/(1+H836))</f>
        <v>-0.00502923128244054</v>
      </c>
      <c r="R836" s="489">
        <f>LN((1+N836)/(1+H836))</f>
        <v>0.0551711220269867</v>
      </c>
      <c r="S836" s="542">
        <f>LN((1+O836)/(1+H836))</f>
        <v>-0.0408795368439126</v>
      </c>
    </row>
    <row r="837">
      <c r="A837" s="320" t="n">
        <v>736</v>
      </c>
      <c r="B837" s="174" t="n">
        <v>62</v>
      </c>
      <c r="C837" s="174" t="n">
        <v>15</v>
      </c>
      <c r="D837" s="174" t="n">
        <v>60</v>
      </c>
      <c r="E837" s="174" t="n">
        <v>17</v>
      </c>
      <c r="F837" s="174" t="n">
        <v>69</v>
      </c>
      <c r="G837" s="68">
        <f>(1+INDEX($Z$21:$Z$97,B837))*(1+INDEX($Z$21:$Z$97,C837))*(1+INDEX($Z$21:$Z$97,D837))*(1+INDEX($Z$21:$Z$97,E837))*(1+INDEX($Z$21:$Z$97,F837))-1</f>
        <v>0.326337959736699</v>
      </c>
      <c r="H837" s="68">
        <f>(1+INDEX($AA$21:$AA$97,B837))*(1+INDEX($AA$21:$AA$97,C837))*(1+INDEX($AA$21:$AA$97,D837))*(1+INDEX($AA$21:$AA$97,E837))*(1+INDEX($AA$21:$AA$97,F837))-1</f>
        <v>0.343296409122404</v>
      </c>
      <c r="I837" s="68">
        <f>(1+INDEX($AB$21:$AB$97,B837))*(1+INDEX($AB$21:$AB$97,C837))*(1+INDEX($AB$21:$AB$97,D837))*(1+INDEX($AB$21:$AB$97,E837))*(1+INDEX($AB$21:$AB$97,F837))-1</f>
        <v>0.348788182935934</v>
      </c>
      <c r="J837" s="489">
        <f>LN((1+G837)/(1+H837))</f>
        <v>-0.0127048690213258</v>
      </c>
      <c r="K837" s="489">
        <f>LN((1+I837)/(1+H837))</f>
        <v>0.00407994715152716</v>
      </c>
      <c r="L837" s="489">
        <f>(1+INDEX($AC$21:$AC$97,B837))*(1+INDEX($AC$21:$AC$97,C837))*(1+INDEX($AC$21:$AC$97,D837))*(1+INDEX($AC$21:$AC$97,E837))*(1+INDEX($AC$21:$AC$97,F837))-1</f>
        <v>0.372470849574598</v>
      </c>
      <c r="M837" s="489">
        <f>(1+INDEX($AD$21:$AD$97,B837))*(1+INDEX($AD$21:$AD$97,C837))*(1+INDEX($AD$21:$AD$97,D837))*(1+INDEX($AD$21:$AD$97,E837))*(1+INDEX($AD$21:$AD$97,F837))-1</f>
        <v>0.300820255737954</v>
      </c>
      <c r="N837" s="489">
        <f>(1+INDEX($AE$21:$AE$97,B837))*(1+INDEX($AE$21:$AE$97,C837))*(1+INDEX($AE$21:$AE$97,D837))*(1+INDEX($AE$21:$AE$97,E837))*(1+INDEX($AE$21:$AE$97,F837))-1</f>
        <v>0.382799391670011</v>
      </c>
      <c r="O837" s="489">
        <f>(1+INDEX($AF$21:$AF$97,B837))*(1+INDEX($AF$21:$AF$97,C837))*(1+INDEX($AF$21:$AF$97,D837))*(1+INDEX($AF$21:$AF$97,E837))*(1+INDEX($AF$21:$AF$97,F837))-1</f>
        <v>0.259622163304877</v>
      </c>
      <c r="P837" s="489">
        <f>LN((1+L837)/(1+H837))</f>
        <v>0.0214860553433351</v>
      </c>
      <c r="Q837" s="489">
        <f>LN((1+M837)/(1+H837))</f>
        <v>-0.0321315684626128</v>
      </c>
      <c r="R837" s="489">
        <f>LN((1+N837)/(1+H837))</f>
        <v>0.0289833892319541</v>
      </c>
      <c r="S837" s="542">
        <f>LN((1+O837)/(1+H837))</f>
        <v>-0.0643147943067378</v>
      </c>
    </row>
    <row r="838">
      <c r="A838" s="320" t="n">
        <v>737</v>
      </c>
      <c r="B838" s="174" t="n">
        <v>77</v>
      </c>
      <c r="C838" s="174" t="n">
        <v>45</v>
      </c>
      <c r="D838" s="174" t="n">
        <v>59</v>
      </c>
      <c r="E838" s="174" t="n">
        <v>32</v>
      </c>
      <c r="F838" s="174" t="n">
        <v>12</v>
      </c>
      <c r="G838" s="68">
        <f>(1+INDEX($Z$21:$Z$97,B838))*(1+INDEX($Z$21:$Z$97,C838))*(1+INDEX($Z$21:$Z$97,D838))*(1+INDEX($Z$21:$Z$97,E838))*(1+INDEX($Z$21:$Z$97,F838))-1</f>
        <v>0.725675572948043</v>
      </c>
      <c r="H838" s="68">
        <f>(1+INDEX($AA$21:$AA$97,B838))*(1+INDEX($AA$21:$AA$97,C838))*(1+INDEX($AA$21:$AA$97,D838))*(1+INDEX($AA$21:$AA$97,E838))*(1+INDEX($AA$21:$AA$97,F838))-1</f>
        <v>0.664570905310152</v>
      </c>
      <c r="I838" s="68">
        <f>(1+INDEX($AB$21:$AB$97,B838))*(1+INDEX($AB$21:$AB$97,C838))*(1+INDEX($AB$21:$AB$97,D838))*(1+INDEX($AB$21:$AB$97,E838))*(1+INDEX($AB$21:$AB$97,F838))-1</f>
        <v>0.726021855119826</v>
      </c>
      <c r="J838" s="489">
        <f>LN((1+G838)/(1+H838))</f>
        <v>0.0360512346155142</v>
      </c>
      <c r="K838" s="489">
        <f>LN((1+I838)/(1+H838))</f>
        <v>0.0362518791854172</v>
      </c>
      <c r="L838" s="489">
        <f>(1+INDEX($AC$21:$AC$97,B838))*(1+INDEX($AC$21:$AC$97,C838))*(1+INDEX($AC$21:$AC$97,D838))*(1+INDEX($AC$21:$AC$97,E838))*(1+INDEX($AC$21:$AC$97,F838))-1</f>
        <v>0.748803357227558</v>
      </c>
      <c r="M838" s="489">
        <f>(1+INDEX($AD$21:$AD$97,B838))*(1+INDEX($AD$21:$AD$97,C838))*(1+INDEX($AD$21:$AD$97,D838))*(1+INDEX($AD$21:$AD$97,E838))*(1+INDEX($AD$21:$AD$97,F838))-1</f>
        <v>0.701241506755283</v>
      </c>
      <c r="N838" s="489">
        <f>(1+INDEX($AE$21:$AE$97,B838))*(1+INDEX($AE$21:$AE$97,C838))*(1+INDEX($AE$21:$AE$97,D838))*(1+INDEX($AE$21:$AE$97,E838))*(1+INDEX($AE$21:$AE$97,F838))-1</f>
        <v>0.718718380420845</v>
      </c>
      <c r="O838" s="489">
        <f>(1+INDEX($AF$21:$AF$97,B838))*(1+INDEX($AF$21:$AF$97,C838))*(1+INDEX($AF$21:$AF$97,D838))*(1+INDEX($AF$21:$AF$97,E838))*(1+INDEX($AF$21:$AF$97,F838))-1</f>
        <v>0.626619560414954</v>
      </c>
      <c r="P838" s="489">
        <f>LN((1+L838)/(1+H838))</f>
        <v>0.0493643824805555</v>
      </c>
      <c r="Q838" s="489">
        <f>LN((1+M838)/(1+H838))</f>
        <v>0.0217909069257481</v>
      </c>
      <c r="R838" s="489">
        <f>LN((1+N838)/(1+H838))</f>
        <v>0.0320115097275922</v>
      </c>
      <c r="S838" s="542">
        <f>LN((1+O838)/(1+H838))</f>
        <v>-0.0230634036735398</v>
      </c>
    </row>
    <row r="839">
      <c r="A839" s="320" t="n">
        <v>738</v>
      </c>
      <c r="B839" s="174" t="n">
        <v>52</v>
      </c>
      <c r="C839" s="174" t="n">
        <v>48</v>
      </c>
      <c r="D839" s="174" t="n">
        <v>43</v>
      </c>
      <c r="E839" s="174" t="n">
        <v>77</v>
      </c>
      <c r="F839" s="174" t="n">
        <v>28</v>
      </c>
      <c r="G839" s="68">
        <f>(1+INDEX($Z$21:$Z$97,B839))*(1+INDEX($Z$21:$Z$97,C839))*(1+INDEX($Z$21:$Z$97,D839))*(1+INDEX($Z$21:$Z$97,E839))*(1+INDEX($Z$21:$Z$97,F839))-1</f>
        <v>0.620925426341983</v>
      </c>
      <c r="H839" s="68">
        <f>(1+INDEX($AA$21:$AA$97,B839))*(1+INDEX($AA$21:$AA$97,C839))*(1+INDEX($AA$21:$AA$97,D839))*(1+INDEX($AA$21:$AA$97,E839))*(1+INDEX($AA$21:$AA$97,F839))-1</f>
        <v>0.6024657174404</v>
      </c>
      <c r="I839" s="68">
        <f>(1+INDEX($AB$21:$AB$97,B839))*(1+INDEX($AB$21:$AB$97,C839))*(1+INDEX($AB$21:$AB$97,D839))*(1+INDEX($AB$21:$AB$97,E839))*(1+INDEX($AB$21:$AB$97,F839))-1</f>
        <v>0.696557845988669</v>
      </c>
      <c r="J839" s="489">
        <f>LN((1+G839)/(1+H839))</f>
        <v>0.0114537205601011</v>
      </c>
      <c r="K839" s="489">
        <f>LN((1+I839)/(1+H839))</f>
        <v>0.0570578855023001</v>
      </c>
      <c r="L839" s="489">
        <f>(1+INDEX($AC$21:$AC$97,B839))*(1+INDEX($AC$21:$AC$97,C839))*(1+INDEX($AC$21:$AC$97,D839))*(1+INDEX($AC$21:$AC$97,E839))*(1+INDEX($AC$21:$AC$97,F839))-1</f>
        <v>0.6934938529779</v>
      </c>
      <c r="M839" s="489">
        <f>(1+INDEX($AD$21:$AD$97,B839))*(1+INDEX($AD$21:$AD$97,C839))*(1+INDEX($AD$21:$AD$97,D839))*(1+INDEX($AD$21:$AD$97,E839))*(1+INDEX($AD$21:$AD$97,F839))-1</f>
        <v>0.669089011830914</v>
      </c>
      <c r="N839" s="489">
        <f>(1+INDEX($AE$21:$AE$97,B839))*(1+INDEX($AE$21:$AE$97,C839))*(1+INDEX($AE$21:$AE$97,D839))*(1+INDEX($AE$21:$AE$97,E839))*(1+INDEX($AE$21:$AE$97,F839))-1</f>
        <v>0.66798585912422</v>
      </c>
      <c r="O839" s="489">
        <f>(1+INDEX($AF$21:$AF$97,B839))*(1+INDEX($AF$21:$AF$97,C839))*(1+INDEX($AF$21:$AF$97,D839))*(1+INDEX($AF$21:$AF$97,E839))*(1+INDEX($AF$21:$AF$97,F839))-1</f>
        <v>0.629434057012739</v>
      </c>
      <c r="P839" s="489">
        <f>LN((1+L839)/(1+H839))</f>
        <v>0.0552502470842684</v>
      </c>
      <c r="Q839" s="489">
        <f>LN((1+M839)/(1+H839))</f>
        <v>0.040734459279783</v>
      </c>
      <c r="R839" s="489">
        <f>LN((1+N839)/(1+H839))</f>
        <v>0.0400733097464121</v>
      </c>
      <c r="S839" s="542">
        <f>LN((1+O839)/(1+H839))</f>
        <v>0.0166892338317106</v>
      </c>
    </row>
    <row r="840">
      <c r="A840" s="320" t="n">
        <v>739</v>
      </c>
      <c r="B840" s="174" t="n">
        <v>75</v>
      </c>
      <c r="C840" s="174" t="n">
        <v>11</v>
      </c>
      <c r="D840" s="174" t="n">
        <v>2</v>
      </c>
      <c r="E840" s="174" t="n">
        <v>31</v>
      </c>
      <c r="F840" s="174" t="n">
        <v>48</v>
      </c>
      <c r="G840" s="68">
        <f>(1+INDEX($Z$21:$Z$97,B840))*(1+INDEX($Z$21:$Z$97,C840))*(1+INDEX($Z$21:$Z$97,D840))*(1+INDEX($Z$21:$Z$97,E840))*(1+INDEX($Z$21:$Z$97,F840))-1</f>
        <v>0.394238219992634</v>
      </c>
      <c r="H840" s="68">
        <f>(1+INDEX($AA$21:$AA$97,B840))*(1+INDEX($AA$21:$AA$97,C840))*(1+INDEX($AA$21:$AA$97,D840))*(1+INDEX($AA$21:$AA$97,E840))*(1+INDEX($AA$21:$AA$97,F840))-1</f>
        <v>0.358629178185885</v>
      </c>
      <c r="I840" s="68">
        <f>(1+INDEX($AB$21:$AB$97,B840))*(1+INDEX($AB$21:$AB$97,C840))*(1+INDEX($AB$21:$AB$97,D840))*(1+INDEX($AB$21:$AB$97,E840))*(1+INDEX($AB$21:$AB$97,F840))-1</f>
        <v>0.372125007007667</v>
      </c>
      <c r="J840" s="489">
        <f>LN((1+G840)/(1+H840))</f>
        <v>0.0258719530584274</v>
      </c>
      <c r="K840" s="489">
        <f>LN((1+I840)/(1+H840))</f>
        <v>0.00988440393129448</v>
      </c>
      <c r="L840" s="489">
        <f>(1+INDEX($AC$21:$AC$97,B840))*(1+INDEX($AC$21:$AC$97,C840))*(1+INDEX($AC$21:$AC$97,D840))*(1+INDEX($AC$21:$AC$97,E840))*(1+INDEX($AC$21:$AC$97,F840))-1</f>
        <v>0.357227201638035</v>
      </c>
      <c r="M840" s="489">
        <f>(1+INDEX($AD$21:$AD$97,B840))*(1+INDEX($AD$21:$AD$97,C840))*(1+INDEX($AD$21:$AD$97,D840))*(1+INDEX($AD$21:$AD$97,E840))*(1+INDEX($AD$21:$AD$97,F840))-1</f>
        <v>0.39878299945518</v>
      </c>
      <c r="N840" s="489">
        <f>(1+INDEX($AE$21:$AE$97,B840))*(1+INDEX($AE$21:$AE$97,C840))*(1+INDEX($AE$21:$AE$97,D840))*(1+INDEX($AE$21:$AE$97,E840))*(1+INDEX($AE$21:$AE$97,F840))-1</f>
        <v>0.350572403391406</v>
      </c>
      <c r="O840" s="489">
        <f>(1+INDEX($AF$21:$AF$97,B840))*(1+INDEX($AF$21:$AF$97,C840))*(1+INDEX($AF$21:$AF$97,D840))*(1+INDEX($AF$21:$AF$97,E840))*(1+INDEX($AF$21:$AF$97,F840))-1</f>
        <v>0.402466495364259</v>
      </c>
      <c r="P840" s="489">
        <f>LN((1+L840)/(1+H840))</f>
        <v>-0.00103243800577902</v>
      </c>
      <c r="Q840" s="489">
        <f>LN((1+M840)/(1+H840))</f>
        <v>0.0291263382682888</v>
      </c>
      <c r="R840" s="489">
        <f>LN((1+N840)/(1+H840))</f>
        <v>-0.00594772910238624</v>
      </c>
      <c r="S840" s="542">
        <f>LN((1+O840)/(1+H840))</f>
        <v>0.0317562347048054</v>
      </c>
    </row>
    <row r="841">
      <c r="A841" s="320" t="n">
        <v>740</v>
      </c>
      <c r="B841" s="174" t="n">
        <v>61</v>
      </c>
      <c r="C841" s="174" t="n">
        <v>30</v>
      </c>
      <c r="D841" s="174" t="n">
        <v>66</v>
      </c>
      <c r="E841" s="174" t="n">
        <v>52</v>
      </c>
      <c r="F841" s="174" t="n">
        <v>19</v>
      </c>
      <c r="G841" s="68">
        <f>(1+INDEX($Z$21:$Z$97,B841))*(1+INDEX($Z$21:$Z$97,C841))*(1+INDEX($Z$21:$Z$97,D841))*(1+INDEX($Z$21:$Z$97,E841))*(1+INDEX($Z$21:$Z$97,F841))-1</f>
        <v>0.590818542964244</v>
      </c>
      <c r="H841" s="68">
        <f>(1+INDEX($AA$21:$AA$97,B841))*(1+INDEX($AA$21:$AA$97,C841))*(1+INDEX($AA$21:$AA$97,D841))*(1+INDEX($AA$21:$AA$97,E841))*(1+INDEX($AA$21:$AA$97,F841))-1</f>
        <v>0.552605829572798</v>
      </c>
      <c r="I841" s="68">
        <f>(1+INDEX($AB$21:$AB$97,B841))*(1+INDEX($AB$21:$AB$97,C841))*(1+INDEX($AB$21:$AB$97,D841))*(1+INDEX($AB$21:$AB$97,E841))*(1+INDEX($AB$21:$AB$97,F841))-1</f>
        <v>0.576350808841612</v>
      </c>
      <c r="J841" s="489">
        <f>LN((1+G841)/(1+H841))</f>
        <v>0.0243139909614142</v>
      </c>
      <c r="K841" s="489">
        <f>LN((1+I841)/(1+H841))</f>
        <v>0.0151778614089993</v>
      </c>
      <c r="L841" s="489">
        <f>(1+INDEX($AC$21:$AC$97,B841))*(1+INDEX($AC$21:$AC$97,C841))*(1+INDEX($AC$21:$AC$97,D841))*(1+INDEX($AC$21:$AC$97,E841))*(1+INDEX($AC$21:$AC$97,F841))-1</f>
        <v>0.595681753092822</v>
      </c>
      <c r="M841" s="489">
        <f>(1+INDEX($AD$21:$AD$97,B841))*(1+INDEX($AD$21:$AD$97,C841))*(1+INDEX($AD$21:$AD$97,D841))*(1+INDEX($AD$21:$AD$97,E841))*(1+INDEX($AD$21:$AD$97,F841))-1</f>
        <v>0.541192397213172</v>
      </c>
      <c r="N841" s="489">
        <f>(1+INDEX($AE$21:$AE$97,B841))*(1+INDEX($AE$21:$AE$97,C841))*(1+INDEX($AE$21:$AE$97,D841))*(1+INDEX($AE$21:$AE$97,E841))*(1+INDEX($AE$21:$AE$97,F841))-1</f>
        <v>0.609874153569496</v>
      </c>
      <c r="O841" s="489">
        <f>(1+INDEX($AF$21:$AF$97,B841))*(1+INDEX($AF$21:$AF$97,C841))*(1+INDEX($AF$21:$AF$97,D841))*(1+INDEX($AF$21:$AF$97,E841))*(1+INDEX($AF$21:$AF$97,F841))-1</f>
        <v>0.550694674708316</v>
      </c>
      <c r="P841" s="489">
        <f>LN((1+L841)/(1+H841))</f>
        <v>0.0273663766213159</v>
      </c>
      <c r="Q841" s="489">
        <f>LN((1+M841)/(1+H841))</f>
        <v>-0.00737829897181389</v>
      </c>
      <c r="R841" s="489">
        <f>LN((1+N841)/(1+H841))</f>
        <v>0.0362213107576375</v>
      </c>
      <c r="S841" s="542">
        <f>LN((1+O841)/(1+H841))</f>
        <v>-0.00123169193795928</v>
      </c>
    </row>
    <row r="842">
      <c r="A842" s="320" t="n">
        <v>741</v>
      </c>
      <c r="B842" s="174" t="n">
        <v>33</v>
      </c>
      <c r="C842" s="174" t="n">
        <v>12</v>
      </c>
      <c r="D842" s="174" t="n">
        <v>14</v>
      </c>
      <c r="E842" s="174" t="n">
        <v>8</v>
      </c>
      <c r="F842" s="174" t="n">
        <v>74</v>
      </c>
      <c r="G842" s="68">
        <f>(1+INDEX($Z$21:$Z$97,B842))*(1+INDEX($Z$21:$Z$97,C842))*(1+INDEX($Z$21:$Z$97,D842))*(1+INDEX($Z$21:$Z$97,E842))*(1+INDEX($Z$21:$Z$97,F842))-1</f>
        <v>0.390155180458448</v>
      </c>
      <c r="H842" s="68">
        <f>(1+INDEX($AA$21:$AA$97,B842))*(1+INDEX($AA$21:$AA$97,C842))*(1+INDEX($AA$21:$AA$97,D842))*(1+INDEX($AA$21:$AA$97,E842))*(1+INDEX($AA$21:$AA$97,F842))-1</f>
        <v>0.35424480720621</v>
      </c>
      <c r="I842" s="68">
        <f>(1+INDEX($AB$21:$AB$97,B842))*(1+INDEX($AB$21:$AB$97,C842))*(1+INDEX($AB$21:$AB$97,D842))*(1+INDEX($AB$21:$AB$97,E842))*(1+INDEX($AB$21:$AB$97,F842))-1</f>
        <v>0.36297376118407</v>
      </c>
      <c r="J842" s="489">
        <f>LN((1+G842)/(1+H842))</f>
        <v>0.0261714204228446</v>
      </c>
      <c r="K842" s="489">
        <f>LN((1+I842)/(1+H842))</f>
        <v>0.00642494064105553</v>
      </c>
      <c r="L842" s="489">
        <f>(1+INDEX($AC$21:$AC$97,B842))*(1+INDEX($AC$21:$AC$97,C842))*(1+INDEX($AC$21:$AC$97,D842))*(1+INDEX($AC$21:$AC$97,E842))*(1+INDEX($AC$21:$AC$97,F842))-1</f>
        <v>0.341404785317265</v>
      </c>
      <c r="M842" s="489">
        <f>(1+INDEX($AD$21:$AD$97,B842))*(1+INDEX($AD$21:$AD$97,C842))*(1+INDEX($AD$21:$AD$97,D842))*(1+INDEX($AD$21:$AD$97,E842))*(1+INDEX($AD$21:$AD$97,F842))-1</f>
        <v>0.396541106750419</v>
      </c>
      <c r="N842" s="489">
        <f>(1+INDEX($AE$21:$AE$97,B842))*(1+INDEX($AE$21:$AE$97,C842))*(1+INDEX($AE$21:$AE$97,D842))*(1+INDEX($AE$21:$AE$97,E842))*(1+INDEX($AE$21:$AE$97,F842))-1</f>
        <v>0.33056819320692</v>
      </c>
      <c r="O842" s="489">
        <f>(1+INDEX($AF$21:$AF$97,B842))*(1+INDEX($AF$21:$AF$97,C842))*(1+INDEX($AF$21:$AF$97,D842))*(1+INDEX($AF$21:$AF$97,E842))*(1+INDEX($AF$21:$AF$97,F842))-1</f>
        <v>0.372056962578941</v>
      </c>
      <c r="P842" s="489">
        <f>LN((1+L842)/(1+H842))</f>
        <v>-0.00952654902371015</v>
      </c>
      <c r="Q842" s="489">
        <f>LN((1+M842)/(1+H842))</f>
        <v>0.0307545804173513</v>
      </c>
      <c r="R842" s="489">
        <f>LN((1+N842)/(1+H842))</f>
        <v>-0.0176378971642633</v>
      </c>
      <c r="S842" s="542">
        <f>LN((1+O842)/(1+H842))</f>
        <v>0.013067085250534</v>
      </c>
    </row>
    <row r="843">
      <c r="A843" s="320" t="n">
        <v>742</v>
      </c>
      <c r="B843" s="174" t="n">
        <v>77</v>
      </c>
      <c r="C843" s="174" t="n">
        <v>61</v>
      </c>
      <c r="D843" s="174" t="n">
        <v>6</v>
      </c>
      <c r="E843" s="174" t="n">
        <v>75</v>
      </c>
      <c r="F843" s="174" t="n">
        <v>30</v>
      </c>
      <c r="G843" s="68">
        <f>(1+INDEX($Z$21:$Z$97,B843))*(1+INDEX($Z$21:$Z$97,C843))*(1+INDEX($Z$21:$Z$97,D843))*(1+INDEX($Z$21:$Z$97,E843))*(1+INDEX($Z$21:$Z$97,F843))-1</f>
        <v>0.275654523147008</v>
      </c>
      <c r="H843" s="68">
        <f>(1+INDEX($AA$21:$AA$97,B843))*(1+INDEX($AA$21:$AA$97,C843))*(1+INDEX($AA$21:$AA$97,D843))*(1+INDEX($AA$21:$AA$97,E843))*(1+INDEX($AA$21:$AA$97,F843))-1</f>
        <v>0.2976456005473</v>
      </c>
      <c r="I843" s="68">
        <f>(1+INDEX($AB$21:$AB$97,B843))*(1+INDEX($AB$21:$AB$97,C843))*(1+INDEX($AB$21:$AB$97,D843))*(1+INDEX($AB$21:$AB$97,E843))*(1+INDEX($AB$21:$AB$97,F843))-1</f>
        <v>0.307653327202093</v>
      </c>
      <c r="J843" s="489">
        <f>LN((1+G843)/(1+H843))</f>
        <v>-0.0170921476051221</v>
      </c>
      <c r="K843" s="489">
        <f>LN((1+I843)/(1+H843))</f>
        <v>0.00768263155666638</v>
      </c>
      <c r="L843" s="489">
        <f>(1+INDEX($AC$21:$AC$97,B843))*(1+INDEX($AC$21:$AC$97,C843))*(1+INDEX($AC$21:$AC$97,D843))*(1+INDEX($AC$21:$AC$97,E843))*(1+INDEX($AC$21:$AC$97,F843))-1</f>
        <v>0.324075718258501</v>
      </c>
      <c r="M843" s="489">
        <f>(1+INDEX($AD$21:$AD$97,B843))*(1+INDEX($AD$21:$AD$97,C843))*(1+INDEX($AD$21:$AD$97,D843))*(1+INDEX($AD$21:$AD$97,E843))*(1+INDEX($AD$21:$AD$97,F843))-1</f>
        <v>0.252583977159496</v>
      </c>
      <c r="N843" s="489">
        <f>(1+INDEX($AE$21:$AE$97,B843))*(1+INDEX($AE$21:$AE$97,C843))*(1+INDEX($AE$21:$AE$97,D843))*(1+INDEX($AE$21:$AE$97,E843))*(1+INDEX($AE$21:$AE$97,F843))-1</f>
        <v>0.296171929839041</v>
      </c>
      <c r="O843" s="489">
        <f>(1+INDEX($AF$21:$AF$97,B843))*(1+INDEX($AF$21:$AF$97,C843))*(1+INDEX($AF$21:$AF$97,D843))*(1+INDEX($AF$21:$AF$97,E843))*(1+INDEX($AF$21:$AF$97,F843))-1</f>
        <v>0.271158393230423</v>
      </c>
      <c r="P843" s="489">
        <f>LN((1+L843)/(1+H843))</f>
        <v>0.0201630989130182</v>
      </c>
      <c r="Q843" s="489">
        <f>LN((1+M843)/(1+H843))</f>
        <v>-0.0353429466219402</v>
      </c>
      <c r="R843" s="489">
        <f>LN((1+N843)/(1+H843))</f>
        <v>-0.00113629493945359</v>
      </c>
      <c r="S843" s="542">
        <f>LN((1+O843)/(1+H843))</f>
        <v>-0.0206229405884528</v>
      </c>
    </row>
    <row r="844">
      <c r="A844" s="320" t="n">
        <v>743</v>
      </c>
      <c r="B844" s="174" t="n">
        <v>4</v>
      </c>
      <c r="C844" s="174" t="n">
        <v>46</v>
      </c>
      <c r="D844" s="174" t="n">
        <v>50</v>
      </c>
      <c r="E844" s="174" t="n">
        <v>49</v>
      </c>
      <c r="F844" s="174" t="n">
        <v>35</v>
      </c>
      <c r="G844" s="68">
        <f>(1+INDEX($Z$21:$Z$97,B844))*(1+INDEX($Z$21:$Z$97,C844))*(1+INDEX($Z$21:$Z$97,D844))*(1+INDEX($Z$21:$Z$97,E844))*(1+INDEX($Z$21:$Z$97,F844))-1</f>
        <v>0.559868287788765</v>
      </c>
      <c r="H844" s="68">
        <f>(1+INDEX($AA$21:$AA$97,B844))*(1+INDEX($AA$21:$AA$97,C844))*(1+INDEX($AA$21:$AA$97,D844))*(1+INDEX($AA$21:$AA$97,E844))*(1+INDEX($AA$21:$AA$97,F844))-1</f>
        <v>0.501592019288154</v>
      </c>
      <c r="I844" s="68">
        <f>(1+INDEX($AB$21:$AB$97,B844))*(1+INDEX($AB$21:$AB$97,C844))*(1+INDEX($AB$21:$AB$97,D844))*(1+INDEX($AB$21:$AB$97,E844))*(1+INDEX($AB$21:$AB$97,F844))-1</f>
        <v>0.569966873024292</v>
      </c>
      <c r="J844" s="489">
        <f>LN((1+G844)/(1+H844))</f>
        <v>0.0380754953217179</v>
      </c>
      <c r="K844" s="489">
        <f>LN((1+I844)/(1+H844))</f>
        <v>0.0445286276824808</v>
      </c>
      <c r="L844" s="489">
        <f>(1+INDEX($AC$21:$AC$97,B844))*(1+INDEX($AC$21:$AC$97,C844))*(1+INDEX($AC$21:$AC$97,D844))*(1+INDEX($AC$21:$AC$97,E844))*(1+INDEX($AC$21:$AC$97,F844))-1</f>
        <v>0.547082209626793</v>
      </c>
      <c r="M844" s="489">
        <f>(1+INDEX($AD$21:$AD$97,B844))*(1+INDEX($AD$21:$AD$97,C844))*(1+INDEX($AD$21:$AD$97,D844))*(1+INDEX($AD$21:$AD$97,E844))*(1+INDEX($AD$21:$AD$97,F844))-1</f>
        <v>0.559934387576319</v>
      </c>
      <c r="N844" s="489">
        <f>(1+INDEX($AE$21:$AE$97,B844))*(1+INDEX($AE$21:$AE$97,C844))*(1+INDEX($AE$21:$AE$97,D844))*(1+INDEX($AE$21:$AE$97,E844))*(1+INDEX($AE$21:$AE$97,F844))-1</f>
        <v>0.532319027837557</v>
      </c>
      <c r="O844" s="489">
        <f>(1+INDEX($AF$21:$AF$97,B844))*(1+INDEX($AF$21:$AF$97,C844))*(1+INDEX($AF$21:$AF$97,D844))*(1+INDEX($AF$21:$AF$97,E844))*(1+INDEX($AF$21:$AF$97,F844))-1</f>
        <v>0.511414346097702</v>
      </c>
      <c r="P844" s="489">
        <f>LN((1+L844)/(1+H844))</f>
        <v>0.0298448200314506</v>
      </c>
      <c r="Q844" s="489">
        <f>LN((1+M844)/(1+H844))</f>
        <v>0.0381178696603807</v>
      </c>
      <c r="R844" s="489">
        <f>LN((1+N844)/(1+H844))</f>
        <v>0.0202564008821044</v>
      </c>
      <c r="S844" s="542">
        <f>LN((1+O844)/(1+H844))</f>
        <v>0.0065199740153272</v>
      </c>
    </row>
    <row r="845">
      <c r="A845" s="320" t="n">
        <v>744</v>
      </c>
      <c r="B845" s="174" t="n">
        <v>30</v>
      </c>
      <c r="C845" s="174" t="n">
        <v>69</v>
      </c>
      <c r="D845" s="174" t="n">
        <v>73</v>
      </c>
      <c r="E845" s="174" t="n">
        <v>22</v>
      </c>
      <c r="F845" s="174" t="n">
        <v>6</v>
      </c>
      <c r="G845" s="68">
        <f>(1+INDEX($Z$21:$Z$97,B845))*(1+INDEX($Z$21:$Z$97,C845))*(1+INDEX($Z$21:$Z$97,D845))*(1+INDEX($Z$21:$Z$97,E845))*(1+INDEX($Z$21:$Z$97,F845))-1</f>
        <v>0.21493642411181</v>
      </c>
      <c r="H845" s="68">
        <f>(1+INDEX($AA$21:$AA$97,B845))*(1+INDEX($AA$21:$AA$97,C845))*(1+INDEX($AA$21:$AA$97,D845))*(1+INDEX($AA$21:$AA$97,E845))*(1+INDEX($AA$21:$AA$97,F845))-1</f>
        <v>0.250509716565009</v>
      </c>
      <c r="I845" s="68">
        <f>(1+INDEX($AB$21:$AB$97,B845))*(1+INDEX($AB$21:$AB$97,C845))*(1+INDEX($AB$21:$AB$97,D845))*(1+INDEX($AB$21:$AB$97,E845))*(1+INDEX($AB$21:$AB$97,F845))-1</f>
        <v>0.251857861072141</v>
      </c>
      <c r="J845" s="489">
        <f>LN((1+G845)/(1+H845))</f>
        <v>-0.0288594918597324</v>
      </c>
      <c r="K845" s="489">
        <f>LN((1+I845)/(1+H845))</f>
        <v>0.00107749528855196</v>
      </c>
      <c r="L845" s="489">
        <f>(1+INDEX($AC$21:$AC$97,B845))*(1+INDEX($AC$21:$AC$97,C845))*(1+INDEX($AC$21:$AC$97,D845))*(1+INDEX($AC$21:$AC$97,E845))*(1+INDEX($AC$21:$AC$97,F845))-1</f>
        <v>0.241442476392261</v>
      </c>
      <c r="M845" s="489">
        <f>(1+INDEX($AD$21:$AD$97,B845))*(1+INDEX($AD$21:$AD$97,C845))*(1+INDEX($AD$21:$AD$97,D845))*(1+INDEX($AD$21:$AD$97,E845))*(1+INDEX($AD$21:$AD$97,F845))-1</f>
        <v>0.230678361305813</v>
      </c>
      <c r="N845" s="489">
        <f>(1+INDEX($AE$21:$AE$97,B845))*(1+INDEX($AE$21:$AE$97,C845))*(1+INDEX($AE$21:$AE$97,D845))*(1+INDEX($AE$21:$AE$97,E845))*(1+INDEX($AE$21:$AE$97,F845))-1</f>
        <v>0.227071518597404</v>
      </c>
      <c r="O845" s="489">
        <f>(1+INDEX($AF$21:$AF$97,B845))*(1+INDEX($AF$21:$AF$97,C845))*(1+INDEX($AF$21:$AF$97,D845))*(1+INDEX($AF$21:$AF$97,E845))*(1+INDEX($AF$21:$AF$97,F845))-1</f>
        <v>0.247687441415163</v>
      </c>
      <c r="P845" s="489">
        <f>LN((1+L845)/(1+H845))</f>
        <v>-0.00727725051376462</v>
      </c>
      <c r="Q845" s="489">
        <f>LN((1+M845)/(1+H845))</f>
        <v>-0.0159857108357558</v>
      </c>
      <c r="R845" s="489">
        <f>LN((1+N845)/(1+H845))</f>
        <v>-0.018920790053719</v>
      </c>
      <c r="S845" s="542">
        <f>LN((1+O845)/(1+H845))</f>
        <v>-0.00225945045330056</v>
      </c>
    </row>
    <row r="846">
      <c r="A846" s="320" t="n">
        <v>745</v>
      </c>
      <c r="B846" s="174" t="n">
        <v>28</v>
      </c>
      <c r="C846" s="174" t="n">
        <v>75</v>
      </c>
      <c r="D846" s="174" t="n">
        <v>16</v>
      </c>
      <c r="E846" s="174" t="n">
        <v>7</v>
      </c>
      <c r="F846" s="174" t="n">
        <v>69</v>
      </c>
      <c r="G846" s="68">
        <f>(1+INDEX($Z$21:$Z$97,B846))*(1+INDEX($Z$21:$Z$97,C846))*(1+INDEX($Z$21:$Z$97,D846))*(1+INDEX($Z$21:$Z$97,E846))*(1+INDEX($Z$21:$Z$97,F846))-1</f>
        <v>0.343080687637404</v>
      </c>
      <c r="H846" s="68">
        <f>(1+INDEX($AA$21:$AA$97,B846))*(1+INDEX($AA$21:$AA$97,C846))*(1+INDEX($AA$21:$AA$97,D846))*(1+INDEX($AA$21:$AA$97,E846))*(1+INDEX($AA$21:$AA$97,F846))-1</f>
        <v>0.390961215440681</v>
      </c>
      <c r="I846" s="68">
        <f>(1+INDEX($AB$21:$AB$97,B846))*(1+INDEX($AB$21:$AB$97,C846))*(1+INDEX($AB$21:$AB$97,D846))*(1+INDEX($AB$21:$AB$97,E846))*(1+INDEX($AB$21:$AB$97,F846))-1</f>
        <v>0.415622250092181</v>
      </c>
      <c r="J846" s="489">
        <f>LN((1+G846)/(1+H846))</f>
        <v>-0.0350290341679262</v>
      </c>
      <c r="K846" s="489">
        <f>LN((1+I846)/(1+H846))</f>
        <v>0.0175741570963615</v>
      </c>
      <c r="L846" s="489">
        <f>(1+INDEX($AC$21:$AC$97,B846))*(1+INDEX($AC$21:$AC$97,C846))*(1+INDEX($AC$21:$AC$97,D846))*(1+INDEX($AC$21:$AC$97,E846))*(1+INDEX($AC$21:$AC$97,F846))-1</f>
        <v>0.404839661969237</v>
      </c>
      <c r="M846" s="489">
        <f>(1+INDEX($AD$21:$AD$97,B846))*(1+INDEX($AD$21:$AD$97,C846))*(1+INDEX($AD$21:$AD$97,D846))*(1+INDEX($AD$21:$AD$97,E846))*(1+INDEX($AD$21:$AD$97,F846))-1</f>
        <v>0.392223920867337</v>
      </c>
      <c r="N846" s="489">
        <f>(1+INDEX($AE$21:$AE$97,B846))*(1+INDEX($AE$21:$AE$97,C846))*(1+INDEX($AE$21:$AE$97,D846))*(1+INDEX($AE$21:$AE$97,E846))*(1+INDEX($AE$21:$AE$97,F846))-1</f>
        <v>0.402719720393937</v>
      </c>
      <c r="O846" s="489">
        <f>(1+INDEX($AF$21:$AF$97,B846))*(1+INDEX($AF$21:$AF$97,C846))*(1+INDEX($AF$21:$AF$97,D846))*(1+INDEX($AF$21:$AF$97,E846))*(1+INDEX($AF$21:$AF$97,F846))-1</f>
        <v>0.395487977571903</v>
      </c>
      <c r="P846" s="489">
        <f>LN((1+L846)/(1+H846))</f>
        <v>0.00992814662744958</v>
      </c>
      <c r="Q846" s="489">
        <f>LN((1+M846)/(1+H846))</f>
        <v>0.000907381615990906</v>
      </c>
      <c r="R846" s="489">
        <f>LN((1+N846)/(1+H846))</f>
        <v>0.00841797947550019</v>
      </c>
      <c r="S846" s="542">
        <f>LN((1+O846)/(1+H846))</f>
        <v>0.00324912876569288</v>
      </c>
    </row>
    <row r="847">
      <c r="A847" s="320" t="n">
        <v>746</v>
      </c>
      <c r="B847" s="174" t="n">
        <v>57</v>
      </c>
      <c r="C847" s="174" t="n">
        <v>22</v>
      </c>
      <c r="D847" s="174" t="n">
        <v>31</v>
      </c>
      <c r="E847" s="174" t="n">
        <v>61</v>
      </c>
      <c r="F847" s="174" t="n">
        <v>29</v>
      </c>
      <c r="G847" s="68">
        <f>(1+INDEX($Z$21:$Z$97,B847))*(1+INDEX($Z$21:$Z$97,C847))*(1+INDEX($Z$21:$Z$97,D847))*(1+INDEX($Z$21:$Z$97,E847))*(1+INDEX($Z$21:$Z$97,F847))-1</f>
        <v>0.703295057220875</v>
      </c>
      <c r="H847" s="68">
        <f>(1+INDEX($AA$21:$AA$97,B847))*(1+INDEX($AA$21:$AA$97,C847))*(1+INDEX($AA$21:$AA$97,D847))*(1+INDEX($AA$21:$AA$97,E847))*(1+INDEX($AA$21:$AA$97,F847))-1</f>
        <v>0.687026776967972</v>
      </c>
      <c r="I847" s="68">
        <f>(1+INDEX($AB$21:$AB$97,B847))*(1+INDEX($AB$21:$AB$97,C847))*(1+INDEX($AB$21:$AB$97,D847))*(1+INDEX($AB$21:$AB$97,E847))*(1+INDEX($AB$21:$AB$97,F847))-1</f>
        <v>0.735368112863082</v>
      </c>
      <c r="J847" s="489">
        <f>LN((1+G847)/(1+H847))</f>
        <v>0.00959696802241116</v>
      </c>
      <c r="K847" s="489">
        <f>LN((1+I847)/(1+H847))</f>
        <v>0.0282518837176622</v>
      </c>
      <c r="L847" s="489">
        <f>(1+INDEX($AC$21:$AC$97,B847))*(1+INDEX($AC$21:$AC$97,C847))*(1+INDEX($AC$21:$AC$97,D847))*(1+INDEX($AC$21:$AC$97,E847))*(1+INDEX($AC$21:$AC$97,F847))-1</f>
        <v>0.764710669608729</v>
      </c>
      <c r="M847" s="489">
        <f>(1+INDEX($AD$21:$AD$97,B847))*(1+INDEX($AD$21:$AD$97,C847))*(1+INDEX($AD$21:$AD$97,D847))*(1+INDEX($AD$21:$AD$97,E847))*(1+INDEX($AD$21:$AD$97,F847))-1</f>
        <v>0.692619063056345</v>
      </c>
      <c r="N847" s="489">
        <f>(1+INDEX($AE$21:$AE$97,B847))*(1+INDEX($AE$21:$AE$97,C847))*(1+INDEX($AE$21:$AE$97,D847))*(1+INDEX($AE$21:$AE$97,E847))*(1+INDEX($AE$21:$AE$97,F847))-1</f>
        <v>0.769513104717885</v>
      </c>
      <c r="O847" s="489">
        <f>(1+INDEX($AF$21:$AF$97,B847))*(1+INDEX($AF$21:$AF$97,C847))*(1+INDEX($AF$21:$AF$97,D847))*(1+INDEX($AF$21:$AF$97,E847))*(1+INDEX($AF$21:$AF$97,F847))-1</f>
        <v>0.649670306495861</v>
      </c>
      <c r="P847" s="489">
        <f>LN((1+L847)/(1+H847))</f>
        <v>0.0450190744068302</v>
      </c>
      <c r="Q847" s="489">
        <f>LN((1+M847)/(1+H847))</f>
        <v>0.0033093948046751</v>
      </c>
      <c r="R847" s="489">
        <f>LN((1+N847)/(1+H847))</f>
        <v>0.0477367506897219</v>
      </c>
      <c r="S847" s="542">
        <f>LN((1+O847)/(1+H847))</f>
        <v>-0.0223922222716788</v>
      </c>
    </row>
    <row r="848">
      <c r="A848" s="320" t="n">
        <v>747</v>
      </c>
      <c r="B848" s="174" t="n">
        <v>15</v>
      </c>
      <c r="C848" s="174" t="n">
        <v>56</v>
      </c>
      <c r="D848" s="174" t="n">
        <v>28</v>
      </c>
      <c r="E848" s="174" t="n">
        <v>76</v>
      </c>
      <c r="F848" s="174" t="n">
        <v>43</v>
      </c>
      <c r="G848" s="68">
        <f>(1+INDEX($Z$21:$Z$97,B848))*(1+INDEX($Z$21:$Z$97,C848))*(1+INDEX($Z$21:$Z$97,D848))*(1+INDEX($Z$21:$Z$97,E848))*(1+INDEX($Z$21:$Z$97,F848))-1</f>
        <v>0.420967986916492</v>
      </c>
      <c r="H848" s="68">
        <f>(1+INDEX($AA$21:$AA$97,B848))*(1+INDEX($AA$21:$AA$97,C848))*(1+INDEX($AA$21:$AA$97,D848))*(1+INDEX($AA$21:$AA$97,E848))*(1+INDEX($AA$21:$AA$97,F848))-1</f>
        <v>0.421530283007977</v>
      </c>
      <c r="I848" s="68">
        <f>(1+INDEX($AB$21:$AB$97,B848))*(1+INDEX($AB$21:$AB$97,C848))*(1+INDEX($AB$21:$AB$97,D848))*(1+INDEX($AB$21:$AB$97,E848))*(1+INDEX($AB$21:$AB$97,F848))-1</f>
        <v>0.467168517292743</v>
      </c>
      <c r="J848" s="489">
        <f>LN((1+G848)/(1+H848))</f>
        <v>-0.000395635138827646</v>
      </c>
      <c r="K848" s="489">
        <f>LN((1+I848)/(1+H848))</f>
        <v>0.0316004091702188</v>
      </c>
      <c r="L848" s="489">
        <f>(1+INDEX($AC$21:$AC$97,B848))*(1+INDEX($AC$21:$AC$97,C848))*(1+INDEX($AC$21:$AC$97,D848))*(1+INDEX($AC$21:$AC$97,E848))*(1+INDEX($AC$21:$AC$97,F848))-1</f>
        <v>0.453565222014505</v>
      </c>
      <c r="M848" s="489">
        <f>(1+INDEX($AD$21:$AD$97,B848))*(1+INDEX($AD$21:$AD$97,C848))*(1+INDEX($AD$21:$AD$97,D848))*(1+INDEX($AD$21:$AD$97,E848))*(1+INDEX($AD$21:$AD$97,F848))-1</f>
        <v>0.476767942764505</v>
      </c>
      <c r="N848" s="489">
        <f>(1+INDEX($AE$21:$AE$97,B848))*(1+INDEX($AE$21:$AE$97,C848))*(1+INDEX($AE$21:$AE$97,D848))*(1+INDEX($AE$21:$AE$97,E848))*(1+INDEX($AE$21:$AE$97,F848))-1</f>
        <v>0.436877789592926</v>
      </c>
      <c r="O848" s="489">
        <f>(1+INDEX($AF$21:$AF$97,B848))*(1+INDEX($AF$21:$AF$97,C848))*(1+INDEX($AF$21:$AF$97,D848))*(1+INDEX($AF$21:$AF$97,E848))*(1+INDEX($AF$21:$AF$97,F848))-1</f>
        <v>0.472194226474761</v>
      </c>
      <c r="P848" s="489">
        <f>LN((1+L848)/(1+H848))</f>
        <v>0.0222853569568615</v>
      </c>
      <c r="Q848" s="489">
        <f>LN((1+M848)/(1+H848))</f>
        <v>0.0381219218618464</v>
      </c>
      <c r="R848" s="489">
        <f>LN((1+N848)/(1+H848))</f>
        <v>0.0107386025237108</v>
      </c>
      <c r="S848" s="542">
        <f>LN((1+O848)/(1+H848))</f>
        <v>0.0350200034956014</v>
      </c>
    </row>
    <row r="849">
      <c r="A849" s="320" t="n">
        <v>748</v>
      </c>
      <c r="B849" s="174" t="n">
        <v>14</v>
      </c>
      <c r="C849" s="174" t="n">
        <v>8</v>
      </c>
      <c r="D849" s="174" t="n">
        <v>9</v>
      </c>
      <c r="E849" s="174" t="n">
        <v>68</v>
      </c>
      <c r="F849" s="174" t="n">
        <v>73</v>
      </c>
      <c r="G849" s="68">
        <f>(1+INDEX($Z$21:$Z$97,B849))*(1+INDEX($Z$21:$Z$97,C849))*(1+INDEX($Z$21:$Z$97,D849))*(1+INDEX($Z$21:$Z$97,E849))*(1+INDEX($Z$21:$Z$97,F849))-1</f>
        <v>-0.130276047930953</v>
      </c>
      <c r="H849" s="68">
        <f>(1+INDEX($AA$21:$AA$97,B849))*(1+INDEX($AA$21:$AA$97,C849))*(1+INDEX($AA$21:$AA$97,D849))*(1+INDEX($AA$21:$AA$97,E849))*(1+INDEX($AA$21:$AA$97,F849))-1</f>
        <v>-0.0822202082261148</v>
      </c>
      <c r="I849" s="68">
        <f>(1+INDEX($AB$21:$AB$97,B849))*(1+INDEX($AB$21:$AB$97,C849))*(1+INDEX($AB$21:$AB$97,D849))*(1+INDEX($AB$21:$AB$97,E849))*(1+INDEX($AB$21:$AB$97,F849))-1</f>
        <v>-0.118315927300376</v>
      </c>
      <c r="J849" s="489">
        <f>LN((1+G849)/(1+H849))</f>
        <v>-0.0537816187760553</v>
      </c>
      <c r="K849" s="489">
        <f>LN((1+I849)/(1+H849))</f>
        <v>-0.0401236859813427</v>
      </c>
      <c r="L849" s="489">
        <f>(1+INDEX($AC$21:$AC$97,B849))*(1+INDEX($AC$21:$AC$97,C849))*(1+INDEX($AC$21:$AC$97,D849))*(1+INDEX($AC$21:$AC$97,E849))*(1+INDEX($AC$21:$AC$97,F849))-1</f>
        <v>-0.14222550609294</v>
      </c>
      <c r="M849" s="489">
        <f>(1+INDEX($AD$21:$AD$97,B849))*(1+INDEX($AD$21:$AD$97,C849))*(1+INDEX($AD$21:$AD$97,D849))*(1+INDEX($AD$21:$AD$97,E849))*(1+INDEX($AD$21:$AD$97,F849))-1</f>
        <v>-0.0918514492418286</v>
      </c>
      <c r="N849" s="489">
        <f>(1+INDEX($AE$21:$AE$97,B849))*(1+INDEX($AE$21:$AE$97,C849))*(1+INDEX($AE$21:$AE$97,D849))*(1+INDEX($AE$21:$AE$97,E849))*(1+INDEX($AE$21:$AE$97,F849))-1</f>
        <v>-0.146010984704879</v>
      </c>
      <c r="O849" s="489">
        <f>(1+INDEX($AF$21:$AF$97,B849))*(1+INDEX($AF$21:$AF$97,C849))*(1+INDEX($AF$21:$AF$97,D849))*(1+INDEX($AF$21:$AF$97,E849))*(1+INDEX($AF$21:$AF$97,F849))-1</f>
        <v>-0.0482188609325054</v>
      </c>
      <c r="P849" s="489">
        <f>LN((1+L849)/(1+H849))</f>
        <v>-0.0676162462745654</v>
      </c>
      <c r="Q849" s="489">
        <f>LN((1+M849)/(1+H849))</f>
        <v>-0.0105495162266517</v>
      </c>
      <c r="R849" s="489">
        <f>LN((1+N849)/(1+H849))</f>
        <v>-0.0720391525493864</v>
      </c>
      <c r="S849" s="542">
        <f>LN((1+O849)/(1+H849))</f>
        <v>0.0363776288205896</v>
      </c>
    </row>
    <row r="850">
      <c r="A850" s="320" t="n">
        <v>749</v>
      </c>
      <c r="B850" s="174" t="n">
        <v>15</v>
      </c>
      <c r="C850" s="174" t="n">
        <v>77</v>
      </c>
      <c r="D850" s="174" t="n">
        <v>68</v>
      </c>
      <c r="E850" s="174" t="n">
        <v>17</v>
      </c>
      <c r="F850" s="174" t="n">
        <v>57</v>
      </c>
      <c r="G850" s="68">
        <f>(1+INDEX($Z$21:$Z$97,B850))*(1+INDEX($Z$21:$Z$97,C850))*(1+INDEX($Z$21:$Z$97,D850))*(1+INDEX($Z$21:$Z$97,E850))*(1+INDEX($Z$21:$Z$97,F850))-1</f>
        <v>0.526438990158545</v>
      </c>
      <c r="H850" s="68">
        <f>(1+INDEX($AA$21:$AA$97,B850))*(1+INDEX($AA$21:$AA$97,C850))*(1+INDEX($AA$21:$AA$97,D850))*(1+INDEX($AA$21:$AA$97,E850))*(1+INDEX($AA$21:$AA$97,F850))-1</f>
        <v>0.455155310670416</v>
      </c>
      <c r="I850" s="68">
        <f>(1+INDEX($AB$21:$AB$97,B850))*(1+INDEX($AB$21:$AB$97,C850))*(1+INDEX($AB$21:$AB$97,D850))*(1+INDEX($AB$21:$AB$97,E850))*(1+INDEX($AB$21:$AB$97,F850))-1</f>
        <v>0.499312953884447</v>
      </c>
      <c r="J850" s="489">
        <f>LN((1+G850)/(1+H850))</f>
        <v>0.0478249275969529</v>
      </c>
      <c r="K850" s="489">
        <f>LN((1+I850)/(1+H850))</f>
        <v>0.0298943347806756</v>
      </c>
      <c r="L850" s="489">
        <f>(1+INDEX($AC$21:$AC$97,B850))*(1+INDEX($AC$21:$AC$97,C850))*(1+INDEX($AC$21:$AC$97,D850))*(1+INDEX($AC$21:$AC$97,E850))*(1+INDEX($AC$21:$AC$97,F850))-1</f>
        <v>0.491999119507423</v>
      </c>
      <c r="M850" s="489">
        <f>(1+INDEX($AD$21:$AD$97,B850))*(1+INDEX($AD$21:$AD$97,C850))*(1+INDEX($AD$21:$AD$97,D850))*(1+INDEX($AD$21:$AD$97,E850))*(1+INDEX($AD$21:$AD$97,F850))-1</f>
        <v>0.483582575114895</v>
      </c>
      <c r="N850" s="489">
        <f>(1+INDEX($AE$21:$AE$97,B850))*(1+INDEX($AE$21:$AE$97,C850))*(1+INDEX($AE$21:$AE$97,D850))*(1+INDEX($AE$21:$AE$97,E850))*(1+INDEX($AE$21:$AE$97,F850))-1</f>
        <v>0.473278009487421</v>
      </c>
      <c r="O850" s="489">
        <f>(1+INDEX($AF$21:$AF$97,B850))*(1+INDEX($AF$21:$AF$97,C850))*(1+INDEX($AF$21:$AF$97,D850))*(1+INDEX($AF$21:$AF$97,E850))*(1+INDEX($AF$21:$AF$97,F850))-1</f>
        <v>0.476708965692898</v>
      </c>
      <c r="P850" s="489">
        <f>LN((1+L850)/(1+H850))</f>
        <v>0.0250042739832527</v>
      </c>
      <c r="Q850" s="489">
        <f>LN((1+M850)/(1+H850))</f>
        <v>0.0193471839065687</v>
      </c>
      <c r="R850" s="489">
        <f>LN((1+N850)/(1+H850))</f>
        <v>0.012377218939149</v>
      </c>
      <c r="S850" s="542">
        <f>LN((1+O850)/(1+H850))</f>
        <v>0.0147033022617693</v>
      </c>
    </row>
    <row r="851">
      <c r="A851" s="320" t="n">
        <v>750</v>
      </c>
      <c r="B851" s="174" t="n">
        <v>11</v>
      </c>
      <c r="C851" s="174" t="n">
        <v>39</v>
      </c>
      <c r="D851" s="174" t="n">
        <v>27</v>
      </c>
      <c r="E851" s="174" t="n">
        <v>21</v>
      </c>
      <c r="F851" s="174" t="n">
        <v>65</v>
      </c>
      <c r="G851" s="68">
        <f>(1+INDEX($Z$21:$Z$97,B851))*(1+INDEX($Z$21:$Z$97,C851))*(1+INDEX($Z$21:$Z$97,D851))*(1+INDEX($Z$21:$Z$97,E851))*(1+INDEX($Z$21:$Z$97,F851))-1</f>
        <v>0.284761902741828</v>
      </c>
      <c r="H851" s="68">
        <f>(1+INDEX($AA$21:$AA$97,B851))*(1+INDEX($AA$21:$AA$97,C851))*(1+INDEX($AA$21:$AA$97,D851))*(1+INDEX($AA$21:$AA$97,E851))*(1+INDEX($AA$21:$AA$97,F851))-1</f>
        <v>0.240565315649594</v>
      </c>
      <c r="I851" s="68">
        <f>(1+INDEX($AB$21:$AB$97,B851))*(1+INDEX($AB$21:$AB$97,C851))*(1+INDEX($AB$21:$AB$97,D851))*(1+INDEX($AB$21:$AB$97,E851))*(1+INDEX($AB$21:$AB$97,F851))-1</f>
        <v>0.244947178514721</v>
      </c>
      <c r="J851" s="489">
        <f>LN((1+G851)/(1+H851))</f>
        <v>0.0350062360401933</v>
      </c>
      <c r="K851" s="489">
        <f>LN((1+I851)/(1+H851))</f>
        <v>0.00352592667716021</v>
      </c>
      <c r="L851" s="489">
        <f>(1+INDEX($AC$21:$AC$97,B851))*(1+INDEX($AC$21:$AC$97,C851))*(1+INDEX($AC$21:$AC$97,D851))*(1+INDEX($AC$21:$AC$97,E851))*(1+INDEX($AC$21:$AC$97,F851))-1</f>
        <v>0.227308286990198</v>
      </c>
      <c r="M851" s="489">
        <f>(1+INDEX($AD$21:$AD$97,B851))*(1+INDEX($AD$21:$AD$97,C851))*(1+INDEX($AD$21:$AD$97,D851))*(1+INDEX($AD$21:$AD$97,E851))*(1+INDEX($AD$21:$AD$97,F851))-1</f>
        <v>0.270755916260274</v>
      </c>
      <c r="N851" s="489">
        <f>(1+INDEX($AE$21:$AE$97,B851))*(1+INDEX($AE$21:$AE$97,C851))*(1+INDEX($AE$21:$AE$97,D851))*(1+INDEX($AE$21:$AE$97,E851))*(1+INDEX($AE$21:$AE$97,F851))-1</f>
        <v>0.223312005384434</v>
      </c>
      <c r="O851" s="489">
        <f>(1+INDEX($AF$21:$AF$97,B851))*(1+INDEX($AF$21:$AF$97,C851))*(1+INDEX($AF$21:$AF$97,D851))*(1+INDEX($AF$21:$AF$97,E851))*(1+INDEX($AF$21:$AF$97,F851))-1</f>
        <v>0.307470288992233</v>
      </c>
      <c r="P851" s="489">
        <f>LN((1+L851)/(1+H851))</f>
        <v>-0.0107437886327945</v>
      </c>
      <c r="Q851" s="489">
        <f>LN((1+M851)/(1+H851))</f>
        <v>0.0240447576135928</v>
      </c>
      <c r="R851" s="489">
        <f>LN((1+N851)/(1+H851))</f>
        <v>-0.0140052364879211</v>
      </c>
      <c r="S851" s="542">
        <f>LN((1+O851)/(1+H851))</f>
        <v>0.0525270177309948</v>
      </c>
    </row>
    <row r="852">
      <c r="A852" s="320" t="n">
        <v>751</v>
      </c>
      <c r="B852" s="174" t="n">
        <v>29</v>
      </c>
      <c r="C852" s="174" t="n">
        <v>14</v>
      </c>
      <c r="D852" s="174" t="n">
        <v>71</v>
      </c>
      <c r="E852" s="174" t="n">
        <v>6</v>
      </c>
      <c r="F852" s="174" t="n">
        <v>10</v>
      </c>
      <c r="G852" s="68">
        <f>(1+INDEX($Z$21:$Z$97,B852))*(1+INDEX($Z$21:$Z$97,C852))*(1+INDEX($Z$21:$Z$97,D852))*(1+INDEX($Z$21:$Z$97,E852))*(1+INDEX($Z$21:$Z$97,F852))-1</f>
        <v>0.172803551111505</v>
      </c>
      <c r="H852" s="68">
        <f>(1+INDEX($AA$21:$AA$97,B852))*(1+INDEX($AA$21:$AA$97,C852))*(1+INDEX($AA$21:$AA$97,D852))*(1+INDEX($AA$21:$AA$97,E852))*(1+INDEX($AA$21:$AA$97,F852))-1</f>
        <v>0.19661414261094</v>
      </c>
      <c r="I852" s="68">
        <f>(1+INDEX($AB$21:$AB$97,B852))*(1+INDEX($AB$21:$AB$97,C852))*(1+INDEX($AB$21:$AB$97,D852))*(1+INDEX($AB$21:$AB$97,E852))*(1+INDEX($AB$21:$AB$97,F852))-1</f>
        <v>0.182866159101202</v>
      </c>
      <c r="J852" s="489">
        <f>LN((1+G852)/(1+H852))</f>
        <v>-0.0200989408627551</v>
      </c>
      <c r="K852" s="489">
        <f>LN((1+I852)/(1+H852))</f>
        <v>-0.0115555791588658</v>
      </c>
      <c r="L852" s="489">
        <f>(1+INDEX($AC$21:$AC$97,B852))*(1+INDEX($AC$21:$AC$97,C852))*(1+INDEX($AC$21:$AC$97,D852))*(1+INDEX($AC$21:$AC$97,E852))*(1+INDEX($AC$21:$AC$97,F852))-1</f>
        <v>0.168505228185841</v>
      </c>
      <c r="M852" s="489">
        <f>(1+INDEX($AD$21:$AD$97,B852))*(1+INDEX($AD$21:$AD$97,C852))*(1+INDEX($AD$21:$AD$97,D852))*(1+INDEX($AD$21:$AD$97,E852))*(1+INDEX($AD$21:$AD$97,F852))-1</f>
        <v>0.191841628885405</v>
      </c>
      <c r="N852" s="489">
        <f>(1+INDEX($AE$21:$AE$97,B852))*(1+INDEX($AE$21:$AE$97,C852))*(1+INDEX($AE$21:$AE$97,D852))*(1+INDEX($AE$21:$AE$97,E852))*(1+INDEX($AE$21:$AE$97,F852))-1</f>
        <v>0.152104799316389</v>
      </c>
      <c r="O852" s="489">
        <f>(1+INDEX($AF$21:$AF$97,B852))*(1+INDEX($AF$21:$AF$97,C852))*(1+INDEX($AF$21:$AF$97,D852))*(1+INDEX($AF$21:$AF$97,E852))*(1+INDEX($AF$21:$AF$97,F852))-1</f>
        <v>0.219056797874785</v>
      </c>
      <c r="P852" s="489">
        <f>LN((1+L852)/(1+H852))</f>
        <v>-0.023770671642305</v>
      </c>
      <c r="Q852" s="489">
        <f>LN((1+M852)/(1+H852))</f>
        <v>-0.00399632275727665</v>
      </c>
      <c r="R852" s="489">
        <f>LN((1+N852)/(1+H852))</f>
        <v>-0.0379054911353812</v>
      </c>
      <c r="S852" s="542">
        <f>LN((1+O852)/(1+H852))</f>
        <v>0.018581422340184</v>
      </c>
    </row>
    <row r="853">
      <c r="A853" s="320" t="n">
        <v>752</v>
      </c>
      <c r="B853" s="174" t="n">
        <v>22</v>
      </c>
      <c r="C853" s="174" t="n">
        <v>21</v>
      </c>
      <c r="D853" s="174" t="n">
        <v>52</v>
      </c>
      <c r="E853" s="174" t="n">
        <v>57</v>
      </c>
      <c r="F853" s="174" t="n">
        <v>10</v>
      </c>
      <c r="G853" s="68">
        <f>(1+INDEX($Z$21:$Z$97,B853))*(1+INDEX($Z$21:$Z$97,C853))*(1+INDEX($Z$21:$Z$97,D853))*(1+INDEX($Z$21:$Z$97,E853))*(1+INDEX($Z$21:$Z$97,F853))-1</f>
        <v>0.308808706141812</v>
      </c>
      <c r="H853" s="68">
        <f>(1+INDEX($AA$21:$AA$97,B853))*(1+INDEX($AA$21:$AA$97,C853))*(1+INDEX($AA$21:$AA$97,D853))*(1+INDEX($AA$21:$AA$97,E853))*(1+INDEX($AA$21:$AA$97,F853))-1</f>
        <v>0.30518468079605</v>
      </c>
      <c r="I853" s="68">
        <f>(1+INDEX($AB$21:$AB$97,B853))*(1+INDEX($AB$21:$AB$97,C853))*(1+INDEX($AB$21:$AB$97,D853))*(1+INDEX($AB$21:$AB$97,E853))*(1+INDEX($AB$21:$AB$97,F853))-1</f>
        <v>0.305666221008087</v>
      </c>
      <c r="J853" s="489">
        <f>LN((1+G853)/(1+H853))</f>
        <v>0.00277279023410948</v>
      </c>
      <c r="K853" s="489">
        <f>LN((1+I853)/(1+H853))</f>
        <v>0.000368876075737798</v>
      </c>
      <c r="L853" s="489">
        <f>(1+INDEX($AC$21:$AC$97,B853))*(1+INDEX($AC$21:$AC$97,C853))*(1+INDEX($AC$21:$AC$97,D853))*(1+INDEX($AC$21:$AC$97,E853))*(1+INDEX($AC$21:$AC$97,F853))-1</f>
        <v>0.292288096772317</v>
      </c>
      <c r="M853" s="489">
        <f>(1+INDEX($AD$21:$AD$97,B853))*(1+INDEX($AD$21:$AD$97,C853))*(1+INDEX($AD$21:$AD$97,D853))*(1+INDEX($AD$21:$AD$97,E853))*(1+INDEX($AD$21:$AD$97,F853))-1</f>
        <v>0.324960507277204</v>
      </c>
      <c r="N853" s="489">
        <f>(1+INDEX($AE$21:$AE$97,B853))*(1+INDEX($AE$21:$AE$97,C853))*(1+INDEX($AE$21:$AE$97,D853))*(1+INDEX($AE$21:$AE$97,E853))*(1+INDEX($AE$21:$AE$97,F853))-1</f>
        <v>0.27996264894514</v>
      </c>
      <c r="O853" s="489">
        <f>(1+INDEX($AF$21:$AF$97,B853))*(1+INDEX($AF$21:$AF$97,C853))*(1+INDEX($AF$21:$AF$97,D853))*(1+INDEX($AF$21:$AF$97,E853))*(1+INDEX($AF$21:$AF$97,F853))-1</f>
        <v>0.349140291628621</v>
      </c>
      <c r="P853" s="489">
        <f>LN((1+L853)/(1+H853))</f>
        <v>-0.00993018299251344</v>
      </c>
      <c r="Q853" s="489">
        <f>LN((1+M853)/(1+H853))</f>
        <v>0.0150381045521278</v>
      </c>
      <c r="R853" s="489">
        <f>LN((1+N853)/(1+H853))</f>
        <v>-0.0195136516191725</v>
      </c>
      <c r="S853" s="542">
        <f>LN((1+O853)/(1+H853))</f>
        <v>0.0331230199645421</v>
      </c>
    </row>
    <row r="854">
      <c r="A854" s="320" t="n">
        <v>753</v>
      </c>
      <c r="B854" s="174" t="n">
        <v>24</v>
      </c>
      <c r="C854" s="174" t="n">
        <v>29</v>
      </c>
      <c r="D854" s="174" t="n">
        <v>27</v>
      </c>
      <c r="E854" s="174" t="n">
        <v>51</v>
      </c>
      <c r="F854" s="174" t="n">
        <v>63</v>
      </c>
      <c r="G854" s="68">
        <f>(1+INDEX($Z$21:$Z$97,B854))*(1+INDEX($Z$21:$Z$97,C854))*(1+INDEX($Z$21:$Z$97,D854))*(1+INDEX($Z$21:$Z$97,E854))*(1+INDEX($Z$21:$Z$97,F854))-1</f>
        <v>0.606428567479628</v>
      </c>
      <c r="H854" s="68">
        <f>(1+INDEX($AA$21:$AA$97,B854))*(1+INDEX($AA$21:$AA$97,C854))*(1+INDEX($AA$21:$AA$97,D854))*(1+INDEX($AA$21:$AA$97,E854))*(1+INDEX($AA$21:$AA$97,F854))-1</f>
        <v>0.542311550460438</v>
      </c>
      <c r="I854" s="68">
        <f>(1+INDEX($AB$21:$AB$97,B854))*(1+INDEX($AB$21:$AB$97,C854))*(1+INDEX($AB$21:$AB$97,D854))*(1+INDEX($AB$21:$AB$97,E854))*(1+INDEX($AB$21:$AB$97,F854))-1</f>
        <v>0.63044206081257</v>
      </c>
      <c r="J854" s="489">
        <f>LN((1+G854)/(1+H854))</f>
        <v>0.0407311360644189</v>
      </c>
      <c r="K854" s="489">
        <f>LN((1+I854)/(1+H854))</f>
        <v>0.0555688831689612</v>
      </c>
      <c r="L854" s="489">
        <f>(1+INDEX($AC$21:$AC$97,B854))*(1+INDEX($AC$21:$AC$97,C854))*(1+INDEX($AC$21:$AC$97,D854))*(1+INDEX($AC$21:$AC$97,E854))*(1+INDEX($AC$21:$AC$97,F854))-1</f>
        <v>0.632931670968961</v>
      </c>
      <c r="M854" s="489">
        <f>(1+INDEX($AD$21:$AD$97,B854))*(1+INDEX($AD$21:$AD$97,C854))*(1+INDEX($AD$21:$AD$97,D854))*(1+INDEX($AD$21:$AD$97,E854))*(1+INDEX($AD$21:$AD$97,F854))-1</f>
        <v>0.600432276704134</v>
      </c>
      <c r="N854" s="489">
        <f>(1+INDEX($AE$21:$AE$97,B854))*(1+INDEX($AE$21:$AE$97,C854))*(1+INDEX($AE$21:$AE$97,D854))*(1+INDEX($AE$21:$AE$97,E854))*(1+INDEX($AE$21:$AE$97,F854))-1</f>
        <v>0.616508046247932</v>
      </c>
      <c r="O854" s="489">
        <f>(1+INDEX($AF$21:$AF$97,B854))*(1+INDEX($AF$21:$AF$97,C854))*(1+INDEX($AF$21:$AF$97,D854))*(1+INDEX($AF$21:$AF$97,E854))*(1+INDEX($AF$21:$AF$97,F854))-1</f>
        <v>0.548707804296571</v>
      </c>
      <c r="P854" s="489">
        <f>LN((1+L854)/(1+H854))</f>
        <v>0.0570946726396161</v>
      </c>
      <c r="Q854" s="489">
        <f>LN((1+M854)/(1+H854))</f>
        <v>0.0369914678623491</v>
      </c>
      <c r="R854" s="489">
        <f>LN((1+N854)/(1+H854))</f>
        <v>0.0469859979113575</v>
      </c>
      <c r="S854" s="542">
        <f>LN((1+O854)/(1+H854))</f>
        <v>0.00413861075047972</v>
      </c>
    </row>
    <row r="855">
      <c r="A855" s="320" t="n">
        <v>754</v>
      </c>
      <c r="B855" s="174" t="n">
        <v>71</v>
      </c>
      <c r="C855" s="174" t="n">
        <v>72</v>
      </c>
      <c r="D855" s="174" t="n">
        <v>41</v>
      </c>
      <c r="E855" s="174" t="n">
        <v>45</v>
      </c>
      <c r="F855" s="174" t="n">
        <v>69</v>
      </c>
      <c r="G855" s="68">
        <f>(1+INDEX($Z$21:$Z$97,B855))*(1+INDEX($Z$21:$Z$97,C855))*(1+INDEX($Z$21:$Z$97,D855))*(1+INDEX($Z$21:$Z$97,E855))*(1+INDEX($Z$21:$Z$97,F855))-1</f>
        <v>0.752270812388445</v>
      </c>
      <c r="H855" s="68">
        <f>(1+INDEX($AA$21:$AA$97,B855))*(1+INDEX($AA$21:$AA$97,C855))*(1+INDEX($AA$21:$AA$97,D855))*(1+INDEX($AA$21:$AA$97,E855))*(1+INDEX($AA$21:$AA$97,F855))-1</f>
        <v>0.745911967591208</v>
      </c>
      <c r="I855" s="68">
        <f>(1+INDEX($AB$21:$AB$97,B855))*(1+INDEX($AB$21:$AB$97,C855))*(1+INDEX($AB$21:$AB$97,D855))*(1+INDEX($AB$21:$AB$97,E855))*(1+INDEX($AB$21:$AB$97,F855))-1</f>
        <v>0.833394352763361</v>
      </c>
      <c r="J855" s="489">
        <f>LN((1+G855)/(1+H855))</f>
        <v>0.00363551718186803</v>
      </c>
      <c r="K855" s="489">
        <f>LN((1+I855)/(1+H855))</f>
        <v>0.0488920496737188</v>
      </c>
      <c r="L855" s="489">
        <f>(1+INDEX($AC$21:$AC$97,B855))*(1+INDEX($AC$21:$AC$97,C855))*(1+INDEX($AC$21:$AC$97,D855))*(1+INDEX($AC$21:$AC$97,E855))*(1+INDEX($AC$21:$AC$97,F855))-1</f>
        <v>0.824351438534646</v>
      </c>
      <c r="M855" s="489">
        <f>(1+INDEX($AD$21:$AD$97,B855))*(1+INDEX($AD$21:$AD$97,C855))*(1+INDEX($AD$21:$AD$97,D855))*(1+INDEX($AD$21:$AD$97,E855))*(1+INDEX($AD$21:$AD$97,F855))-1</f>
        <v>0.809373803450516</v>
      </c>
      <c r="N855" s="489">
        <f>(1+INDEX($AE$21:$AE$97,B855))*(1+INDEX($AE$21:$AE$97,C855))*(1+INDEX($AE$21:$AE$97,D855))*(1+INDEX($AE$21:$AE$97,E855))*(1+INDEX($AE$21:$AE$97,F855))-1</f>
        <v>0.827301230879088</v>
      </c>
      <c r="O855" s="489">
        <f>(1+INDEX($AF$21:$AF$97,B855))*(1+INDEX($AF$21:$AF$97,C855))*(1+INDEX($AF$21:$AF$97,D855))*(1+INDEX($AF$21:$AF$97,E855))*(1+INDEX($AF$21:$AF$97,F855))-1</f>
        <v>0.760576078283268</v>
      </c>
      <c r="P855" s="489">
        <f>LN((1+L855)/(1+H855))</f>
        <v>0.0439475110597995</v>
      </c>
      <c r="Q855" s="489">
        <f>LN((1+M855)/(1+H855))</f>
        <v>0.035703783805401</v>
      </c>
      <c r="R855" s="489">
        <f>LN((1+N855)/(1+H855))</f>
        <v>0.0455631044653633</v>
      </c>
      <c r="S855" s="542">
        <f>LN((1+O855)/(1+H855))</f>
        <v>0.00836403603168313</v>
      </c>
    </row>
    <row r="856">
      <c r="A856" s="320" t="n">
        <v>755</v>
      </c>
      <c r="B856" s="174" t="n">
        <v>55</v>
      </c>
      <c r="C856" s="174" t="n">
        <v>10</v>
      </c>
      <c r="D856" s="174" t="n">
        <v>67</v>
      </c>
      <c r="E856" s="174" t="n">
        <v>41</v>
      </c>
      <c r="F856" s="174" t="n">
        <v>60</v>
      </c>
      <c r="G856" s="68">
        <f>(1+INDEX($Z$21:$Z$97,B856))*(1+INDEX($Z$21:$Z$97,C856))*(1+INDEX($Z$21:$Z$97,D856))*(1+INDEX($Z$21:$Z$97,E856))*(1+INDEX($Z$21:$Z$97,F856))-1</f>
        <v>0.210543630158826</v>
      </c>
      <c r="H856" s="68">
        <f>(1+INDEX($AA$21:$AA$97,B856))*(1+INDEX($AA$21:$AA$97,C856))*(1+INDEX($AA$21:$AA$97,D856))*(1+INDEX($AA$21:$AA$97,E856))*(1+INDEX($AA$21:$AA$97,F856))-1</f>
        <v>0.273745184624396</v>
      </c>
      <c r="I856" s="68">
        <f>(1+INDEX($AB$21:$AB$97,B856))*(1+INDEX($AB$21:$AB$97,C856))*(1+INDEX($AB$21:$AB$97,D856))*(1+INDEX($AB$21:$AB$97,E856))*(1+INDEX($AB$21:$AB$97,F856))-1</f>
        <v>0.245268094547055</v>
      </c>
      <c r="J856" s="489">
        <f>LN((1+G856)/(1+H856))</f>
        <v>-0.0508919852410254</v>
      </c>
      <c r="K856" s="489">
        <f>LN((1+I856)/(1+H856))</f>
        <v>-0.0226106813555506</v>
      </c>
      <c r="L856" s="489">
        <f>(1+INDEX($AC$21:$AC$97,B856))*(1+INDEX($AC$21:$AC$97,C856))*(1+INDEX($AC$21:$AC$97,D856))*(1+INDEX($AC$21:$AC$97,E856))*(1+INDEX($AC$21:$AC$97,F856))-1</f>
        <v>0.265973878185636</v>
      </c>
      <c r="M856" s="489">
        <f>(1+INDEX($AD$21:$AD$97,B856))*(1+INDEX($AD$21:$AD$97,C856))*(1+INDEX($AD$21:$AD$97,D856))*(1+INDEX($AD$21:$AD$97,E856))*(1+INDEX($AD$21:$AD$97,F856))-1</f>
        <v>0.253650939242361</v>
      </c>
      <c r="N856" s="489">
        <f>(1+INDEX($AE$21:$AE$97,B856))*(1+INDEX($AE$21:$AE$97,C856))*(1+INDEX($AE$21:$AE$97,D856))*(1+INDEX($AE$21:$AE$97,E856))*(1+INDEX($AE$21:$AE$97,F856))-1</f>
        <v>0.270521101247364</v>
      </c>
      <c r="O856" s="489">
        <f>(1+INDEX($AF$21:$AF$97,B856))*(1+INDEX($AF$21:$AF$97,C856))*(1+INDEX($AF$21:$AF$97,D856))*(1+INDEX($AF$21:$AF$97,E856))*(1+INDEX($AF$21:$AF$97,F856))-1</f>
        <v>0.279473962812264</v>
      </c>
      <c r="P856" s="489">
        <f>LN((1+L856)/(1+H856))</f>
        <v>-0.0061198349116926</v>
      </c>
      <c r="Q856" s="489">
        <f>LN((1+M856)/(1+H856))</f>
        <v>-0.0159014794750947</v>
      </c>
      <c r="R856" s="489">
        <f>LN((1+N856)/(1+H856))</f>
        <v>-0.00253439281938783</v>
      </c>
      <c r="S856" s="542">
        <f>LN((1+O856)/(1+H856))</f>
        <v>0.00448750183258276</v>
      </c>
    </row>
    <row r="857">
      <c r="A857" s="320" t="n">
        <v>756</v>
      </c>
      <c r="B857" s="174" t="n">
        <v>73</v>
      </c>
      <c r="C857" s="174" t="n">
        <v>69</v>
      </c>
      <c r="D857" s="174" t="n">
        <v>32</v>
      </c>
      <c r="E857" s="174" t="n">
        <v>10</v>
      </c>
      <c r="F857" s="174" t="n">
        <v>31</v>
      </c>
      <c r="G857" s="68">
        <f>(1+INDEX($Z$21:$Z$97,B857))*(1+INDEX($Z$21:$Z$97,C857))*(1+INDEX($Z$21:$Z$97,D857))*(1+INDEX($Z$21:$Z$97,E857))*(1+INDEX($Z$21:$Z$97,F857))-1</f>
        <v>0.311343995547059</v>
      </c>
      <c r="H857" s="68">
        <f>(1+INDEX($AA$21:$AA$97,B857))*(1+INDEX($AA$21:$AA$97,C857))*(1+INDEX($AA$21:$AA$97,D857))*(1+INDEX($AA$21:$AA$97,E857))*(1+INDEX($AA$21:$AA$97,F857))-1</f>
        <v>0.360025102788334</v>
      </c>
      <c r="I857" s="68">
        <f>(1+INDEX($AB$21:$AB$97,B857))*(1+INDEX($AB$21:$AB$97,C857))*(1+INDEX($AB$21:$AB$97,D857))*(1+INDEX($AB$21:$AB$97,E857))*(1+INDEX($AB$21:$AB$97,F857))-1</f>
        <v>0.378056307120681</v>
      </c>
      <c r="J857" s="489">
        <f>LN((1+G857)/(1+H857))</f>
        <v>-0.0364505954257064</v>
      </c>
      <c r="K857" s="489">
        <f>LN((1+I857)/(1+H857))</f>
        <v>0.0131708757273462</v>
      </c>
      <c r="L857" s="489">
        <f>(1+INDEX($AC$21:$AC$97,B857))*(1+INDEX($AC$21:$AC$97,C857))*(1+INDEX($AC$21:$AC$97,D857))*(1+INDEX($AC$21:$AC$97,E857))*(1+INDEX($AC$21:$AC$97,F857))-1</f>
        <v>0.361503112397344</v>
      </c>
      <c r="M857" s="489">
        <f>(1+INDEX($AD$21:$AD$97,B857))*(1+INDEX($AD$21:$AD$97,C857))*(1+INDEX($AD$21:$AD$97,D857))*(1+INDEX($AD$21:$AD$97,E857))*(1+INDEX($AD$21:$AD$97,F857))-1</f>
        <v>0.401114653516011</v>
      </c>
      <c r="N857" s="489">
        <f>(1+INDEX($AE$21:$AE$97,B857))*(1+INDEX($AE$21:$AE$97,C857))*(1+INDEX($AE$21:$AE$97,D857))*(1+INDEX($AE$21:$AE$97,E857))*(1+INDEX($AE$21:$AE$97,F857))-1</f>
        <v>0.360111915173919</v>
      </c>
      <c r="O857" s="489">
        <f>(1+INDEX($AF$21:$AF$97,B857))*(1+INDEX($AF$21:$AF$97,C857))*(1+INDEX($AF$21:$AF$97,D857))*(1+INDEX($AF$21:$AF$97,E857))*(1+INDEX($AF$21:$AF$97,F857))-1</f>
        <v>0.361063603643311</v>
      </c>
      <c r="P857" s="489">
        <f>LN((1+L857)/(1+H857))</f>
        <v>0.00108616162497977</v>
      </c>
      <c r="Q857" s="489">
        <f>LN((1+M857)/(1+H857))</f>
        <v>0.0297649434098402</v>
      </c>
      <c r="R857" s="489">
        <f>LN((1+N857)/(1+H857))</f>
        <v>6.38294211222095e-05</v>
      </c>
      <c r="S857" s="542">
        <f>LN((1+O857)/(1+H857))</f>
        <v>0.000763298089433</v>
      </c>
    </row>
    <row r="858">
      <c r="A858" s="320" t="n">
        <v>757</v>
      </c>
      <c r="B858" s="174" t="n">
        <v>67</v>
      </c>
      <c r="C858" s="174" t="n">
        <v>2</v>
      </c>
      <c r="D858" s="174" t="n">
        <v>8</v>
      </c>
      <c r="E858" s="174" t="n">
        <v>44</v>
      </c>
      <c r="F858" s="174" t="n">
        <v>20</v>
      </c>
      <c r="G858" s="68">
        <f>(1+INDEX($Z$21:$Z$97,B858))*(1+INDEX($Z$21:$Z$97,C858))*(1+INDEX($Z$21:$Z$97,D858))*(1+INDEX($Z$21:$Z$97,E858))*(1+INDEX($Z$21:$Z$97,F858))-1</f>
        <v>0.0495081112672418</v>
      </c>
      <c r="H858" s="68">
        <f>(1+INDEX($AA$21:$AA$97,B858))*(1+INDEX($AA$21:$AA$97,C858))*(1+INDEX($AA$21:$AA$97,D858))*(1+INDEX($AA$21:$AA$97,E858))*(1+INDEX($AA$21:$AA$97,F858))-1</f>
        <v>0.0705703731303682</v>
      </c>
      <c r="I858" s="68">
        <f>(1+INDEX($AB$21:$AB$97,B858))*(1+INDEX($AB$21:$AB$97,C858))*(1+INDEX($AB$21:$AB$97,D858))*(1+INDEX($AB$21:$AB$97,E858))*(1+INDEX($AB$21:$AB$97,F858))-1</f>
        <v>0.0323625665739653</v>
      </c>
      <c r="J858" s="489">
        <f>LN((1+G858)/(1+H858))</f>
        <v>-0.0198699765032428</v>
      </c>
      <c r="K858" s="489">
        <f>LN((1+I858)/(1+H858))</f>
        <v>-0.0363416358896258</v>
      </c>
      <c r="L858" s="489">
        <f>(1+INDEX($AC$21:$AC$97,B858))*(1+INDEX($AC$21:$AC$97,C858))*(1+INDEX($AC$21:$AC$97,D858))*(1+INDEX($AC$21:$AC$97,E858))*(1+INDEX($AC$21:$AC$97,F858))-1</f>
        <v>0.013242483888009</v>
      </c>
      <c r="M858" s="489">
        <f>(1+INDEX($AD$21:$AD$97,B858))*(1+INDEX($AD$21:$AD$97,C858))*(1+INDEX($AD$21:$AD$97,D858))*(1+INDEX($AD$21:$AD$97,E858))*(1+INDEX($AD$21:$AD$97,F858))-1</f>
        <v>0.0514677816974496</v>
      </c>
      <c r="N858" s="489">
        <f>(1+INDEX($AE$21:$AE$97,B858))*(1+INDEX($AE$21:$AE$97,C858))*(1+INDEX($AE$21:$AE$97,D858))*(1+INDEX($AE$21:$AE$97,E858))*(1+INDEX($AE$21:$AE$97,F858))-1</f>
        <v>0.0215792430552362</v>
      </c>
      <c r="O858" s="489">
        <f>(1+INDEX($AF$21:$AF$97,B858))*(1+INDEX($AF$21:$AF$97,C858))*(1+INDEX($AF$21:$AF$97,D858))*(1+INDEX($AF$21:$AF$97,E858))*(1+INDEX($AF$21:$AF$97,F858))-1</f>
        <v>0.104610501474917</v>
      </c>
      <c r="P858" s="489">
        <f>LN((1+L858)/(1+H858))</f>
        <v>-0.0550359967757102</v>
      </c>
      <c r="Q858" s="489">
        <f>LN((1+M858)/(1+H858))</f>
        <v>-0.0180044900832598</v>
      </c>
      <c r="R858" s="489">
        <f>LN((1+N858)/(1+H858))</f>
        <v>-0.0468418579932598</v>
      </c>
      <c r="S858" s="542">
        <f>LN((1+O858)/(1+H858))</f>
        <v>0.0313012200297502</v>
      </c>
    </row>
    <row r="859">
      <c r="A859" s="320" t="n">
        <v>758</v>
      </c>
      <c r="B859" s="174" t="n">
        <v>10</v>
      </c>
      <c r="C859" s="174" t="n">
        <v>8</v>
      </c>
      <c r="D859" s="174" t="n">
        <v>76</v>
      </c>
      <c r="E859" s="174" t="n">
        <v>31</v>
      </c>
      <c r="F859" s="174" t="n">
        <v>23</v>
      </c>
      <c r="G859" s="68">
        <f>(1+INDEX($Z$21:$Z$97,B859))*(1+INDEX($Z$21:$Z$97,C859))*(1+INDEX($Z$21:$Z$97,D859))*(1+INDEX($Z$21:$Z$97,E859))*(1+INDEX($Z$21:$Z$97,F859))-1</f>
        <v>-0.0620129813729126</v>
      </c>
      <c r="H859" s="68">
        <f>(1+INDEX($AA$21:$AA$97,B859))*(1+INDEX($AA$21:$AA$97,C859))*(1+INDEX($AA$21:$AA$97,D859))*(1+INDEX($AA$21:$AA$97,E859))*(1+INDEX($AA$21:$AA$97,F859))-1</f>
        <v>-0.00730681977761283</v>
      </c>
      <c r="I859" s="68">
        <f>(1+INDEX($AB$21:$AB$97,B859))*(1+INDEX($AB$21:$AB$97,C859))*(1+INDEX($AB$21:$AB$97,D859))*(1+INDEX($AB$21:$AB$97,E859))*(1+INDEX($AB$21:$AB$97,F859))-1</f>
        <v>-0.039577198804856</v>
      </c>
      <c r="J859" s="489">
        <f>LN((1+G859)/(1+H859))</f>
        <v>-0.0566855241502824</v>
      </c>
      <c r="K859" s="489">
        <f>LN((1+I859)/(1+H859))</f>
        <v>-0.0330480282260022</v>
      </c>
      <c r="L859" s="489">
        <f>(1+INDEX($AC$21:$AC$97,B859))*(1+INDEX($AC$21:$AC$97,C859))*(1+INDEX($AC$21:$AC$97,D859))*(1+INDEX($AC$21:$AC$97,E859))*(1+INDEX($AC$21:$AC$97,F859))-1</f>
        <v>-0.0636394634222149</v>
      </c>
      <c r="M859" s="489">
        <f>(1+INDEX($AD$21:$AD$97,B859))*(1+INDEX($AD$21:$AD$97,C859))*(1+INDEX($AD$21:$AD$97,D859))*(1+INDEX($AD$21:$AD$97,E859))*(1+INDEX($AD$21:$AD$97,F859))-1</f>
        <v>-0.00926649355840858</v>
      </c>
      <c r="N859" s="489">
        <f>(1+INDEX($AE$21:$AE$97,B859))*(1+INDEX($AE$21:$AE$97,C859))*(1+INDEX($AE$21:$AE$97,D859))*(1+INDEX($AE$21:$AE$97,E859))*(1+INDEX($AE$21:$AE$97,F859))-1</f>
        <v>-0.0707335308431506</v>
      </c>
      <c r="O859" s="489">
        <f>(1+INDEX($AF$21:$AF$97,B859))*(1+INDEX($AF$21:$AF$97,C859))*(1+INDEX($AF$21:$AF$97,D859))*(1+INDEX($AF$21:$AF$97,E859))*(1+INDEX($AF$21:$AF$97,F859))-1</f>
        <v>0.0311260186090951</v>
      </c>
      <c r="P859" s="489">
        <f>LN((1+L859)/(1+H859))</f>
        <v>-0.0584210426810223</v>
      </c>
      <c r="Q859" s="489">
        <f>LN((1+M859)/(1+H859))</f>
        <v>-0.00197604926024747</v>
      </c>
      <c r="R859" s="489">
        <f>LN((1+N859)/(1+H859))</f>
        <v>-0.0660261015600813</v>
      </c>
      <c r="S859" s="542">
        <f>LN((1+O859)/(1+H859))</f>
        <v>0.0379850723983113</v>
      </c>
    </row>
    <row r="860">
      <c r="A860" s="320" t="n">
        <v>759</v>
      </c>
      <c r="B860" s="174" t="n">
        <v>1</v>
      </c>
      <c r="C860" s="174" t="n">
        <v>15</v>
      </c>
      <c r="D860" s="174" t="n">
        <v>58</v>
      </c>
      <c r="E860" s="174" t="n">
        <v>33</v>
      </c>
      <c r="F860" s="174" t="n">
        <v>53</v>
      </c>
      <c r="G860" s="68">
        <f>(1+INDEX($Z$21:$Z$97,B860))*(1+INDEX($Z$21:$Z$97,C860))*(1+INDEX($Z$21:$Z$97,D860))*(1+INDEX($Z$21:$Z$97,E860))*(1+INDEX($Z$21:$Z$97,F860))-1</f>
        <v>0.566831403793578</v>
      </c>
      <c r="H860" s="68">
        <f>(1+INDEX($AA$21:$AA$97,B860))*(1+INDEX($AA$21:$AA$97,C860))*(1+INDEX($AA$21:$AA$97,D860))*(1+INDEX($AA$21:$AA$97,E860))*(1+INDEX($AA$21:$AA$97,F860))-1</f>
        <v>0.560944213544236</v>
      </c>
      <c r="I860" s="68">
        <f>(1+INDEX($AB$21:$AB$97,B860))*(1+INDEX($AB$21:$AB$97,C860))*(1+INDEX($AB$21:$AB$97,D860))*(1+INDEX($AB$21:$AB$97,E860))*(1+INDEX($AB$21:$AB$97,F860))-1</f>
        <v>0.570575054324335</v>
      </c>
      <c r="J860" s="489">
        <f>LN((1+G860)/(1+H860))</f>
        <v>0.00376446262262288</v>
      </c>
      <c r="K860" s="489">
        <f>LN((1+I860)/(1+H860))</f>
        <v>0.00615092568214066</v>
      </c>
      <c r="L860" s="489">
        <f>(1+INDEX($AC$21:$AC$97,B860))*(1+INDEX($AC$21:$AC$97,C860))*(1+INDEX($AC$21:$AC$97,D860))*(1+INDEX($AC$21:$AC$97,E860))*(1+INDEX($AC$21:$AC$97,F860))-1</f>
        <v>0.581935265398624</v>
      </c>
      <c r="M860" s="489">
        <f>(1+INDEX($AD$21:$AD$97,B860))*(1+INDEX($AD$21:$AD$97,C860))*(1+INDEX($AD$21:$AD$97,D860))*(1+INDEX($AD$21:$AD$97,E860))*(1+INDEX($AD$21:$AD$97,F860))-1</f>
        <v>0.58754272738936</v>
      </c>
      <c r="N860" s="489">
        <f>(1+INDEX($AE$21:$AE$97,B860))*(1+INDEX($AE$21:$AE$97,C860))*(1+INDEX($AE$21:$AE$97,D860))*(1+INDEX($AE$21:$AE$97,E860))*(1+INDEX($AE$21:$AE$97,F860))-1</f>
        <v>0.5876142309937</v>
      </c>
      <c r="O860" s="489">
        <f>(1+INDEX($AF$21:$AF$97,B860))*(1+INDEX($AF$21:$AF$97,C860))*(1+INDEX($AF$21:$AF$97,D860))*(1+INDEX($AF$21:$AF$97,E860))*(1+INDEX($AF$21:$AF$97,F860))-1</f>
        <v>0.517106507402787</v>
      </c>
      <c r="P860" s="489">
        <f>LN((1+L860)/(1+H860))</f>
        <v>0.0133580457834747</v>
      </c>
      <c r="Q860" s="489">
        <f>LN((1+M860)/(1+H860))</f>
        <v>0.0168964630585788</v>
      </c>
      <c r="R860" s="489">
        <f>LN((1+N860)/(1+H860))</f>
        <v>0.0169415024725603</v>
      </c>
      <c r="S860" s="542">
        <f>LN((1+O860)/(1+H860))</f>
        <v>-0.0284859961224459</v>
      </c>
    </row>
    <row r="861">
      <c r="A861" s="320" t="n">
        <v>760</v>
      </c>
      <c r="B861" s="174" t="n">
        <v>3</v>
      </c>
      <c r="C861" s="174" t="n">
        <v>49</v>
      </c>
      <c r="D861" s="174" t="n">
        <v>13</v>
      </c>
      <c r="E861" s="174" t="n">
        <v>49</v>
      </c>
      <c r="F861" s="174" t="n">
        <v>39</v>
      </c>
      <c r="G861" s="68">
        <f>(1+INDEX($Z$21:$Z$97,B861))*(1+INDEX($Z$21:$Z$97,C861))*(1+INDEX($Z$21:$Z$97,D861))*(1+INDEX($Z$21:$Z$97,E861))*(1+INDEX($Z$21:$Z$97,F861))-1</f>
        <v>0.891854096411187</v>
      </c>
      <c r="H861" s="68">
        <f>(1+INDEX($AA$21:$AA$97,B861))*(1+INDEX($AA$21:$AA$97,C861))*(1+INDEX($AA$21:$AA$97,D861))*(1+INDEX($AA$21:$AA$97,E861))*(1+INDEX($AA$21:$AA$97,F861))-1</f>
        <v>0.650118020309596</v>
      </c>
      <c r="I861" s="68">
        <f>(1+INDEX($AB$21:$AB$97,B861))*(1+INDEX($AB$21:$AB$97,C861))*(1+INDEX($AB$21:$AB$97,D861))*(1+INDEX($AB$21:$AB$97,E861))*(1+INDEX($AB$21:$AB$97,F861))-1</f>
        <v>0.740080078984902</v>
      </c>
      <c r="J861" s="489">
        <f>LN((1+G861)/(1+H861))</f>
        <v>0.136710538779466</v>
      </c>
      <c r="K861" s="489">
        <f>LN((1+I861)/(1+H861))</f>
        <v>0.0530843217576712</v>
      </c>
      <c r="L861" s="489">
        <f>(1+INDEX($AC$21:$AC$97,B861))*(1+INDEX($AC$21:$AC$97,C861))*(1+INDEX($AC$21:$AC$97,D861))*(1+INDEX($AC$21:$AC$97,E861))*(1+INDEX($AC$21:$AC$97,F861))-1</f>
        <v>0.716287477355647</v>
      </c>
      <c r="M861" s="489">
        <f>(1+INDEX($AD$21:$AD$97,B861))*(1+INDEX($AD$21:$AD$97,C861))*(1+INDEX($AD$21:$AD$97,D861))*(1+INDEX($AD$21:$AD$97,E861))*(1+INDEX($AD$21:$AD$97,F861))-1</f>
        <v>0.748650252777476</v>
      </c>
      <c r="N861" s="489">
        <f>(1+INDEX($AE$21:$AE$97,B861))*(1+INDEX($AE$21:$AE$97,C861))*(1+INDEX($AE$21:$AE$97,D861))*(1+INDEX($AE$21:$AE$97,E861))*(1+INDEX($AE$21:$AE$97,F861))-1</f>
        <v>0.701445339065593</v>
      </c>
      <c r="O861" s="489">
        <f>(1+INDEX($AF$21:$AF$97,B861))*(1+INDEX($AF$21:$AF$97,C861))*(1+INDEX($AF$21:$AF$97,D861))*(1+INDEX($AF$21:$AF$97,E861))*(1+INDEX($AF$21:$AF$97,F861))-1</f>
        <v>0.703579937798333</v>
      </c>
      <c r="P861" s="489">
        <f>LN((1+L861)/(1+H861))</f>
        <v>0.0393167018162367</v>
      </c>
      <c r="Q861" s="489">
        <f>LN((1+M861)/(1+H861))</f>
        <v>0.057997393400751</v>
      </c>
      <c r="R861" s="489">
        <f>LN((1+N861)/(1+H861))</f>
        <v>0.0306312764828046</v>
      </c>
      <c r="S861" s="542">
        <f>LN((1+O861)/(1+H861))</f>
        <v>0.0318850698257654</v>
      </c>
    </row>
    <row r="862">
      <c r="A862" s="320" t="n">
        <v>761</v>
      </c>
      <c r="B862" s="174" t="n">
        <v>52</v>
      </c>
      <c r="C862" s="174" t="n">
        <v>59</v>
      </c>
      <c r="D862" s="174" t="n">
        <v>45</v>
      </c>
      <c r="E862" s="174" t="n">
        <v>16</v>
      </c>
      <c r="F862" s="174" t="n">
        <v>25</v>
      </c>
      <c r="G862" s="68">
        <f>(1+INDEX($Z$21:$Z$97,B862))*(1+INDEX($Z$21:$Z$97,C862))*(1+INDEX($Z$21:$Z$97,D862))*(1+INDEX($Z$21:$Z$97,E862))*(1+INDEX($Z$21:$Z$97,F862))-1</f>
        <v>0.742495605491097</v>
      </c>
      <c r="H862" s="68">
        <f>(1+INDEX($AA$21:$AA$97,B862))*(1+INDEX($AA$21:$AA$97,C862))*(1+INDEX($AA$21:$AA$97,D862))*(1+INDEX($AA$21:$AA$97,E862))*(1+INDEX($AA$21:$AA$97,F862))-1</f>
        <v>0.672424470215737</v>
      </c>
      <c r="I862" s="68">
        <f>(1+INDEX($AB$21:$AB$97,B862))*(1+INDEX($AB$21:$AB$97,C862))*(1+INDEX($AB$21:$AB$97,D862))*(1+INDEX($AB$21:$AB$97,E862))*(1+INDEX($AB$21:$AB$97,F862))-1</f>
        <v>0.741443993288788</v>
      </c>
      <c r="J862" s="489">
        <f>LN((1+G862)/(1+H862))</f>
        <v>0.0410439895037399</v>
      </c>
      <c r="K862" s="489">
        <f>LN((1+I862)/(1+H862))</f>
        <v>0.04044029807659</v>
      </c>
      <c r="L862" s="489">
        <f>(1+INDEX($AC$21:$AC$97,B862))*(1+INDEX($AC$21:$AC$97,C862))*(1+INDEX($AC$21:$AC$97,D862))*(1+INDEX($AC$21:$AC$97,E862))*(1+INDEX($AC$21:$AC$97,F862))-1</f>
        <v>0.745644656676624</v>
      </c>
      <c r="M862" s="489">
        <f>(1+INDEX($AD$21:$AD$97,B862))*(1+INDEX($AD$21:$AD$97,C862))*(1+INDEX($AD$21:$AD$97,D862))*(1+INDEX($AD$21:$AD$97,E862))*(1+INDEX($AD$21:$AD$97,F862))-1</f>
        <v>0.711162913913576</v>
      </c>
      <c r="N862" s="489">
        <f>(1+INDEX($AE$21:$AE$97,B862))*(1+INDEX($AE$21:$AE$97,C862))*(1+INDEX($AE$21:$AE$97,D862))*(1+INDEX($AE$21:$AE$97,E862))*(1+INDEX($AE$21:$AE$97,F862))-1</f>
        <v>0.732149166203307</v>
      </c>
      <c r="O862" s="489">
        <f>(1+INDEX($AF$21:$AF$97,B862))*(1+INDEX($AF$21:$AF$97,C862))*(1+INDEX($AF$21:$AF$97,D862))*(1+INDEX($AF$21:$AF$97,E862))*(1+INDEX($AF$21:$AF$97,F862))-1</f>
        <v>0.662894400456252</v>
      </c>
      <c r="P862" s="489">
        <f>LN((1+L862)/(1+H862))</f>
        <v>0.0428495660025992</v>
      </c>
      <c r="Q862" s="489">
        <f>LN((1+M862)/(1+H862))</f>
        <v>0.0228988538008892</v>
      </c>
      <c r="R862" s="489">
        <f>LN((1+N862)/(1+H862))</f>
        <v>0.035088577916485</v>
      </c>
      <c r="S862" s="542">
        <f>LN((1+O862)/(1+H862))</f>
        <v>-0.00571465341965948</v>
      </c>
    </row>
    <row r="863">
      <c r="A863" s="320" t="n">
        <v>762</v>
      </c>
      <c r="B863" s="174" t="n">
        <v>49</v>
      </c>
      <c r="C863" s="174" t="n">
        <v>40</v>
      </c>
      <c r="D863" s="174" t="n">
        <v>52</v>
      </c>
      <c r="E863" s="174" t="n">
        <v>45</v>
      </c>
      <c r="F863" s="174" t="n">
        <v>33</v>
      </c>
      <c r="G863" s="68">
        <f>(1+INDEX($Z$21:$Z$97,B863))*(1+INDEX($Z$21:$Z$97,C863))*(1+INDEX($Z$21:$Z$97,D863))*(1+INDEX($Z$21:$Z$97,E863))*(1+INDEX($Z$21:$Z$97,F863))-1</f>
        <v>0.797695540739234</v>
      </c>
      <c r="H863" s="68">
        <f>(1+INDEX($AA$21:$AA$97,B863))*(1+INDEX($AA$21:$AA$97,C863))*(1+INDEX($AA$21:$AA$97,D863))*(1+INDEX($AA$21:$AA$97,E863))*(1+INDEX($AA$21:$AA$97,F863))-1</f>
        <v>0.742996920818283</v>
      </c>
      <c r="I863" s="68">
        <f>(1+INDEX($AB$21:$AB$97,B863))*(1+INDEX($AB$21:$AB$97,C863))*(1+INDEX($AB$21:$AB$97,D863))*(1+INDEX($AB$21:$AB$97,E863))*(1+INDEX($AB$21:$AB$97,F863))-1</f>
        <v>0.865316603812033</v>
      </c>
      <c r="J863" s="489">
        <f>LN((1+G863)/(1+H863))</f>
        <v>0.0308995895929718</v>
      </c>
      <c r="K863" s="489">
        <f>LN((1+I863)/(1+H863))</f>
        <v>0.0678247995076557</v>
      </c>
      <c r="L863" s="489">
        <f>(1+INDEX($AC$21:$AC$97,B863))*(1+INDEX($AC$21:$AC$97,C863))*(1+INDEX($AC$21:$AC$97,D863))*(1+INDEX($AC$21:$AC$97,E863))*(1+INDEX($AC$21:$AC$97,F863))-1</f>
        <v>0.84427097892026</v>
      </c>
      <c r="M863" s="489">
        <f>(1+INDEX($AD$21:$AD$97,B863))*(1+INDEX($AD$21:$AD$97,C863))*(1+INDEX($AD$21:$AD$97,D863))*(1+INDEX($AD$21:$AD$97,E863))*(1+INDEX($AD$21:$AD$97,F863))-1</f>
        <v>0.852735703147648</v>
      </c>
      <c r="N863" s="489">
        <f>(1+INDEX($AE$21:$AE$97,B863))*(1+INDEX($AE$21:$AE$97,C863))*(1+INDEX($AE$21:$AE$97,D863))*(1+INDEX($AE$21:$AE$97,E863))*(1+INDEX($AE$21:$AE$97,F863))-1</f>
        <v>0.817975478839024</v>
      </c>
      <c r="O863" s="489">
        <f>(1+INDEX($AF$21:$AF$97,B863))*(1+INDEX($AF$21:$AF$97,C863))*(1+INDEX($AF$21:$AF$97,D863))*(1+INDEX($AF$21:$AF$97,E863))*(1+INDEX($AF$21:$AF$97,F863))-1</f>
        <v>0.742092568377987</v>
      </c>
      <c r="P863" s="489">
        <f>LN((1+L863)/(1+H863))</f>
        <v>0.0564780660926565</v>
      </c>
      <c r="Q863" s="489">
        <f>LN((1+M863)/(1+H863))</f>
        <v>0.0610573053243005</v>
      </c>
      <c r="R863" s="489">
        <f>LN((1+N863)/(1+H863))</f>
        <v>0.0421175077394696</v>
      </c>
      <c r="S863" s="542">
        <f>LN((1+O863)/(1+H863))</f>
        <v>-0.000518983781276103</v>
      </c>
    </row>
    <row r="864">
      <c r="A864" s="320" t="n">
        <v>763</v>
      </c>
      <c r="B864" s="174" t="n">
        <v>19</v>
      </c>
      <c r="C864" s="174" t="n">
        <v>28</v>
      </c>
      <c r="D864" s="174" t="n">
        <v>36</v>
      </c>
      <c r="E864" s="174" t="n">
        <v>25</v>
      </c>
      <c r="F864" s="174" t="n">
        <v>30</v>
      </c>
      <c r="G864" s="68">
        <f>(1+INDEX($Z$21:$Z$97,B864))*(1+INDEX($Z$21:$Z$97,C864))*(1+INDEX($Z$21:$Z$97,D864))*(1+INDEX($Z$21:$Z$97,E864))*(1+INDEX($Z$21:$Z$97,F864))-1</f>
        <v>0.612737483608947</v>
      </c>
      <c r="H864" s="68">
        <f>(1+INDEX($AA$21:$AA$97,B864))*(1+INDEX($AA$21:$AA$97,C864))*(1+INDEX($AA$21:$AA$97,D864))*(1+INDEX($AA$21:$AA$97,E864))*(1+INDEX($AA$21:$AA$97,F864))-1</f>
        <v>0.576111047407957</v>
      </c>
      <c r="I864" s="68">
        <f>(1+INDEX($AB$21:$AB$97,B864))*(1+INDEX($AB$21:$AB$97,C864))*(1+INDEX($AB$21:$AB$97,D864))*(1+INDEX($AB$21:$AB$97,E864))*(1+INDEX($AB$21:$AB$97,F864))-1</f>
        <v>0.619361057837496</v>
      </c>
      <c r="J864" s="489">
        <f>LN((1+G864)/(1+H864))</f>
        <v>0.0229725849936985</v>
      </c>
      <c r="K864" s="489">
        <f>LN((1+I864)/(1+H864))</f>
        <v>0.0270712121957604</v>
      </c>
      <c r="L864" s="489">
        <f>(1+INDEX($AC$21:$AC$97,B864))*(1+INDEX($AC$21:$AC$97,C864))*(1+INDEX($AC$21:$AC$97,D864))*(1+INDEX($AC$21:$AC$97,E864))*(1+INDEX($AC$21:$AC$97,F864))-1</f>
        <v>0.610581873909948</v>
      </c>
      <c r="M864" s="489">
        <f>(1+INDEX($AD$21:$AD$97,B864))*(1+INDEX($AD$21:$AD$97,C864))*(1+INDEX($AD$21:$AD$97,D864))*(1+INDEX($AD$21:$AD$97,E864))*(1+INDEX($AD$21:$AD$97,F864))-1</f>
        <v>0.620429441882543</v>
      </c>
      <c r="N864" s="489">
        <f>(1+INDEX($AE$21:$AE$97,B864))*(1+INDEX($AE$21:$AE$97,C864))*(1+INDEX($AE$21:$AE$97,D864))*(1+INDEX($AE$21:$AE$97,E864))*(1+INDEX($AE$21:$AE$97,F864))-1</f>
        <v>0.623264109322179</v>
      </c>
      <c r="O864" s="489">
        <f>(1+INDEX($AF$21:$AF$97,B864))*(1+INDEX($AF$21:$AF$97,C864))*(1+INDEX($AF$21:$AF$97,D864))*(1+INDEX($AF$21:$AF$97,E864))*(1+INDEX($AF$21:$AF$97,F864))-1</f>
        <v>0.614667494763094</v>
      </c>
      <c r="P864" s="489">
        <f>LN((1+L864)/(1+H864))</f>
        <v>0.0216350755624199</v>
      </c>
      <c r="Q864" s="489">
        <f>LN((1+M864)/(1+H864))</f>
        <v>0.0277307511899432</v>
      </c>
      <c r="R864" s="489">
        <f>LN((1+N864)/(1+H864))</f>
        <v>0.0294785538824623</v>
      </c>
      <c r="S864" s="542">
        <f>LN((1+O864)/(1+H864))</f>
        <v>0.0241685993750025</v>
      </c>
    </row>
    <row r="865">
      <c r="A865" s="320" t="n">
        <v>764</v>
      </c>
      <c r="B865" s="174" t="n">
        <v>55</v>
      </c>
      <c r="C865" s="174" t="n">
        <v>60</v>
      </c>
      <c r="D865" s="174" t="n">
        <v>5</v>
      </c>
      <c r="E865" s="174" t="n">
        <v>47</v>
      </c>
      <c r="F865" s="174" t="n">
        <v>26</v>
      </c>
      <c r="G865" s="68">
        <f>(1+INDEX($Z$21:$Z$97,B865))*(1+INDEX($Z$21:$Z$97,C865))*(1+INDEX($Z$21:$Z$97,D865))*(1+INDEX($Z$21:$Z$97,E865))*(1+INDEX($Z$21:$Z$97,F865))-1</f>
        <v>0.36599202762716</v>
      </c>
      <c r="H865" s="68">
        <f>(1+INDEX($AA$21:$AA$97,B865))*(1+INDEX($AA$21:$AA$97,C865))*(1+INDEX($AA$21:$AA$97,D865))*(1+INDEX($AA$21:$AA$97,E865))*(1+INDEX($AA$21:$AA$97,F865))-1</f>
        <v>0.413043711561642</v>
      </c>
      <c r="I865" s="68">
        <f>(1+INDEX($AB$21:$AB$97,B865))*(1+INDEX($AB$21:$AB$97,C865))*(1+INDEX($AB$21:$AB$97,D865))*(1+INDEX($AB$21:$AB$97,E865))*(1+INDEX($AB$21:$AB$97,F865))-1</f>
        <v>0.422521246521668</v>
      </c>
      <c r="J865" s="489">
        <f>LN((1+G865)/(1+H865))</f>
        <v>-0.0338651136706354</v>
      </c>
      <c r="K865" s="489">
        <f>LN((1+I865)/(1+H865))</f>
        <v>0.00668478443846882</v>
      </c>
      <c r="L865" s="489">
        <f>(1+INDEX($AC$21:$AC$97,B865))*(1+INDEX($AC$21:$AC$97,C865))*(1+INDEX($AC$21:$AC$97,D865))*(1+INDEX($AC$21:$AC$97,E865))*(1+INDEX($AC$21:$AC$97,F865))-1</f>
        <v>0.440480855269935</v>
      </c>
      <c r="M865" s="489">
        <f>(1+INDEX($AD$21:$AD$97,B865))*(1+INDEX($AD$21:$AD$97,C865))*(1+INDEX($AD$21:$AD$97,D865))*(1+INDEX($AD$21:$AD$97,E865))*(1+INDEX($AD$21:$AD$97,F865))-1</f>
        <v>0.394367005095856</v>
      </c>
      <c r="N865" s="489">
        <f>(1+INDEX($AE$21:$AE$97,B865))*(1+INDEX($AE$21:$AE$97,C865))*(1+INDEX($AE$21:$AE$97,D865))*(1+INDEX($AE$21:$AE$97,E865))*(1+INDEX($AE$21:$AE$97,F865))-1</f>
        <v>0.432222244656749</v>
      </c>
      <c r="O865" s="489">
        <f>(1+INDEX($AF$21:$AF$97,B865))*(1+INDEX($AF$21:$AF$97,C865))*(1+INDEX($AF$21:$AF$97,D865))*(1+INDEX($AF$21:$AF$97,E865))*(1+INDEX($AF$21:$AF$97,F865))-1</f>
        <v>0.393691110485861</v>
      </c>
      <c r="P865" s="489">
        <f>LN((1+L865)/(1+H865))</f>
        <v>0.0192309466057047</v>
      </c>
      <c r="Q865" s="489">
        <f>LN((1+M865)/(1+H865))</f>
        <v>-0.0133054860064043</v>
      </c>
      <c r="R865" s="489">
        <f>LN((1+N865)/(1+H865))</f>
        <v>0.0134812167673242</v>
      </c>
      <c r="S865" s="542">
        <f>LN((1+O865)/(1+H865))</f>
        <v>-0.0137903357442619</v>
      </c>
    </row>
    <row r="866">
      <c r="A866" s="320" t="n">
        <v>765</v>
      </c>
      <c r="B866" s="174" t="n">
        <v>2</v>
      </c>
      <c r="C866" s="174" t="n">
        <v>25</v>
      </c>
      <c r="D866" s="174" t="n">
        <v>66</v>
      </c>
      <c r="E866" s="174" t="n">
        <v>1</v>
      </c>
      <c r="F866" s="174" t="n">
        <v>4</v>
      </c>
      <c r="G866" s="68">
        <f>(1+INDEX($Z$21:$Z$97,B866))*(1+INDEX($Z$21:$Z$97,C866))*(1+INDEX($Z$21:$Z$97,D866))*(1+INDEX($Z$21:$Z$97,E866))*(1+INDEX($Z$21:$Z$97,F866))-1</f>
        <v>0.68174265742036</v>
      </c>
      <c r="H866" s="68">
        <f>(1+INDEX($AA$21:$AA$97,B866))*(1+INDEX($AA$21:$AA$97,C866))*(1+INDEX($AA$21:$AA$97,D866))*(1+INDEX($AA$21:$AA$97,E866))*(1+INDEX($AA$21:$AA$97,F866))-1</f>
        <v>0.537731980306244</v>
      </c>
      <c r="I866" s="68">
        <f>(1+INDEX($AB$21:$AB$97,B866))*(1+INDEX($AB$21:$AB$97,C866))*(1+INDEX($AB$21:$AB$97,D866))*(1+INDEX($AB$21:$AB$97,E866))*(1+INDEX($AB$21:$AB$97,F866))-1</f>
        <v>0.549887676745458</v>
      </c>
      <c r="J866" s="489">
        <f>LN((1+G866)/(1+H866))</f>
        <v>0.089521961061818</v>
      </c>
      <c r="K866" s="489">
        <f>LN((1+I866)/(1+H866))</f>
        <v>0.0078738708724263</v>
      </c>
      <c r="L866" s="489">
        <f>(1+INDEX($AC$21:$AC$97,B866))*(1+INDEX($AC$21:$AC$97,C866))*(1+INDEX($AC$21:$AC$97,D866))*(1+INDEX($AC$21:$AC$97,E866))*(1+INDEX($AC$21:$AC$97,F866))-1</f>
        <v>0.548647307818955</v>
      </c>
      <c r="M866" s="489">
        <f>(1+INDEX($AD$21:$AD$97,B866))*(1+INDEX($AD$21:$AD$97,C866))*(1+INDEX($AD$21:$AD$97,D866))*(1+INDEX($AD$21:$AD$97,E866))*(1+INDEX($AD$21:$AD$97,F866))-1</f>
        <v>0.567283852528297</v>
      </c>
      <c r="N866" s="489">
        <f>(1+INDEX($AE$21:$AE$97,B866))*(1+INDEX($AE$21:$AE$97,C866))*(1+INDEX($AE$21:$AE$97,D866))*(1+INDEX($AE$21:$AE$97,E866))*(1+INDEX($AE$21:$AE$97,F866))-1</f>
        <v>0.558023573727149</v>
      </c>
      <c r="O866" s="489">
        <f>(1+INDEX($AF$21:$AF$97,B866))*(1+INDEX($AF$21:$AF$97,C866))*(1+INDEX($AF$21:$AF$97,D866))*(1+INDEX($AF$21:$AF$97,E866))*(1+INDEX($AF$21:$AF$97,F866))-1</f>
        <v>0.593522113502088</v>
      </c>
      <c r="P866" s="489">
        <f>LN((1+L866)/(1+H866))</f>
        <v>0.00707325445277153</v>
      </c>
      <c r="Q866" s="489">
        <f>LN((1+M866)/(1+H866))</f>
        <v>0.0190355000758505</v>
      </c>
      <c r="R866" s="489">
        <f>LN((1+N866)/(1+H866))</f>
        <v>0.0131094872789938</v>
      </c>
      <c r="S866" s="542">
        <f>LN((1+O866)/(1+H866))</f>
        <v>0.0356381412773001</v>
      </c>
    </row>
    <row r="867">
      <c r="A867" s="320" t="n">
        <v>766</v>
      </c>
      <c r="B867" s="174" t="n">
        <v>5</v>
      </c>
      <c r="C867" s="174" t="n">
        <v>33</v>
      </c>
      <c r="D867" s="174" t="n">
        <v>2</v>
      </c>
      <c r="E867" s="174" t="n">
        <v>14</v>
      </c>
      <c r="F867" s="174" t="n">
        <v>38</v>
      </c>
      <c r="G867" s="68">
        <f>(1+INDEX($Z$21:$Z$97,B867))*(1+INDEX($Z$21:$Z$97,C867))*(1+INDEX($Z$21:$Z$97,D867))*(1+INDEX($Z$21:$Z$97,E867))*(1+INDEX($Z$21:$Z$97,F867))-1</f>
        <v>0.498090750621223</v>
      </c>
      <c r="H867" s="68">
        <f>(1+INDEX($AA$21:$AA$97,B867))*(1+INDEX($AA$21:$AA$97,C867))*(1+INDEX($AA$21:$AA$97,D867))*(1+INDEX($AA$21:$AA$97,E867))*(1+INDEX($AA$21:$AA$97,F867))-1</f>
        <v>0.440849146423277</v>
      </c>
      <c r="I867" s="68">
        <f>(1+INDEX($AB$21:$AB$97,B867))*(1+INDEX($AB$21:$AB$97,C867))*(1+INDEX($AB$21:$AB$97,D867))*(1+INDEX($AB$21:$AB$97,E867))*(1+INDEX($AB$21:$AB$97,F867))-1</f>
        <v>0.456227173462654</v>
      </c>
      <c r="J867" s="489">
        <f>LN((1+G867)/(1+H867))</f>
        <v>0.0389588396409445</v>
      </c>
      <c r="K867" s="489">
        <f>LN((1+I867)/(1+H867))</f>
        <v>0.0106163385254062</v>
      </c>
      <c r="L867" s="489">
        <f>(1+INDEX($AC$21:$AC$97,B867))*(1+INDEX($AC$21:$AC$97,C867))*(1+INDEX($AC$21:$AC$97,D867))*(1+INDEX($AC$21:$AC$97,E867))*(1+INDEX($AC$21:$AC$97,F867))-1</f>
        <v>0.44481430233791</v>
      </c>
      <c r="M867" s="489">
        <f>(1+INDEX($AD$21:$AD$97,B867))*(1+INDEX($AD$21:$AD$97,C867))*(1+INDEX($AD$21:$AD$97,D867))*(1+INDEX($AD$21:$AD$97,E867))*(1+INDEX($AD$21:$AD$97,F867))-1</f>
        <v>0.481618585813151</v>
      </c>
      <c r="N867" s="489">
        <f>(1+INDEX($AE$21:$AE$97,B867))*(1+INDEX($AE$21:$AE$97,C867))*(1+INDEX($AE$21:$AE$97,D867))*(1+INDEX($AE$21:$AE$97,E867))*(1+INDEX($AE$21:$AE$97,F867))-1</f>
        <v>0.433224769087832</v>
      </c>
      <c r="O867" s="489">
        <f>(1+INDEX($AF$21:$AF$97,B867))*(1+INDEX($AF$21:$AF$97,C867))*(1+INDEX($AF$21:$AF$97,D867))*(1+INDEX($AF$21:$AF$97,E867))*(1+INDEX($AF$21:$AF$97,F867))-1</f>
        <v>0.426865401857431</v>
      </c>
      <c r="P867" s="489">
        <f>LN((1+L867)/(1+H867))</f>
        <v>0.00274817800523408</v>
      </c>
      <c r="Q867" s="489">
        <f>LN((1+M867)/(1+H867))</f>
        <v>0.0279025044432361</v>
      </c>
      <c r="R867" s="489">
        <f>LN((1+N867)/(1+H867))</f>
        <v>-0.00530563614224677</v>
      </c>
      <c r="S867" s="542">
        <f>LN((1+O867)/(1+H867))</f>
        <v>-0.00975261321662588</v>
      </c>
    </row>
    <row r="868">
      <c r="A868" s="320" t="n">
        <v>767</v>
      </c>
      <c r="B868" s="174" t="n">
        <v>54</v>
      </c>
      <c r="C868" s="174" t="n">
        <v>24</v>
      </c>
      <c r="D868" s="174" t="n">
        <v>39</v>
      </c>
      <c r="E868" s="174" t="n">
        <v>41</v>
      </c>
      <c r="F868" s="174" t="n">
        <v>56</v>
      </c>
      <c r="G868" s="68">
        <f>(1+INDEX($Z$21:$Z$97,B868))*(1+INDEX($Z$21:$Z$97,C868))*(1+INDEX($Z$21:$Z$97,D868))*(1+INDEX($Z$21:$Z$97,E868))*(1+INDEX($Z$21:$Z$97,F868))-1</f>
        <v>0.372995702327319</v>
      </c>
      <c r="H868" s="68">
        <f>(1+INDEX($AA$21:$AA$97,B868))*(1+INDEX($AA$21:$AA$97,C868))*(1+INDEX($AA$21:$AA$97,D868))*(1+INDEX($AA$21:$AA$97,E868))*(1+INDEX($AA$21:$AA$97,F868))-1</f>
        <v>0.323049641605119</v>
      </c>
      <c r="I868" s="68">
        <f>(1+INDEX($AB$21:$AB$97,B868))*(1+INDEX($AB$21:$AB$97,C868))*(1+INDEX($AB$21:$AB$97,D868))*(1+INDEX($AB$21:$AB$97,E868))*(1+INDEX($AB$21:$AB$97,F868))-1</f>
        <v>0.349431754858873</v>
      </c>
      <c r="J868" s="489">
        <f>LN((1+G868)/(1+H868))</f>
        <v>0.0370555902196625</v>
      </c>
      <c r="K868" s="489">
        <f>LN((1+I868)/(1+H868))</f>
        <v>0.0197441750826883</v>
      </c>
      <c r="L868" s="489">
        <f>(1+INDEX($AC$21:$AC$97,B868))*(1+INDEX($AC$21:$AC$97,C868))*(1+INDEX($AC$21:$AC$97,D868))*(1+INDEX($AC$21:$AC$97,E868))*(1+INDEX($AC$21:$AC$97,F868))-1</f>
        <v>0.331826054704889</v>
      </c>
      <c r="M868" s="489">
        <f>(1+INDEX($AD$21:$AD$97,B868))*(1+INDEX($AD$21:$AD$97,C868))*(1+INDEX($AD$21:$AD$97,D868))*(1+INDEX($AD$21:$AD$97,E868))*(1+INDEX($AD$21:$AD$97,F868))-1</f>
        <v>0.378765349735022</v>
      </c>
      <c r="N868" s="489">
        <f>(1+INDEX($AE$21:$AE$97,B868))*(1+INDEX($AE$21:$AE$97,C868))*(1+INDEX($AE$21:$AE$97,D868))*(1+INDEX($AE$21:$AE$97,E868))*(1+INDEX($AE$21:$AE$97,F868))-1</f>
        <v>0.317017953568302</v>
      </c>
      <c r="O868" s="489">
        <f>(1+INDEX($AF$21:$AF$97,B868))*(1+INDEX($AF$21:$AF$97,C868))*(1+INDEX($AF$21:$AF$97,D868))*(1+INDEX($AF$21:$AF$97,E868))*(1+INDEX($AF$21:$AF$97,F868))-1</f>
        <v>0.409356243797141</v>
      </c>
      <c r="P868" s="489">
        <f>LN((1+L868)/(1+H868))</f>
        <v>0.00661156760152402</v>
      </c>
      <c r="Q868" s="489">
        <f>LN((1+M868)/(1+H868))</f>
        <v>0.0412490181760882</v>
      </c>
      <c r="R868" s="489">
        <f>LN((1+N868)/(1+H868))</f>
        <v>-0.00456935158968029</v>
      </c>
      <c r="S868" s="542">
        <f>LN((1+O868)/(1+H868))</f>
        <v>0.0631936290215888</v>
      </c>
    </row>
    <row r="869">
      <c r="A869" s="320" t="n">
        <v>768</v>
      </c>
      <c r="B869" s="174" t="n">
        <v>72</v>
      </c>
      <c r="C869" s="174" t="n">
        <v>17</v>
      </c>
      <c r="D869" s="174" t="n">
        <v>75</v>
      </c>
      <c r="E869" s="174" t="n">
        <v>66</v>
      </c>
      <c r="F869" s="174" t="n">
        <v>17</v>
      </c>
      <c r="G869" s="68">
        <f>(1+INDEX($Z$21:$Z$97,B869))*(1+INDEX($Z$21:$Z$97,C869))*(1+INDEX($Z$21:$Z$97,D869))*(1+INDEX($Z$21:$Z$97,E869))*(1+INDEX($Z$21:$Z$97,F869))-1</f>
        <v>0.474453700582324</v>
      </c>
      <c r="H869" s="68">
        <f>(1+INDEX($AA$21:$AA$97,B869))*(1+INDEX($AA$21:$AA$97,C869))*(1+INDEX($AA$21:$AA$97,D869))*(1+INDEX($AA$21:$AA$97,E869))*(1+INDEX($AA$21:$AA$97,F869))-1</f>
        <v>0.451677387423649</v>
      </c>
      <c r="I869" s="68">
        <f>(1+INDEX($AB$21:$AB$97,B869))*(1+INDEX($AB$21:$AB$97,C869))*(1+INDEX($AB$21:$AB$97,D869))*(1+INDEX($AB$21:$AB$97,E869))*(1+INDEX($AB$21:$AB$97,F869))-1</f>
        <v>0.503812277757711</v>
      </c>
      <c r="J869" s="489">
        <f>LN((1+G869)/(1+H869))</f>
        <v>0.0155678419544656</v>
      </c>
      <c r="K869" s="489">
        <f>LN((1+I869)/(1+H869))</f>
        <v>0.0352836956709682</v>
      </c>
      <c r="L869" s="489">
        <f>(1+INDEX($AC$21:$AC$97,B869))*(1+INDEX($AC$21:$AC$97,C869))*(1+INDEX($AC$21:$AC$97,D869))*(1+INDEX($AC$21:$AC$97,E869))*(1+INDEX($AC$21:$AC$97,F869))-1</f>
        <v>0.478652630474133</v>
      </c>
      <c r="M869" s="489">
        <f>(1+INDEX($AD$21:$AD$97,B869))*(1+INDEX($AD$21:$AD$97,C869))*(1+INDEX($AD$21:$AD$97,D869))*(1+INDEX($AD$21:$AD$97,E869))*(1+INDEX($AD$21:$AD$97,F869))-1</f>
        <v>0.48597134532695</v>
      </c>
      <c r="N869" s="489">
        <f>(1+INDEX($AE$21:$AE$97,B869))*(1+INDEX($AE$21:$AE$97,C869))*(1+INDEX($AE$21:$AE$97,D869))*(1+INDEX($AE$21:$AE$97,E869))*(1+INDEX($AE$21:$AE$97,F869))-1</f>
        <v>0.48270317273076</v>
      </c>
      <c r="O869" s="489">
        <f>(1+INDEX($AF$21:$AF$97,B869))*(1+INDEX($AF$21:$AF$97,C869))*(1+INDEX($AF$21:$AF$97,D869))*(1+INDEX($AF$21:$AF$97,E869))*(1+INDEX($AF$21:$AF$97,F869))-1</f>
        <v>0.468927043473952</v>
      </c>
      <c r="P869" s="489">
        <f>LN((1+L869)/(1+H869))</f>
        <v>0.0184115815633841</v>
      </c>
      <c r="Q869" s="489">
        <f>LN((1+M869)/(1+H869))</f>
        <v>0.0233489562728361</v>
      </c>
      <c r="R869" s="489">
        <f>LN((1+N869)/(1+H869))</f>
        <v>0.0211471831268756</v>
      </c>
      <c r="S869" s="542">
        <f>LN((1+O869)/(1+H869))</f>
        <v>0.0118125251375972</v>
      </c>
    </row>
    <row r="870">
      <c r="A870" s="320" t="n">
        <v>769</v>
      </c>
      <c r="B870" s="174" t="n">
        <v>41</v>
      </c>
      <c r="C870" s="174" t="n">
        <v>38</v>
      </c>
      <c r="D870" s="174" t="n">
        <v>66</v>
      </c>
      <c r="E870" s="174" t="n">
        <v>28</v>
      </c>
      <c r="F870" s="174" t="n">
        <v>29</v>
      </c>
      <c r="G870" s="68">
        <f>(1+INDEX($Z$21:$Z$97,B870))*(1+INDEX($Z$21:$Z$97,C870))*(1+INDEX($Z$21:$Z$97,D870))*(1+INDEX($Z$21:$Z$97,E870))*(1+INDEX($Z$21:$Z$97,F870))-1</f>
        <v>0.788503219812776</v>
      </c>
      <c r="H870" s="68">
        <f>(1+INDEX($AA$21:$AA$97,B870))*(1+INDEX($AA$21:$AA$97,C870))*(1+INDEX($AA$21:$AA$97,D870))*(1+INDEX($AA$21:$AA$97,E870))*(1+INDEX($AA$21:$AA$97,F870))-1</f>
        <v>0.750077470075891</v>
      </c>
      <c r="I870" s="68">
        <f>(1+INDEX($AB$21:$AB$97,B870))*(1+INDEX($AB$21:$AB$97,C870))*(1+INDEX($AB$21:$AB$97,D870))*(1+INDEX($AB$21:$AB$97,E870))*(1+INDEX($AB$21:$AB$97,F870))-1</f>
        <v>0.828365311084763</v>
      </c>
      <c r="J870" s="489">
        <f>LN((1+G870)/(1+H870))</f>
        <v>0.0217190244316305</v>
      </c>
      <c r="K870" s="489">
        <f>LN((1+I870)/(1+H870))</f>
        <v>0.0437622394459136</v>
      </c>
      <c r="L870" s="489">
        <f>(1+INDEX($AC$21:$AC$97,B870))*(1+INDEX($AC$21:$AC$97,C870))*(1+INDEX($AC$21:$AC$97,D870))*(1+INDEX($AC$21:$AC$97,E870))*(1+INDEX($AC$21:$AC$97,F870))-1</f>
        <v>0.83643068288159</v>
      </c>
      <c r="M870" s="489">
        <f>(1+INDEX($AD$21:$AD$97,B870))*(1+INDEX($AD$21:$AD$97,C870))*(1+INDEX($AD$21:$AD$97,D870))*(1+INDEX($AD$21:$AD$97,E870))*(1+INDEX($AD$21:$AD$97,F870))-1</f>
        <v>0.820084985083845</v>
      </c>
      <c r="N870" s="489">
        <f>(1+INDEX($AE$21:$AE$97,B870))*(1+INDEX($AE$21:$AE$97,C870))*(1+INDEX($AE$21:$AE$97,D870))*(1+INDEX($AE$21:$AE$97,E870))*(1+INDEX($AE$21:$AE$97,F870))-1</f>
        <v>0.848847320015231</v>
      </c>
      <c r="O870" s="489">
        <f>(1+INDEX($AF$21:$AF$97,B870))*(1+INDEX($AF$21:$AF$97,C870))*(1+INDEX($AF$21:$AF$97,D870))*(1+INDEX($AF$21:$AF$97,E870))*(1+INDEX($AF$21:$AF$97,F870))-1</f>
        <v>0.798267675936009</v>
      </c>
      <c r="P870" s="489">
        <f>LN((1+L870)/(1+H870))</f>
        <v>0.0481637858519797</v>
      </c>
      <c r="Q870" s="489">
        <f>LN((1+M870)/(1+H870))</f>
        <v>0.0392231395291439</v>
      </c>
      <c r="R870" s="489">
        <f>LN((1+N870)/(1+H870))</f>
        <v>0.0549023190688626</v>
      </c>
      <c r="S870" s="542">
        <f>LN((1+O870)/(1+H870))</f>
        <v>0.0271637436675557</v>
      </c>
    </row>
    <row r="871">
      <c r="A871" s="320" t="n">
        <v>770</v>
      </c>
      <c r="B871" s="174" t="n">
        <v>65</v>
      </c>
      <c r="C871" s="174" t="n">
        <v>36</v>
      </c>
      <c r="D871" s="174" t="n">
        <v>28</v>
      </c>
      <c r="E871" s="174" t="n">
        <v>49</v>
      </c>
      <c r="F871" s="174" t="n">
        <v>47</v>
      </c>
      <c r="G871" s="68">
        <f>(1+INDEX($Z$21:$Z$97,B871))*(1+INDEX($Z$21:$Z$97,C871))*(1+INDEX($Z$21:$Z$97,D871))*(1+INDEX($Z$21:$Z$97,E871))*(1+INDEX($Z$21:$Z$97,F871))-1</f>
        <v>0.598825554593869</v>
      </c>
      <c r="H871" s="68">
        <f>(1+INDEX($AA$21:$AA$97,B871))*(1+INDEX($AA$21:$AA$97,C871))*(1+INDEX($AA$21:$AA$97,D871))*(1+INDEX($AA$21:$AA$97,E871))*(1+INDEX($AA$21:$AA$97,F871))-1</f>
        <v>0.559788942424501</v>
      </c>
      <c r="I871" s="68">
        <f>(1+INDEX($AB$21:$AB$97,B871))*(1+INDEX($AB$21:$AB$97,C871))*(1+INDEX($AB$21:$AB$97,D871))*(1+INDEX($AB$21:$AB$97,E871))*(1+INDEX($AB$21:$AB$97,F871))-1</f>
        <v>0.652476511103967</v>
      </c>
      <c r="J871" s="489">
        <f>LN((1+G871)/(1+H871))</f>
        <v>0.0247188125453182</v>
      </c>
      <c r="K871" s="489">
        <f>LN((1+I871)/(1+H871))</f>
        <v>0.0577245596938682</v>
      </c>
      <c r="L871" s="489">
        <f>(1+INDEX($AC$21:$AC$97,B871))*(1+INDEX($AC$21:$AC$97,C871))*(1+INDEX($AC$21:$AC$97,D871))*(1+INDEX($AC$21:$AC$97,E871))*(1+INDEX($AC$21:$AC$97,F871))-1</f>
        <v>0.633121902141508</v>
      </c>
      <c r="M871" s="489">
        <f>(1+INDEX($AD$21:$AD$97,B871))*(1+INDEX($AD$21:$AD$97,C871))*(1+INDEX($AD$21:$AD$97,D871))*(1+INDEX($AD$21:$AD$97,E871))*(1+INDEX($AD$21:$AD$97,F871))-1</f>
        <v>0.629871334555309</v>
      </c>
      <c r="N871" s="489">
        <f>(1+INDEX($AE$21:$AE$97,B871))*(1+INDEX($AE$21:$AE$97,C871))*(1+INDEX($AE$21:$AE$97,D871))*(1+INDEX($AE$21:$AE$97,E871))*(1+INDEX($AE$21:$AE$97,F871))-1</f>
        <v>0.643065942811204</v>
      </c>
      <c r="O871" s="489">
        <f>(1+INDEX($AF$21:$AF$97,B871))*(1+INDEX($AF$21:$AF$97,C871))*(1+INDEX($AF$21:$AF$97,D871))*(1+INDEX($AF$21:$AF$97,E871))*(1+INDEX($AF$21:$AF$97,F871))-1</f>
        <v>0.582981609028782</v>
      </c>
      <c r="P871" s="489">
        <f>LN((1+L871)/(1+H871))</f>
        <v>0.0459429416100825</v>
      </c>
      <c r="Q871" s="489">
        <f>LN((1+M871)/(1+H871))</f>
        <v>0.0439505570565821</v>
      </c>
      <c r="R871" s="489">
        <f>LN((1+N871)/(1+H871))</f>
        <v>0.052013455071286</v>
      </c>
      <c r="S871" s="542">
        <f>LN((1+O871)/(1+H871))</f>
        <v>0.0147596442444419</v>
      </c>
    </row>
    <row r="872">
      <c r="A872" s="320" t="n">
        <v>771</v>
      </c>
      <c r="B872" s="174" t="n">
        <v>66</v>
      </c>
      <c r="C872" s="174" t="n">
        <v>74</v>
      </c>
      <c r="D872" s="174" t="n">
        <v>4</v>
      </c>
      <c r="E872" s="174" t="n">
        <v>10</v>
      </c>
      <c r="F872" s="174" t="n">
        <v>28</v>
      </c>
      <c r="G872" s="68">
        <f>(1+INDEX($Z$21:$Z$97,B872))*(1+INDEX($Z$21:$Z$97,C872))*(1+INDEX($Z$21:$Z$97,D872))*(1+INDEX($Z$21:$Z$97,E872))*(1+INDEX($Z$21:$Z$97,F872))-1</f>
        <v>0.372728043353801</v>
      </c>
      <c r="H872" s="68">
        <f>(1+INDEX($AA$21:$AA$97,B872))*(1+INDEX($AA$21:$AA$97,C872))*(1+INDEX($AA$21:$AA$97,D872))*(1+INDEX($AA$21:$AA$97,E872))*(1+INDEX($AA$21:$AA$97,F872))-1</f>
        <v>0.388229444493792</v>
      </c>
      <c r="I872" s="68">
        <f>(1+INDEX($AB$21:$AB$97,B872))*(1+INDEX($AB$21:$AB$97,C872))*(1+INDEX($AB$21:$AB$97,D872))*(1+INDEX($AB$21:$AB$97,E872))*(1+INDEX($AB$21:$AB$97,F872))-1</f>
        <v>0.391149926345205</v>
      </c>
      <c r="J872" s="489">
        <f>LN((1+G872)/(1+H872))</f>
        <v>-0.011229121848457</v>
      </c>
      <c r="K872" s="489">
        <f>LN((1+I872)/(1+H872))</f>
        <v>0.00210153601692712</v>
      </c>
      <c r="L872" s="489">
        <f>(1+INDEX($AC$21:$AC$97,B872))*(1+INDEX($AC$21:$AC$97,C872))*(1+INDEX($AC$21:$AC$97,D872))*(1+INDEX($AC$21:$AC$97,E872))*(1+INDEX($AC$21:$AC$97,F872))-1</f>
        <v>0.387698374521578</v>
      </c>
      <c r="M872" s="489">
        <f>(1+INDEX($AD$21:$AD$97,B872))*(1+INDEX($AD$21:$AD$97,C872))*(1+INDEX($AD$21:$AD$97,D872))*(1+INDEX($AD$21:$AD$97,E872))*(1+INDEX($AD$21:$AD$97,F872))-1</f>
        <v>0.406388546817665</v>
      </c>
      <c r="N872" s="489">
        <f>(1+INDEX($AE$21:$AE$97,B872))*(1+INDEX($AE$21:$AE$97,C872))*(1+INDEX($AE$21:$AE$97,D872))*(1+INDEX($AE$21:$AE$97,E872))*(1+INDEX($AE$21:$AE$97,F872))-1</f>
        <v>0.383258715952988</v>
      </c>
      <c r="O872" s="489">
        <f>(1+INDEX($AF$21:$AF$97,B872))*(1+INDEX($AF$21:$AF$97,C872))*(1+INDEX($AF$21:$AF$97,D872))*(1+INDEX($AF$21:$AF$97,E872))*(1+INDEX($AF$21:$AF$97,F872))-1</f>
        <v>0.451350731967395</v>
      </c>
      <c r="P872" s="489">
        <f>LN((1+L872)/(1+H872))</f>
        <v>-0.000382625207366304</v>
      </c>
      <c r="Q872" s="489">
        <f>LN((1+M872)/(1+H872))</f>
        <v>0.0129959500446811</v>
      </c>
      <c r="R872" s="489">
        <f>LN((1+N872)/(1+H872))</f>
        <v>-0.00358705040965119</v>
      </c>
      <c r="S872" s="542">
        <f>LN((1+O872)/(1+H872))</f>
        <v>0.0444655078525123</v>
      </c>
    </row>
    <row r="873">
      <c r="A873" s="320" t="n">
        <v>772</v>
      </c>
      <c r="B873" s="174" t="n">
        <v>43</v>
      </c>
      <c r="C873" s="174" t="n">
        <v>4</v>
      </c>
      <c r="D873" s="174" t="n">
        <v>43</v>
      </c>
      <c r="E873" s="174" t="n">
        <v>52</v>
      </c>
      <c r="F873" s="174" t="n">
        <v>1</v>
      </c>
      <c r="G873" s="68">
        <f>(1+INDEX($Z$21:$Z$97,B873))*(1+INDEX($Z$21:$Z$97,C873))*(1+INDEX($Z$21:$Z$97,D873))*(1+INDEX($Z$21:$Z$97,E873))*(1+INDEX($Z$21:$Z$97,F873))-1</f>
        <v>0.556322399078562</v>
      </c>
      <c r="H873" s="68">
        <f>(1+INDEX($AA$21:$AA$97,B873))*(1+INDEX($AA$21:$AA$97,C873))*(1+INDEX($AA$21:$AA$97,D873))*(1+INDEX($AA$21:$AA$97,E873))*(1+INDEX($AA$21:$AA$97,F873))-1</f>
        <v>0.504191380801377</v>
      </c>
      <c r="I873" s="68">
        <f>(1+INDEX($AB$21:$AB$97,B873))*(1+INDEX($AB$21:$AB$97,C873))*(1+INDEX($AB$21:$AB$97,D873))*(1+INDEX($AB$21:$AB$97,E873))*(1+INDEX($AB$21:$AB$97,F873))-1</f>
        <v>0.532861252831139</v>
      </c>
      <c r="J873" s="489">
        <f>LN((1+G873)/(1+H873))</f>
        <v>0.0340701363394741</v>
      </c>
      <c r="K873" s="489">
        <f>LN((1+I873)/(1+H873))</f>
        <v>0.018880623528629</v>
      </c>
      <c r="L873" s="489">
        <f>(1+INDEX($AC$21:$AC$97,B873))*(1+INDEX($AC$21:$AC$97,C873))*(1+INDEX($AC$21:$AC$97,D873))*(1+INDEX($AC$21:$AC$97,E873))*(1+INDEX($AC$21:$AC$97,F873))-1</f>
        <v>0.538562183841515</v>
      </c>
      <c r="M873" s="489">
        <f>(1+INDEX($AD$21:$AD$97,B873))*(1+INDEX($AD$21:$AD$97,C873))*(1+INDEX($AD$21:$AD$97,D873))*(1+INDEX($AD$21:$AD$97,E873))*(1+INDEX($AD$21:$AD$97,F873))-1</f>
        <v>0.529844787915799</v>
      </c>
      <c r="N873" s="489">
        <f>(1+INDEX($AE$21:$AE$97,B873))*(1+INDEX($AE$21:$AE$97,C873))*(1+INDEX($AE$21:$AE$97,D873))*(1+INDEX($AE$21:$AE$97,E873))*(1+INDEX($AE$21:$AE$97,F873))-1</f>
        <v>0.523791923406932</v>
      </c>
      <c r="O873" s="489">
        <f>(1+INDEX($AF$21:$AF$97,B873))*(1+INDEX($AF$21:$AF$97,C873))*(1+INDEX($AF$21:$AF$97,D873))*(1+INDEX($AF$21:$AF$97,E873))*(1+INDEX($AF$21:$AF$97,F873))-1</f>
        <v>0.530319762300874</v>
      </c>
      <c r="P873" s="489">
        <f>LN((1+L873)/(1+H873))</f>
        <v>0.0225928681440967</v>
      </c>
      <c r="Q873" s="489">
        <f>LN((1+M873)/(1+H873))</f>
        <v>0.0169108191461226</v>
      </c>
      <c r="R873" s="489">
        <f>LN((1+N873)/(1+H873))</f>
        <v>0.0129464494398179</v>
      </c>
      <c r="S873" s="542">
        <f>LN((1+O873)/(1+H873))</f>
        <v>0.0172212432302498</v>
      </c>
    </row>
    <row r="874">
      <c r="A874" s="320" t="n">
        <v>773</v>
      </c>
      <c r="B874" s="174" t="n">
        <v>64</v>
      </c>
      <c r="C874" s="174" t="n">
        <v>6</v>
      </c>
      <c r="D874" s="174" t="n">
        <v>5</v>
      </c>
      <c r="E874" s="174" t="n">
        <v>46</v>
      </c>
      <c r="F874" s="174" t="n">
        <v>32</v>
      </c>
      <c r="G874" s="68">
        <f>(1+INDEX($Z$21:$Z$97,B874))*(1+INDEX($Z$21:$Z$97,C874))*(1+INDEX($Z$21:$Z$97,D874))*(1+INDEX($Z$21:$Z$97,E874))*(1+INDEX($Z$21:$Z$97,F874))-1</f>
        <v>-0.0754148600592381</v>
      </c>
      <c r="H874" s="68">
        <f>(1+INDEX($AA$21:$AA$97,B874))*(1+INDEX($AA$21:$AA$97,C874))*(1+INDEX($AA$21:$AA$97,D874))*(1+INDEX($AA$21:$AA$97,E874))*(1+INDEX($AA$21:$AA$97,F874))-1</f>
        <v>-0.0436543113121576</v>
      </c>
      <c r="I874" s="68">
        <f>(1+INDEX($AB$21:$AB$97,B874))*(1+INDEX($AB$21:$AB$97,C874))*(1+INDEX($AB$21:$AB$97,D874))*(1+INDEX($AB$21:$AB$97,E874))*(1+INDEX($AB$21:$AB$97,F874))-1</f>
        <v>-0.0627172951439926</v>
      </c>
      <c r="J874" s="489">
        <f>LN((1+G874)/(1+H874))</f>
        <v>-0.0337743071900192</v>
      </c>
      <c r="K874" s="489">
        <f>LN((1+I874)/(1+H874))</f>
        <v>-0.0201344972439223</v>
      </c>
      <c r="L874" s="489">
        <f>(1+INDEX($AC$21:$AC$97,B874))*(1+INDEX($AC$21:$AC$97,C874))*(1+INDEX($AC$21:$AC$97,D874))*(1+INDEX($AC$21:$AC$97,E874))*(1+INDEX($AC$21:$AC$97,F874))-1</f>
        <v>-0.0694604447056451</v>
      </c>
      <c r="M874" s="489">
        <f>(1+INDEX($AD$21:$AD$97,B874))*(1+INDEX($AD$21:$AD$97,C874))*(1+INDEX($AD$21:$AD$97,D874))*(1+INDEX($AD$21:$AD$97,E874))*(1+INDEX($AD$21:$AD$97,F874))-1</f>
        <v>-0.0911594538207784</v>
      </c>
      <c r="N874" s="489">
        <f>(1+INDEX($AE$21:$AE$97,B874))*(1+INDEX($AE$21:$AE$97,C874))*(1+INDEX($AE$21:$AE$97,D874))*(1+INDEX($AE$21:$AE$97,E874))*(1+INDEX($AE$21:$AE$97,F874))-1</f>
        <v>-0.087926758350326</v>
      </c>
      <c r="O874" s="489">
        <f>(1+INDEX($AF$21:$AF$97,B874))*(1+INDEX($AF$21:$AF$97,C874))*(1+INDEX($AF$21:$AF$97,D874))*(1+INDEX($AF$21:$AF$97,E874))*(1+INDEX($AF$21:$AF$97,F874))-1</f>
        <v>-0.0631728156561789</v>
      </c>
      <c r="P874" s="489">
        <f>LN((1+L874)/(1+H874))</f>
        <v>-0.0273548618374024</v>
      </c>
      <c r="Q874" s="489">
        <f>LN((1+M874)/(1+H874))</f>
        <v>-0.0509497846904509</v>
      </c>
      <c r="R874" s="489">
        <f>LN((1+N874)/(1+H874))</f>
        <v>-0.0473991510599353</v>
      </c>
      <c r="S874" s="542">
        <f>LN((1+O874)/(1+H874))</f>
        <v>-0.0206206165731909</v>
      </c>
    </row>
    <row r="875">
      <c r="A875" s="320" t="n">
        <v>774</v>
      </c>
      <c r="B875" s="174" t="n">
        <v>46</v>
      </c>
      <c r="C875" s="174" t="n">
        <v>77</v>
      </c>
      <c r="D875" s="174" t="n">
        <v>6</v>
      </c>
      <c r="E875" s="174" t="n">
        <v>68</v>
      </c>
      <c r="F875" s="174" t="n">
        <v>32</v>
      </c>
      <c r="G875" s="68">
        <f>(1+INDEX($Z$21:$Z$97,B875))*(1+INDEX($Z$21:$Z$97,C875))*(1+INDEX($Z$21:$Z$97,D875))*(1+INDEX($Z$21:$Z$97,E875))*(1+INDEX($Z$21:$Z$97,F875))-1</f>
        <v>0.292395187542699</v>
      </c>
      <c r="H875" s="68">
        <f>(1+INDEX($AA$21:$AA$97,B875))*(1+INDEX($AA$21:$AA$97,C875))*(1+INDEX($AA$21:$AA$97,D875))*(1+INDEX($AA$21:$AA$97,E875))*(1+INDEX($AA$21:$AA$97,F875))-1</f>
        <v>0.305560511737534</v>
      </c>
      <c r="I875" s="68">
        <f>(1+INDEX($AB$21:$AB$97,B875))*(1+INDEX($AB$21:$AB$97,C875))*(1+INDEX($AB$21:$AB$97,D875))*(1+INDEX($AB$21:$AB$97,E875))*(1+INDEX($AB$21:$AB$97,F875))-1</f>
        <v>0.329477583129939</v>
      </c>
      <c r="J875" s="489">
        <f>LN((1+G875)/(1+H875))</f>
        <v>-0.0101352281692809</v>
      </c>
      <c r="K875" s="489">
        <f>LN((1+I875)/(1+H875))</f>
        <v>0.0181536109592607</v>
      </c>
      <c r="L875" s="489">
        <f>(1+INDEX($AC$21:$AC$97,B875))*(1+INDEX($AC$21:$AC$97,C875))*(1+INDEX($AC$21:$AC$97,D875))*(1+INDEX($AC$21:$AC$97,E875))*(1+INDEX($AC$21:$AC$97,F875))-1</f>
        <v>0.318899612565846</v>
      </c>
      <c r="M875" s="489">
        <f>(1+INDEX($AD$21:$AD$97,B875))*(1+INDEX($AD$21:$AD$97,C875))*(1+INDEX($AD$21:$AD$97,D875))*(1+INDEX($AD$21:$AD$97,E875))*(1+INDEX($AD$21:$AD$97,F875))-1</f>
        <v>0.301440408363996</v>
      </c>
      <c r="N875" s="489">
        <f>(1+INDEX($AE$21:$AE$97,B875))*(1+INDEX($AE$21:$AE$97,C875))*(1+INDEX($AE$21:$AE$97,D875))*(1+INDEX($AE$21:$AE$97,E875))*(1+INDEX($AE$21:$AE$97,F875))-1</f>
        <v>0.29438233394624</v>
      </c>
      <c r="O875" s="489">
        <f>(1+INDEX($AF$21:$AF$97,B875))*(1+INDEX($AF$21:$AF$97,C875))*(1+INDEX($AF$21:$AF$97,D875))*(1+INDEX($AF$21:$AF$97,E875))*(1+INDEX($AF$21:$AF$97,F875))-1</f>
        <v>0.300173769551971</v>
      </c>
      <c r="P875" s="489">
        <f>LN((1+L875)/(1+H875))</f>
        <v>0.0101653026229027</v>
      </c>
      <c r="Q875" s="489">
        <f>LN((1+M875)/(1+H875))</f>
        <v>-0.00316080195598286</v>
      </c>
      <c r="R875" s="489">
        <f>LN((1+N875)/(1+H875))</f>
        <v>-0.00859884030606498</v>
      </c>
      <c r="S875" s="542">
        <f>LN((1+O875)/(1+H875))</f>
        <v>-0.00413453505050399</v>
      </c>
    </row>
    <row r="876">
      <c r="A876" s="320" t="n">
        <v>775</v>
      </c>
      <c r="B876" s="174" t="n">
        <v>61</v>
      </c>
      <c r="C876" s="174" t="n">
        <v>2</v>
      </c>
      <c r="D876" s="174" t="n">
        <v>63</v>
      </c>
      <c r="E876" s="174" t="n">
        <v>9</v>
      </c>
      <c r="F876" s="174" t="n">
        <v>52</v>
      </c>
      <c r="G876" s="68">
        <f>(1+INDEX($Z$21:$Z$97,B876))*(1+INDEX($Z$21:$Z$97,C876))*(1+INDEX($Z$21:$Z$97,D876))*(1+INDEX($Z$21:$Z$97,E876))*(1+INDEX($Z$21:$Z$97,F876))-1</f>
        <v>0.139376033618483</v>
      </c>
      <c r="H876" s="68">
        <f>(1+INDEX($AA$21:$AA$97,B876))*(1+INDEX($AA$21:$AA$97,C876))*(1+INDEX($AA$21:$AA$97,D876))*(1+INDEX($AA$21:$AA$97,E876))*(1+INDEX($AA$21:$AA$97,F876))-1</f>
        <v>0.136406463577759</v>
      </c>
      <c r="I876" s="68">
        <f>(1+INDEX($AB$21:$AB$97,B876))*(1+INDEX($AB$21:$AB$97,C876))*(1+INDEX($AB$21:$AB$97,D876))*(1+INDEX($AB$21:$AB$97,E876))*(1+INDEX($AB$21:$AB$97,F876))-1</f>
        <v>0.122027013876072</v>
      </c>
      <c r="J876" s="489">
        <f>LN((1+G876)/(1+H876))</f>
        <v>0.00260971488247602</v>
      </c>
      <c r="K876" s="489">
        <f>LN((1+I876)/(1+H876))</f>
        <v>-0.0127341753990823</v>
      </c>
      <c r="L876" s="489">
        <f>(1+INDEX($AC$21:$AC$97,B876))*(1+INDEX($AC$21:$AC$97,C876))*(1+INDEX($AC$21:$AC$97,D876))*(1+INDEX($AC$21:$AC$97,E876))*(1+INDEX($AC$21:$AC$97,F876))-1</f>
        <v>0.1317624588242</v>
      </c>
      <c r="M876" s="489">
        <f>(1+INDEX($AD$21:$AD$97,B876))*(1+INDEX($AD$21:$AD$97,C876))*(1+INDEX($AD$21:$AD$97,D876))*(1+INDEX($AD$21:$AD$97,E876))*(1+INDEX($AD$21:$AD$97,F876))-1</f>
        <v>0.10408583546291</v>
      </c>
      <c r="N876" s="489">
        <f>(1+INDEX($AE$21:$AE$97,B876))*(1+INDEX($AE$21:$AE$97,C876))*(1+INDEX($AE$21:$AE$97,D876))*(1+INDEX($AE$21:$AE$97,E876))*(1+INDEX($AE$21:$AE$97,F876))-1</f>
        <v>0.133306728638365</v>
      </c>
      <c r="O876" s="489">
        <f>(1+INDEX($AF$21:$AF$97,B876))*(1+INDEX($AF$21:$AF$97,C876))*(1+INDEX($AF$21:$AF$97,D876))*(1+INDEX($AF$21:$AF$97,E876))*(1+INDEX($AF$21:$AF$97,F876))-1</f>
        <v>0.130659400984039</v>
      </c>
      <c r="P876" s="489">
        <f>LN((1+L876)/(1+H876))</f>
        <v>-0.00409494301515988</v>
      </c>
      <c r="Q876" s="489">
        <f>LN((1+M876)/(1+H876))</f>
        <v>-0.0288533644020679</v>
      </c>
      <c r="R876" s="489">
        <f>LN((1+N876)/(1+H876))</f>
        <v>-0.00273139080052396</v>
      </c>
      <c r="S876" s="542">
        <f>LN((1+O876)/(1+H876))</f>
        <v>-0.00507005552371482</v>
      </c>
    </row>
    <row r="877">
      <c r="A877" s="320" t="n">
        <v>776</v>
      </c>
      <c r="B877" s="174" t="n">
        <v>70</v>
      </c>
      <c r="C877" s="174" t="n">
        <v>74</v>
      </c>
      <c r="D877" s="174" t="n">
        <v>45</v>
      </c>
      <c r="E877" s="174" t="n">
        <v>64</v>
      </c>
      <c r="F877" s="174" t="n">
        <v>54</v>
      </c>
      <c r="G877" s="68">
        <f>(1+INDEX($Z$21:$Z$97,B877))*(1+INDEX($Z$21:$Z$97,C877))*(1+INDEX($Z$21:$Z$97,D877))*(1+INDEX($Z$21:$Z$97,E877))*(1+INDEX($Z$21:$Z$97,F877))-1</f>
        <v>0.149285939925482</v>
      </c>
      <c r="H877" s="68">
        <f>(1+INDEX($AA$21:$AA$97,B877))*(1+INDEX($AA$21:$AA$97,C877))*(1+INDEX($AA$21:$AA$97,D877))*(1+INDEX($AA$21:$AA$97,E877))*(1+INDEX($AA$21:$AA$97,F877))-1</f>
        <v>0.160879977998882</v>
      </c>
      <c r="I877" s="68">
        <f>(1+INDEX($AB$21:$AB$97,B877))*(1+INDEX($AB$21:$AB$97,C877))*(1+INDEX($AB$21:$AB$97,D877))*(1+INDEX($AB$21:$AB$97,E877))*(1+INDEX($AB$21:$AB$97,F877))-1</f>
        <v>0.185187298623549</v>
      </c>
      <c r="J877" s="489">
        <f>LN((1+G877)/(1+H877))</f>
        <v>-0.0100374915291439</v>
      </c>
      <c r="K877" s="489">
        <f>LN((1+I877)/(1+H877))</f>
        <v>0.0207225007588302</v>
      </c>
      <c r="L877" s="489">
        <f>(1+INDEX($AC$21:$AC$97,B877))*(1+INDEX($AC$21:$AC$97,C877))*(1+INDEX($AC$21:$AC$97,D877))*(1+INDEX($AC$21:$AC$97,E877))*(1+INDEX($AC$21:$AC$97,F877))-1</f>
        <v>0.170369522590207</v>
      </c>
      <c r="M877" s="489">
        <f>(1+INDEX($AD$21:$AD$97,B877))*(1+INDEX($AD$21:$AD$97,C877))*(1+INDEX($AD$21:$AD$97,D877))*(1+INDEX($AD$21:$AD$97,E877))*(1+INDEX($AD$21:$AD$97,F877))-1</f>
        <v>0.170308404436534</v>
      </c>
      <c r="N877" s="489">
        <f>(1+INDEX($AE$21:$AE$97,B877))*(1+INDEX($AE$21:$AE$97,C877))*(1+INDEX($AE$21:$AE$97,D877))*(1+INDEX($AE$21:$AE$97,E877))*(1+INDEX($AE$21:$AE$97,F877))-1</f>
        <v>0.16415539614643</v>
      </c>
      <c r="O877" s="489">
        <f>(1+INDEX($AF$21:$AF$97,B877))*(1+INDEX($AF$21:$AF$97,C877))*(1+INDEX($AF$21:$AF$97,D877))*(1+INDEX($AF$21:$AF$97,E877))*(1+INDEX($AF$21:$AF$97,F877))-1</f>
        <v>0.175144993415046</v>
      </c>
      <c r="P877" s="489">
        <f>LN((1+L877)/(1+H877))</f>
        <v>0.00814121097055172</v>
      </c>
      <c r="Q877" s="489">
        <f>LN((1+M877)/(1+H877))</f>
        <v>0.008088988361895</v>
      </c>
      <c r="R877" s="489">
        <f>LN((1+N877)/(1+H877))</f>
        <v>0.00281752299408383</v>
      </c>
      <c r="S877" s="542">
        <f>LN((1+O877)/(1+H877))</f>
        <v>0.0122132193856417</v>
      </c>
    </row>
    <row r="878">
      <c r="A878" s="320" t="n">
        <v>777</v>
      </c>
      <c r="B878" s="174" t="n">
        <v>61</v>
      </c>
      <c r="C878" s="174" t="n">
        <v>19</v>
      </c>
      <c r="D878" s="174" t="n">
        <v>2</v>
      </c>
      <c r="E878" s="174" t="n">
        <v>6</v>
      </c>
      <c r="F878" s="174" t="n">
        <v>68</v>
      </c>
      <c r="G878" s="68">
        <f>(1+INDEX($Z$21:$Z$97,B878))*(1+INDEX($Z$21:$Z$97,C878))*(1+INDEX($Z$21:$Z$97,D878))*(1+INDEX($Z$21:$Z$97,E878))*(1+INDEX($Z$21:$Z$97,F878))-1</f>
        <v>0.215787144654306</v>
      </c>
      <c r="H878" s="68">
        <f>(1+INDEX($AA$21:$AA$97,B878))*(1+INDEX($AA$21:$AA$97,C878))*(1+INDEX($AA$21:$AA$97,D878))*(1+INDEX($AA$21:$AA$97,E878))*(1+INDEX($AA$21:$AA$97,F878))-1</f>
        <v>0.217736938404284</v>
      </c>
      <c r="I878" s="68">
        <f>(1+INDEX($AB$21:$AB$97,B878))*(1+INDEX($AB$21:$AB$97,C878))*(1+INDEX($AB$21:$AB$97,D878))*(1+INDEX($AB$21:$AB$97,E878))*(1+INDEX($AB$21:$AB$97,F878))-1</f>
        <v>0.183200806818727</v>
      </c>
      <c r="J878" s="489">
        <f>LN((1+G878)/(1+H878))</f>
        <v>-0.00160244493225328</v>
      </c>
      <c r="K878" s="489">
        <f>LN((1+I878)/(1+H878))</f>
        <v>-0.028770853329727</v>
      </c>
      <c r="L878" s="489">
        <f>(1+INDEX($AC$21:$AC$97,B878))*(1+INDEX($AC$21:$AC$97,C878))*(1+INDEX($AC$21:$AC$97,D878))*(1+INDEX($AC$21:$AC$97,E878))*(1+INDEX($AC$21:$AC$97,F878))-1</f>
        <v>0.195128717275584</v>
      </c>
      <c r="M878" s="489">
        <f>(1+INDEX($AD$21:$AD$97,B878))*(1+INDEX($AD$21:$AD$97,C878))*(1+INDEX($AD$21:$AD$97,D878))*(1+INDEX($AD$21:$AD$97,E878))*(1+INDEX($AD$21:$AD$97,F878))-1</f>
        <v>0.155814855873363</v>
      </c>
      <c r="N878" s="489">
        <f>(1+INDEX($AE$21:$AE$97,B878))*(1+INDEX($AE$21:$AE$97,C878))*(1+INDEX($AE$21:$AE$97,D878))*(1+INDEX($AE$21:$AE$97,E878))*(1+INDEX($AE$21:$AE$97,F878))-1</f>
        <v>0.198118265180338</v>
      </c>
      <c r="O878" s="489">
        <f>(1+INDEX($AF$21:$AF$97,B878))*(1+INDEX($AF$21:$AF$97,C878))*(1+INDEX($AF$21:$AF$97,D878))*(1+INDEX($AF$21:$AF$97,E878))*(1+INDEX($AF$21:$AF$97,F878))-1</f>
        <v>0.198085058576263</v>
      </c>
      <c r="P878" s="489">
        <f>LN((1+L878)/(1+H878))</f>
        <v>-0.0187402748552739</v>
      </c>
      <c r="Q878" s="489">
        <f>LN((1+M878)/(1+H878))</f>
        <v>-0.0521885694952026</v>
      </c>
      <c r="R878" s="489">
        <f>LN((1+N878)/(1+H878))</f>
        <v>-0.0162419539701879</v>
      </c>
      <c r="S878" s="542">
        <f>LN((1+O878)/(1+H878))</f>
        <v>-0.0162696699855595</v>
      </c>
    </row>
    <row r="879">
      <c r="A879" s="320" t="n">
        <v>778</v>
      </c>
      <c r="B879" s="174" t="n">
        <v>22</v>
      </c>
      <c r="C879" s="174" t="n">
        <v>17</v>
      </c>
      <c r="D879" s="174" t="n">
        <v>29</v>
      </c>
      <c r="E879" s="174" t="n">
        <v>76</v>
      </c>
      <c r="F879" s="174" t="n">
        <v>1</v>
      </c>
      <c r="G879" s="68">
        <f>(1+INDEX($Z$21:$Z$97,B879))*(1+INDEX($Z$21:$Z$97,C879))*(1+INDEX($Z$21:$Z$97,D879))*(1+INDEX($Z$21:$Z$97,E879))*(1+INDEX($Z$21:$Z$97,F879))-1</f>
        <v>0.428293870794572</v>
      </c>
      <c r="H879" s="68">
        <f>(1+INDEX($AA$21:$AA$97,B879))*(1+INDEX($AA$21:$AA$97,C879))*(1+INDEX($AA$21:$AA$97,D879))*(1+INDEX($AA$21:$AA$97,E879))*(1+INDEX($AA$21:$AA$97,F879))-1</f>
        <v>0.392712787597696</v>
      </c>
      <c r="I879" s="68">
        <f>(1+INDEX($AB$21:$AB$97,B879))*(1+INDEX($AB$21:$AB$97,C879))*(1+INDEX($AB$21:$AB$97,D879))*(1+INDEX($AB$21:$AB$97,E879))*(1+INDEX($AB$21:$AB$97,F879))-1</f>
        <v>0.40723756270363</v>
      </c>
      <c r="J879" s="489">
        <f>LN((1+G879)/(1+H879))</f>
        <v>0.0252271437080682</v>
      </c>
      <c r="K879" s="489">
        <f>LN((1+I879)/(1+H879))</f>
        <v>0.0103751163980819</v>
      </c>
      <c r="L879" s="489">
        <f>(1+INDEX($AC$21:$AC$97,B879))*(1+INDEX($AC$21:$AC$97,C879))*(1+INDEX($AC$21:$AC$97,D879))*(1+INDEX($AC$21:$AC$97,E879))*(1+INDEX($AC$21:$AC$97,F879))-1</f>
        <v>0.394258095175338</v>
      </c>
      <c r="M879" s="489">
        <f>(1+INDEX($AD$21:$AD$97,B879))*(1+INDEX($AD$21:$AD$97,C879))*(1+INDEX($AD$21:$AD$97,D879))*(1+INDEX($AD$21:$AD$97,E879))*(1+INDEX($AD$21:$AD$97,F879))-1</f>
        <v>0.411534179820161</v>
      </c>
      <c r="N879" s="489">
        <f>(1+INDEX($AE$21:$AE$97,B879))*(1+INDEX($AE$21:$AE$97,C879))*(1+INDEX($AE$21:$AE$97,D879))*(1+INDEX($AE$21:$AE$97,E879))*(1+INDEX($AE$21:$AE$97,F879))-1</f>
        <v>0.395291666093272</v>
      </c>
      <c r="O879" s="489">
        <f>(1+INDEX($AF$21:$AF$97,B879))*(1+INDEX($AF$21:$AF$97,C879))*(1+INDEX($AF$21:$AF$97,D879))*(1+INDEX($AF$21:$AF$97,E879))*(1+INDEX($AF$21:$AF$97,F879))-1</f>
        <v>0.395896360641883</v>
      </c>
      <c r="P879" s="489">
        <f>LN((1+L879)/(1+H879))</f>
        <v>0.00110895147528025</v>
      </c>
      <c r="Q879" s="489">
        <f>LN((1+M879)/(1+H879))</f>
        <v>0.0134236927544975</v>
      </c>
      <c r="R879" s="489">
        <f>LN((1+N879)/(1+H879))</f>
        <v>0.00184998214595018</v>
      </c>
      <c r="S879" s="542">
        <f>LN((1+O879)/(1+H879))</f>
        <v>0.00228327044632964</v>
      </c>
    </row>
    <row r="880">
      <c r="A880" s="320" t="n">
        <v>779</v>
      </c>
      <c r="B880" s="174" t="n">
        <v>3</v>
      </c>
      <c r="C880" s="174" t="n">
        <v>48</v>
      </c>
      <c r="D880" s="174" t="n">
        <v>67</v>
      </c>
      <c r="E880" s="174" t="n">
        <v>11</v>
      </c>
      <c r="F880" s="174" t="n">
        <v>36</v>
      </c>
      <c r="G880" s="68">
        <f>(1+INDEX($Z$21:$Z$97,B880))*(1+INDEX($Z$21:$Z$97,C880))*(1+INDEX($Z$21:$Z$97,D880))*(1+INDEX($Z$21:$Z$97,E880))*(1+INDEX($Z$21:$Z$97,F880))-1</f>
        <v>0.320209294648637</v>
      </c>
      <c r="H880" s="68">
        <f>(1+INDEX($AA$21:$AA$97,B880))*(1+INDEX($AA$21:$AA$97,C880))*(1+INDEX($AA$21:$AA$97,D880))*(1+INDEX($AA$21:$AA$97,E880))*(1+INDEX($AA$21:$AA$97,F880))-1</f>
        <v>0.274902862555117</v>
      </c>
      <c r="I880" s="68">
        <f>(1+INDEX($AB$21:$AB$97,B880))*(1+INDEX($AB$21:$AB$97,C880))*(1+INDEX($AB$21:$AB$97,D880))*(1+INDEX($AB$21:$AB$97,E880))*(1+INDEX($AB$21:$AB$97,F880))-1</f>
        <v>0.259067277412351</v>
      </c>
      <c r="J880" s="489">
        <f>LN((1+G880)/(1+H880))</f>
        <v>0.0349202911047254</v>
      </c>
      <c r="K880" s="489">
        <f>LN((1+I880)/(1+H880))</f>
        <v>-0.0124987986601264</v>
      </c>
      <c r="L880" s="489">
        <f>(1+INDEX($AC$21:$AC$97,B880))*(1+INDEX($AC$21:$AC$97,C880))*(1+INDEX($AC$21:$AC$97,D880))*(1+INDEX($AC$21:$AC$97,E880))*(1+INDEX($AC$21:$AC$97,F880))-1</f>
        <v>0.259029378615203</v>
      </c>
      <c r="M880" s="489">
        <f>(1+INDEX($AD$21:$AD$97,B880))*(1+INDEX($AD$21:$AD$97,C880))*(1+INDEX($AD$21:$AD$97,D880))*(1+INDEX($AD$21:$AD$97,E880))*(1+INDEX($AD$21:$AD$97,F880))-1</f>
        <v>0.28461659933823</v>
      </c>
      <c r="N880" s="489">
        <f>(1+INDEX($AE$21:$AE$97,B880))*(1+INDEX($AE$21:$AE$97,C880))*(1+INDEX($AE$21:$AE$97,D880))*(1+INDEX($AE$21:$AE$97,E880))*(1+INDEX($AE$21:$AE$97,F880))-1</f>
        <v>0.26213150749819</v>
      </c>
      <c r="O880" s="489">
        <f>(1+INDEX($AF$21:$AF$97,B880))*(1+INDEX($AF$21:$AF$97,C880))*(1+INDEX($AF$21:$AF$97,D880))*(1+INDEX($AF$21:$AF$97,E880))*(1+INDEX($AF$21:$AF$97,F880))-1</f>
        <v>0.312398456979949</v>
      </c>
      <c r="P880" s="489">
        <f>LN((1+L880)/(1+H880))</f>
        <v>-0.0125288998058154</v>
      </c>
      <c r="Q880" s="489">
        <f>LN((1+M880)/(1+H880))</f>
        <v>0.00759031807656918</v>
      </c>
      <c r="R880" s="489">
        <f>LN((1+N880)/(1+H880))</f>
        <v>-0.0100680251622416</v>
      </c>
      <c r="S880" s="542">
        <f>LN((1+O880)/(1+H880))</f>
        <v>0.0289863569034241</v>
      </c>
    </row>
    <row r="881">
      <c r="A881" s="320" t="n">
        <v>780</v>
      </c>
      <c r="B881" s="174" t="n">
        <v>30</v>
      </c>
      <c r="C881" s="174" t="n">
        <v>17</v>
      </c>
      <c r="D881" s="174" t="n">
        <v>31</v>
      </c>
      <c r="E881" s="174" t="n">
        <v>28</v>
      </c>
      <c r="F881" s="174" t="n">
        <v>15</v>
      </c>
      <c r="G881" s="68">
        <f>(1+INDEX($Z$21:$Z$97,B881))*(1+INDEX($Z$21:$Z$97,C881))*(1+INDEX($Z$21:$Z$97,D881))*(1+INDEX($Z$21:$Z$97,E881))*(1+INDEX($Z$21:$Z$97,F881))-1</f>
        <v>0.607312497601311</v>
      </c>
      <c r="H881" s="68">
        <f>(1+INDEX($AA$21:$AA$97,B881))*(1+INDEX($AA$21:$AA$97,C881))*(1+INDEX($AA$21:$AA$97,D881))*(1+INDEX($AA$21:$AA$97,E881))*(1+INDEX($AA$21:$AA$97,F881))-1</f>
        <v>0.593491597562674</v>
      </c>
      <c r="I881" s="68">
        <f>(1+INDEX($AB$21:$AB$97,B881))*(1+INDEX($AB$21:$AB$97,C881))*(1+INDEX($AB$21:$AB$97,D881))*(1+INDEX($AB$21:$AB$97,E881))*(1+INDEX($AB$21:$AB$97,F881))-1</f>
        <v>0.643906662808391</v>
      </c>
      <c r="J881" s="489">
        <f>LN((1+G881)/(1+H881))</f>
        <v>0.00863594617102981</v>
      </c>
      <c r="K881" s="489">
        <f>LN((1+I881)/(1+H881))</f>
        <v>0.0311479386581213</v>
      </c>
      <c r="L881" s="489">
        <f>(1+INDEX($AC$21:$AC$97,B881))*(1+INDEX($AC$21:$AC$97,C881))*(1+INDEX($AC$21:$AC$97,D881))*(1+INDEX($AC$21:$AC$97,E881))*(1+INDEX($AC$21:$AC$97,F881))-1</f>
        <v>0.626545472668264</v>
      </c>
      <c r="M881" s="489">
        <f>(1+INDEX($AD$21:$AD$97,B881))*(1+INDEX($AD$21:$AD$97,C881))*(1+INDEX($AD$21:$AD$97,D881))*(1+INDEX($AD$21:$AD$97,E881))*(1+INDEX($AD$21:$AD$97,F881))-1</f>
        <v>0.638029767571422</v>
      </c>
      <c r="N881" s="489">
        <f>(1+INDEX($AE$21:$AE$97,B881))*(1+INDEX($AE$21:$AE$97,C881))*(1+INDEX($AE$21:$AE$97,D881))*(1+INDEX($AE$21:$AE$97,E881))*(1+INDEX($AE$21:$AE$97,F881))-1</f>
        <v>0.627044221525446</v>
      </c>
      <c r="O881" s="489">
        <f>(1+INDEX($AF$21:$AF$97,B881))*(1+INDEX($AF$21:$AF$97,C881))*(1+INDEX($AF$21:$AF$97,D881))*(1+INDEX($AF$21:$AF$97,E881))*(1+INDEX($AF$21:$AF$97,F881))-1</f>
        <v>0.608991378235967</v>
      </c>
      <c r="P881" s="489">
        <f>LN((1+L881)/(1+H881))</f>
        <v>0.0205308419974466</v>
      </c>
      <c r="Q881" s="489">
        <f>LN((1+M881)/(1+H881))</f>
        <v>0.0275665764695885</v>
      </c>
      <c r="R881" s="489">
        <f>LN((1+N881)/(1+H881))</f>
        <v>0.0208374257452249</v>
      </c>
      <c r="S881" s="542">
        <f>LN((1+O881)/(1+H881))</f>
        <v>0.00967992761802701</v>
      </c>
    </row>
    <row r="882">
      <c r="A882" s="320" t="n">
        <v>781</v>
      </c>
      <c r="B882" s="174" t="n">
        <v>73</v>
      </c>
      <c r="C882" s="174" t="n">
        <v>2</v>
      </c>
      <c r="D882" s="174" t="n">
        <v>9</v>
      </c>
      <c r="E882" s="174" t="n">
        <v>73</v>
      </c>
      <c r="F882" s="174" t="n">
        <v>25</v>
      </c>
      <c r="G882" s="68">
        <f>(1+INDEX($Z$21:$Z$97,B882))*(1+INDEX($Z$21:$Z$97,C882))*(1+INDEX($Z$21:$Z$97,D882))*(1+INDEX($Z$21:$Z$97,E882))*(1+INDEX($Z$21:$Z$97,F882))-1</f>
        <v>0.194723307875488</v>
      </c>
      <c r="H882" s="68">
        <f>(1+INDEX($AA$21:$AA$97,B882))*(1+INDEX($AA$21:$AA$97,C882))*(1+INDEX($AA$21:$AA$97,D882))*(1+INDEX($AA$21:$AA$97,E882))*(1+INDEX($AA$21:$AA$97,F882))-1</f>
        <v>0.178354618677596</v>
      </c>
      <c r="I882" s="68">
        <f>(1+INDEX($AB$21:$AB$97,B882))*(1+INDEX($AB$21:$AB$97,C882))*(1+INDEX($AB$21:$AB$97,D882))*(1+INDEX($AB$21:$AB$97,E882))*(1+INDEX($AB$21:$AB$97,F882))-1</f>
        <v>0.188520179380402</v>
      </c>
      <c r="J882" s="489">
        <f>LN((1+G882)/(1+H882))</f>
        <v>0.0137955425881496</v>
      </c>
      <c r="K882" s="489">
        <f>LN((1+I882)/(1+H882))</f>
        <v>0.00858991207976689</v>
      </c>
      <c r="L882" s="489">
        <f>(1+INDEX($AC$21:$AC$97,B882))*(1+INDEX($AC$21:$AC$97,C882))*(1+INDEX($AC$21:$AC$97,D882))*(1+INDEX($AC$21:$AC$97,E882))*(1+INDEX($AC$21:$AC$97,F882))-1</f>
        <v>0.162313899053535</v>
      </c>
      <c r="M882" s="489">
        <f>(1+INDEX($AD$21:$AD$97,B882))*(1+INDEX($AD$21:$AD$97,C882))*(1+INDEX($AD$21:$AD$97,D882))*(1+INDEX($AD$21:$AD$97,E882))*(1+INDEX($AD$21:$AD$97,F882))-1</f>
        <v>0.20981763913268</v>
      </c>
      <c r="N882" s="489">
        <f>(1+INDEX($AE$21:$AE$97,B882))*(1+INDEX($AE$21:$AE$97,C882))*(1+INDEX($AE$21:$AE$97,D882))*(1+INDEX($AE$21:$AE$97,E882))*(1+INDEX($AE$21:$AE$97,F882))-1</f>
        <v>0.150134794234978</v>
      </c>
      <c r="O882" s="489">
        <f>(1+INDEX($AF$21:$AF$97,B882))*(1+INDEX($AF$21:$AF$97,C882))*(1+INDEX($AF$21:$AF$97,D882))*(1+INDEX($AF$21:$AF$97,E882))*(1+INDEX($AF$21:$AF$97,F882))-1</f>
        <v>0.222525042669153</v>
      </c>
      <c r="P882" s="489">
        <f>LN((1+L882)/(1+H882))</f>
        <v>-0.0137063156302175</v>
      </c>
      <c r="Q882" s="489">
        <f>LN((1+M882)/(1+H882))</f>
        <v>0.026350562331283</v>
      </c>
      <c r="R882" s="489">
        <f>LN((1+N882)/(1+H882))</f>
        <v>-0.0242399265740913</v>
      </c>
      <c r="S882" s="542">
        <f>LN((1+O882)/(1+H882))</f>
        <v>0.0367993524993643</v>
      </c>
    </row>
    <row r="883">
      <c r="A883" s="320" t="n">
        <v>782</v>
      </c>
      <c r="B883" s="174" t="n">
        <v>70</v>
      </c>
      <c r="C883" s="174" t="n">
        <v>25</v>
      </c>
      <c r="D883" s="174" t="n">
        <v>20</v>
      </c>
      <c r="E883" s="174" t="n">
        <v>34</v>
      </c>
      <c r="F883" s="174" t="n">
        <v>35</v>
      </c>
      <c r="G883" s="68">
        <f>(1+INDEX($Z$21:$Z$97,B883))*(1+INDEX($Z$21:$Z$97,C883))*(1+INDEX($Z$21:$Z$97,D883))*(1+INDEX($Z$21:$Z$97,E883))*(1+INDEX($Z$21:$Z$97,F883))-1</f>
        <v>0.519342003698231</v>
      </c>
      <c r="H883" s="68">
        <f>(1+INDEX($AA$21:$AA$97,B883))*(1+INDEX($AA$21:$AA$97,C883))*(1+INDEX($AA$21:$AA$97,D883))*(1+INDEX($AA$21:$AA$97,E883))*(1+INDEX($AA$21:$AA$97,F883))-1</f>
        <v>0.526133546355278</v>
      </c>
      <c r="I883" s="68">
        <f>(1+INDEX($AB$21:$AB$97,B883))*(1+INDEX($AB$21:$AB$97,C883))*(1+INDEX($AB$21:$AB$97,D883))*(1+INDEX($AB$21:$AB$97,E883))*(1+INDEX($AB$21:$AB$97,F883))-1</f>
        <v>0.570825887309315</v>
      </c>
      <c r="J883" s="489">
        <f>LN((1+G883)/(1+H883))</f>
        <v>-0.00446009419795701</v>
      </c>
      <c r="K883" s="489">
        <f>LN((1+I883)/(1+H883))</f>
        <v>0.0288640808929196</v>
      </c>
      <c r="L883" s="489">
        <f>(1+INDEX($AC$21:$AC$97,B883))*(1+INDEX($AC$21:$AC$97,C883))*(1+INDEX($AC$21:$AC$97,D883))*(1+INDEX($AC$21:$AC$97,E883))*(1+INDEX($AC$21:$AC$97,F883))-1</f>
        <v>0.554461015406426</v>
      </c>
      <c r="M883" s="489">
        <f>(1+INDEX($AD$21:$AD$97,B883))*(1+INDEX($AD$21:$AD$97,C883))*(1+INDEX($AD$21:$AD$97,D883))*(1+INDEX($AD$21:$AD$97,E883))*(1+INDEX($AD$21:$AD$97,F883))-1</f>
        <v>0.582986607219089</v>
      </c>
      <c r="N883" s="489">
        <f>(1+INDEX($AE$21:$AE$97,B883))*(1+INDEX($AE$21:$AE$97,C883))*(1+INDEX($AE$21:$AE$97,D883))*(1+INDEX($AE$21:$AE$97,E883))*(1+INDEX($AE$21:$AE$97,F883))-1</f>
        <v>0.5633616869395</v>
      </c>
      <c r="O883" s="489">
        <f>(1+INDEX($AF$21:$AF$97,B883))*(1+INDEX($AF$21:$AF$97,C883))*(1+INDEX($AF$21:$AF$97,D883))*(1+INDEX($AF$21:$AF$97,E883))*(1+INDEX($AF$21:$AF$97,F883))-1</f>
        <v>0.509698697890778</v>
      </c>
      <c r="P883" s="489">
        <f>LN((1+L883)/(1+H883))</f>
        <v>0.0183914286327537</v>
      </c>
      <c r="Q883" s="489">
        <f>LN((1+M883)/(1+H883))</f>
        <v>0.0365758774560592</v>
      </c>
      <c r="R883" s="489">
        <f>LN((1+N883)/(1+H883))</f>
        <v>0.0241009872332624</v>
      </c>
      <c r="S883" s="542">
        <f>LN((1+O883)/(1+H883))</f>
        <v>-0.0108273499315872</v>
      </c>
    </row>
    <row r="884">
      <c r="A884" s="320" t="n">
        <v>783</v>
      </c>
      <c r="B884" s="174" t="n">
        <v>75</v>
      </c>
      <c r="C884" s="174" t="n">
        <v>63</v>
      </c>
      <c r="D884" s="174" t="n">
        <v>59</v>
      </c>
      <c r="E884" s="174" t="n">
        <v>22</v>
      </c>
      <c r="F884" s="174" t="n">
        <v>55</v>
      </c>
      <c r="G884" s="68">
        <f>(1+INDEX($Z$21:$Z$97,B884))*(1+INDEX($Z$21:$Z$97,C884))*(1+INDEX($Z$21:$Z$97,D884))*(1+INDEX($Z$21:$Z$97,E884))*(1+INDEX($Z$21:$Z$97,F884))-1</f>
        <v>0.178328324485645</v>
      </c>
      <c r="H884" s="68">
        <f>(1+INDEX($AA$21:$AA$97,B884))*(1+INDEX($AA$21:$AA$97,C884))*(1+INDEX($AA$21:$AA$97,D884))*(1+INDEX($AA$21:$AA$97,E884))*(1+INDEX($AA$21:$AA$97,F884))-1</f>
        <v>0.210522315115095</v>
      </c>
      <c r="I884" s="68">
        <f>(1+INDEX($AB$21:$AB$97,B884))*(1+INDEX($AB$21:$AB$97,C884))*(1+INDEX($AB$21:$AB$97,D884))*(1+INDEX($AB$21:$AB$97,E884))*(1+INDEX($AB$21:$AB$97,F884))-1</f>
        <v>0.224453875312825</v>
      </c>
      <c r="J884" s="489">
        <f>LN((1+G884)/(1+H884))</f>
        <v>-0.0269551719710521</v>
      </c>
      <c r="K884" s="489">
        <f>LN((1+I884)/(1+H884))</f>
        <v>0.0114429966676704</v>
      </c>
      <c r="L884" s="489">
        <f>(1+INDEX($AC$21:$AC$97,B884))*(1+INDEX($AC$21:$AC$97,C884))*(1+INDEX($AC$21:$AC$97,D884))*(1+INDEX($AC$21:$AC$97,E884))*(1+INDEX($AC$21:$AC$97,F884))-1</f>
        <v>0.233401476325442</v>
      </c>
      <c r="M884" s="489">
        <f>(1+INDEX($AD$21:$AD$97,B884))*(1+INDEX($AD$21:$AD$97,C884))*(1+INDEX($AD$21:$AD$97,D884))*(1+INDEX($AD$21:$AD$97,E884))*(1+INDEX($AD$21:$AD$97,F884))-1</f>
        <v>0.198104803204819</v>
      </c>
      <c r="N884" s="489">
        <f>(1+INDEX($AE$21:$AE$97,B884))*(1+INDEX($AE$21:$AE$97,C884))*(1+INDEX($AE$21:$AE$97,D884))*(1+INDEX($AE$21:$AE$97,E884))*(1+INDEX($AE$21:$AE$97,F884))-1</f>
        <v>0.225112494746203</v>
      </c>
      <c r="O884" s="489">
        <f>(1+INDEX($AF$21:$AF$97,B884))*(1+INDEX($AF$21:$AF$97,C884))*(1+INDEX($AF$21:$AF$97,D884))*(1+INDEX($AF$21:$AF$97,E884))*(1+INDEX($AF$21:$AF$97,F884))-1</f>
        <v>0.185641197540483</v>
      </c>
      <c r="P884" s="489">
        <f>LN((1+L884)/(1+H884))</f>
        <v>0.0187238486781402</v>
      </c>
      <c r="Q884" s="489">
        <f>LN((1+M884)/(1+H884))</f>
        <v>-0.0103109541783518</v>
      </c>
      <c r="R884" s="489">
        <f>LN((1+N884)/(1+H884))</f>
        <v>0.0119807403739027</v>
      </c>
      <c r="S884" s="542">
        <f>LN((1+O884)/(1+H884))</f>
        <v>-0.0207682086334579</v>
      </c>
    </row>
    <row r="885">
      <c r="A885" s="320" t="n">
        <v>784</v>
      </c>
      <c r="B885" s="174" t="n">
        <v>33</v>
      </c>
      <c r="C885" s="174" t="n">
        <v>74</v>
      </c>
      <c r="D885" s="174" t="n">
        <v>67</v>
      </c>
      <c r="E885" s="174" t="n">
        <v>60</v>
      </c>
      <c r="F885" s="174" t="n">
        <v>6</v>
      </c>
      <c r="G885" s="68">
        <f>(1+INDEX($Z$21:$Z$97,B885))*(1+INDEX($Z$21:$Z$97,C885))*(1+INDEX($Z$21:$Z$97,D885))*(1+INDEX($Z$21:$Z$97,E885))*(1+INDEX($Z$21:$Z$97,F885))-1</f>
        <v>0.515887207964472</v>
      </c>
      <c r="H885" s="68">
        <f>(1+INDEX($AA$21:$AA$97,B885))*(1+INDEX($AA$21:$AA$97,C885))*(1+INDEX($AA$21:$AA$97,D885))*(1+INDEX($AA$21:$AA$97,E885))*(1+INDEX($AA$21:$AA$97,F885))-1</f>
        <v>0.556665651142668</v>
      </c>
      <c r="I885" s="68">
        <f>(1+INDEX($AB$21:$AB$97,B885))*(1+INDEX($AB$21:$AB$97,C885))*(1+INDEX($AB$21:$AB$97,D885))*(1+INDEX($AB$21:$AB$97,E885))*(1+INDEX($AB$21:$AB$97,F885))-1</f>
        <v>0.571867707723009</v>
      </c>
      <c r="J885" s="489">
        <f>LN((1+G885)/(1+H885))</f>
        <v>-0.0265452472681681</v>
      </c>
      <c r="K885" s="489">
        <f>LN((1+I885)/(1+H885))</f>
        <v>0.00971840443165693</v>
      </c>
      <c r="L885" s="489">
        <f>(1+INDEX($AC$21:$AC$97,B885))*(1+INDEX($AC$21:$AC$97,C885))*(1+INDEX($AC$21:$AC$97,D885))*(1+INDEX($AC$21:$AC$97,E885))*(1+INDEX($AC$21:$AC$97,F885))-1</f>
        <v>0.593724088648737</v>
      </c>
      <c r="M885" s="489">
        <f>(1+INDEX($AD$21:$AD$97,B885))*(1+INDEX($AD$21:$AD$97,C885))*(1+INDEX($AD$21:$AD$97,D885))*(1+INDEX($AD$21:$AD$97,E885))*(1+INDEX($AD$21:$AD$97,F885))-1</f>
        <v>0.53196169215442</v>
      </c>
      <c r="N885" s="489">
        <f>(1+INDEX($AE$21:$AE$97,B885))*(1+INDEX($AE$21:$AE$97,C885))*(1+INDEX($AE$21:$AE$97,D885))*(1+INDEX($AE$21:$AE$97,E885))*(1+INDEX($AE$21:$AE$97,F885))-1</f>
        <v>0.594818767244606</v>
      </c>
      <c r="O885" s="489">
        <f>(1+INDEX($AF$21:$AF$97,B885))*(1+INDEX($AF$21:$AF$97,C885))*(1+INDEX($AF$21:$AF$97,D885))*(1+INDEX($AF$21:$AF$97,E885))*(1+INDEX($AF$21:$AF$97,F885))-1</f>
        <v>0.487947198996169</v>
      </c>
      <c r="P885" s="489">
        <f>LN((1+L885)/(1+H885))</f>
        <v>0.0235273410480755</v>
      </c>
      <c r="Q885" s="489">
        <f>LN((1+M885)/(1+H885))</f>
        <v>-0.015997064756976</v>
      </c>
      <c r="R885" s="489">
        <f>LN((1+N885)/(1+H885))</f>
        <v>0.0242139735873586</v>
      </c>
      <c r="S885" s="542">
        <f>LN((1+O885)/(1+H885))</f>
        <v>-0.0451486794058825</v>
      </c>
    </row>
    <row r="886">
      <c r="A886" s="320" t="n">
        <v>785</v>
      </c>
      <c r="B886" s="174" t="n">
        <v>25</v>
      </c>
      <c r="C886" s="174" t="n">
        <v>16</v>
      </c>
      <c r="D886" s="174" t="n">
        <v>19</v>
      </c>
      <c r="E886" s="174" t="n">
        <v>69</v>
      </c>
      <c r="F886" s="174" t="n">
        <v>15</v>
      </c>
      <c r="G886" s="68">
        <f>(1+INDEX($Z$21:$Z$97,B886))*(1+INDEX($Z$21:$Z$97,C886))*(1+INDEX($Z$21:$Z$97,D886))*(1+INDEX($Z$21:$Z$97,E886))*(1+INDEX($Z$21:$Z$97,F886))-1</f>
        <v>0.33245309714226</v>
      </c>
      <c r="H886" s="68">
        <f>(1+INDEX($AA$21:$AA$97,B886))*(1+INDEX($AA$21:$AA$97,C886))*(1+INDEX($AA$21:$AA$97,D886))*(1+INDEX($AA$21:$AA$97,E886))*(1+INDEX($AA$21:$AA$97,F886))-1</f>
        <v>0.292204294846117</v>
      </c>
      <c r="I886" s="68">
        <f>(1+INDEX($AB$21:$AB$97,B886))*(1+INDEX($AB$21:$AB$97,C886))*(1+INDEX($AB$21:$AB$97,D886))*(1+INDEX($AB$21:$AB$97,E886))*(1+INDEX($AB$21:$AB$97,F886))-1</f>
        <v>0.305877061664624</v>
      </c>
      <c r="J886" s="489">
        <f>LN((1+G886)/(1+H886))</f>
        <v>0.0306721614893833</v>
      </c>
      <c r="K886" s="489">
        <f>LN((1+I886)/(1+H886))</f>
        <v>0.0105253771291624</v>
      </c>
      <c r="L886" s="489">
        <f>(1+INDEX($AC$21:$AC$97,B886))*(1+INDEX($AC$21:$AC$97,C886))*(1+INDEX($AC$21:$AC$97,D886))*(1+INDEX($AC$21:$AC$97,E886))*(1+INDEX($AC$21:$AC$97,F886))-1</f>
        <v>0.281893261854697</v>
      </c>
      <c r="M886" s="489">
        <f>(1+INDEX($AD$21:$AD$97,B886))*(1+INDEX($AD$21:$AD$97,C886))*(1+INDEX($AD$21:$AD$97,D886))*(1+INDEX($AD$21:$AD$97,E886))*(1+INDEX($AD$21:$AD$97,F886))-1</f>
        <v>0.309765014266904</v>
      </c>
      <c r="N886" s="489">
        <f>(1+INDEX($AE$21:$AE$97,B886))*(1+INDEX($AE$21:$AE$97,C886))*(1+INDEX($AE$21:$AE$97,D886))*(1+INDEX($AE$21:$AE$97,E886))*(1+INDEX($AE$21:$AE$97,F886))-1</f>
        <v>0.281437856448876</v>
      </c>
      <c r="O886" s="489">
        <f>(1+INDEX($AF$21:$AF$97,B886))*(1+INDEX($AF$21:$AF$97,C886))*(1+INDEX($AF$21:$AF$97,D886))*(1+INDEX($AF$21:$AF$97,E886))*(1+INDEX($AF$21:$AF$97,F886))-1</f>
        <v>0.316010129221514</v>
      </c>
      <c r="P886" s="489">
        <f>LN((1+L886)/(1+H886))</f>
        <v>-0.00801141985765655</v>
      </c>
      <c r="Q886" s="489">
        <f>LN((1+M886)/(1+H886))</f>
        <v>0.0134982268944105</v>
      </c>
      <c r="R886" s="489">
        <f>LN((1+N886)/(1+H886))</f>
        <v>-0.0083667429818217</v>
      </c>
      <c r="S886" s="542">
        <f>LN((1+O886)/(1+H886))</f>
        <v>0.018255014044133</v>
      </c>
    </row>
    <row r="887">
      <c r="A887" s="320" t="n">
        <v>786</v>
      </c>
      <c r="B887" s="174" t="n">
        <v>26</v>
      </c>
      <c r="C887" s="174" t="n">
        <v>56</v>
      </c>
      <c r="D887" s="174" t="n">
        <v>62</v>
      </c>
      <c r="E887" s="174" t="n">
        <v>38</v>
      </c>
      <c r="F887" s="174" t="n">
        <v>63</v>
      </c>
      <c r="G887" s="68">
        <f>(1+INDEX($Z$21:$Z$97,B887))*(1+INDEX($Z$21:$Z$97,C887))*(1+INDEX($Z$21:$Z$97,D887))*(1+INDEX($Z$21:$Z$97,E887))*(1+INDEX($Z$21:$Z$97,F887))-1</f>
        <v>0.0880097177547077</v>
      </c>
      <c r="H887" s="68">
        <f>(1+INDEX($AA$21:$AA$97,B887))*(1+INDEX($AA$21:$AA$97,C887))*(1+INDEX($AA$21:$AA$97,D887))*(1+INDEX($AA$21:$AA$97,E887))*(1+INDEX($AA$21:$AA$97,F887))-1</f>
        <v>0.0801866781366714</v>
      </c>
      <c r="I887" s="68">
        <f>(1+INDEX($AB$21:$AB$97,B887))*(1+INDEX($AB$21:$AB$97,C887))*(1+INDEX($AB$21:$AB$97,D887))*(1+INDEX($AB$21:$AB$97,E887))*(1+INDEX($AB$21:$AB$97,F887))-1</f>
        <v>0.0994088608392123</v>
      </c>
      <c r="J887" s="489">
        <f>LN((1+G887)/(1+H887))</f>
        <v>0.00721620382789052</v>
      </c>
      <c r="K887" s="489">
        <f>LN((1+I887)/(1+H887))</f>
        <v>0.017638759790707</v>
      </c>
      <c r="L887" s="489">
        <f>(1+INDEX($AC$21:$AC$97,B887))*(1+INDEX($AC$21:$AC$97,C887))*(1+INDEX($AC$21:$AC$97,D887))*(1+INDEX($AC$21:$AC$97,E887))*(1+INDEX($AC$21:$AC$97,F887))-1</f>
        <v>0.104169329512682</v>
      </c>
      <c r="M887" s="489">
        <f>(1+INDEX($AD$21:$AD$97,B887))*(1+INDEX($AD$21:$AD$97,C887))*(1+INDEX($AD$21:$AD$97,D887))*(1+INDEX($AD$21:$AD$97,E887))*(1+INDEX($AD$21:$AD$97,F887))-1</f>
        <v>0.0727536455816176</v>
      </c>
      <c r="N887" s="489">
        <f>(1+INDEX($AE$21:$AE$97,B887))*(1+INDEX($AE$21:$AE$97,C887))*(1+INDEX($AE$21:$AE$97,D887))*(1+INDEX($AE$21:$AE$97,E887))*(1+INDEX($AE$21:$AE$97,F887))-1</f>
        <v>0.0986950174397256</v>
      </c>
      <c r="O887" s="489">
        <f>(1+INDEX($AF$21:$AF$97,B887))*(1+INDEX($AF$21:$AF$97,C887))*(1+INDEX($AF$21:$AF$97,D887))*(1+INDEX($AF$21:$AF$97,E887))*(1+INDEX($AF$21:$AF$97,F887))-1</f>
        <v>0.0604648957804583</v>
      </c>
      <c r="P887" s="489">
        <f>LN((1+L887)/(1+H887))</f>
        <v>0.0219594379496365</v>
      </c>
      <c r="Q887" s="489">
        <f>LN((1+M887)/(1+H887))</f>
        <v>-0.00690503309054845</v>
      </c>
      <c r="R887" s="489">
        <f>LN((1+N887)/(1+H887))</f>
        <v>0.0169892514288539</v>
      </c>
      <c r="S887" s="542">
        <f>LN((1+O887)/(1+H887))</f>
        <v>-0.0184264834253798</v>
      </c>
    </row>
    <row r="888">
      <c r="A888" s="320" t="n">
        <v>787</v>
      </c>
      <c r="B888" s="174" t="n">
        <v>62</v>
      </c>
      <c r="C888" s="174" t="n">
        <v>67</v>
      </c>
      <c r="D888" s="174" t="n">
        <v>47</v>
      </c>
      <c r="E888" s="174" t="n">
        <v>22</v>
      </c>
      <c r="F888" s="174" t="n">
        <v>39</v>
      </c>
      <c r="G888" s="68">
        <f>(1+INDEX($Z$21:$Z$97,B888))*(1+INDEX($Z$21:$Z$97,C888))*(1+INDEX($Z$21:$Z$97,D888))*(1+INDEX($Z$21:$Z$97,E888))*(1+INDEX($Z$21:$Z$97,F888))-1</f>
        <v>0.266545910705033</v>
      </c>
      <c r="H888" s="68">
        <f>(1+INDEX($AA$21:$AA$97,B888))*(1+INDEX($AA$21:$AA$97,C888))*(1+INDEX($AA$21:$AA$97,D888))*(1+INDEX($AA$21:$AA$97,E888))*(1+INDEX($AA$21:$AA$97,F888))-1</f>
        <v>0.262663732309871</v>
      </c>
      <c r="I888" s="68">
        <f>(1+INDEX($AB$21:$AB$97,B888))*(1+INDEX($AB$21:$AB$97,C888))*(1+INDEX($AB$21:$AB$97,D888))*(1+INDEX($AB$21:$AB$97,E888))*(1+INDEX($AB$21:$AB$97,F888))-1</f>
        <v>0.275849168755411</v>
      </c>
      <c r="J888" s="489">
        <f>LN((1+G888)/(1+H888))</f>
        <v>0.00306987714896244</v>
      </c>
      <c r="K888" s="489">
        <f>LN((1+I888)/(1+H888))</f>
        <v>0.0103884089143402</v>
      </c>
      <c r="L888" s="489">
        <f>(1+INDEX($AC$21:$AC$97,B888))*(1+INDEX($AC$21:$AC$97,C888))*(1+INDEX($AC$21:$AC$97,D888))*(1+INDEX($AC$21:$AC$97,E888))*(1+INDEX($AC$21:$AC$97,F888))-1</f>
        <v>0.283698637914803</v>
      </c>
      <c r="M888" s="489">
        <f>(1+INDEX($AD$21:$AD$97,B888))*(1+INDEX($AD$21:$AD$97,C888))*(1+INDEX($AD$21:$AD$97,D888))*(1+INDEX($AD$21:$AD$97,E888))*(1+INDEX($AD$21:$AD$97,F888))-1</f>
        <v>0.246183920929294</v>
      </c>
      <c r="N888" s="489">
        <f>(1+INDEX($AE$21:$AE$97,B888))*(1+INDEX($AE$21:$AE$97,C888))*(1+INDEX($AE$21:$AE$97,D888))*(1+INDEX($AE$21:$AE$97,E888))*(1+INDEX($AE$21:$AE$97,F888))-1</f>
        <v>0.282565829360309</v>
      </c>
      <c r="O888" s="489">
        <f>(1+INDEX($AF$21:$AF$97,B888))*(1+INDEX($AF$21:$AF$97,C888))*(1+INDEX($AF$21:$AF$97,D888))*(1+INDEX($AF$21:$AF$97,E888))*(1+INDEX($AF$21:$AF$97,F888))-1</f>
        <v>0.24000034742655</v>
      </c>
      <c r="P888" s="489">
        <f>LN((1+L888)/(1+H888))</f>
        <v>0.0165219093294476</v>
      </c>
      <c r="Q888" s="489">
        <f>LN((1+M888)/(1+H888))</f>
        <v>-0.0131375441521629</v>
      </c>
      <c r="R888" s="489">
        <f>LN((1+N888)/(1+H888))</f>
        <v>0.0156390629646106</v>
      </c>
      <c r="S888" s="542">
        <f>LN((1+O888)/(1+H888))</f>
        <v>-0.0181119029171975</v>
      </c>
    </row>
    <row r="889">
      <c r="A889" s="320" t="n">
        <v>788</v>
      </c>
      <c r="B889" s="174" t="n">
        <v>22</v>
      </c>
      <c r="C889" s="174" t="n">
        <v>32</v>
      </c>
      <c r="D889" s="174" t="n">
        <v>54</v>
      </c>
      <c r="E889" s="174" t="n">
        <v>75</v>
      </c>
      <c r="F889" s="174" t="n">
        <v>36</v>
      </c>
      <c r="G889" s="68">
        <f>(1+INDEX($Z$21:$Z$97,B889))*(1+INDEX($Z$21:$Z$97,C889))*(1+INDEX($Z$21:$Z$97,D889))*(1+INDEX($Z$21:$Z$97,E889))*(1+INDEX($Z$21:$Z$97,F889))-1</f>
        <v>0.307584542104798</v>
      </c>
      <c r="H889" s="68">
        <f>(1+INDEX($AA$21:$AA$97,B889))*(1+INDEX($AA$21:$AA$97,C889))*(1+INDEX($AA$21:$AA$97,D889))*(1+INDEX($AA$21:$AA$97,E889))*(1+INDEX($AA$21:$AA$97,F889))-1</f>
        <v>0.326857986428534</v>
      </c>
      <c r="I889" s="68">
        <f>(1+INDEX($AB$21:$AB$97,B889))*(1+INDEX($AB$21:$AB$97,C889))*(1+INDEX($AB$21:$AB$97,D889))*(1+INDEX($AB$21:$AB$97,E889))*(1+INDEX($AB$21:$AB$97,F889))-1</f>
        <v>0.357548335466075</v>
      </c>
      <c r="J889" s="489">
        <f>LN((1+G889)/(1+H889))</f>
        <v>-0.0146321568864383</v>
      </c>
      <c r="K889" s="489">
        <f>LN((1+I889)/(1+H889))</f>
        <v>0.022866647321958</v>
      </c>
      <c r="L889" s="489">
        <f>(1+INDEX($AC$21:$AC$97,B889))*(1+INDEX($AC$21:$AC$97,C889))*(1+INDEX($AC$21:$AC$97,D889))*(1+INDEX($AC$21:$AC$97,E889))*(1+INDEX($AC$21:$AC$97,F889))-1</f>
        <v>0.333846024493687</v>
      </c>
      <c r="M889" s="489">
        <f>(1+INDEX($AD$21:$AD$97,B889))*(1+INDEX($AD$21:$AD$97,C889))*(1+INDEX($AD$21:$AD$97,D889))*(1+INDEX($AD$21:$AD$97,E889))*(1+INDEX($AD$21:$AD$97,F889))-1</f>
        <v>0.38269665449871</v>
      </c>
      <c r="N889" s="489">
        <f>(1+INDEX($AE$21:$AE$97,B889))*(1+INDEX($AE$21:$AE$97,C889))*(1+INDEX($AE$21:$AE$97,D889))*(1+INDEX($AE$21:$AE$97,E889))*(1+INDEX($AE$21:$AE$97,F889))-1</f>
        <v>0.331229969087423</v>
      </c>
      <c r="O889" s="489">
        <f>(1+INDEX($AF$21:$AF$97,B889))*(1+INDEX($AF$21:$AF$97,C889))*(1+INDEX($AF$21:$AF$97,D889))*(1+INDEX($AF$21:$AF$97,E889))*(1+INDEX($AF$21:$AF$97,F889))-1</f>
        <v>0.342613008746785</v>
      </c>
      <c r="P889" s="489">
        <f>LN((1+L889)/(1+H889))</f>
        <v>0.00525278580717528</v>
      </c>
      <c r="Q889" s="489">
        <f>LN((1+M889)/(1+H889))</f>
        <v>0.0412219587604709</v>
      </c>
      <c r="R889" s="489">
        <f>LN((1+N889)/(1+H889))</f>
        <v>0.00328957256087412</v>
      </c>
      <c r="S889" s="542">
        <f>LN((1+O889)/(1+H889))</f>
        <v>0.011803990588956</v>
      </c>
    </row>
    <row r="890">
      <c r="A890" s="320" t="n">
        <v>789</v>
      </c>
      <c r="B890" s="174" t="n">
        <v>59</v>
      </c>
      <c r="C890" s="174" t="n">
        <v>69</v>
      </c>
      <c r="D890" s="174" t="n">
        <v>66</v>
      </c>
      <c r="E890" s="174" t="n">
        <v>11</v>
      </c>
      <c r="F890" s="174" t="n">
        <v>22</v>
      </c>
      <c r="G890" s="68">
        <f>(1+INDEX($Z$21:$Z$97,B890))*(1+INDEX($Z$21:$Z$97,C890))*(1+INDEX($Z$21:$Z$97,D890))*(1+INDEX($Z$21:$Z$97,E890))*(1+INDEX($Z$21:$Z$97,F890))-1</f>
        <v>0.528458239905965</v>
      </c>
      <c r="H890" s="68">
        <f>(1+INDEX($AA$21:$AA$97,B890))*(1+INDEX($AA$21:$AA$97,C890))*(1+INDEX($AA$21:$AA$97,D890))*(1+INDEX($AA$21:$AA$97,E890))*(1+INDEX($AA$21:$AA$97,F890))-1</f>
        <v>0.510648105009704</v>
      </c>
      <c r="I890" s="68">
        <f>(1+INDEX($AB$21:$AB$97,B890))*(1+INDEX($AB$21:$AB$97,C890))*(1+INDEX($AB$21:$AB$97,D890))*(1+INDEX($AB$21:$AB$97,E890))*(1+INDEX($AB$21:$AB$97,F890))-1</f>
        <v>0.505523813464126</v>
      </c>
      <c r="J890" s="489">
        <f>LN((1+G890)/(1+H890))</f>
        <v>0.0117207736522999</v>
      </c>
      <c r="K890" s="489">
        <f>LN((1+I890)/(1+H890))</f>
        <v>-0.00339788089958729</v>
      </c>
      <c r="L890" s="489">
        <f>(1+INDEX($AC$21:$AC$97,B890))*(1+INDEX($AC$21:$AC$97,C890))*(1+INDEX($AC$21:$AC$97,D890))*(1+INDEX($AC$21:$AC$97,E890))*(1+INDEX($AC$21:$AC$97,F890))-1</f>
        <v>0.522863347115266</v>
      </c>
      <c r="M890" s="489">
        <f>(1+INDEX($AD$21:$AD$97,B890))*(1+INDEX($AD$21:$AD$97,C890))*(1+INDEX($AD$21:$AD$97,D890))*(1+INDEX($AD$21:$AD$97,E890))*(1+INDEX($AD$21:$AD$97,F890))-1</f>
        <v>0.508218696372032</v>
      </c>
      <c r="N890" s="489">
        <f>(1+INDEX($AE$21:$AE$97,B890))*(1+INDEX($AE$21:$AE$97,C890))*(1+INDEX($AE$21:$AE$97,D890))*(1+INDEX($AE$21:$AE$97,E890))*(1+INDEX($AE$21:$AE$97,F890))-1</f>
        <v>0.536476195294377</v>
      </c>
      <c r="O890" s="489">
        <f>(1+INDEX($AF$21:$AF$97,B890))*(1+INDEX($AF$21:$AF$97,C890))*(1+INDEX($AF$21:$AF$97,D890))*(1+INDEX($AF$21:$AF$97,E890))*(1+INDEX($AF$21:$AF$97,F890))-1</f>
        <v>0.526971747514473</v>
      </c>
      <c r="P890" s="489">
        <f>LN((1+L890)/(1+H890))</f>
        <v>0.00805357640592525</v>
      </c>
      <c r="Q890" s="489">
        <f>LN((1+M890)/(1+H890))</f>
        <v>-0.00160948416869315</v>
      </c>
      <c r="R890" s="489">
        <f>LN((1+N890)/(1+H890))</f>
        <v>0.016952842297536</v>
      </c>
      <c r="S890" s="542">
        <f>LN((1+O890)/(1+H890))</f>
        <v>0.0107477567513126</v>
      </c>
    </row>
    <row r="891">
      <c r="A891" s="320" t="n">
        <v>790</v>
      </c>
      <c r="B891" s="174" t="n">
        <v>41</v>
      </c>
      <c r="C891" s="174" t="n">
        <v>6</v>
      </c>
      <c r="D891" s="174" t="n">
        <v>24</v>
      </c>
      <c r="E891" s="174" t="n">
        <v>55</v>
      </c>
      <c r="F891" s="174" t="n">
        <v>40</v>
      </c>
      <c r="G891" s="68">
        <f>(1+INDEX($Z$21:$Z$97,B891))*(1+INDEX($Z$21:$Z$97,C891))*(1+INDEX($Z$21:$Z$97,D891))*(1+INDEX($Z$21:$Z$97,E891))*(1+INDEX($Z$21:$Z$97,F891))-1</f>
        <v>0.168208145404023</v>
      </c>
      <c r="H891" s="68">
        <f>(1+INDEX($AA$21:$AA$97,B891))*(1+INDEX($AA$21:$AA$97,C891))*(1+INDEX($AA$21:$AA$97,D891))*(1+INDEX($AA$21:$AA$97,E891))*(1+INDEX($AA$21:$AA$97,F891))-1</f>
        <v>0.182483435987965</v>
      </c>
      <c r="I891" s="68">
        <f>(1+INDEX($AB$21:$AB$97,B891))*(1+INDEX($AB$21:$AB$97,C891))*(1+INDEX($AB$21:$AB$97,D891))*(1+INDEX($AB$21:$AB$97,E891))*(1+INDEX($AB$21:$AB$97,F891))-1</f>
        <v>0.180480651395672</v>
      </c>
      <c r="J891" s="489">
        <f>LN((1+G891)/(1+H891))</f>
        <v>-0.0121457584540343</v>
      </c>
      <c r="K891" s="489">
        <f>LN((1+I891)/(1+H891))</f>
        <v>-0.00169514643288286</v>
      </c>
      <c r="L891" s="489">
        <f>(1+INDEX($AC$21:$AC$97,B891))*(1+INDEX($AC$21:$AC$97,C891))*(1+INDEX($AC$21:$AC$97,D891))*(1+INDEX($AC$21:$AC$97,E891))*(1+INDEX($AC$21:$AC$97,F891))-1</f>
        <v>0.176867754054621</v>
      </c>
      <c r="M891" s="489">
        <f>(1+INDEX($AD$21:$AD$97,B891))*(1+INDEX($AD$21:$AD$97,C891))*(1+INDEX($AD$21:$AD$97,D891))*(1+INDEX($AD$21:$AD$97,E891))*(1+INDEX($AD$21:$AD$97,F891))-1</f>
        <v>0.17253414650194</v>
      </c>
      <c r="N891" s="489">
        <f>(1+INDEX($AE$21:$AE$97,B891))*(1+INDEX($AE$21:$AE$97,C891))*(1+INDEX($AE$21:$AE$97,D891))*(1+INDEX($AE$21:$AE$97,E891))*(1+INDEX($AE$21:$AE$97,F891))-1</f>
        <v>0.148239382961329</v>
      </c>
      <c r="O891" s="489">
        <f>(1+INDEX($AF$21:$AF$97,B891))*(1+INDEX($AF$21:$AF$97,C891))*(1+INDEX($AF$21:$AF$97,D891))*(1+INDEX($AF$21:$AF$97,E891))*(1+INDEX($AF$21:$AF$97,F891))-1</f>
        <v>0.215080573795596</v>
      </c>
      <c r="P891" s="489">
        <f>LN((1+L891)/(1+H891))</f>
        <v>-0.00476037019147108</v>
      </c>
      <c r="Q891" s="489">
        <f>LN((1+M891)/(1+H891))</f>
        <v>-0.00844948993428188</v>
      </c>
      <c r="R891" s="489">
        <f>LN((1+N891)/(1+H891))</f>
        <v>-0.0293870357616158</v>
      </c>
      <c r="S891" s="542">
        <f>LN((1+O891)/(1+H891))</f>
        <v>0.0271935568101883</v>
      </c>
    </row>
    <row r="892">
      <c r="A892" s="320" t="n">
        <v>791</v>
      </c>
      <c r="B892" s="174" t="n">
        <v>69</v>
      </c>
      <c r="C892" s="174" t="n">
        <v>68</v>
      </c>
      <c r="D892" s="174" t="n">
        <v>22</v>
      </c>
      <c r="E892" s="174" t="n">
        <v>69</v>
      </c>
      <c r="F892" s="174" t="n">
        <v>63</v>
      </c>
      <c r="G892" s="68">
        <f>(1+INDEX($Z$21:$Z$97,B892))*(1+INDEX($Z$21:$Z$97,C892))*(1+INDEX($Z$21:$Z$97,D892))*(1+INDEX($Z$21:$Z$97,E892))*(1+INDEX($Z$21:$Z$97,F892))-1</f>
        <v>0.348774201170647</v>
      </c>
      <c r="H892" s="68">
        <f>(1+INDEX($AA$21:$AA$97,B892))*(1+INDEX($AA$21:$AA$97,C892))*(1+INDEX($AA$21:$AA$97,D892))*(1+INDEX($AA$21:$AA$97,E892))*(1+INDEX($AA$21:$AA$97,F892))-1</f>
        <v>0.37183332191445</v>
      </c>
      <c r="I892" s="68">
        <f>(1+INDEX($AB$21:$AB$97,B892))*(1+INDEX($AB$21:$AB$97,C892))*(1+INDEX($AB$21:$AB$97,D892))*(1+INDEX($AB$21:$AB$97,E892))*(1+INDEX($AB$21:$AB$97,F892))-1</f>
        <v>0.391634373992992</v>
      </c>
      <c r="J892" s="489">
        <f>LN((1+G892)/(1+H892))</f>
        <v>-0.0169518556020758</v>
      </c>
      <c r="K892" s="489">
        <f>LN((1+I892)/(1+H892))</f>
        <v>0.0143308286104319</v>
      </c>
      <c r="L892" s="489">
        <f>(1+INDEX($AC$21:$AC$97,B892))*(1+INDEX($AC$21:$AC$97,C892))*(1+INDEX($AC$21:$AC$97,D892))*(1+INDEX($AC$21:$AC$97,E892))*(1+INDEX($AC$21:$AC$97,F892))-1</f>
        <v>0.400210994061137</v>
      </c>
      <c r="M892" s="489">
        <f>(1+INDEX($AD$21:$AD$97,B892))*(1+INDEX($AD$21:$AD$97,C892))*(1+INDEX($AD$21:$AD$97,D892))*(1+INDEX($AD$21:$AD$97,E892))*(1+INDEX($AD$21:$AD$97,F892))-1</f>
        <v>0.363044191144241</v>
      </c>
      <c r="N892" s="489">
        <f>(1+INDEX($AE$21:$AE$97,B892))*(1+INDEX($AE$21:$AE$97,C892))*(1+INDEX($AE$21:$AE$97,D892))*(1+INDEX($AE$21:$AE$97,E892))*(1+INDEX($AE$21:$AE$97,F892))-1</f>
        <v>0.415472007504921</v>
      </c>
      <c r="O892" s="489">
        <f>(1+INDEX($AF$21:$AF$97,B892))*(1+INDEX($AF$21:$AF$97,C892))*(1+INDEX($AF$21:$AF$97,D892))*(1+INDEX($AF$21:$AF$97,E892))*(1+INDEX($AF$21:$AF$97,F892))-1</f>
        <v>0.349511595201736</v>
      </c>
      <c r="P892" s="489">
        <f>LN((1+L892)/(1+H892))</f>
        <v>0.0204748988706249</v>
      </c>
      <c r="Q892" s="489">
        <f>LN((1+M892)/(1+H892))</f>
        <v>-0.0064274622804622</v>
      </c>
      <c r="R892" s="489">
        <f>LN((1+N892)/(1+H892))</f>
        <v>0.031315013241479</v>
      </c>
      <c r="S892" s="542">
        <f>LN((1+O892)/(1+H892))</f>
        <v>-0.0164052907790034</v>
      </c>
    </row>
    <row r="893">
      <c r="A893" s="320" t="n">
        <v>792</v>
      </c>
      <c r="B893" s="174" t="n">
        <v>60</v>
      </c>
      <c r="C893" s="174" t="n">
        <v>72</v>
      </c>
      <c r="D893" s="174" t="n">
        <v>5</v>
      </c>
      <c r="E893" s="174" t="n">
        <v>63</v>
      </c>
      <c r="F893" s="174" t="n">
        <v>71</v>
      </c>
      <c r="G893" s="68">
        <f>(1+INDEX($Z$21:$Z$97,B893))*(1+INDEX($Z$21:$Z$97,C893))*(1+INDEX($Z$21:$Z$97,D893))*(1+INDEX($Z$21:$Z$97,E893))*(1+INDEX($Z$21:$Z$97,F893))-1</f>
        <v>0.309841715624808</v>
      </c>
      <c r="H893" s="68">
        <f>(1+INDEX($AA$21:$AA$97,B893))*(1+INDEX($AA$21:$AA$97,C893))*(1+INDEX($AA$21:$AA$97,D893))*(1+INDEX($AA$21:$AA$97,E893))*(1+INDEX($AA$21:$AA$97,F893))-1</f>
        <v>0.339916046117163</v>
      </c>
      <c r="I893" s="68">
        <f>(1+INDEX($AB$21:$AB$97,B893))*(1+INDEX($AB$21:$AB$97,C893))*(1+INDEX($AB$21:$AB$97,D893))*(1+INDEX($AB$21:$AB$97,E893))*(1+INDEX($AB$21:$AB$97,F893))-1</f>
        <v>0.352438203935147</v>
      </c>
      <c r="J893" s="489">
        <f>LN((1+G893)/(1+H893))</f>
        <v>-0.0227006577032459</v>
      </c>
      <c r="K893" s="489">
        <f>LN((1+I893)/(1+H893))</f>
        <v>0.00930208059466907</v>
      </c>
      <c r="L893" s="489">
        <f>(1+INDEX($AC$21:$AC$97,B893))*(1+INDEX($AC$21:$AC$97,C893))*(1+INDEX($AC$21:$AC$97,D893))*(1+INDEX($AC$21:$AC$97,E893))*(1+INDEX($AC$21:$AC$97,F893))-1</f>
        <v>0.372880722072186</v>
      </c>
      <c r="M893" s="489">
        <f>(1+INDEX($AD$21:$AD$97,B893))*(1+INDEX($AD$21:$AD$97,C893))*(1+INDEX($AD$21:$AD$97,D893))*(1+INDEX($AD$21:$AD$97,E893))*(1+INDEX($AD$21:$AD$97,F893))-1</f>
        <v>0.305879370052143</v>
      </c>
      <c r="N893" s="489">
        <f>(1+INDEX($AE$21:$AE$97,B893))*(1+INDEX($AE$21:$AE$97,C893))*(1+INDEX($AE$21:$AE$97,D893))*(1+INDEX($AE$21:$AE$97,E893))*(1+INDEX($AE$21:$AE$97,F893))-1</f>
        <v>0.373318609990611</v>
      </c>
      <c r="O893" s="489">
        <f>(1+INDEX($AF$21:$AF$97,B893))*(1+INDEX($AF$21:$AF$97,C893))*(1+INDEX($AF$21:$AF$97,D893))*(1+INDEX($AF$21:$AF$97,E893))*(1+INDEX($AF$21:$AF$97,F893))-1</f>
        <v>0.278463896826225</v>
      </c>
      <c r="P893" s="489">
        <f>LN((1+L893)/(1+H893))</f>
        <v>0.0243042892173849</v>
      </c>
      <c r="Q893" s="489">
        <f>LN((1+M893)/(1+H893))</f>
        <v>-0.0257302992236168</v>
      </c>
      <c r="R893" s="489">
        <f>LN((1+N893)/(1+H893))</f>
        <v>0.0246231939065123</v>
      </c>
      <c r="S893" s="542">
        <f>LN((1+O893)/(1+H893))</f>
        <v>-0.0469476831950706</v>
      </c>
    </row>
    <row r="894">
      <c r="A894" s="320" t="n">
        <v>793</v>
      </c>
      <c r="B894" s="174" t="n">
        <v>72</v>
      </c>
      <c r="C894" s="174" t="n">
        <v>44</v>
      </c>
      <c r="D894" s="174" t="n">
        <v>10</v>
      </c>
      <c r="E894" s="174" t="n">
        <v>48</v>
      </c>
      <c r="F894" s="174" t="n">
        <v>58</v>
      </c>
      <c r="G894" s="68">
        <f>(1+INDEX($Z$21:$Z$97,B894))*(1+INDEX($Z$21:$Z$97,C894))*(1+INDEX($Z$21:$Z$97,D894))*(1+INDEX($Z$21:$Z$97,E894))*(1+INDEX($Z$21:$Z$97,F894))-1</f>
        <v>0.290499227280116</v>
      </c>
      <c r="H894" s="68">
        <f>(1+INDEX($AA$21:$AA$97,B894))*(1+INDEX($AA$21:$AA$97,C894))*(1+INDEX($AA$21:$AA$97,D894))*(1+INDEX($AA$21:$AA$97,E894))*(1+INDEX($AA$21:$AA$97,F894))-1</f>
        <v>0.324693612526938</v>
      </c>
      <c r="I894" s="68">
        <f>(1+INDEX($AB$21:$AB$97,B894))*(1+INDEX($AB$21:$AB$97,C894))*(1+INDEX($AB$21:$AB$97,D894))*(1+INDEX($AB$21:$AB$97,E894))*(1+INDEX($AB$21:$AB$97,F894))-1</f>
        <v>0.33712654038152</v>
      </c>
      <c r="J894" s="489">
        <f>LN((1+G894)/(1+H894))</f>
        <v>-0.0261520554695594</v>
      </c>
      <c r="K894" s="489">
        <f>LN((1+I894)/(1+H894))</f>
        <v>0.00934174178327203</v>
      </c>
      <c r="L894" s="489">
        <f>(1+INDEX($AC$21:$AC$97,B894))*(1+INDEX($AC$21:$AC$97,C894))*(1+INDEX($AC$21:$AC$97,D894))*(1+INDEX($AC$21:$AC$97,E894))*(1+INDEX($AC$21:$AC$97,F894))-1</f>
        <v>0.33382348219555</v>
      </c>
      <c r="M894" s="489">
        <f>(1+INDEX($AD$21:$AD$97,B894))*(1+INDEX($AD$21:$AD$97,C894))*(1+INDEX($AD$21:$AD$97,D894))*(1+INDEX($AD$21:$AD$97,E894))*(1+INDEX($AD$21:$AD$97,F894))-1</f>
        <v>0.338834775632073</v>
      </c>
      <c r="N894" s="489">
        <f>(1+INDEX($AE$21:$AE$97,B894))*(1+INDEX($AE$21:$AE$97,C894))*(1+INDEX($AE$21:$AE$97,D894))*(1+INDEX($AE$21:$AE$97,E894))*(1+INDEX($AE$21:$AE$97,F894))-1</f>
        <v>0.326209225602522</v>
      </c>
      <c r="O894" s="489">
        <f>(1+INDEX($AF$21:$AF$97,B894))*(1+INDEX($AF$21:$AF$97,C894))*(1+INDEX($AF$21:$AF$97,D894))*(1+INDEX($AF$21:$AF$97,E894))*(1+INDEX($AF$21:$AF$97,F894))-1</f>
        <v>0.325175912546341</v>
      </c>
      <c r="P894" s="489">
        <f>LN((1+L894)/(1+H894))</f>
        <v>0.00686841967550386</v>
      </c>
      <c r="Q894" s="489">
        <f>LN((1+M894)/(1+H894))</f>
        <v>0.0106184683729804</v>
      </c>
      <c r="R894" s="489">
        <f>LN((1+N894)/(1+H894))</f>
        <v>0.00114346947683293</v>
      </c>
      <c r="S894" s="542">
        <f>LN((1+O894)/(1+H894))</f>
        <v>0.000364017941385003</v>
      </c>
    </row>
    <row r="895">
      <c r="A895" s="320" t="n">
        <v>794</v>
      </c>
      <c r="B895" s="174" t="n">
        <v>49</v>
      </c>
      <c r="C895" s="174" t="n">
        <v>26</v>
      </c>
      <c r="D895" s="174" t="n">
        <v>45</v>
      </c>
      <c r="E895" s="174" t="n">
        <v>18</v>
      </c>
      <c r="F895" s="174" t="n">
        <v>46</v>
      </c>
      <c r="G895" s="68">
        <f>(1+INDEX($Z$21:$Z$97,B895))*(1+INDEX($Z$21:$Z$97,C895))*(1+INDEX($Z$21:$Z$97,D895))*(1+INDEX($Z$21:$Z$97,E895))*(1+INDEX($Z$21:$Z$97,F895))-1</f>
        <v>0.602617323391009</v>
      </c>
      <c r="H895" s="68">
        <f>(1+INDEX($AA$21:$AA$97,B895))*(1+INDEX($AA$21:$AA$97,C895))*(1+INDEX($AA$21:$AA$97,D895))*(1+INDEX($AA$21:$AA$97,E895))*(1+INDEX($AA$21:$AA$97,F895))-1</f>
        <v>0.530020242281629</v>
      </c>
      <c r="I895" s="68">
        <f>(1+INDEX($AB$21:$AB$97,B895))*(1+INDEX($AB$21:$AB$97,C895))*(1+INDEX($AB$21:$AB$97,D895))*(1+INDEX($AB$21:$AB$97,E895))*(1+INDEX($AB$21:$AB$97,F895))-1</f>
        <v>0.61741282961515</v>
      </c>
      <c r="J895" s="489">
        <f>LN((1+G895)/(1+H895))</f>
        <v>0.0463571542910098</v>
      </c>
      <c r="K895" s="489">
        <f>LN((1+I895)/(1+H895))</f>
        <v>0.0555468883281591</v>
      </c>
      <c r="L895" s="489">
        <f>(1+INDEX($AC$21:$AC$97,B895))*(1+INDEX($AC$21:$AC$97,C895))*(1+INDEX($AC$21:$AC$97,D895))*(1+INDEX($AC$21:$AC$97,E895))*(1+INDEX($AC$21:$AC$97,F895))-1</f>
        <v>0.583682422117001</v>
      </c>
      <c r="M895" s="489">
        <f>(1+INDEX($AD$21:$AD$97,B895))*(1+INDEX($AD$21:$AD$97,C895))*(1+INDEX($AD$21:$AD$97,D895))*(1+INDEX($AD$21:$AD$97,E895))*(1+INDEX($AD$21:$AD$97,F895))-1</f>
        <v>0.590571357337092</v>
      </c>
      <c r="N895" s="489">
        <f>(1+INDEX($AE$21:$AE$97,B895))*(1+INDEX($AE$21:$AE$97,C895))*(1+INDEX($AE$21:$AE$97,D895))*(1+INDEX($AE$21:$AE$97,E895))*(1+INDEX($AE$21:$AE$97,F895))-1</f>
        <v>0.576400166263843</v>
      </c>
      <c r="O895" s="489">
        <f>(1+INDEX($AF$21:$AF$97,B895))*(1+INDEX($AF$21:$AF$97,C895))*(1+INDEX($AF$21:$AF$97,D895))*(1+INDEX($AF$21:$AF$97,E895))*(1+INDEX($AF$21:$AF$97,F895))-1</f>
        <v>0.556305412951844</v>
      </c>
      <c r="P895" s="489">
        <f>LN((1+L895)/(1+H895))</f>
        <v>0.0344718166372013</v>
      </c>
      <c r="Q895" s="489">
        <f>LN((1+M895)/(1+H895))</f>
        <v>0.0388123303543719</v>
      </c>
      <c r="R895" s="489">
        <f>LN((1+N895)/(1+H895))</f>
        <v>0.029862906243043</v>
      </c>
      <c r="S895" s="542">
        <f>LN((1+O895)/(1+H895))</f>
        <v>0.0170337217467651</v>
      </c>
    </row>
    <row r="896">
      <c r="A896" s="320" t="n">
        <v>795</v>
      </c>
      <c r="B896" s="174" t="n">
        <v>24</v>
      </c>
      <c r="C896" s="174" t="n">
        <v>24</v>
      </c>
      <c r="D896" s="174" t="n">
        <v>24</v>
      </c>
      <c r="E896" s="174" t="n">
        <v>25</v>
      </c>
      <c r="F896" s="174" t="n">
        <v>49</v>
      </c>
      <c r="G896" s="68">
        <f>(1+INDEX($Z$21:$Z$97,B896))*(1+INDEX($Z$21:$Z$97,C896))*(1+INDEX($Z$21:$Z$97,D896))*(1+INDEX($Z$21:$Z$97,E896))*(1+INDEX($Z$21:$Z$97,F896))-1</f>
        <v>0.906834531706335</v>
      </c>
      <c r="H896" s="68">
        <f>(1+INDEX($AA$21:$AA$97,B896))*(1+INDEX($AA$21:$AA$97,C896))*(1+INDEX($AA$21:$AA$97,D896))*(1+INDEX($AA$21:$AA$97,E896))*(1+INDEX($AA$21:$AA$97,F896))-1</f>
        <v>0.718566510935494</v>
      </c>
      <c r="I896" s="68">
        <f>(1+INDEX($AB$21:$AB$97,B896))*(1+INDEX($AB$21:$AB$97,C896))*(1+INDEX($AB$21:$AB$97,D896))*(1+INDEX($AB$21:$AB$97,E896))*(1+INDEX($AB$21:$AB$97,F896))-1</f>
        <v>0.847177651310627</v>
      </c>
      <c r="J896" s="489">
        <f>LN((1+G896)/(1+H896))</f>
        <v>0.103954034493041</v>
      </c>
      <c r="K896" s="489">
        <f>LN((1+I896)/(1+H896))</f>
        <v>0.0721683608409161</v>
      </c>
      <c r="L896" s="489">
        <f>(1+INDEX($AC$21:$AC$97,B896))*(1+INDEX($AC$21:$AC$97,C896))*(1+INDEX($AC$21:$AC$97,D896))*(1+INDEX($AC$21:$AC$97,E896))*(1+INDEX($AC$21:$AC$97,F896))-1</f>
        <v>0.812006265750235</v>
      </c>
      <c r="M896" s="489">
        <f>(1+INDEX($AD$21:$AD$97,B896))*(1+INDEX($AD$21:$AD$97,C896))*(1+INDEX($AD$21:$AD$97,D896))*(1+INDEX($AD$21:$AD$97,E896))*(1+INDEX($AD$21:$AD$97,F896))-1</f>
        <v>0.850763229333124</v>
      </c>
      <c r="N896" s="489">
        <f>(1+INDEX($AE$21:$AE$97,B896))*(1+INDEX($AE$21:$AE$97,C896))*(1+INDEX($AE$21:$AE$97,D896))*(1+INDEX($AE$21:$AE$97,E896))*(1+INDEX($AE$21:$AE$97,F896))-1</f>
        <v>0.780154972471914</v>
      </c>
      <c r="O896" s="489">
        <f>(1+INDEX($AF$21:$AF$97,B896))*(1+INDEX($AF$21:$AF$97,C896))*(1+INDEX($AF$21:$AF$97,D896))*(1+INDEX($AF$21:$AF$97,E896))*(1+INDEX($AF$21:$AF$97,F896))-1</f>
        <v>0.779428124827397</v>
      </c>
      <c r="P896" s="489">
        <f>LN((1+L896)/(1+H896))</f>
        <v>0.0529441460744778</v>
      </c>
      <c r="Q896" s="489">
        <f>LN((1+M896)/(1+H896))</f>
        <v>0.074107590948639</v>
      </c>
      <c r="R896" s="489">
        <f>LN((1+N896)/(1+H896))</f>
        <v>0.0352099042407961</v>
      </c>
      <c r="S896" s="542">
        <f>LN((1+O896)/(1+H896))</f>
        <v>0.034801515036358</v>
      </c>
    </row>
    <row r="897">
      <c r="A897" s="320" t="n">
        <v>796</v>
      </c>
      <c r="B897" s="174" t="n">
        <v>39</v>
      </c>
      <c r="C897" s="174" t="n">
        <v>72</v>
      </c>
      <c r="D897" s="174" t="n">
        <v>60</v>
      </c>
      <c r="E897" s="174" t="n">
        <v>53</v>
      </c>
      <c r="F897" s="174" t="n">
        <v>52</v>
      </c>
      <c r="G897" s="68">
        <f>(1+INDEX($Z$21:$Z$97,B897))*(1+INDEX($Z$21:$Z$97,C897))*(1+INDEX($Z$21:$Z$97,D897))*(1+INDEX($Z$21:$Z$97,E897))*(1+INDEX($Z$21:$Z$97,F897))-1</f>
        <v>0.628754445522978</v>
      </c>
      <c r="H897" s="68">
        <f>(1+INDEX($AA$21:$AA$97,B897))*(1+INDEX($AA$21:$AA$97,C897))*(1+INDEX($AA$21:$AA$97,D897))*(1+INDEX($AA$21:$AA$97,E897))*(1+INDEX($AA$21:$AA$97,F897))-1</f>
        <v>0.64884991005455</v>
      </c>
      <c r="I897" s="68">
        <f>(1+INDEX($AB$21:$AB$97,B897))*(1+INDEX($AB$21:$AB$97,C897))*(1+INDEX($AB$21:$AB$97,D897))*(1+INDEX($AB$21:$AB$97,E897))*(1+INDEX($AB$21:$AB$97,F897))-1</f>
        <v>0.68625757522963</v>
      </c>
      <c r="J897" s="489">
        <f>LN((1+G897)/(1+H897))</f>
        <v>-0.0122624418078033</v>
      </c>
      <c r="K897" s="489">
        <f>LN((1+I897)/(1+H897))</f>
        <v>0.0224336002135615</v>
      </c>
      <c r="L897" s="489">
        <f>(1+INDEX($AC$21:$AC$97,B897))*(1+INDEX($AC$21:$AC$97,C897))*(1+INDEX($AC$21:$AC$97,D897))*(1+INDEX($AC$21:$AC$97,E897))*(1+INDEX($AC$21:$AC$97,F897))-1</f>
        <v>0.709275959267198</v>
      </c>
      <c r="M897" s="489">
        <f>(1+INDEX($AD$21:$AD$97,B897))*(1+INDEX($AD$21:$AD$97,C897))*(1+INDEX($AD$21:$AD$97,D897))*(1+INDEX($AD$21:$AD$97,E897))*(1+INDEX($AD$21:$AD$97,F897))-1</f>
        <v>0.671037476723244</v>
      </c>
      <c r="N897" s="489">
        <f>(1+INDEX($AE$21:$AE$97,B897))*(1+INDEX($AE$21:$AE$97,C897))*(1+INDEX($AE$21:$AE$97,D897))*(1+INDEX($AE$21:$AE$97,E897))*(1+INDEX($AE$21:$AE$97,F897))-1</f>
        <v>0.715008754787543</v>
      </c>
      <c r="O897" s="489">
        <f>(1+INDEX($AF$21:$AF$97,B897))*(1+INDEX($AF$21:$AF$97,C897))*(1+INDEX($AF$21:$AF$97,D897))*(1+INDEX($AF$21:$AF$97,E897))*(1+INDEX($AF$21:$AF$97,F897))-1</f>
        <v>0.621038407547932</v>
      </c>
      <c r="P897" s="489">
        <f>LN((1+L897)/(1+H897))</f>
        <v>0.0359918445468295</v>
      </c>
      <c r="Q897" s="489">
        <f>LN((1+M897)/(1+H897))</f>
        <v>0.0133666564148175</v>
      </c>
      <c r="R897" s="489">
        <f>LN((1+N897)/(1+H897))</f>
        <v>0.0393401647684495</v>
      </c>
      <c r="S897" s="542">
        <f>LN((1+O897)/(1+H897))</f>
        <v>-0.0170110844588069</v>
      </c>
    </row>
    <row r="898">
      <c r="A898" s="320" t="n">
        <v>797</v>
      </c>
      <c r="B898" s="174" t="n">
        <v>1</v>
      </c>
      <c r="C898" s="174" t="n">
        <v>10</v>
      </c>
      <c r="D898" s="174" t="n">
        <v>59</v>
      </c>
      <c r="E898" s="174" t="n">
        <v>69</v>
      </c>
      <c r="F898" s="174" t="n">
        <v>56</v>
      </c>
      <c r="G898" s="68">
        <f>(1+INDEX($Z$21:$Z$97,B898))*(1+INDEX($Z$21:$Z$97,C898))*(1+INDEX($Z$21:$Z$97,D898))*(1+INDEX($Z$21:$Z$97,E898))*(1+INDEX($Z$21:$Z$97,F898))-1</f>
        <v>0.362650862267337</v>
      </c>
      <c r="H898" s="68">
        <f>(1+INDEX($AA$21:$AA$97,B898))*(1+INDEX($AA$21:$AA$97,C898))*(1+INDEX($AA$21:$AA$97,D898))*(1+INDEX($AA$21:$AA$97,E898))*(1+INDEX($AA$21:$AA$97,F898))-1</f>
        <v>0.364413112746155</v>
      </c>
      <c r="I898" s="68">
        <f>(1+INDEX($AB$21:$AB$97,B898))*(1+INDEX($AB$21:$AB$97,C898))*(1+INDEX($AB$21:$AB$97,D898))*(1+INDEX($AB$21:$AB$97,E898))*(1+INDEX($AB$21:$AB$97,F898))-1</f>
        <v>0.335311581144668</v>
      </c>
      <c r="J898" s="489">
        <f>LN((1+G898)/(1+H898))</f>
        <v>-0.00129241612243831</v>
      </c>
      <c r="K898" s="489">
        <f>LN((1+I898)/(1+H898))</f>
        <v>-0.021559723412165</v>
      </c>
      <c r="L898" s="489">
        <f>(1+INDEX($AC$21:$AC$97,B898))*(1+INDEX($AC$21:$AC$97,C898))*(1+INDEX($AC$21:$AC$97,D898))*(1+INDEX($AC$21:$AC$97,E898))*(1+INDEX($AC$21:$AC$97,F898))-1</f>
        <v>0.347427134991588</v>
      </c>
      <c r="M898" s="489">
        <f>(1+INDEX($AD$21:$AD$97,B898))*(1+INDEX($AD$21:$AD$97,C898))*(1+INDEX($AD$21:$AD$97,D898))*(1+INDEX($AD$21:$AD$97,E898))*(1+INDEX($AD$21:$AD$97,F898))-1</f>
        <v>0.351766487334673</v>
      </c>
      <c r="N898" s="489">
        <f>(1+INDEX($AE$21:$AE$97,B898))*(1+INDEX($AE$21:$AE$97,C898))*(1+INDEX($AE$21:$AE$97,D898))*(1+INDEX($AE$21:$AE$97,E898))*(1+INDEX($AE$21:$AE$97,F898))-1</f>
        <v>0.363044039299564</v>
      </c>
      <c r="O898" s="489">
        <f>(1+INDEX($AF$21:$AF$97,B898))*(1+INDEX($AF$21:$AF$97,C898))*(1+INDEX($AF$21:$AF$97,D898))*(1+INDEX($AF$21:$AF$97,E898))*(1+INDEX($AF$21:$AF$97,F898))-1</f>
        <v>0.376655601329355</v>
      </c>
      <c r="P898" s="489">
        <f>LN((1+L898)/(1+H898))</f>
        <v>-0.0125274340268579</v>
      </c>
      <c r="Q898" s="489">
        <f>LN((1+M898)/(1+H898))</f>
        <v>-0.0093121359129365</v>
      </c>
      <c r="R898" s="489">
        <f>LN((1+N898)/(1+H898))</f>
        <v>-0.00100391939103368</v>
      </c>
      <c r="S898" s="542">
        <f>LN((1+O898)/(1+H898))</f>
        <v>0.00893269834917682</v>
      </c>
    </row>
    <row r="899">
      <c r="A899" s="320" t="n">
        <v>798</v>
      </c>
      <c r="B899" s="174" t="n">
        <v>12</v>
      </c>
      <c r="C899" s="174" t="n">
        <v>74</v>
      </c>
      <c r="D899" s="174" t="n">
        <v>70</v>
      </c>
      <c r="E899" s="174" t="n">
        <v>61</v>
      </c>
      <c r="F899" s="174" t="n">
        <v>70</v>
      </c>
      <c r="G899" s="68">
        <f>(1+INDEX($Z$21:$Z$97,B899))*(1+INDEX($Z$21:$Z$97,C899))*(1+INDEX($Z$21:$Z$97,D899))*(1+INDEX($Z$21:$Z$97,E899))*(1+INDEX($Z$21:$Z$97,F899))-1</f>
        <v>0.726290940122748</v>
      </c>
      <c r="H899" s="68">
        <f>(1+INDEX($AA$21:$AA$97,B899))*(1+INDEX($AA$21:$AA$97,C899))*(1+INDEX($AA$21:$AA$97,D899))*(1+INDEX($AA$21:$AA$97,E899))*(1+INDEX($AA$21:$AA$97,F899))-1</f>
        <v>0.661332054749795</v>
      </c>
      <c r="I899" s="68">
        <f>(1+INDEX($AB$21:$AB$97,B899))*(1+INDEX($AB$21:$AB$97,C899))*(1+INDEX($AB$21:$AB$97,D899))*(1+INDEX($AB$21:$AB$97,E899))*(1+INDEX($AB$21:$AB$97,F899))-1</f>
        <v>0.695565041097078</v>
      </c>
      <c r="J899" s="489">
        <f>LN((1+G899)/(1+H899))</f>
        <v>0.0383554184751033</v>
      </c>
      <c r="K899" s="489">
        <f>LN((1+I899)/(1+H899))</f>
        <v>0.0203963196566559</v>
      </c>
      <c r="L899" s="489">
        <f>(1+INDEX($AC$21:$AC$97,B899))*(1+INDEX($AC$21:$AC$97,C899))*(1+INDEX($AC$21:$AC$97,D899))*(1+INDEX($AC$21:$AC$97,E899))*(1+INDEX($AC$21:$AC$97,F899))-1</f>
        <v>0.723302166252934</v>
      </c>
      <c r="M899" s="489">
        <f>(1+INDEX($AD$21:$AD$97,B899))*(1+INDEX($AD$21:$AD$97,C899))*(1+INDEX($AD$21:$AD$97,D899))*(1+INDEX($AD$21:$AD$97,E899))*(1+INDEX($AD$21:$AD$97,F899))-1</f>
        <v>0.655755884523357</v>
      </c>
      <c r="N899" s="489">
        <f>(1+INDEX($AE$21:$AE$97,B899))*(1+INDEX($AE$21:$AE$97,C899))*(1+INDEX($AE$21:$AE$97,D899))*(1+INDEX($AE$21:$AE$97,E899))*(1+INDEX($AE$21:$AE$97,F899))-1</f>
        <v>0.732612319466661</v>
      </c>
      <c r="O899" s="489">
        <f>(1+INDEX($AF$21:$AF$97,B899))*(1+INDEX($AF$21:$AF$97,C899))*(1+INDEX($AF$21:$AF$97,D899))*(1+INDEX($AF$21:$AF$97,E899))*(1+INDEX($AF$21:$AF$97,F899))-1</f>
        <v>0.632204111245698</v>
      </c>
      <c r="P899" s="489">
        <f>LN((1+L899)/(1+H899))</f>
        <v>0.0366225911383645</v>
      </c>
      <c r="Q899" s="489">
        <f>LN((1+M899)/(1+H899))</f>
        <v>-0.00336209083455918</v>
      </c>
      <c r="R899" s="489">
        <f>LN((1+N899)/(1+H899))</f>
        <v>0.0420105576376177</v>
      </c>
      <c r="S899" s="542">
        <f>LN((1+O899)/(1+H899))</f>
        <v>-0.0176884063170612</v>
      </c>
    </row>
    <row r="900">
      <c r="A900" s="320" t="n">
        <v>799</v>
      </c>
      <c r="B900" s="174" t="n">
        <v>4</v>
      </c>
      <c r="C900" s="174" t="n">
        <v>26</v>
      </c>
      <c r="D900" s="174" t="n">
        <v>69</v>
      </c>
      <c r="E900" s="174" t="n">
        <v>27</v>
      </c>
      <c r="F900" s="174" t="n">
        <v>26</v>
      </c>
      <c r="G900" s="68">
        <f>(1+INDEX($Z$21:$Z$97,B900))*(1+INDEX($Z$21:$Z$97,C900))*(1+INDEX($Z$21:$Z$97,D900))*(1+INDEX($Z$21:$Z$97,E900))*(1+INDEX($Z$21:$Z$97,F900))-1</f>
        <v>1.0177188992907</v>
      </c>
      <c r="H900" s="68">
        <f>(1+INDEX($AA$21:$AA$97,B900))*(1+INDEX($AA$21:$AA$97,C900))*(1+INDEX($AA$21:$AA$97,D900))*(1+INDEX($AA$21:$AA$97,E900))*(1+INDEX($AA$21:$AA$97,F900))-1</f>
        <v>0.963912581236114</v>
      </c>
      <c r="I900" s="68">
        <f>(1+INDEX($AB$21:$AB$97,B900))*(1+INDEX($AB$21:$AB$97,C900))*(1+INDEX($AB$21:$AB$97,D900))*(1+INDEX($AB$21:$AB$97,E900))*(1+INDEX($AB$21:$AB$97,F900))-1</f>
        <v>1.07792363935859</v>
      </c>
      <c r="J900" s="489">
        <f>LN((1+G900)/(1+H900))</f>
        <v>0.0270289171748389</v>
      </c>
      <c r="K900" s="489">
        <f>LN((1+I900)/(1+H900))</f>
        <v>0.0564304464517752</v>
      </c>
      <c r="L900" s="489">
        <f>(1+INDEX($AC$21:$AC$97,B900))*(1+INDEX($AC$21:$AC$97,C900))*(1+INDEX($AC$21:$AC$97,D900))*(1+INDEX($AC$21:$AC$97,E900))*(1+INDEX($AC$21:$AC$97,F900))-1</f>
        <v>1.09788722959219</v>
      </c>
      <c r="M900" s="489">
        <f>(1+INDEX($AD$21:$AD$97,B900))*(1+INDEX($AD$21:$AD$97,C900))*(1+INDEX($AD$21:$AD$97,D900))*(1+INDEX($AD$21:$AD$97,E900))*(1+INDEX($AD$21:$AD$97,F900))-1</f>
        <v>1.04175006756244</v>
      </c>
      <c r="N900" s="489">
        <f>(1+INDEX($AE$21:$AE$97,B900))*(1+INDEX($AE$21:$AE$97,C900))*(1+INDEX($AE$21:$AE$97,D900))*(1+INDEX($AE$21:$AE$97,E900))*(1+INDEX($AE$21:$AE$97,F900))-1</f>
        <v>1.08329933731411</v>
      </c>
      <c r="O900" s="489">
        <f>(1+INDEX($AF$21:$AF$97,B900))*(1+INDEX($AF$21:$AF$97,C900))*(1+INDEX($AF$21:$AF$97,D900))*(1+INDEX($AF$21:$AF$97,E900))*(1+INDEX($AF$21:$AF$97,F900))-1</f>
        <v>1.00046971314848</v>
      </c>
      <c r="P900" s="489">
        <f>LN((1+L900)/(1+H900))</f>
        <v>0.0659920587740484</v>
      </c>
      <c r="Q900" s="489">
        <f>LN((1+M900)/(1+H900))</f>
        <v>0.0388686179772973</v>
      </c>
      <c r="R900" s="489">
        <f>LN((1+N900)/(1+H900))</f>
        <v>0.0590141584884274</v>
      </c>
      <c r="S900" s="542">
        <f>LN((1+O900)/(1+H900))</f>
        <v>0.0184433111902931</v>
      </c>
    </row>
    <row r="901">
      <c r="A901" s="320" t="n">
        <v>800</v>
      </c>
      <c r="B901" s="174" t="n">
        <v>62</v>
      </c>
      <c r="C901" s="174" t="n">
        <v>22</v>
      </c>
      <c r="D901" s="174" t="n">
        <v>5</v>
      </c>
      <c r="E901" s="174" t="n">
        <v>43</v>
      </c>
      <c r="F901" s="174" t="n">
        <v>24</v>
      </c>
      <c r="G901" s="68">
        <f>(1+INDEX($Z$21:$Z$97,B901))*(1+INDEX($Z$21:$Z$97,C901))*(1+INDEX($Z$21:$Z$97,D901))*(1+INDEX($Z$21:$Z$97,E901))*(1+INDEX($Z$21:$Z$97,F901))-1</f>
        <v>0.0655332502045201</v>
      </c>
      <c r="H901" s="68">
        <f>(1+INDEX($AA$21:$AA$97,B901))*(1+INDEX($AA$21:$AA$97,C901))*(1+INDEX($AA$21:$AA$97,D901))*(1+INDEX($AA$21:$AA$97,E901))*(1+INDEX($AA$21:$AA$97,F901))-1</f>
        <v>0.0944247304222152</v>
      </c>
      <c r="I901" s="68">
        <f>(1+INDEX($AB$21:$AB$97,B901))*(1+INDEX($AB$21:$AB$97,C901))*(1+INDEX($AB$21:$AB$97,D901))*(1+INDEX($AB$21:$AB$97,E901))*(1+INDEX($AB$21:$AB$97,F901))-1</f>
        <v>0.0870796813970471</v>
      </c>
      <c r="J901" s="489">
        <f>LN((1+G901)/(1+H901))</f>
        <v>-0.0267534866052077</v>
      </c>
      <c r="K901" s="489">
        <f>LN((1+I901)/(1+H901))</f>
        <v>-0.00673395546776219</v>
      </c>
      <c r="L901" s="489">
        <f>(1+INDEX($AC$21:$AC$97,B901))*(1+INDEX($AC$21:$AC$97,C901))*(1+INDEX($AC$21:$AC$97,D901))*(1+INDEX($AC$21:$AC$97,E901))*(1+INDEX($AC$21:$AC$97,F901))-1</f>
        <v>0.091358975621</v>
      </c>
      <c r="M901" s="489">
        <f>(1+INDEX($AD$21:$AD$97,B901))*(1+INDEX($AD$21:$AD$97,C901))*(1+INDEX($AD$21:$AD$97,D901))*(1+INDEX($AD$21:$AD$97,E901))*(1+INDEX($AD$21:$AD$97,F901))-1</f>
        <v>0.0672242697918579</v>
      </c>
      <c r="N901" s="489">
        <f>(1+INDEX($AE$21:$AE$97,B901))*(1+INDEX($AE$21:$AE$97,C901))*(1+INDEX($AE$21:$AE$97,D901))*(1+INDEX($AE$21:$AE$97,E901))*(1+INDEX($AE$21:$AE$97,F901))-1</f>
        <v>0.0702104105487815</v>
      </c>
      <c r="O901" s="489">
        <f>(1+INDEX($AF$21:$AF$97,B901))*(1+INDEX($AF$21:$AF$97,C901))*(1+INDEX($AF$21:$AF$97,D901))*(1+INDEX($AF$21:$AF$97,E901))*(1+INDEX($AF$21:$AF$97,F901))-1</f>
        <v>0.0718472351361286</v>
      </c>
      <c r="P901" s="489">
        <f>LN((1+L901)/(1+H901))</f>
        <v>-0.00280517857564253</v>
      </c>
      <c r="Q901" s="489">
        <f>LN((1+M901)/(1+H901))</f>
        <v>-0.0251677273936322</v>
      </c>
      <c r="R901" s="489">
        <f>LN((1+N901)/(1+H901))</f>
        <v>-0.0223735903590155</v>
      </c>
      <c r="S901" s="542">
        <f>LN((1+O901)/(1+H901))</f>
        <v>-0.0208453169166759</v>
      </c>
    </row>
    <row r="902">
      <c r="A902" s="320" t="n">
        <v>801</v>
      </c>
      <c r="B902" s="174" t="n">
        <v>50</v>
      </c>
      <c r="C902" s="174" t="n">
        <v>43</v>
      </c>
      <c r="D902" s="174" t="n">
        <v>22</v>
      </c>
      <c r="E902" s="174" t="n">
        <v>68</v>
      </c>
      <c r="F902" s="174" t="n">
        <v>14</v>
      </c>
      <c r="G902" s="68">
        <f>(1+INDEX($Z$21:$Z$97,B902))*(1+INDEX($Z$21:$Z$97,C902))*(1+INDEX($Z$21:$Z$97,D902))*(1+INDEX($Z$21:$Z$97,E902))*(1+INDEX($Z$21:$Z$97,F902))-1</f>
        <v>0.492879546834606</v>
      </c>
      <c r="H902" s="68">
        <f>(1+INDEX($AA$21:$AA$97,B902))*(1+INDEX($AA$21:$AA$97,C902))*(1+INDEX($AA$21:$AA$97,D902))*(1+INDEX($AA$21:$AA$97,E902))*(1+INDEX($AA$21:$AA$97,F902))-1</f>
        <v>0.450302735345614</v>
      </c>
      <c r="I902" s="68">
        <f>(1+INDEX($AB$21:$AB$97,B902))*(1+INDEX($AB$21:$AB$97,C902))*(1+INDEX($AB$21:$AB$97,D902))*(1+INDEX($AB$21:$AB$97,E902))*(1+INDEX($AB$21:$AB$97,F902))-1</f>
        <v>0.498242405060714</v>
      </c>
      <c r="J902" s="489">
        <f>LN((1+G902)/(1+H902))</f>
        <v>0.0289345190545933</v>
      </c>
      <c r="K902" s="489">
        <f>LN((1+I902)/(1+H902))</f>
        <v>0.0325203734990555</v>
      </c>
      <c r="L902" s="489">
        <f>(1+INDEX($AC$21:$AC$97,B902))*(1+INDEX($AC$21:$AC$97,C902))*(1+INDEX($AC$21:$AC$97,D902))*(1+INDEX($AC$21:$AC$97,E902))*(1+INDEX($AC$21:$AC$97,F902))-1</f>
        <v>0.478398503774107</v>
      </c>
      <c r="M902" s="489">
        <f>(1+INDEX($AD$21:$AD$97,B902))*(1+INDEX($AD$21:$AD$97,C902))*(1+INDEX($AD$21:$AD$97,D902))*(1+INDEX($AD$21:$AD$97,E902))*(1+INDEX($AD$21:$AD$97,F902))-1</f>
        <v>0.50958844494851</v>
      </c>
      <c r="N902" s="489">
        <f>(1+INDEX($AE$21:$AE$97,B902))*(1+INDEX($AE$21:$AE$97,C902))*(1+INDEX($AE$21:$AE$97,D902))*(1+INDEX($AE$21:$AE$97,E902))*(1+INDEX($AE$21:$AE$97,F902))-1</f>
        <v>0.467443238519603</v>
      </c>
      <c r="O902" s="489">
        <f>(1+INDEX($AF$21:$AF$97,B902))*(1+INDEX($AF$21:$AF$97,C902))*(1+INDEX($AF$21:$AF$97,D902))*(1+INDEX($AF$21:$AF$97,E902))*(1+INDEX($AF$21:$AF$97,F902))-1</f>
        <v>0.47251871938689</v>
      </c>
      <c r="P902" s="489">
        <f>LN((1+L902)/(1+H902))</f>
        <v>0.0191870922098915</v>
      </c>
      <c r="Q902" s="489">
        <f>LN((1+M902)/(1+H902))</f>
        <v>0.0400647430259571</v>
      </c>
      <c r="R902" s="489">
        <f>LN((1+N902)/(1+H902))</f>
        <v>0.0117492753021016</v>
      </c>
      <c r="S902" s="542">
        <f>LN((1+O902)/(1+H902))</f>
        <v>0.0152020314821098</v>
      </c>
    </row>
    <row r="903">
      <c r="A903" s="320" t="n">
        <v>802</v>
      </c>
      <c r="B903" s="174" t="n">
        <v>60</v>
      </c>
      <c r="C903" s="174" t="n">
        <v>23</v>
      </c>
      <c r="D903" s="174" t="n">
        <v>7</v>
      </c>
      <c r="E903" s="174" t="n">
        <v>57</v>
      </c>
      <c r="F903" s="174" t="n">
        <v>22</v>
      </c>
      <c r="G903" s="68">
        <f>(1+INDEX($Z$21:$Z$97,B903))*(1+INDEX($Z$21:$Z$97,C903))*(1+INDEX($Z$21:$Z$97,D903))*(1+INDEX($Z$21:$Z$97,E903))*(1+INDEX($Z$21:$Z$97,F903))-1</f>
        <v>0.40096952454981</v>
      </c>
      <c r="H903" s="68">
        <f>(1+INDEX($AA$21:$AA$97,B903))*(1+INDEX($AA$21:$AA$97,C903))*(1+INDEX($AA$21:$AA$97,D903))*(1+INDEX($AA$21:$AA$97,E903))*(1+INDEX($AA$21:$AA$97,F903))-1</f>
        <v>0.405040854181507</v>
      </c>
      <c r="I903" s="68">
        <f>(1+INDEX($AB$21:$AB$97,B903))*(1+INDEX($AB$21:$AB$97,C903))*(1+INDEX($AB$21:$AB$97,D903))*(1+INDEX($AB$21:$AB$97,E903))*(1+INDEX($AB$21:$AB$97,F903))-1</f>
        <v>0.412188970605741</v>
      </c>
      <c r="J903" s="489">
        <f>LN((1+G903)/(1+H903))</f>
        <v>-0.00290186559504658</v>
      </c>
      <c r="K903" s="489">
        <f>LN((1+I903)/(1+H903))</f>
        <v>0.0050745819178999</v>
      </c>
      <c r="L903" s="489">
        <f>(1+INDEX($AC$21:$AC$97,B903))*(1+INDEX($AC$21:$AC$97,C903))*(1+INDEX($AC$21:$AC$97,D903))*(1+INDEX($AC$21:$AC$97,E903))*(1+INDEX($AC$21:$AC$97,F903))-1</f>
        <v>0.421248200133311</v>
      </c>
      <c r="M903" s="489">
        <f>(1+INDEX($AD$21:$AD$97,B903))*(1+INDEX($AD$21:$AD$97,C903))*(1+INDEX($AD$21:$AD$97,D903))*(1+INDEX($AD$21:$AD$97,E903))*(1+INDEX($AD$21:$AD$97,F903))-1</f>
        <v>0.380420727395459</v>
      </c>
      <c r="N903" s="489">
        <f>(1+INDEX($AE$21:$AE$97,B903))*(1+INDEX($AE$21:$AE$97,C903))*(1+INDEX($AE$21:$AE$97,D903))*(1+INDEX($AE$21:$AE$97,E903))*(1+INDEX($AE$21:$AE$97,F903))-1</f>
        <v>0.41945160623524</v>
      </c>
      <c r="O903" s="489">
        <f>(1+INDEX($AF$21:$AF$97,B903))*(1+INDEX($AF$21:$AF$97,C903))*(1+INDEX($AF$21:$AF$97,D903))*(1+INDEX($AF$21:$AF$97,E903))*(1+INDEX($AF$21:$AF$97,F903))-1</f>
        <v>0.366876164987574</v>
      </c>
      <c r="P903" s="489">
        <f>LN((1+L903)/(1+H903))</f>
        <v>0.0114691196126219</v>
      </c>
      <c r="Q903" s="489">
        <f>LN((1+M903)/(1+H903))</f>
        <v>-0.017678052443775</v>
      </c>
      <c r="R903" s="489">
        <f>LN((1+N903)/(1+H903))</f>
        <v>0.0102042241572249</v>
      </c>
      <c r="S903" s="542">
        <f>LN((1+O903)/(1+H903))</f>
        <v>-0.0275384153236779</v>
      </c>
    </row>
    <row r="904">
      <c r="A904" s="320" t="n">
        <v>803</v>
      </c>
      <c r="B904" s="174" t="n">
        <v>37</v>
      </c>
      <c r="C904" s="174" t="n">
        <v>77</v>
      </c>
      <c r="D904" s="174" t="n">
        <v>56</v>
      </c>
      <c r="E904" s="174" t="n">
        <v>51</v>
      </c>
      <c r="F904" s="174" t="n">
        <v>25</v>
      </c>
      <c r="G904" s="68">
        <f>(1+INDEX($Z$21:$Z$97,B904))*(1+INDEX($Z$21:$Z$97,C904))*(1+INDEX($Z$21:$Z$97,D904))*(1+INDEX($Z$21:$Z$97,E904))*(1+INDEX($Z$21:$Z$97,F904))-1</f>
        <v>0.316206094335315</v>
      </c>
      <c r="H904" s="68">
        <f>(1+INDEX($AA$21:$AA$97,B904))*(1+INDEX($AA$21:$AA$97,C904))*(1+INDEX($AA$21:$AA$97,D904))*(1+INDEX($AA$21:$AA$97,E904))*(1+INDEX($AA$21:$AA$97,F904))-1</f>
        <v>0.261354470145797</v>
      </c>
      <c r="I904" s="68">
        <f>(1+INDEX($AB$21:$AB$97,B904))*(1+INDEX($AB$21:$AB$97,C904))*(1+INDEX($AB$21:$AB$97,D904))*(1+INDEX($AB$21:$AB$97,E904))*(1+INDEX($AB$21:$AB$97,F904))-1</f>
        <v>0.286006031821633</v>
      </c>
      <c r="J904" s="489">
        <f>LN((1+G904)/(1+H904))</f>
        <v>0.0425673073830803</v>
      </c>
      <c r="K904" s="489">
        <f>LN((1+I904)/(1+H904))</f>
        <v>0.0193551962826649</v>
      </c>
      <c r="L904" s="489">
        <f>(1+INDEX($AC$21:$AC$97,B904))*(1+INDEX($AC$21:$AC$97,C904))*(1+INDEX($AC$21:$AC$97,D904))*(1+INDEX($AC$21:$AC$97,E904))*(1+INDEX($AC$21:$AC$97,F904))-1</f>
        <v>0.268244892602613</v>
      </c>
      <c r="M904" s="489">
        <f>(1+INDEX($AD$21:$AD$97,B904))*(1+INDEX($AD$21:$AD$97,C904))*(1+INDEX($AD$21:$AD$97,D904))*(1+INDEX($AD$21:$AD$97,E904))*(1+INDEX($AD$21:$AD$97,F904))-1</f>
        <v>0.302770335837997</v>
      </c>
      <c r="N904" s="489">
        <f>(1+INDEX($AE$21:$AE$97,B904))*(1+INDEX($AE$21:$AE$97,C904))*(1+INDEX($AE$21:$AE$97,D904))*(1+INDEX($AE$21:$AE$97,E904))*(1+INDEX($AE$21:$AE$97,F904))-1</f>
        <v>0.2557493845193</v>
      </c>
      <c r="O904" s="489">
        <f>(1+INDEX($AF$21:$AF$97,B904))*(1+INDEX($AF$21:$AF$97,C904))*(1+INDEX($AF$21:$AF$97,D904))*(1+INDEX($AF$21:$AF$97,E904))*(1+INDEX($AF$21:$AF$97,F904))-1</f>
        <v>0.306075789628589</v>
      </c>
      <c r="P904" s="489">
        <f>LN((1+L904)/(1+H904))</f>
        <v>0.00544785043834099</v>
      </c>
      <c r="Q904" s="489">
        <f>LN((1+M904)/(1+H904))</f>
        <v>0.0323069047203673</v>
      </c>
      <c r="R904" s="489">
        <f>LN((1+N904)/(1+H904))</f>
        <v>-0.0044536063783485</v>
      </c>
      <c r="S904" s="542">
        <f>LN((1+O904)/(1+H904))</f>
        <v>0.034840941149049</v>
      </c>
    </row>
    <row r="905">
      <c r="A905" s="320" t="n">
        <v>804</v>
      </c>
      <c r="B905" s="174" t="n">
        <v>65</v>
      </c>
      <c r="C905" s="174" t="n">
        <v>63</v>
      </c>
      <c r="D905" s="174" t="n">
        <v>16</v>
      </c>
      <c r="E905" s="174" t="n">
        <v>10</v>
      </c>
      <c r="F905" s="174" t="n">
        <v>45</v>
      </c>
      <c r="G905" s="68">
        <f>(1+INDEX($Z$21:$Z$97,B905))*(1+INDEX($Z$21:$Z$97,C905))*(1+INDEX($Z$21:$Z$97,D905))*(1+INDEX($Z$21:$Z$97,E905))*(1+INDEX($Z$21:$Z$97,F905))-1</f>
        <v>-0.137927549618922</v>
      </c>
      <c r="H905" s="68">
        <f>(1+INDEX($AA$21:$AA$97,B905))*(1+INDEX($AA$21:$AA$97,C905))*(1+INDEX($AA$21:$AA$97,D905))*(1+INDEX($AA$21:$AA$97,E905))*(1+INDEX($AA$21:$AA$97,F905))-1</f>
        <v>-0.115372924629412</v>
      </c>
      <c r="I905" s="68">
        <f>(1+INDEX($AB$21:$AB$97,B905))*(1+INDEX($AB$21:$AB$97,C905))*(1+INDEX($AB$21:$AB$97,D905))*(1+INDEX($AB$21:$AB$97,E905))*(1+INDEX($AB$21:$AB$97,F905))-1</f>
        <v>-0.119283276453282</v>
      </c>
      <c r="J905" s="489">
        <f>LN((1+G905)/(1+H905))</f>
        <v>-0.0258268561410522</v>
      </c>
      <c r="K905" s="489">
        <f>LN((1+I905)/(1+H905))</f>
        <v>-0.00443013788213535</v>
      </c>
      <c r="L905" s="489">
        <f>(1+INDEX($AC$21:$AC$97,B905))*(1+INDEX($AC$21:$AC$97,C905))*(1+INDEX($AC$21:$AC$97,D905))*(1+INDEX($AC$21:$AC$97,E905))*(1+INDEX($AC$21:$AC$97,F905))-1</f>
        <v>-0.135966751121209</v>
      </c>
      <c r="M905" s="489">
        <f>(1+INDEX($AD$21:$AD$97,B905))*(1+INDEX($AD$21:$AD$97,C905))*(1+INDEX($AD$21:$AD$97,D905))*(1+INDEX($AD$21:$AD$97,E905))*(1+INDEX($AD$21:$AD$97,F905))-1</f>
        <v>-0.119928377489427</v>
      </c>
      <c r="N905" s="489">
        <f>(1+INDEX($AE$21:$AE$97,B905))*(1+INDEX($AE$21:$AE$97,C905))*(1+INDEX($AE$21:$AE$97,D905))*(1+INDEX($AE$21:$AE$97,E905))*(1+INDEX($AE$21:$AE$97,F905))-1</f>
        <v>-0.146879718126885</v>
      </c>
      <c r="O905" s="489">
        <f>(1+INDEX($AF$21:$AF$97,B905))*(1+INDEX($AF$21:$AF$97,C905))*(1+INDEX($AF$21:$AF$97,D905))*(1+INDEX($AF$21:$AF$97,E905))*(1+INDEX($AF$21:$AF$97,F905))-1</f>
        <v>-0.103528402221245</v>
      </c>
      <c r="P905" s="489">
        <f>LN((1+L905)/(1+H905))</f>
        <v>-0.0235549218765721</v>
      </c>
      <c r="Q905" s="489">
        <f>LN((1+M905)/(1+H905))</f>
        <v>-0.00516287906190647</v>
      </c>
      <c r="R905" s="489">
        <f>LN((1+N905)/(1+H905))</f>
        <v>-0.036265624485904</v>
      </c>
      <c r="S905" s="542">
        <f>LN((1+O905)/(1+H905))</f>
        <v>0.0133004388761478</v>
      </c>
    </row>
    <row r="906">
      <c r="A906" s="320" t="n">
        <v>805</v>
      </c>
      <c r="B906" s="174" t="n">
        <v>9</v>
      </c>
      <c r="C906" s="174" t="n">
        <v>61</v>
      </c>
      <c r="D906" s="174" t="n">
        <v>18</v>
      </c>
      <c r="E906" s="174" t="n">
        <v>35</v>
      </c>
      <c r="F906" s="174" t="n">
        <v>69</v>
      </c>
      <c r="G906" s="68">
        <f>(1+INDEX($Z$21:$Z$97,B906))*(1+INDEX($Z$21:$Z$97,C906))*(1+INDEX($Z$21:$Z$97,D906))*(1+INDEX($Z$21:$Z$97,E906))*(1+INDEX($Z$21:$Z$97,F906))-1</f>
        <v>0.195123046436917</v>
      </c>
      <c r="H906" s="68">
        <f>(1+INDEX($AA$21:$AA$97,B906))*(1+INDEX($AA$21:$AA$97,C906))*(1+INDEX($AA$21:$AA$97,D906))*(1+INDEX($AA$21:$AA$97,E906))*(1+INDEX($AA$21:$AA$97,F906))-1</f>
        <v>0.226492965629589</v>
      </c>
      <c r="I906" s="68">
        <f>(1+INDEX($AB$21:$AB$97,B906))*(1+INDEX($AB$21:$AB$97,C906))*(1+INDEX($AB$21:$AB$97,D906))*(1+INDEX($AB$21:$AB$97,E906))*(1+INDEX($AB$21:$AB$97,F906))-1</f>
        <v>0.195983723873154</v>
      </c>
      <c r="J906" s="489">
        <f>LN((1+G906)/(1+H906))</f>
        <v>-0.02590970156731</v>
      </c>
      <c r="K906" s="489">
        <f>LN((1+I906)/(1+H906))</f>
        <v>-0.0251898027454801</v>
      </c>
      <c r="L906" s="489">
        <f>(1+INDEX($AC$21:$AC$97,B906))*(1+INDEX($AC$21:$AC$97,C906))*(1+INDEX($AC$21:$AC$97,D906))*(1+INDEX($AC$21:$AC$97,E906))*(1+INDEX($AC$21:$AC$97,F906))-1</f>
        <v>0.197717491007083</v>
      </c>
      <c r="M906" s="489">
        <f>(1+INDEX($AD$21:$AD$97,B906))*(1+INDEX($AD$21:$AD$97,C906))*(1+INDEX($AD$21:$AD$97,D906))*(1+INDEX($AD$21:$AD$97,E906))*(1+INDEX($AD$21:$AD$97,F906))-1</f>
        <v>0.194260142001201</v>
      </c>
      <c r="N906" s="489">
        <f>(1+INDEX($AE$21:$AE$97,B906))*(1+INDEX($AE$21:$AE$97,C906))*(1+INDEX($AE$21:$AE$97,D906))*(1+INDEX($AE$21:$AE$97,E906))*(1+INDEX($AE$21:$AE$97,F906))-1</f>
        <v>0.221683273886588</v>
      </c>
      <c r="O906" s="489">
        <f>(1+INDEX($AF$21:$AF$97,B906))*(1+INDEX($AF$21:$AF$97,C906))*(1+INDEX($AF$21:$AF$97,D906))*(1+INDEX($AF$21:$AF$97,E906))*(1+INDEX($AF$21:$AF$97,F906))-1</f>
        <v>0.214340880728845</v>
      </c>
      <c r="P906" s="489">
        <f>LN((1+L906)/(1+H906))</f>
        <v>-0.0237411946850099</v>
      </c>
      <c r="Q906" s="489">
        <f>LN((1+M906)/(1+H906))</f>
        <v>-0.0266319837675075</v>
      </c>
      <c r="R906" s="489">
        <f>LN((1+N906)/(1+H906))</f>
        <v>-0.00392920889706176</v>
      </c>
      <c r="S906" s="542">
        <f>LN((1+O906)/(1+H906))</f>
        <v>-0.00995740478215557</v>
      </c>
    </row>
    <row r="907">
      <c r="A907" s="320" t="n">
        <v>806</v>
      </c>
      <c r="B907" s="174" t="n">
        <v>1</v>
      </c>
      <c r="C907" s="174" t="n">
        <v>11</v>
      </c>
      <c r="D907" s="174" t="n">
        <v>29</v>
      </c>
      <c r="E907" s="174" t="n">
        <v>74</v>
      </c>
      <c r="F907" s="174" t="n">
        <v>47</v>
      </c>
      <c r="G907" s="68">
        <f>(1+INDEX($Z$21:$Z$97,B907))*(1+INDEX($Z$21:$Z$97,C907))*(1+INDEX($Z$21:$Z$97,D907))*(1+INDEX($Z$21:$Z$97,E907))*(1+INDEX($Z$21:$Z$97,F907))-1</f>
        <v>0.567946154321322</v>
      </c>
      <c r="H907" s="68">
        <f>(1+INDEX($AA$21:$AA$97,B907))*(1+INDEX($AA$21:$AA$97,C907))*(1+INDEX($AA$21:$AA$97,D907))*(1+INDEX($AA$21:$AA$97,E907))*(1+INDEX($AA$21:$AA$97,F907))-1</f>
        <v>0.501218231999518</v>
      </c>
      <c r="I907" s="68">
        <f>(1+INDEX($AB$21:$AB$97,B907))*(1+INDEX($AB$21:$AB$97,C907))*(1+INDEX($AB$21:$AB$97,D907))*(1+INDEX($AB$21:$AB$97,E907))*(1+INDEX($AB$21:$AB$97,F907))-1</f>
        <v>0.519135802736921</v>
      </c>
      <c r="J907" s="489">
        <f>LN((1+G907)/(1+H907))</f>
        <v>0.0434896478269079</v>
      </c>
      <c r="K907" s="489">
        <f>LN((1+I907)/(1+H907))</f>
        <v>0.0118646891855358</v>
      </c>
      <c r="L907" s="489">
        <f>(1+INDEX($AC$21:$AC$97,B907))*(1+INDEX($AC$21:$AC$97,C907))*(1+INDEX($AC$21:$AC$97,D907))*(1+INDEX($AC$21:$AC$97,E907))*(1+INDEX($AC$21:$AC$97,F907))-1</f>
        <v>0.515620539793202</v>
      </c>
      <c r="M907" s="489">
        <f>(1+INDEX($AD$21:$AD$97,B907))*(1+INDEX($AD$21:$AD$97,C907))*(1+INDEX($AD$21:$AD$97,D907))*(1+INDEX($AD$21:$AD$97,E907))*(1+INDEX($AD$21:$AD$97,F907))-1</f>
        <v>0.531880903243265</v>
      </c>
      <c r="N907" s="489">
        <f>(1+INDEX($AE$21:$AE$97,B907))*(1+INDEX($AE$21:$AE$97,C907))*(1+INDEX($AE$21:$AE$97,D907))*(1+INDEX($AE$21:$AE$97,E907))*(1+INDEX($AE$21:$AE$97,F907))-1</f>
        <v>0.517431362721693</v>
      </c>
      <c r="O907" s="489">
        <f>(1+INDEX($AF$21:$AF$97,B907))*(1+INDEX($AF$21:$AF$97,C907))*(1+INDEX($AF$21:$AF$97,D907))*(1+INDEX($AF$21:$AF$97,E907))*(1+INDEX($AF$21:$AF$97,F907))-1</f>
        <v>0.546581734204517</v>
      </c>
      <c r="P907" s="489">
        <f>LN((1+L907)/(1+H907))</f>
        <v>0.00954801916716003</v>
      </c>
      <c r="Q907" s="489">
        <f>LN((1+M907)/(1+H907))</f>
        <v>0.0202193957438243</v>
      </c>
      <c r="R907" s="489">
        <f>LN((1+N907)/(1+H907))</f>
        <v>0.0107420792768086</v>
      </c>
      <c r="S907" s="542">
        <f>LN((1+O907)/(1+H907))</f>
        <v>0.029770229677065</v>
      </c>
    </row>
    <row r="908">
      <c r="A908" s="320" t="n">
        <v>807</v>
      </c>
      <c r="B908" s="174" t="n">
        <v>23</v>
      </c>
      <c r="C908" s="174" t="n">
        <v>25</v>
      </c>
      <c r="D908" s="174" t="n">
        <v>24</v>
      </c>
      <c r="E908" s="174" t="n">
        <v>29</v>
      </c>
      <c r="F908" s="174" t="n">
        <v>44</v>
      </c>
      <c r="G908" s="68">
        <f>(1+INDEX($Z$21:$Z$97,B908))*(1+INDEX($Z$21:$Z$97,C908))*(1+INDEX($Z$21:$Z$97,D908))*(1+INDEX($Z$21:$Z$97,E908))*(1+INDEX($Z$21:$Z$97,F908))-1</f>
        <v>0.796359866245963</v>
      </c>
      <c r="H908" s="68">
        <f>(1+INDEX($AA$21:$AA$97,B908))*(1+INDEX($AA$21:$AA$97,C908))*(1+INDEX($AA$21:$AA$97,D908))*(1+INDEX($AA$21:$AA$97,E908))*(1+INDEX($AA$21:$AA$97,F908))-1</f>
        <v>0.697566523607008</v>
      </c>
      <c r="I908" s="68">
        <f>(1+INDEX($AB$21:$AB$97,B908))*(1+INDEX($AB$21:$AB$97,C908))*(1+INDEX($AB$21:$AB$97,D908))*(1+INDEX($AB$21:$AB$97,E908))*(1+INDEX($AB$21:$AB$97,F908))-1</f>
        <v>0.796259372336412</v>
      </c>
      <c r="J908" s="489">
        <f>LN((1+G908)/(1+H908))</f>
        <v>0.0565665519219347</v>
      </c>
      <c r="K908" s="489">
        <f>LN((1+I908)/(1+H908))</f>
        <v>0.0565106072738082</v>
      </c>
      <c r="L908" s="489">
        <f>(1+INDEX($AC$21:$AC$97,B908))*(1+INDEX($AC$21:$AC$97,C908))*(1+INDEX($AC$21:$AC$97,D908))*(1+INDEX($AC$21:$AC$97,E908))*(1+INDEX($AC$21:$AC$97,F908))-1</f>
        <v>0.774408455187268</v>
      </c>
      <c r="M908" s="489">
        <f>(1+INDEX($AD$21:$AD$97,B908))*(1+INDEX($AD$21:$AD$97,C908))*(1+INDEX($AD$21:$AD$97,D908))*(1+INDEX($AD$21:$AD$97,E908))*(1+INDEX($AD$21:$AD$97,F908))-1</f>
        <v>0.793985601150159</v>
      </c>
      <c r="N908" s="489">
        <f>(1+INDEX($AE$21:$AE$97,B908))*(1+INDEX($AE$21:$AE$97,C908))*(1+INDEX($AE$21:$AE$97,D908))*(1+INDEX($AE$21:$AE$97,E908))*(1+INDEX($AE$21:$AE$97,F908))-1</f>
        <v>0.752590778510177</v>
      </c>
      <c r="O908" s="489">
        <f>(1+INDEX($AF$21:$AF$97,B908))*(1+INDEX($AF$21:$AF$97,C908))*(1+INDEX($AF$21:$AF$97,D908))*(1+INDEX($AF$21:$AF$97,E908))*(1+INDEX($AF$21:$AF$97,F908))-1</f>
        <v>0.753342533017471</v>
      </c>
      <c r="P908" s="489">
        <f>LN((1+L908)/(1+H908))</f>
        <v>0.044271333851637</v>
      </c>
      <c r="Q908" s="489">
        <f>LN((1+M908)/(1+H908))</f>
        <v>0.0552439686421588</v>
      </c>
      <c r="R908" s="489">
        <f>LN((1+N908)/(1+H908))</f>
        <v>0.0318993691727599</v>
      </c>
      <c r="S908" s="542">
        <f>LN((1+O908)/(1+H908))</f>
        <v>0.0323282161883853</v>
      </c>
    </row>
    <row r="909">
      <c r="A909" s="320" t="n">
        <v>808</v>
      </c>
      <c r="B909" s="174" t="n">
        <v>71</v>
      </c>
      <c r="C909" s="174" t="n">
        <v>3</v>
      </c>
      <c r="D909" s="174" t="n">
        <v>17</v>
      </c>
      <c r="E909" s="174" t="n">
        <v>30</v>
      </c>
      <c r="F909" s="174" t="n">
        <v>26</v>
      </c>
      <c r="G909" s="68">
        <f>(1+INDEX($Z$21:$Z$97,B909))*(1+INDEX($Z$21:$Z$97,C909))*(1+INDEX($Z$21:$Z$97,D909))*(1+INDEX($Z$21:$Z$97,E909))*(1+INDEX($Z$21:$Z$97,F909))-1</f>
        <v>0.846995206127989</v>
      </c>
      <c r="H909" s="68">
        <f>(1+INDEX($AA$21:$AA$97,B909))*(1+INDEX($AA$21:$AA$97,C909))*(1+INDEX($AA$21:$AA$97,D909))*(1+INDEX($AA$21:$AA$97,E909))*(1+INDEX($AA$21:$AA$97,F909))-1</f>
        <v>0.720709832571364</v>
      </c>
      <c r="I909" s="68">
        <f>(1+INDEX($AB$21:$AB$97,B909))*(1+INDEX($AB$21:$AB$97,C909))*(1+INDEX($AB$21:$AB$97,D909))*(1+INDEX($AB$21:$AB$97,E909))*(1+INDEX($AB$21:$AB$97,F909))-1</f>
        <v>0.784568090448875</v>
      </c>
      <c r="J909" s="489">
        <f>LN((1+G909)/(1+H909))</f>
        <v>0.0708232066763367</v>
      </c>
      <c r="K909" s="489">
        <f>LN((1+I909)/(1+H909))</f>
        <v>0.0364395207716647</v>
      </c>
      <c r="L909" s="489">
        <f>(1+INDEX($AC$21:$AC$97,B909))*(1+INDEX($AC$21:$AC$97,C909))*(1+INDEX($AC$21:$AC$97,D909))*(1+INDEX($AC$21:$AC$97,E909))*(1+INDEX($AC$21:$AC$97,F909))-1</f>
        <v>0.765374047155096</v>
      </c>
      <c r="M909" s="489">
        <f>(1+INDEX($AD$21:$AD$97,B909))*(1+INDEX($AD$21:$AD$97,C909))*(1+INDEX($AD$21:$AD$97,D909))*(1+INDEX($AD$21:$AD$97,E909))*(1+INDEX($AD$21:$AD$97,F909))-1</f>
        <v>0.782170066564863</v>
      </c>
      <c r="N909" s="489">
        <f>(1+INDEX($AE$21:$AE$97,B909))*(1+INDEX($AE$21:$AE$97,C909))*(1+INDEX($AE$21:$AE$97,D909))*(1+INDEX($AE$21:$AE$97,E909))*(1+INDEX($AE$21:$AE$97,F909))-1</f>
        <v>0.76876295494345</v>
      </c>
      <c r="O909" s="489">
        <f>(1+INDEX($AF$21:$AF$97,B909))*(1+INDEX($AF$21:$AF$97,C909))*(1+INDEX($AF$21:$AF$97,D909))*(1+INDEX($AF$21:$AF$97,E909))*(1+INDEX($AF$21:$AF$97,F909))-1</f>
        <v>0.767319210635309</v>
      </c>
      <c r="P909" s="489">
        <f>LN((1+L909)/(1+H909))</f>
        <v>0.0256256936198261</v>
      </c>
      <c r="Q909" s="489">
        <f>LN((1+M909)/(1+H909))</f>
        <v>0.0350948612313387</v>
      </c>
      <c r="R909" s="489">
        <f>LN((1+N909)/(1+H909))</f>
        <v>0.0275435076859159</v>
      </c>
      <c r="S909" s="542">
        <f>LN((1+O909)/(1+H909))</f>
        <v>0.0267269291559152</v>
      </c>
    </row>
    <row r="910">
      <c r="A910" s="320" t="n">
        <v>809</v>
      </c>
      <c r="B910" s="174" t="n">
        <v>54</v>
      </c>
      <c r="C910" s="174" t="n">
        <v>61</v>
      </c>
      <c r="D910" s="174" t="n">
        <v>62</v>
      </c>
      <c r="E910" s="174" t="n">
        <v>15</v>
      </c>
      <c r="F910" s="174" t="n">
        <v>28</v>
      </c>
      <c r="G910" s="68">
        <f>(1+INDEX($Z$21:$Z$97,B910))*(1+INDEX($Z$21:$Z$97,C910))*(1+INDEX($Z$21:$Z$97,D910))*(1+INDEX($Z$21:$Z$97,E910))*(1+INDEX($Z$21:$Z$97,F910))-1</f>
        <v>0.247882330577706</v>
      </c>
      <c r="H910" s="68">
        <f>(1+INDEX($AA$21:$AA$97,B910))*(1+INDEX($AA$21:$AA$97,C910))*(1+INDEX($AA$21:$AA$97,D910))*(1+INDEX($AA$21:$AA$97,E910))*(1+INDEX($AA$21:$AA$97,F910))-1</f>
        <v>0.277765985107689</v>
      </c>
      <c r="I910" s="68">
        <f>(1+INDEX($AB$21:$AB$97,B910))*(1+INDEX($AB$21:$AB$97,C910))*(1+INDEX($AB$21:$AB$97,D910))*(1+INDEX($AB$21:$AB$97,E910))*(1+INDEX($AB$21:$AB$97,F910))-1</f>
        <v>0.28991379962153</v>
      </c>
      <c r="J910" s="489">
        <f>LN((1+G910)/(1+H910))</f>
        <v>-0.0236652498383153</v>
      </c>
      <c r="K910" s="489">
        <f>LN((1+I910)/(1+H910))</f>
        <v>0.00946216519783681</v>
      </c>
      <c r="L910" s="489">
        <f>(1+INDEX($AC$21:$AC$97,B910))*(1+INDEX($AC$21:$AC$97,C910))*(1+INDEX($AC$21:$AC$97,D910))*(1+INDEX($AC$21:$AC$97,E910))*(1+INDEX($AC$21:$AC$97,F910))-1</f>
        <v>0.314043065047952</v>
      </c>
      <c r="M910" s="489">
        <f>(1+INDEX($AD$21:$AD$97,B910))*(1+INDEX($AD$21:$AD$97,C910))*(1+INDEX($AD$21:$AD$97,D910))*(1+INDEX($AD$21:$AD$97,E910))*(1+INDEX($AD$21:$AD$97,F910))-1</f>
        <v>0.250828398853826</v>
      </c>
      <c r="N910" s="489">
        <f>(1+INDEX($AE$21:$AE$97,B910))*(1+INDEX($AE$21:$AE$97,C910))*(1+INDEX($AE$21:$AE$97,D910))*(1+INDEX($AE$21:$AE$97,E910))*(1+INDEX($AE$21:$AE$97,F910))-1</f>
        <v>0.311599963251375</v>
      </c>
      <c r="O910" s="489">
        <f>(1+INDEX($AF$21:$AF$97,B910))*(1+INDEX($AF$21:$AF$97,C910))*(1+INDEX($AF$21:$AF$97,D910))*(1+INDEX($AF$21:$AF$97,E910))*(1+INDEX($AF$21:$AF$97,F910))-1</f>
        <v>0.237469602350736</v>
      </c>
      <c r="P910" s="489">
        <f>LN((1+L910)/(1+H910))</f>
        <v>0.0279954645902181</v>
      </c>
      <c r="Q910" s="489">
        <f>LN((1+M910)/(1+H910))</f>
        <v>-0.0213071780482883</v>
      </c>
      <c r="R910" s="489">
        <f>LN((1+N910)/(1+H910))</f>
        <v>0.0261345090259503</v>
      </c>
      <c r="S910" s="542">
        <f>LN((1+O910)/(1+H910))</f>
        <v>-0.0320445775422073</v>
      </c>
    </row>
    <row r="911">
      <c r="A911" s="320" t="n">
        <v>810</v>
      </c>
      <c r="B911" s="174" t="n">
        <v>17</v>
      </c>
      <c r="C911" s="174" t="n">
        <v>76</v>
      </c>
      <c r="D911" s="174" t="n">
        <v>48</v>
      </c>
      <c r="E911" s="174" t="n">
        <v>64</v>
      </c>
      <c r="F911" s="174" t="n">
        <v>58</v>
      </c>
      <c r="G911" s="68">
        <f>(1+INDEX($Z$21:$Z$97,B911))*(1+INDEX($Z$21:$Z$97,C911))*(1+INDEX($Z$21:$Z$97,D911))*(1+INDEX($Z$21:$Z$97,E911))*(1+INDEX($Z$21:$Z$97,F911))-1</f>
        <v>0.221391513071897</v>
      </c>
      <c r="H911" s="68">
        <f>(1+INDEX($AA$21:$AA$97,B911))*(1+INDEX($AA$21:$AA$97,C911))*(1+INDEX($AA$21:$AA$97,D911))*(1+INDEX($AA$21:$AA$97,E911))*(1+INDEX($AA$21:$AA$97,F911))-1</f>
        <v>0.202404131342147</v>
      </c>
      <c r="I911" s="68">
        <f>(1+INDEX($AB$21:$AB$97,B911))*(1+INDEX($AB$21:$AB$97,C911))*(1+INDEX($AB$21:$AB$97,D911))*(1+INDEX($AB$21:$AB$97,E911))*(1+INDEX($AB$21:$AB$97,F911))-1</f>
        <v>0.216570488465773</v>
      </c>
      <c r="J911" s="489">
        <f>LN((1+G911)/(1+H911))</f>
        <v>0.0156677978940073</v>
      </c>
      <c r="K911" s="489">
        <f>LN((1+I911)/(1+H911))</f>
        <v>0.0117128298615312</v>
      </c>
      <c r="L911" s="489">
        <f>(1+INDEX($AC$21:$AC$97,B911))*(1+INDEX($AC$21:$AC$97,C911))*(1+INDEX($AC$21:$AC$97,D911))*(1+INDEX($AC$21:$AC$97,E911))*(1+INDEX($AC$21:$AC$97,F911))-1</f>
        <v>0.220609477981515</v>
      </c>
      <c r="M911" s="489">
        <f>(1+INDEX($AD$21:$AD$97,B911))*(1+INDEX($AD$21:$AD$97,C911))*(1+INDEX($AD$21:$AD$97,D911))*(1+INDEX($AD$21:$AD$97,E911))*(1+INDEX($AD$21:$AD$97,F911))-1</f>
        <v>0.185059925521312</v>
      </c>
      <c r="N911" s="489">
        <f>(1+INDEX($AE$21:$AE$97,B911))*(1+INDEX($AE$21:$AE$97,C911))*(1+INDEX($AE$21:$AE$97,D911))*(1+INDEX($AE$21:$AE$97,E911))*(1+INDEX($AE$21:$AE$97,F911))-1</f>
        <v>0.217428699116369</v>
      </c>
      <c r="O911" s="489">
        <f>(1+INDEX($AF$21:$AF$97,B911))*(1+INDEX($AF$21:$AF$97,C911))*(1+INDEX($AF$21:$AF$97,D911))*(1+INDEX($AF$21:$AF$97,E911))*(1+INDEX($AF$21:$AF$97,F911))-1</f>
        <v>0.167266228239408</v>
      </c>
      <c r="P911" s="489">
        <f>LN((1+L911)/(1+H911))</f>
        <v>0.0150273107525349</v>
      </c>
      <c r="Q911" s="489">
        <f>LN((1+M911)/(1+H911))</f>
        <v>-0.0145296519953701</v>
      </c>
      <c r="R911" s="489">
        <f>LN((1+N911)/(1+H911))</f>
        <v>0.0124180155415754</v>
      </c>
      <c r="S911" s="542">
        <f>LN((1+O911)/(1+H911))</f>
        <v>-0.0296585376237481</v>
      </c>
    </row>
    <row r="912">
      <c r="A912" s="320" t="n">
        <v>811</v>
      </c>
      <c r="B912" s="174" t="n">
        <v>54</v>
      </c>
      <c r="C912" s="174" t="n">
        <v>76</v>
      </c>
      <c r="D912" s="174" t="n">
        <v>41</v>
      </c>
      <c r="E912" s="174" t="n">
        <v>69</v>
      </c>
      <c r="F912" s="174" t="n">
        <v>9</v>
      </c>
      <c r="G912" s="68">
        <f>(1+INDEX($Z$21:$Z$97,B912))*(1+INDEX($Z$21:$Z$97,C912))*(1+INDEX($Z$21:$Z$97,D912))*(1+INDEX($Z$21:$Z$97,E912))*(1+INDEX($Z$21:$Z$97,F912))-1</f>
        <v>0.0997439226246828</v>
      </c>
      <c r="H912" s="68">
        <f>(1+INDEX($AA$21:$AA$97,B912))*(1+INDEX($AA$21:$AA$97,C912))*(1+INDEX($AA$21:$AA$97,D912))*(1+INDEX($AA$21:$AA$97,E912))*(1+INDEX($AA$21:$AA$97,F912))-1</f>
        <v>0.148151437504174</v>
      </c>
      <c r="I912" s="68">
        <f>(1+INDEX($AB$21:$AB$97,B912))*(1+INDEX($AB$21:$AB$97,C912))*(1+INDEX($AB$21:$AB$97,D912))*(1+INDEX($AB$21:$AB$97,E912))*(1+INDEX($AB$21:$AB$97,F912))-1</f>
        <v>0.132840053444207</v>
      </c>
      <c r="J912" s="489">
        <f>LN((1+G912)/(1+H912))</f>
        <v>-0.0430758483108739</v>
      </c>
      <c r="K912" s="489">
        <f>LN((1+I912)/(1+H912))</f>
        <v>-0.0134254021541433</v>
      </c>
      <c r="L912" s="489">
        <f>(1+INDEX($AC$21:$AC$97,B912))*(1+INDEX($AC$21:$AC$97,C912))*(1+INDEX($AC$21:$AC$97,D912))*(1+INDEX($AC$21:$AC$97,E912))*(1+INDEX($AC$21:$AC$97,F912))-1</f>
        <v>0.121631120439935</v>
      </c>
      <c r="M912" s="489">
        <f>(1+INDEX($AD$21:$AD$97,B912))*(1+INDEX($AD$21:$AD$97,C912))*(1+INDEX($AD$21:$AD$97,D912))*(1+INDEX($AD$21:$AD$97,E912))*(1+INDEX($AD$21:$AD$97,F912))-1</f>
        <v>0.153557352202122</v>
      </c>
      <c r="N912" s="489">
        <f>(1+INDEX($AE$21:$AE$97,B912))*(1+INDEX($AE$21:$AE$97,C912))*(1+INDEX($AE$21:$AE$97,D912))*(1+INDEX($AE$21:$AE$97,E912))*(1+INDEX($AE$21:$AE$97,F912))-1</f>
        <v>0.116536279484968</v>
      </c>
      <c r="O912" s="489">
        <f>(1+INDEX($AF$21:$AF$97,B912))*(1+INDEX($AF$21:$AF$97,C912))*(1+INDEX($AF$21:$AF$97,D912))*(1+INDEX($AF$21:$AF$97,E912))*(1+INDEX($AF$21:$AF$97,F912))-1</f>
        <v>0.205595222441132</v>
      </c>
      <c r="P912" s="489">
        <f>LN((1+L912)/(1+H912))</f>
        <v>-0.0233692200171689</v>
      </c>
      <c r="Q912" s="489">
        <f>LN((1+M912)/(1+H912))</f>
        <v>0.00469731415384801</v>
      </c>
      <c r="R912" s="489">
        <f>LN((1+N912)/(1+H912))</f>
        <v>-0.0279219176886863</v>
      </c>
      <c r="S912" s="542">
        <f>LN((1+O912)/(1+H912))</f>
        <v>0.0488202021166309</v>
      </c>
    </row>
    <row r="913">
      <c r="A913" s="320" t="n">
        <v>812</v>
      </c>
      <c r="B913" s="174" t="n">
        <v>38</v>
      </c>
      <c r="C913" s="174" t="n">
        <v>67</v>
      </c>
      <c r="D913" s="174" t="n">
        <v>24</v>
      </c>
      <c r="E913" s="174" t="n">
        <v>45</v>
      </c>
      <c r="F913" s="174" t="n">
        <v>61</v>
      </c>
      <c r="G913" s="68">
        <f>(1+INDEX($Z$21:$Z$97,B913))*(1+INDEX($Z$21:$Z$97,C913))*(1+INDEX($Z$21:$Z$97,D913))*(1+INDEX($Z$21:$Z$97,E913))*(1+INDEX($Z$21:$Z$97,F913))-1</f>
        <v>0.494350586806164</v>
      </c>
      <c r="H913" s="68">
        <f>(1+INDEX($AA$21:$AA$97,B913))*(1+INDEX($AA$21:$AA$97,C913))*(1+INDEX($AA$21:$AA$97,D913))*(1+INDEX($AA$21:$AA$97,E913))*(1+INDEX($AA$21:$AA$97,F913))-1</f>
        <v>0.466288374711153</v>
      </c>
      <c r="I913" s="68">
        <f>(1+INDEX($AB$21:$AB$97,B913))*(1+INDEX($AB$21:$AB$97,C913))*(1+INDEX($AB$21:$AB$97,D913))*(1+INDEX($AB$21:$AB$97,E913))*(1+INDEX($AB$21:$AB$97,F913))-1</f>
        <v>0.493229509223673</v>
      </c>
      <c r="J913" s="489">
        <f>LN((1+G913)/(1+H913))</f>
        <v>0.0189574297176453</v>
      </c>
      <c r="K913" s="489">
        <f>LN((1+I913)/(1+H913))</f>
        <v>0.0182069376142872</v>
      </c>
      <c r="L913" s="489">
        <f>(1+INDEX($AC$21:$AC$97,B913))*(1+INDEX($AC$21:$AC$97,C913))*(1+INDEX($AC$21:$AC$97,D913))*(1+INDEX($AC$21:$AC$97,E913))*(1+INDEX($AC$21:$AC$97,F913))-1</f>
        <v>0.509637172490029</v>
      </c>
      <c r="M913" s="489">
        <f>(1+INDEX($AD$21:$AD$97,B913))*(1+INDEX($AD$21:$AD$97,C913))*(1+INDEX($AD$21:$AD$97,D913))*(1+INDEX($AD$21:$AD$97,E913))*(1+INDEX($AD$21:$AD$97,F913))-1</f>
        <v>0.465787583129938</v>
      </c>
      <c r="N913" s="489">
        <f>(1+INDEX($AE$21:$AE$97,B913))*(1+INDEX($AE$21:$AE$97,C913))*(1+INDEX($AE$21:$AE$97,D913))*(1+INDEX($AE$21:$AE$97,E913))*(1+INDEX($AE$21:$AE$97,F913))-1</f>
        <v>0.510685168572864</v>
      </c>
      <c r="O913" s="489">
        <f>(1+INDEX($AF$21:$AF$97,B913))*(1+INDEX($AF$21:$AF$97,C913))*(1+INDEX($AF$21:$AF$97,D913))*(1+INDEX($AF$21:$AF$97,E913))*(1+INDEX($AF$21:$AF$97,F913))-1</f>
        <v>0.429519635544037</v>
      </c>
      <c r="P913" s="489">
        <f>LN((1+L913)/(1+H913))</f>
        <v>0.029135046180949</v>
      </c>
      <c r="Q913" s="489">
        <f>LN((1+M913)/(1+H913))</f>
        <v>-0.000341595233742562</v>
      </c>
      <c r="R913" s="489">
        <f>LN((1+N913)/(1+H913))</f>
        <v>0.0298290092792881</v>
      </c>
      <c r="S913" s="542">
        <f>LN((1+O913)/(1+H913))</f>
        <v>-0.0253958240157353</v>
      </c>
    </row>
    <row r="914">
      <c r="A914" s="320" t="n">
        <v>813</v>
      </c>
      <c r="B914" s="174" t="n">
        <v>77</v>
      </c>
      <c r="C914" s="174" t="n">
        <v>40</v>
      </c>
      <c r="D914" s="174" t="n">
        <v>48</v>
      </c>
      <c r="E914" s="174" t="n">
        <v>30</v>
      </c>
      <c r="F914" s="174" t="n">
        <v>63</v>
      </c>
      <c r="G914" s="68">
        <f>(1+INDEX($Z$21:$Z$97,B914))*(1+INDEX($Z$21:$Z$97,C914))*(1+INDEX($Z$21:$Z$97,D914))*(1+INDEX($Z$21:$Z$97,E914))*(1+INDEX($Z$21:$Z$97,F914))-1</f>
        <v>0.198160948685704</v>
      </c>
      <c r="H914" s="68">
        <f>(1+INDEX($AA$21:$AA$97,B914))*(1+INDEX($AA$21:$AA$97,C914))*(1+INDEX($AA$21:$AA$97,D914))*(1+INDEX($AA$21:$AA$97,E914))*(1+INDEX($AA$21:$AA$97,F914))-1</f>
        <v>0.180076924000248</v>
      </c>
      <c r="I914" s="68">
        <f>(1+INDEX($AB$21:$AB$97,B914))*(1+INDEX($AB$21:$AB$97,C914))*(1+INDEX($AB$21:$AB$97,D914))*(1+INDEX($AB$21:$AB$97,E914))*(1+INDEX($AB$21:$AB$97,F914))-1</f>
        <v>0.215037371389927</v>
      </c>
      <c r="J914" s="489">
        <f>LN((1+G914)/(1+H914))</f>
        <v>0.0152082123036528</v>
      </c>
      <c r="K914" s="489">
        <f>LN((1+I914)/(1+H914))</f>
        <v>0.0291952084815753</v>
      </c>
      <c r="L914" s="489">
        <f>(1+INDEX($AC$21:$AC$97,B914))*(1+INDEX($AC$21:$AC$97,C914))*(1+INDEX($AC$21:$AC$97,D914))*(1+INDEX($AC$21:$AC$97,E914))*(1+INDEX($AC$21:$AC$97,F914))-1</f>
        <v>0.217023222944201</v>
      </c>
      <c r="M914" s="489">
        <f>(1+INDEX($AD$21:$AD$97,B914))*(1+INDEX($AD$21:$AD$97,C914))*(1+INDEX($AD$21:$AD$97,D914))*(1+INDEX($AD$21:$AD$97,E914))*(1+INDEX($AD$21:$AD$97,F914))-1</f>
        <v>0.18352965661931</v>
      </c>
      <c r="N914" s="489">
        <f>(1+INDEX($AE$21:$AE$97,B914))*(1+INDEX($AE$21:$AE$97,C914))*(1+INDEX($AE$21:$AE$97,D914))*(1+INDEX($AE$21:$AE$97,E914))*(1+INDEX($AE$21:$AE$97,F914))-1</f>
        <v>0.194934776561417</v>
      </c>
      <c r="O914" s="489">
        <f>(1+INDEX($AF$21:$AF$97,B914))*(1+INDEX($AF$21:$AF$97,C914))*(1+INDEX($AF$21:$AF$97,D914))*(1+INDEX($AF$21:$AF$97,E914))*(1+INDEX($AF$21:$AF$97,F914))-1</f>
        <v>0.171531464461408</v>
      </c>
      <c r="P914" s="489">
        <f>LN((1+L914)/(1+H914))</f>
        <v>0.0308282697632206</v>
      </c>
      <c r="Q914" s="489">
        <f>LN((1+M914)/(1+H914))</f>
        <v>0.00292158187687603</v>
      </c>
      <c r="R914" s="489">
        <f>LN((1+N914)/(1+H914))</f>
        <v>0.0125119774270555</v>
      </c>
      <c r="S914" s="542">
        <f>LN((1+O914)/(1+H914))</f>
        <v>-0.00726778931011071</v>
      </c>
    </row>
    <row r="915">
      <c r="A915" s="320" t="n">
        <v>814</v>
      </c>
      <c r="B915" s="174" t="n">
        <v>56</v>
      </c>
      <c r="C915" s="174" t="n">
        <v>52</v>
      </c>
      <c r="D915" s="174" t="n">
        <v>6</v>
      </c>
      <c r="E915" s="174" t="n">
        <v>40</v>
      </c>
      <c r="F915" s="174" t="n">
        <v>1</v>
      </c>
      <c r="G915" s="68">
        <f>(1+INDEX($Z$21:$Z$97,B915))*(1+INDEX($Z$21:$Z$97,C915))*(1+INDEX($Z$21:$Z$97,D915))*(1+INDEX($Z$21:$Z$97,E915))*(1+INDEX($Z$21:$Z$97,F915))-1</f>
        <v>0.277660525019666</v>
      </c>
      <c r="H915" s="68">
        <f>(1+INDEX($AA$21:$AA$97,B915))*(1+INDEX($AA$21:$AA$97,C915))*(1+INDEX($AA$21:$AA$97,D915))*(1+INDEX($AA$21:$AA$97,E915))*(1+INDEX($AA$21:$AA$97,F915))-1</f>
        <v>0.254328442825669</v>
      </c>
      <c r="I915" s="68">
        <f>(1+INDEX($AB$21:$AB$97,B915))*(1+INDEX($AB$21:$AB$97,C915))*(1+INDEX($AB$21:$AB$97,D915))*(1+INDEX($AB$21:$AB$97,E915))*(1+INDEX($AB$21:$AB$97,F915))-1</f>
        <v>0.244000366470882</v>
      </c>
      <c r="J915" s="489">
        <f>LN((1+G915)/(1+H915))</f>
        <v>0.0184303667488032</v>
      </c>
      <c r="K915" s="489">
        <f>LN((1+I915)/(1+H915))</f>
        <v>-0.00826803513792453</v>
      </c>
      <c r="L915" s="489">
        <f>(1+INDEX($AC$21:$AC$97,B915))*(1+INDEX($AC$21:$AC$97,C915))*(1+INDEX($AC$21:$AC$97,D915))*(1+INDEX($AC$21:$AC$97,E915))*(1+INDEX($AC$21:$AC$97,F915))-1</f>
        <v>0.241488048386683</v>
      </c>
      <c r="M915" s="489">
        <f>(1+INDEX($AD$21:$AD$97,B915))*(1+INDEX($AD$21:$AD$97,C915))*(1+INDEX($AD$21:$AD$97,D915))*(1+INDEX($AD$21:$AD$97,E915))*(1+INDEX($AD$21:$AD$97,F915))-1</f>
        <v>0.238005352561832</v>
      </c>
      <c r="N915" s="489">
        <f>(1+INDEX($AE$21:$AE$97,B915))*(1+INDEX($AE$21:$AE$97,C915))*(1+INDEX($AE$21:$AE$97,D915))*(1+INDEX($AE$21:$AE$97,E915))*(1+INDEX($AE$21:$AE$97,F915))-1</f>
        <v>0.225629710339921</v>
      </c>
      <c r="O915" s="489">
        <f>(1+INDEX($AF$21:$AF$97,B915))*(1+INDEX($AF$21:$AF$97,C915))*(1+INDEX($AF$21:$AF$97,D915))*(1+INDEX($AF$21:$AF$97,E915))*(1+INDEX($AF$21:$AF$97,F915))-1</f>
        <v>0.280499595498297</v>
      </c>
      <c r="P915" s="489">
        <f>LN((1+L915)/(1+H915))</f>
        <v>-0.0102896248784347</v>
      </c>
      <c r="Q915" s="489">
        <f>LN((1+M915)/(1+H915))</f>
        <v>-0.0130988262369529</v>
      </c>
      <c r="R915" s="489">
        <f>LN((1+N915)/(1+H915))</f>
        <v>-0.0231455628698994</v>
      </c>
      <c r="S915" s="542">
        <f>LN((1+O915)/(1+H915))</f>
        <v>0.0206499867182237</v>
      </c>
    </row>
    <row r="916">
      <c r="A916" s="320" t="n">
        <v>815</v>
      </c>
      <c r="B916" s="174" t="n">
        <v>74</v>
      </c>
      <c r="C916" s="174" t="n">
        <v>61</v>
      </c>
      <c r="D916" s="174" t="n">
        <v>45</v>
      </c>
      <c r="E916" s="174" t="n">
        <v>64</v>
      </c>
      <c r="F916" s="174" t="n">
        <v>50</v>
      </c>
      <c r="G916" s="68">
        <f>(1+INDEX($Z$21:$Z$97,B916))*(1+INDEX($Z$21:$Z$97,C916))*(1+INDEX($Z$21:$Z$97,D916))*(1+INDEX($Z$21:$Z$97,E916))*(1+INDEX($Z$21:$Z$97,F916))-1</f>
        <v>0.285834181780671</v>
      </c>
      <c r="H916" s="68">
        <f>(1+INDEX($AA$21:$AA$97,B916))*(1+INDEX($AA$21:$AA$97,C916))*(1+INDEX($AA$21:$AA$97,D916))*(1+INDEX($AA$21:$AA$97,E916))*(1+INDEX($AA$21:$AA$97,F916))-1</f>
        <v>0.258343565146879</v>
      </c>
      <c r="I916" s="68">
        <f>(1+INDEX($AB$21:$AB$97,B916))*(1+INDEX($AB$21:$AB$97,C916))*(1+INDEX($AB$21:$AB$97,D916))*(1+INDEX($AB$21:$AB$97,E916))*(1+INDEX($AB$21:$AB$97,F916))-1</f>
        <v>0.293181873612463</v>
      </c>
      <c r="J916" s="489">
        <f>LN((1+G916)/(1+H916))</f>
        <v>0.021611451186867</v>
      </c>
      <c r="K916" s="489">
        <f>LN((1+I916)/(1+H916))</f>
        <v>0.0273095248354179</v>
      </c>
      <c r="L916" s="489">
        <f>(1+INDEX($AC$21:$AC$97,B916))*(1+INDEX($AC$21:$AC$97,C916))*(1+INDEX($AC$21:$AC$97,D916))*(1+INDEX($AC$21:$AC$97,E916))*(1+INDEX($AC$21:$AC$97,F916))-1</f>
        <v>0.294865930870785</v>
      </c>
      <c r="M916" s="489">
        <f>(1+INDEX($AD$21:$AD$97,B916))*(1+INDEX($AD$21:$AD$97,C916))*(1+INDEX($AD$21:$AD$97,D916))*(1+INDEX($AD$21:$AD$97,E916))*(1+INDEX($AD$21:$AD$97,F916))-1</f>
        <v>0.249167352867344</v>
      </c>
      <c r="N916" s="489">
        <f>(1+INDEX($AE$21:$AE$97,B916))*(1+INDEX($AE$21:$AE$97,C916))*(1+INDEX($AE$21:$AE$97,D916))*(1+INDEX($AE$21:$AE$97,E916))*(1+INDEX($AE$21:$AE$97,F916))-1</f>
        <v>0.290776930522506</v>
      </c>
      <c r="O916" s="489">
        <f>(1+INDEX($AF$21:$AF$97,B916))*(1+INDEX($AF$21:$AF$97,C916))*(1+INDEX($AF$21:$AF$97,D916))*(1+INDEX($AF$21:$AF$97,E916))*(1+INDEX($AF$21:$AF$97,F916))-1</f>
        <v>0.232120044273634</v>
      </c>
      <c r="P916" s="489">
        <f>LN((1+L916)/(1+H916))</f>
        <v>0.0286109362645971</v>
      </c>
      <c r="Q916" s="489">
        <f>LN((1+M916)/(1+H916))</f>
        <v>-0.00731901358925807</v>
      </c>
      <c r="R916" s="489">
        <f>LN((1+N916)/(1+H916))</f>
        <v>0.0254480835612548</v>
      </c>
      <c r="S916" s="542">
        <f>LN((1+O916)/(1+H916))</f>
        <v>-0.0210599263440766</v>
      </c>
    </row>
    <row r="917">
      <c r="A917" s="320" t="n">
        <v>816</v>
      </c>
      <c r="B917" s="174" t="n">
        <v>19</v>
      </c>
      <c r="C917" s="174" t="n">
        <v>5</v>
      </c>
      <c r="D917" s="174" t="n">
        <v>8</v>
      </c>
      <c r="E917" s="174" t="n">
        <v>19</v>
      </c>
      <c r="F917" s="174" t="n">
        <v>54</v>
      </c>
      <c r="G917" s="68">
        <f>(1+INDEX($Z$21:$Z$97,B917))*(1+INDEX($Z$21:$Z$97,C917))*(1+INDEX($Z$21:$Z$97,D917))*(1+INDEX($Z$21:$Z$97,E917))*(1+INDEX($Z$21:$Z$97,F917))-1</f>
        <v>-0.317970801376535</v>
      </c>
      <c r="H917" s="68">
        <f>(1+INDEX($AA$21:$AA$97,B917))*(1+INDEX($AA$21:$AA$97,C917))*(1+INDEX($AA$21:$AA$97,D917))*(1+INDEX($AA$21:$AA$97,E917))*(1+INDEX($AA$21:$AA$97,F917))-1</f>
        <v>-0.25840649544868</v>
      </c>
      <c r="I917" s="68">
        <f>(1+INDEX($AB$21:$AB$97,B917))*(1+INDEX($AB$21:$AB$97,C917))*(1+INDEX($AB$21:$AB$97,D917))*(1+INDEX($AB$21:$AB$97,E917))*(1+INDEX($AB$21:$AB$97,F917))-1</f>
        <v>-0.315996275305081</v>
      </c>
      <c r="J917" s="489">
        <f>LN((1+G917)/(1+H917))</f>
        <v>-0.0837287853597676</v>
      </c>
      <c r="K917" s="489">
        <f>LN((1+I917)/(1+H917))</f>
        <v>-0.080837892449526</v>
      </c>
      <c r="L917" s="489">
        <f>(1+INDEX($AC$21:$AC$97,B917))*(1+INDEX($AC$21:$AC$97,C917))*(1+INDEX($AC$21:$AC$97,D917))*(1+INDEX($AC$21:$AC$97,E917))*(1+INDEX($AC$21:$AC$97,F917))-1</f>
        <v>-0.333163877480025</v>
      </c>
      <c r="M917" s="489">
        <f>(1+INDEX($AD$21:$AD$97,B917))*(1+INDEX($AD$21:$AD$97,C917))*(1+INDEX($AD$21:$AD$97,D917))*(1+INDEX($AD$21:$AD$97,E917))*(1+INDEX($AD$21:$AD$97,F917))-1</f>
        <v>-0.301485809583127</v>
      </c>
      <c r="N917" s="489">
        <f>(1+INDEX($AE$21:$AE$97,B917))*(1+INDEX($AE$21:$AE$97,C917))*(1+INDEX($AE$21:$AE$97,D917))*(1+INDEX($AE$21:$AE$97,E917))*(1+INDEX($AE$21:$AE$97,F917))-1</f>
        <v>-0.335768541387891</v>
      </c>
      <c r="O917" s="489">
        <f>(1+INDEX($AF$21:$AF$97,B917))*(1+INDEX($AF$21:$AF$97,C917))*(1+INDEX($AF$21:$AF$97,D917))*(1+INDEX($AF$21:$AF$97,E917))*(1+INDEX($AF$21:$AF$97,F917))-1</f>
        <v>-0.231526142634482</v>
      </c>
      <c r="P917" s="489">
        <f>LN((1+L917)/(1+H917))</f>
        <v>-0.106256933162946</v>
      </c>
      <c r="Q917" s="489">
        <f>LN((1+M917)/(1+H917))</f>
        <v>-0.0598457614695577</v>
      </c>
      <c r="R917" s="489">
        <f>LN((1+N917)/(1+H917))</f>
        <v>-0.110170584534747</v>
      </c>
      <c r="S917" s="542">
        <f>LN((1+O917)/(1+H917))</f>
        <v>0.0356052891406952</v>
      </c>
    </row>
    <row r="918">
      <c r="A918" s="320" t="n">
        <v>817</v>
      </c>
      <c r="B918" s="174" t="n">
        <v>13</v>
      </c>
      <c r="C918" s="174" t="n">
        <v>34</v>
      </c>
      <c r="D918" s="174" t="n">
        <v>31</v>
      </c>
      <c r="E918" s="174" t="n">
        <v>42</v>
      </c>
      <c r="F918" s="174" t="n">
        <v>59</v>
      </c>
      <c r="G918" s="68">
        <f>(1+INDEX($Z$21:$Z$97,B918))*(1+INDEX($Z$21:$Z$97,C918))*(1+INDEX($Z$21:$Z$97,D918))*(1+INDEX($Z$21:$Z$97,E918))*(1+INDEX($Z$21:$Z$97,F918))-1</f>
        <v>1.02920951520494</v>
      </c>
      <c r="H918" s="68">
        <f>(1+INDEX($AA$21:$AA$97,B918))*(1+INDEX($AA$21:$AA$97,C918))*(1+INDEX($AA$21:$AA$97,D918))*(1+INDEX($AA$21:$AA$97,E918))*(1+INDEX($AA$21:$AA$97,F918))-1</f>
        <v>0.96483691210546</v>
      </c>
      <c r="I918" s="68">
        <f>(1+INDEX($AB$21:$AB$97,B918))*(1+INDEX($AB$21:$AB$97,C918))*(1+INDEX($AB$21:$AB$97,D918))*(1+INDEX($AB$21:$AB$97,E918))*(1+INDEX($AB$21:$AB$97,F918))-1</f>
        <v>1.05438978973622</v>
      </c>
      <c r="J918" s="489">
        <f>LN((1+G918)/(1+H918))</f>
        <v>0.0322370703475732</v>
      </c>
      <c r="K918" s="489">
        <f>LN((1+I918)/(1+H918))</f>
        <v>0.044569619059043</v>
      </c>
      <c r="L918" s="489">
        <f>(1+INDEX($AC$21:$AC$97,B918))*(1+INDEX($AC$21:$AC$97,C918))*(1+INDEX($AC$21:$AC$97,D918))*(1+INDEX($AC$21:$AC$97,E918))*(1+INDEX($AC$21:$AC$97,F918))-1</f>
        <v>1.09807943628531</v>
      </c>
      <c r="M918" s="489">
        <f>(1+INDEX($AD$21:$AD$97,B918))*(1+INDEX($AD$21:$AD$97,C918))*(1+INDEX($AD$21:$AD$97,D918))*(1+INDEX($AD$21:$AD$97,E918))*(1+INDEX($AD$21:$AD$97,F918))-1</f>
        <v>1.04003168938056</v>
      </c>
      <c r="N918" s="489">
        <f>(1+INDEX($AE$21:$AE$97,B918))*(1+INDEX($AE$21:$AE$97,C918))*(1+INDEX($AE$21:$AE$97,D918))*(1+INDEX($AE$21:$AE$97,E918))*(1+INDEX($AE$21:$AE$97,F918))-1</f>
        <v>1.09224303268375</v>
      </c>
      <c r="O918" s="489">
        <f>(1+INDEX($AF$21:$AF$97,B918))*(1+INDEX($AF$21:$AF$97,C918))*(1+INDEX($AF$21:$AF$97,D918))*(1+INDEX($AF$21:$AF$97,E918))*(1+INDEX($AF$21:$AF$97,F918))-1</f>
        <v>0.911419656108653</v>
      </c>
      <c r="P918" s="489">
        <f>LN((1+L918)/(1+H918))</f>
        <v>0.0656131266268796</v>
      </c>
      <c r="Q918" s="489">
        <f>LN((1+M918)/(1+H918))</f>
        <v>0.0375560962527081</v>
      </c>
      <c r="R918" s="489">
        <f>LN((1+N918)/(1+H918))</f>
        <v>0.0628274663733083</v>
      </c>
      <c r="S918" s="542">
        <f>LN((1+O918)/(1+H918))</f>
        <v>-0.027563004077146</v>
      </c>
    </row>
    <row r="919">
      <c r="A919" s="320" t="n">
        <v>818</v>
      </c>
      <c r="B919" s="174" t="n">
        <v>2</v>
      </c>
      <c r="C919" s="174" t="n">
        <v>38</v>
      </c>
      <c r="D919" s="174" t="n">
        <v>63</v>
      </c>
      <c r="E919" s="174" t="n">
        <v>50</v>
      </c>
      <c r="F919" s="174" t="n">
        <v>7</v>
      </c>
      <c r="G919" s="68">
        <f>(1+INDEX($Z$21:$Z$97,B919))*(1+INDEX($Z$21:$Z$97,C919))*(1+INDEX($Z$21:$Z$97,D919))*(1+INDEX($Z$21:$Z$97,E919))*(1+INDEX($Z$21:$Z$97,F919))-1</f>
        <v>0.0613512329031798</v>
      </c>
      <c r="H919" s="68">
        <f>(1+INDEX($AA$21:$AA$97,B919))*(1+INDEX($AA$21:$AA$97,C919))*(1+INDEX($AA$21:$AA$97,D919))*(1+INDEX($AA$21:$AA$97,E919))*(1+INDEX($AA$21:$AA$97,F919))-1</f>
        <v>0.0361288389002281</v>
      </c>
      <c r="I919" s="68">
        <f>(1+INDEX($AB$21:$AB$97,B919))*(1+INDEX($AB$21:$AB$97,C919))*(1+INDEX($AB$21:$AB$97,D919))*(1+INDEX($AB$21:$AB$97,E919))*(1+INDEX($AB$21:$AB$97,F919))-1</f>
        <v>0.0350790714054901</v>
      </c>
      <c r="J919" s="489">
        <f>LN((1+G919)/(1+H919))</f>
        <v>0.0240513463666037</v>
      </c>
      <c r="K919" s="489">
        <f>LN((1+I919)/(1+H919))</f>
        <v>-0.00101367668538205</v>
      </c>
      <c r="L919" s="489">
        <f>(1+INDEX($AC$21:$AC$97,B919))*(1+INDEX($AC$21:$AC$97,C919))*(1+INDEX($AC$21:$AC$97,D919))*(1+INDEX($AC$21:$AC$97,E919))*(1+INDEX($AC$21:$AC$97,F919))-1</f>
        <v>0.0193320481687735</v>
      </c>
      <c r="M919" s="489">
        <f>(1+INDEX($AD$21:$AD$97,B919))*(1+INDEX($AD$21:$AD$97,C919))*(1+INDEX($AD$21:$AD$97,D919))*(1+INDEX($AD$21:$AD$97,E919))*(1+INDEX($AD$21:$AD$97,F919))-1</f>
        <v>0.0275343015102696</v>
      </c>
      <c r="N919" s="489">
        <f>(1+INDEX($AE$21:$AE$97,B919))*(1+INDEX($AE$21:$AE$97,C919))*(1+INDEX($AE$21:$AE$97,D919))*(1+INDEX($AE$21:$AE$97,E919))*(1+INDEX($AE$21:$AE$97,F919))-1</f>
        <v>0.0174979523372225</v>
      </c>
      <c r="O919" s="489">
        <f>(1+INDEX($AF$21:$AF$97,B919))*(1+INDEX($AF$21:$AF$97,C919))*(1+INDEX($AF$21:$AF$97,D919))*(1+INDEX($AF$21:$AF$97,E919))*(1+INDEX($AF$21:$AF$97,F919))-1</f>
        <v>0.0339564950354496</v>
      </c>
      <c r="P919" s="489">
        <f>LN((1+L919)/(1+H919))</f>
        <v>-0.0163439399291357</v>
      </c>
      <c r="Q919" s="489">
        <f>LN((1+M919)/(1+H919))</f>
        <v>-0.00832944768178202</v>
      </c>
      <c r="R919" s="489">
        <f>LN((1+N919)/(1+H919))</f>
        <v>-0.0181448720902039</v>
      </c>
      <c r="S919" s="542">
        <f>LN((1+O919)/(1+H919))</f>
        <v>-0.00209879721051936</v>
      </c>
    </row>
    <row r="920">
      <c r="A920" s="320" t="n">
        <v>819</v>
      </c>
      <c r="B920" s="174" t="n">
        <v>51</v>
      </c>
      <c r="C920" s="174" t="n">
        <v>25</v>
      </c>
      <c r="D920" s="174" t="n">
        <v>66</v>
      </c>
      <c r="E920" s="174" t="n">
        <v>53</v>
      </c>
      <c r="F920" s="174" t="n">
        <v>51</v>
      </c>
      <c r="G920" s="68">
        <f>(1+INDEX($Z$21:$Z$97,B920))*(1+INDEX($Z$21:$Z$97,C920))*(1+INDEX($Z$21:$Z$97,D920))*(1+INDEX($Z$21:$Z$97,E920))*(1+INDEX($Z$21:$Z$97,F920))-1</f>
        <v>0.500406579143538</v>
      </c>
      <c r="H920" s="68">
        <f>(1+INDEX($AA$21:$AA$97,B920))*(1+INDEX($AA$21:$AA$97,C920))*(1+INDEX($AA$21:$AA$97,D920))*(1+INDEX($AA$21:$AA$97,E920))*(1+INDEX($AA$21:$AA$97,F920))-1</f>
        <v>0.445004781696546</v>
      </c>
      <c r="I920" s="68">
        <f>(1+INDEX($AB$21:$AB$97,B920))*(1+INDEX($AB$21:$AB$97,C920))*(1+INDEX($AB$21:$AB$97,D920))*(1+INDEX($AB$21:$AB$97,E920))*(1+INDEX($AB$21:$AB$97,F920))-1</f>
        <v>0.477797678595187</v>
      </c>
      <c r="J920" s="489">
        <f>LN((1+G920)/(1+H920))</f>
        <v>0.0376234934508818</v>
      </c>
      <c r="K920" s="489">
        <f>LN((1+I920)/(1+H920))</f>
        <v>0.0224402938278825</v>
      </c>
      <c r="L920" s="489">
        <f>(1+INDEX($AC$21:$AC$97,B920))*(1+INDEX($AC$21:$AC$97,C920))*(1+INDEX($AC$21:$AC$97,D920))*(1+INDEX($AC$21:$AC$97,E920))*(1+INDEX($AC$21:$AC$97,F920))-1</f>
        <v>0.460763707384425</v>
      </c>
      <c r="M920" s="489">
        <f>(1+INDEX($AD$21:$AD$97,B920))*(1+INDEX($AD$21:$AD$97,C920))*(1+INDEX($AD$21:$AD$97,D920))*(1+INDEX($AD$21:$AD$97,E920))*(1+INDEX($AD$21:$AD$97,F920))-1</f>
        <v>0.502822630147106</v>
      </c>
      <c r="N920" s="489">
        <f>(1+INDEX($AE$21:$AE$97,B920))*(1+INDEX($AE$21:$AE$97,C920))*(1+INDEX($AE$21:$AE$97,D920))*(1+INDEX($AE$21:$AE$97,E920))*(1+INDEX($AE$21:$AE$97,F920))-1</f>
        <v>0.465087208508697</v>
      </c>
      <c r="O920" s="489">
        <f>(1+INDEX($AF$21:$AF$97,B920))*(1+INDEX($AF$21:$AF$97,C920))*(1+INDEX($AF$21:$AF$97,D920))*(1+INDEX($AF$21:$AF$97,E920))*(1+INDEX($AF$21:$AF$97,F920))-1</f>
        <v>0.494887208601688</v>
      </c>
      <c r="P920" s="489">
        <f>LN((1+L920)/(1+H920))</f>
        <v>0.0108467555159283</v>
      </c>
      <c r="Q920" s="489">
        <f>LN((1+M920)/(1+H920))</f>
        <v>0.0392324625680657</v>
      </c>
      <c r="R920" s="489">
        <f>LN((1+N920)/(1+H920))</f>
        <v>0.0138021379981165</v>
      </c>
      <c r="S920" s="542">
        <f>LN((1+O920)/(1+H920))</f>
        <v>0.0339381275536185</v>
      </c>
    </row>
    <row r="921">
      <c r="A921" s="320" t="n">
        <v>820</v>
      </c>
      <c r="B921" s="174" t="n">
        <v>9</v>
      </c>
      <c r="C921" s="174" t="n">
        <v>70</v>
      </c>
      <c r="D921" s="174" t="n">
        <v>10</v>
      </c>
      <c r="E921" s="174" t="n">
        <v>15</v>
      </c>
      <c r="F921" s="174" t="n">
        <v>32</v>
      </c>
      <c r="G921" s="68">
        <f>(1+INDEX($Z$21:$Z$97,B921))*(1+INDEX($Z$21:$Z$97,C921))*(1+INDEX($Z$21:$Z$97,D921))*(1+INDEX($Z$21:$Z$97,E921))*(1+INDEX($Z$21:$Z$97,F921))-1</f>
        <v>-0.066336775570518</v>
      </c>
      <c r="H921" s="68">
        <f>(1+INDEX($AA$21:$AA$97,B921))*(1+INDEX($AA$21:$AA$97,C921))*(1+INDEX($AA$21:$AA$97,D921))*(1+INDEX($AA$21:$AA$97,E921))*(1+INDEX($AA$21:$AA$97,F921))-1</f>
        <v>-0.01711456695684</v>
      </c>
      <c r="I921" s="68">
        <f>(1+INDEX($AB$21:$AB$97,B921))*(1+INDEX($AB$21:$AB$97,C921))*(1+INDEX($AB$21:$AB$97,D921))*(1+INDEX($AB$21:$AB$97,E921))*(1+INDEX($AB$21:$AB$97,F921))-1</f>
        <v>-0.0491961365188039</v>
      </c>
      <c r="J921" s="489">
        <f>LN((1+G921)/(1+H921))</f>
        <v>-0.0513767652866842</v>
      </c>
      <c r="K921" s="489">
        <f>LN((1+I921)/(1+H921))</f>
        <v>-0.0331847661990458</v>
      </c>
      <c r="L921" s="489">
        <f>(1+INDEX($AC$21:$AC$97,B921))*(1+INDEX($AC$21:$AC$97,C921))*(1+INDEX($AC$21:$AC$97,D921))*(1+INDEX($AC$21:$AC$97,E921))*(1+INDEX($AC$21:$AC$97,F921))-1</f>
        <v>-0.0771749828756675</v>
      </c>
      <c r="M921" s="489">
        <f>(1+INDEX($AD$21:$AD$97,B921))*(1+INDEX($AD$21:$AD$97,C921))*(1+INDEX($AD$21:$AD$97,D921))*(1+INDEX($AD$21:$AD$97,E921))*(1+INDEX($AD$21:$AD$97,F921))-1</f>
        <v>-0.012083803328492</v>
      </c>
      <c r="N921" s="489">
        <f>(1+INDEX($AE$21:$AE$97,B921))*(1+INDEX($AE$21:$AE$97,C921))*(1+INDEX($AE$21:$AE$97,D921))*(1+INDEX($AE$21:$AE$97,E921))*(1+INDEX($AE$21:$AE$97,F921))-1</f>
        <v>-0.0801712312888655</v>
      </c>
      <c r="O921" s="489">
        <f>(1+INDEX($AF$21:$AF$97,B921))*(1+INDEX($AF$21:$AF$97,C921))*(1+INDEX($AF$21:$AF$97,D921))*(1+INDEX($AF$21:$AF$97,E921))*(1+INDEX($AF$21:$AF$97,F921))-1</f>
        <v>0.0225840663318531</v>
      </c>
      <c r="P921" s="489">
        <f>LN((1+L921)/(1+H921))</f>
        <v>-0.0630529291275023</v>
      </c>
      <c r="Q921" s="489">
        <f>LN((1+M921)/(1+H921))</f>
        <v>0.00510530789033392</v>
      </c>
      <c r="R921" s="489">
        <f>LN((1+N921)/(1+H921))</f>
        <v>-0.0663050333230584</v>
      </c>
      <c r="S921" s="542">
        <f>LN((1+O921)/(1+H921))</f>
        <v>0.039595535921509</v>
      </c>
    </row>
    <row r="922">
      <c r="A922" s="320" t="n">
        <v>821</v>
      </c>
      <c r="B922" s="174" t="n">
        <v>48</v>
      </c>
      <c r="C922" s="174" t="n">
        <v>52</v>
      </c>
      <c r="D922" s="174" t="n">
        <v>47</v>
      </c>
      <c r="E922" s="174" t="n">
        <v>18</v>
      </c>
      <c r="F922" s="174" t="n">
        <v>9</v>
      </c>
      <c r="G922" s="68">
        <f>(1+INDEX($Z$21:$Z$97,B922))*(1+INDEX($Z$21:$Z$97,C922))*(1+INDEX($Z$21:$Z$97,D922))*(1+INDEX($Z$21:$Z$97,E922))*(1+INDEX($Z$21:$Z$97,F922))-1</f>
        <v>0.174078175682208</v>
      </c>
      <c r="H922" s="68">
        <f>(1+INDEX($AA$21:$AA$97,B922))*(1+INDEX($AA$21:$AA$97,C922))*(1+INDEX($AA$21:$AA$97,D922))*(1+INDEX($AA$21:$AA$97,E922))*(1+INDEX($AA$21:$AA$97,F922))-1</f>
        <v>0.165997882207577</v>
      </c>
      <c r="I922" s="68">
        <f>(1+INDEX($AB$21:$AB$97,B922))*(1+INDEX($AB$21:$AB$97,C922))*(1+INDEX($AB$21:$AB$97,D922))*(1+INDEX($AB$21:$AB$97,E922))*(1+INDEX($AB$21:$AB$97,F922))-1</f>
        <v>0.165259645347216</v>
      </c>
      <c r="J922" s="489">
        <f>LN((1+G922)/(1+H922))</f>
        <v>0.00690603671794841</v>
      </c>
      <c r="K922" s="489">
        <f>LN((1+I922)/(1+H922))</f>
        <v>-0.00063333790995812</v>
      </c>
      <c r="L922" s="489">
        <f>(1+INDEX($AC$21:$AC$97,B922))*(1+INDEX($AC$21:$AC$97,C922))*(1+INDEX($AC$21:$AC$97,D922))*(1+INDEX($AC$21:$AC$97,E922))*(1+INDEX($AC$21:$AC$97,F922))-1</f>
        <v>0.136889068171793</v>
      </c>
      <c r="M922" s="489">
        <f>(1+INDEX($AD$21:$AD$97,B922))*(1+INDEX($AD$21:$AD$97,C922))*(1+INDEX($AD$21:$AD$97,D922))*(1+INDEX($AD$21:$AD$97,E922))*(1+INDEX($AD$21:$AD$97,F922))-1</f>
        <v>0.170409563772558</v>
      </c>
      <c r="N922" s="489">
        <f>(1+INDEX($AE$21:$AE$97,B922))*(1+INDEX($AE$21:$AE$97,C922))*(1+INDEX($AE$21:$AE$97,D922))*(1+INDEX($AE$21:$AE$97,E922))*(1+INDEX($AE$21:$AE$97,F922))-1</f>
        <v>0.140534297272275</v>
      </c>
      <c r="O922" s="489">
        <f>(1+INDEX($AF$21:$AF$97,B922))*(1+INDEX($AF$21:$AF$97,C922))*(1+INDEX($AF$21:$AF$97,D922))*(1+INDEX($AF$21:$AF$97,E922))*(1+INDEX($AF$21:$AF$97,F922))-1</f>
        <v>0.215081571709725</v>
      </c>
      <c r="P922" s="489">
        <f>LN((1+L922)/(1+H922))</f>
        <v>-0.0252816270017496</v>
      </c>
      <c r="Q922" s="489">
        <f>LN((1+M922)/(1+H922))</f>
        <v>0.00377647042321655</v>
      </c>
      <c r="R922" s="489">
        <f>LN((1+N922)/(1+H922))</f>
        <v>-0.0220804372109533</v>
      </c>
      <c r="S922" s="542">
        <f>LN((1+O922)/(1+H922))</f>
        <v>0.0412339401104367</v>
      </c>
    </row>
    <row r="923">
      <c r="A923" s="320" t="n">
        <v>822</v>
      </c>
      <c r="B923" s="174" t="n">
        <v>12</v>
      </c>
      <c r="C923" s="174" t="n">
        <v>57</v>
      </c>
      <c r="D923" s="174" t="n">
        <v>20</v>
      </c>
      <c r="E923" s="174" t="n">
        <v>5</v>
      </c>
      <c r="F923" s="174" t="n">
        <v>24</v>
      </c>
      <c r="G923" s="68">
        <f>(1+INDEX($Z$21:$Z$97,B923))*(1+INDEX($Z$21:$Z$97,C923))*(1+INDEX($Z$21:$Z$97,D923))*(1+INDEX($Z$21:$Z$97,E923))*(1+INDEX($Z$21:$Z$97,F923))-1</f>
        <v>0.433584694761462</v>
      </c>
      <c r="H923" s="68">
        <f>(1+INDEX($AA$21:$AA$97,B923))*(1+INDEX($AA$21:$AA$97,C923))*(1+INDEX($AA$21:$AA$97,D923))*(1+INDEX($AA$21:$AA$97,E923))*(1+INDEX($AA$21:$AA$97,F923))-1</f>
        <v>0.364129729146607</v>
      </c>
      <c r="I923" s="68">
        <f>(1+INDEX($AB$21:$AB$97,B923))*(1+INDEX($AB$21:$AB$97,C923))*(1+INDEX($AB$21:$AB$97,D923))*(1+INDEX($AB$21:$AB$97,E923))*(1+INDEX($AB$21:$AB$97,F923))-1</f>
        <v>0.358779876071711</v>
      </c>
      <c r="J923" s="489">
        <f>LN((1+G923)/(1+H923))</f>
        <v>0.049661422850706</v>
      </c>
      <c r="K923" s="489">
        <f>LN((1+I923)/(1+H923))</f>
        <v>-0.00392951712286825</v>
      </c>
      <c r="L923" s="489">
        <f>(1+INDEX($AC$21:$AC$97,B923))*(1+INDEX($AC$21:$AC$97,C923))*(1+INDEX($AC$21:$AC$97,D923))*(1+INDEX($AC$21:$AC$97,E923))*(1+INDEX($AC$21:$AC$97,F923))-1</f>
        <v>0.364348634605534</v>
      </c>
      <c r="M923" s="489">
        <f>(1+INDEX($AD$21:$AD$97,B923))*(1+INDEX($AD$21:$AD$97,C923))*(1+INDEX($AD$21:$AD$97,D923))*(1+INDEX($AD$21:$AD$97,E923))*(1+INDEX($AD$21:$AD$97,F923))-1</f>
        <v>0.357741612639084</v>
      </c>
      <c r="N923" s="489">
        <f>(1+INDEX($AE$21:$AE$97,B923))*(1+INDEX($AE$21:$AE$97,C923))*(1+INDEX($AE$21:$AE$97,D923))*(1+INDEX($AE$21:$AE$97,E923))*(1+INDEX($AE$21:$AE$97,F923))-1</f>
        <v>0.338814898379455</v>
      </c>
      <c r="O923" s="489">
        <f>(1+INDEX($AF$21:$AF$97,B923))*(1+INDEX($AF$21:$AF$97,C923))*(1+INDEX($AF$21:$AF$97,D923))*(1+INDEX($AF$21:$AF$97,E923))*(1+INDEX($AF$21:$AF$97,F923))-1</f>
        <v>0.393413016532864</v>
      </c>
      <c r="P923" s="489">
        <f>LN((1+L923)/(1+H923))</f>
        <v>0.000160459736316897</v>
      </c>
      <c r="Q923" s="489">
        <f>LN((1+M923)/(1+H923))</f>
        <v>-0.00469392372704805</v>
      </c>
      <c r="R923" s="489">
        <f>LN((1+N923)/(1+H923))</f>
        <v>-0.0187318457914273</v>
      </c>
      <c r="S923" s="542">
        <f>LN((1+O923)/(1+H923))</f>
        <v>0.0212394808888338</v>
      </c>
    </row>
    <row r="924">
      <c r="A924" s="320" t="n">
        <v>823</v>
      </c>
      <c r="B924" s="174" t="n">
        <v>69</v>
      </c>
      <c r="C924" s="174" t="n">
        <v>41</v>
      </c>
      <c r="D924" s="174" t="n">
        <v>3</v>
      </c>
      <c r="E924" s="174" t="n">
        <v>20</v>
      </c>
      <c r="F924" s="174" t="n">
        <v>44</v>
      </c>
      <c r="G924" s="68">
        <f>(1+INDEX($Z$21:$Z$97,B924))*(1+INDEX($Z$21:$Z$97,C924))*(1+INDEX($Z$21:$Z$97,D924))*(1+INDEX($Z$21:$Z$97,E924))*(1+INDEX($Z$21:$Z$97,F924))-1</f>
        <v>0.502640147506507</v>
      </c>
      <c r="H924" s="68">
        <f>(1+INDEX($AA$21:$AA$97,B924))*(1+INDEX($AA$21:$AA$97,C924))*(1+INDEX($AA$21:$AA$97,D924))*(1+INDEX($AA$21:$AA$97,E924))*(1+INDEX($AA$21:$AA$97,F924))-1</f>
        <v>0.463571162520897</v>
      </c>
      <c r="I924" s="68">
        <f>(1+INDEX($AB$21:$AB$97,B924))*(1+INDEX($AB$21:$AB$97,C924))*(1+INDEX($AB$21:$AB$97,D924))*(1+INDEX($AB$21:$AB$97,E924))*(1+INDEX($AB$21:$AB$97,F924))-1</f>
        <v>0.480872195195693</v>
      </c>
      <c r="J924" s="489">
        <f>LN((1+G924)/(1+H924))</f>
        <v>0.0263442084341112</v>
      </c>
      <c r="K924" s="489">
        <f>LN((1+I924)/(1+H924))</f>
        <v>0.0117517844189087</v>
      </c>
      <c r="L924" s="489">
        <f>(1+INDEX($AC$21:$AC$97,B924))*(1+INDEX($AC$21:$AC$97,C924))*(1+INDEX($AC$21:$AC$97,D924))*(1+INDEX($AC$21:$AC$97,E924))*(1+INDEX($AC$21:$AC$97,F924))-1</f>
        <v>0.475938519730472</v>
      </c>
      <c r="M924" s="489">
        <f>(1+INDEX($AD$21:$AD$97,B924))*(1+INDEX($AD$21:$AD$97,C924))*(1+INDEX($AD$21:$AD$97,D924))*(1+INDEX($AD$21:$AD$97,E924))*(1+INDEX($AD$21:$AD$97,F924))-1</f>
        <v>0.478130003153477</v>
      </c>
      <c r="N924" s="489">
        <f>(1+INDEX($AE$21:$AE$97,B924))*(1+INDEX($AE$21:$AE$97,C924))*(1+INDEX($AE$21:$AE$97,D924))*(1+INDEX($AE$21:$AE$97,E924))*(1+INDEX($AE$21:$AE$97,F924))-1</f>
        <v>0.473648675000464</v>
      </c>
      <c r="O924" s="489">
        <f>(1+INDEX($AF$21:$AF$97,B924))*(1+INDEX($AF$21:$AF$97,C924))*(1+INDEX($AF$21:$AF$97,D924))*(1+INDEX($AF$21:$AF$97,E924))*(1+INDEX($AF$21:$AF$97,F924))-1</f>
        <v>0.496247389375508</v>
      </c>
      <c r="P924" s="489">
        <f>LN((1+L924)/(1+H924))</f>
        <v>0.00841462115780651</v>
      </c>
      <c r="Q924" s="489">
        <f>LN((1+M924)/(1+H924))</f>
        <v>0.00989832663589782</v>
      </c>
      <c r="R924" s="489">
        <f>LN((1+N924)/(1+H924))</f>
        <v>0.00686196647167599</v>
      </c>
      <c r="S924" s="542">
        <f>LN((1+O924)/(1+H924))</f>
        <v>0.0220807822564367</v>
      </c>
    </row>
    <row r="925">
      <c r="A925" s="320" t="n">
        <v>824</v>
      </c>
      <c r="B925" s="174" t="n">
        <v>21</v>
      </c>
      <c r="C925" s="174" t="n">
        <v>45</v>
      </c>
      <c r="D925" s="174" t="n">
        <v>54</v>
      </c>
      <c r="E925" s="174" t="n">
        <v>39</v>
      </c>
      <c r="F925" s="174" t="n">
        <v>21</v>
      </c>
      <c r="G925" s="68">
        <f>(1+INDEX($Z$21:$Z$97,B925))*(1+INDEX($Z$21:$Z$97,C925))*(1+INDEX($Z$21:$Z$97,D925))*(1+INDEX($Z$21:$Z$97,E925))*(1+INDEX($Z$21:$Z$97,F925))-1</f>
        <v>0.117771450424121</v>
      </c>
      <c r="H925" s="68">
        <f>(1+INDEX($AA$21:$AA$97,B925))*(1+INDEX($AA$21:$AA$97,C925))*(1+INDEX($AA$21:$AA$97,D925))*(1+INDEX($AA$21:$AA$97,E925))*(1+INDEX($AA$21:$AA$97,F925))-1</f>
        <v>0.132661653278929</v>
      </c>
      <c r="I925" s="68">
        <f>(1+INDEX($AB$21:$AB$97,B925))*(1+INDEX($AB$21:$AB$97,C925))*(1+INDEX($AB$21:$AB$97,D925))*(1+INDEX($AB$21:$AB$97,E925))*(1+INDEX($AB$21:$AB$97,F925))-1</f>
        <v>0.131551199035999</v>
      </c>
      <c r="J925" s="489">
        <f>LN((1+G925)/(1+H925))</f>
        <v>-0.0132333817257965</v>
      </c>
      <c r="K925" s="489">
        <f>LN((1+I925)/(1+H925))</f>
        <v>-0.00098087450641159</v>
      </c>
      <c r="L925" s="489">
        <f>(1+INDEX($AC$21:$AC$97,B925))*(1+INDEX($AC$21:$AC$97,C925))*(1+INDEX($AC$21:$AC$97,D925))*(1+INDEX($AC$21:$AC$97,E925))*(1+INDEX($AC$21:$AC$97,F925))-1</f>
        <v>0.103782684929739</v>
      </c>
      <c r="M925" s="489">
        <f>(1+INDEX($AD$21:$AD$97,B925))*(1+INDEX($AD$21:$AD$97,C925))*(1+INDEX($AD$21:$AD$97,D925))*(1+INDEX($AD$21:$AD$97,E925))*(1+INDEX($AD$21:$AD$97,F925))-1</f>
        <v>0.152776265324605</v>
      </c>
      <c r="N925" s="489">
        <f>(1+INDEX($AE$21:$AE$97,B925))*(1+INDEX($AE$21:$AE$97,C925))*(1+INDEX($AE$21:$AE$97,D925))*(1+INDEX($AE$21:$AE$97,E925))*(1+INDEX($AE$21:$AE$97,F925))-1</f>
        <v>0.0960504272261902</v>
      </c>
      <c r="O925" s="489">
        <f>(1+INDEX($AF$21:$AF$97,B925))*(1+INDEX($AF$21:$AF$97,C925))*(1+INDEX($AF$21:$AF$97,D925))*(1+INDEX($AF$21:$AF$97,E925))*(1+INDEX($AF$21:$AF$97,F925))-1</f>
        <v>0.172108886479834</v>
      </c>
      <c r="P925" s="489">
        <f>LN((1+L925)/(1+H925))</f>
        <v>-0.0258272232728208</v>
      </c>
      <c r="Q925" s="489">
        <f>LN((1+M925)/(1+H925))</f>
        <v>0.0176028683813266</v>
      </c>
      <c r="R925" s="489">
        <f>LN((1+N925)/(1+H925))</f>
        <v>-0.0328571106805243</v>
      </c>
      <c r="S925" s="542">
        <f>LN((1+O925)/(1+H925))</f>
        <v>0.0342342850012499</v>
      </c>
    </row>
    <row r="926">
      <c r="A926" s="320" t="n">
        <v>825</v>
      </c>
      <c r="B926" s="174" t="n">
        <v>48</v>
      </c>
      <c r="C926" s="174" t="n">
        <v>28</v>
      </c>
      <c r="D926" s="174" t="n">
        <v>70</v>
      </c>
      <c r="E926" s="174" t="n">
        <v>44</v>
      </c>
      <c r="F926" s="174" t="n">
        <v>42</v>
      </c>
      <c r="G926" s="68">
        <f>(1+INDEX($Z$21:$Z$97,B926))*(1+INDEX($Z$21:$Z$97,C926))*(1+INDEX($Z$21:$Z$97,D926))*(1+INDEX($Z$21:$Z$97,E926))*(1+INDEX($Z$21:$Z$97,F926))-1</f>
        <v>0.552725339337277</v>
      </c>
      <c r="H926" s="68">
        <f>(1+INDEX($AA$21:$AA$97,B926))*(1+INDEX($AA$21:$AA$97,C926))*(1+INDEX($AA$21:$AA$97,D926))*(1+INDEX($AA$21:$AA$97,E926))*(1+INDEX($AA$21:$AA$97,F926))-1</f>
        <v>0.543818287869379</v>
      </c>
      <c r="I926" s="68">
        <f>(1+INDEX($AB$21:$AB$97,B926))*(1+INDEX($AB$21:$AB$97,C926))*(1+INDEX($AB$21:$AB$97,D926))*(1+INDEX($AB$21:$AB$97,E926))*(1+INDEX($AB$21:$AB$97,F926))-1</f>
        <v>0.612953601694417</v>
      </c>
      <c r="J926" s="489">
        <f>LN((1+G926)/(1+H926))</f>
        <v>0.00575291493089027</v>
      </c>
      <c r="K926" s="489">
        <f>LN((1+I926)/(1+H926))</f>
        <v>0.0438082780329002</v>
      </c>
      <c r="L926" s="489">
        <f>(1+INDEX($AC$21:$AC$97,B926))*(1+INDEX($AC$21:$AC$97,C926))*(1+INDEX($AC$21:$AC$97,D926))*(1+INDEX($AC$21:$AC$97,E926))*(1+INDEX($AC$21:$AC$97,F926))-1</f>
        <v>0.59976369878279</v>
      </c>
      <c r="M926" s="489">
        <f>(1+INDEX($AD$21:$AD$97,B926))*(1+INDEX($AD$21:$AD$97,C926))*(1+INDEX($AD$21:$AD$97,D926))*(1+INDEX($AD$21:$AD$97,E926))*(1+INDEX($AD$21:$AD$97,F926))-1</f>
        <v>0.603015198939193</v>
      </c>
      <c r="N926" s="489">
        <f>(1+INDEX($AE$21:$AE$97,B926))*(1+INDEX($AE$21:$AE$97,C926))*(1+INDEX($AE$21:$AE$97,D926))*(1+INDEX($AE$21:$AE$97,E926))*(1+INDEX($AE$21:$AE$97,F926))-1</f>
        <v>0.599775738433544</v>
      </c>
      <c r="O926" s="489">
        <f>(1+INDEX($AF$21:$AF$97,B926))*(1+INDEX($AF$21:$AF$97,C926))*(1+INDEX($AF$21:$AF$97,D926))*(1+INDEX($AF$21:$AF$97,E926))*(1+INDEX($AF$21:$AF$97,F926))-1</f>
        <v>0.580657044521998</v>
      </c>
      <c r="P926" s="489">
        <f>LN((1+L926)/(1+H926))</f>
        <v>0.0355971746050973</v>
      </c>
      <c r="Q926" s="489">
        <f>LN((1+M926)/(1+H926))</f>
        <v>0.0376275996686422</v>
      </c>
      <c r="R926" s="489">
        <f>LN((1+N926)/(1+H926))</f>
        <v>0.0356047004699858</v>
      </c>
      <c r="S926" s="542">
        <f>LN((1+O926)/(1+H926))</f>
        <v>0.0235818560872206</v>
      </c>
    </row>
    <row r="927">
      <c r="A927" s="320" t="n">
        <v>826</v>
      </c>
      <c r="B927" s="174" t="n">
        <v>75</v>
      </c>
      <c r="C927" s="174" t="n">
        <v>53</v>
      </c>
      <c r="D927" s="174" t="n">
        <v>23</v>
      </c>
      <c r="E927" s="174" t="n">
        <v>21</v>
      </c>
      <c r="F927" s="174" t="n">
        <v>35</v>
      </c>
      <c r="G927" s="68">
        <f>(1+INDEX($Z$21:$Z$97,B927))*(1+INDEX($Z$21:$Z$97,C927))*(1+INDEX($Z$21:$Z$97,D927))*(1+INDEX($Z$21:$Z$97,E927))*(1+INDEX($Z$21:$Z$97,F927))-1</f>
        <v>0.307784033415168</v>
      </c>
      <c r="H927" s="68">
        <f>(1+INDEX($AA$21:$AA$97,B927))*(1+INDEX($AA$21:$AA$97,C927))*(1+INDEX($AA$21:$AA$97,D927))*(1+INDEX($AA$21:$AA$97,E927))*(1+INDEX($AA$21:$AA$97,F927))-1</f>
        <v>0.355963930725532</v>
      </c>
      <c r="I927" s="68">
        <f>(1+INDEX($AB$21:$AB$97,B927))*(1+INDEX($AB$21:$AB$97,C927))*(1+INDEX($AB$21:$AB$97,D927))*(1+INDEX($AB$21:$AB$97,E927))*(1+INDEX($AB$21:$AB$97,F927))-1</f>
        <v>0.372373169258079</v>
      </c>
      <c r="J927" s="489">
        <f>LN((1+G927)/(1+H927))</f>
        <v>-0.0361784620698976</v>
      </c>
      <c r="K927" s="489">
        <f>LN((1+I927)/(1+H927))</f>
        <v>0.0120288921719893</v>
      </c>
      <c r="L927" s="489">
        <f>(1+INDEX($AC$21:$AC$97,B927))*(1+INDEX($AC$21:$AC$97,C927))*(1+INDEX($AC$21:$AC$97,D927))*(1+INDEX($AC$21:$AC$97,E927))*(1+INDEX($AC$21:$AC$97,F927))-1</f>
        <v>0.360080258882028</v>
      </c>
      <c r="M927" s="489">
        <f>(1+INDEX($AD$21:$AD$97,B927))*(1+INDEX($AD$21:$AD$97,C927))*(1+INDEX($AD$21:$AD$97,D927))*(1+INDEX($AD$21:$AD$97,E927))*(1+INDEX($AD$21:$AD$97,F927))-1</f>
        <v>0.389969040802144</v>
      </c>
      <c r="N927" s="489">
        <f>(1+INDEX($AE$21:$AE$97,B927))*(1+INDEX($AE$21:$AE$97,C927))*(1+INDEX($AE$21:$AE$97,D927))*(1+INDEX($AE$21:$AE$97,E927))*(1+INDEX($AE$21:$AE$97,F927))-1</f>
        <v>0.354768218149278</v>
      </c>
      <c r="O927" s="489">
        <f>(1+INDEX($AF$21:$AF$97,B927))*(1+INDEX($AF$21:$AF$97,C927))*(1+INDEX($AF$21:$AF$97,D927))*(1+INDEX($AF$21:$AF$97,E927))*(1+INDEX($AF$21:$AF$97,F927))-1</f>
        <v>0.353283810677417</v>
      </c>
      <c r="P927" s="489">
        <f>LN((1+L927)/(1+H927))</f>
        <v>0.00303112248606184</v>
      </c>
      <c r="Q927" s="489">
        <f>LN((1+M927)/(1+H927))</f>
        <v>0.0247688846858529</v>
      </c>
      <c r="R927" s="489">
        <f>LN((1+N927)/(1+H927))</f>
        <v>-0.000882206421096823</v>
      </c>
      <c r="S927" s="542">
        <f>LN((1+O927)/(1+H927))</f>
        <v>-0.00197849822400838</v>
      </c>
    </row>
    <row r="928">
      <c r="A928" s="320" t="n">
        <v>827</v>
      </c>
      <c r="B928" s="174" t="n">
        <v>52</v>
      </c>
      <c r="C928" s="174" t="n">
        <v>34</v>
      </c>
      <c r="D928" s="174" t="n">
        <v>37</v>
      </c>
      <c r="E928" s="174" t="n">
        <v>1</v>
      </c>
      <c r="F928" s="174" t="n">
        <v>40</v>
      </c>
      <c r="G928" s="68">
        <f>(1+INDEX($Z$21:$Z$97,B928))*(1+INDEX($Z$21:$Z$97,C928))*(1+INDEX($Z$21:$Z$97,D928))*(1+INDEX($Z$21:$Z$97,E928))*(1+INDEX($Z$21:$Z$97,F928))-1</f>
        <v>0.563219294454436</v>
      </c>
      <c r="H928" s="68">
        <f>(1+INDEX($AA$21:$AA$97,B928))*(1+INDEX($AA$21:$AA$97,C928))*(1+INDEX($AA$21:$AA$97,D928))*(1+INDEX($AA$21:$AA$97,E928))*(1+INDEX($AA$21:$AA$97,F928))-1</f>
        <v>0.517703365093589</v>
      </c>
      <c r="I928" s="68">
        <f>(1+INDEX($AB$21:$AB$97,B928))*(1+INDEX($AB$21:$AB$97,C928))*(1+INDEX($AB$21:$AB$97,D928))*(1+INDEX($AB$21:$AB$97,E928))*(1+INDEX($AB$21:$AB$97,F928))-1</f>
        <v>0.544638068478338</v>
      </c>
      <c r="J928" s="489">
        <f>LN((1+G928)/(1+H928))</f>
        <v>0.0295490969376296</v>
      </c>
      <c r="K928" s="489">
        <f>LN((1+I928)/(1+H928))</f>
        <v>0.0175913748082166</v>
      </c>
      <c r="L928" s="489">
        <f>(1+INDEX($AC$21:$AC$97,B928))*(1+INDEX($AC$21:$AC$97,C928))*(1+INDEX($AC$21:$AC$97,D928))*(1+INDEX($AC$21:$AC$97,E928))*(1+INDEX($AC$21:$AC$97,F928))-1</f>
        <v>0.552542325554425</v>
      </c>
      <c r="M928" s="489">
        <f>(1+INDEX($AD$21:$AD$97,B928))*(1+INDEX($AD$21:$AD$97,C928))*(1+INDEX($AD$21:$AD$97,D928))*(1+INDEX($AD$21:$AD$97,E928))*(1+INDEX($AD$21:$AD$97,F928))-1</f>
        <v>0.559585070586727</v>
      </c>
      <c r="N928" s="489">
        <f>(1+INDEX($AE$21:$AE$97,B928))*(1+INDEX($AE$21:$AE$97,C928))*(1+INDEX($AE$21:$AE$97,D928))*(1+INDEX($AE$21:$AE$97,E928))*(1+INDEX($AE$21:$AE$97,F928))-1</f>
        <v>0.55354486287171</v>
      </c>
      <c r="O928" s="489">
        <f>(1+INDEX($AF$21:$AF$97,B928))*(1+INDEX($AF$21:$AF$97,C928))*(1+INDEX($AF$21:$AF$97,D928))*(1+INDEX($AF$21:$AF$97,E928))*(1+INDEX($AF$21:$AF$97,F928))-1</f>
        <v>0.504953716191124</v>
      </c>
      <c r="P928" s="489">
        <f>LN((1+L928)/(1+H928))</f>
        <v>0.0226955490770727</v>
      </c>
      <c r="Q928" s="489">
        <f>LN((1+M928)/(1+H928))</f>
        <v>0.027221557275475</v>
      </c>
      <c r="R928" s="489">
        <f>LN((1+N928)/(1+H928))</f>
        <v>0.0233410797987049</v>
      </c>
      <c r="S928" s="542">
        <f>LN((1+O928)/(1+H928))</f>
        <v>-0.00843610384722322</v>
      </c>
    </row>
    <row r="929">
      <c r="A929" s="320" t="n">
        <v>828</v>
      </c>
      <c r="B929" s="174" t="n">
        <v>59</v>
      </c>
      <c r="C929" s="174" t="n">
        <v>54</v>
      </c>
      <c r="D929" s="174" t="n">
        <v>10</v>
      </c>
      <c r="E929" s="174" t="n">
        <v>51</v>
      </c>
      <c r="F929" s="174" t="n">
        <v>49</v>
      </c>
      <c r="G929" s="68">
        <f>(1+INDEX($Z$21:$Z$97,B929))*(1+INDEX($Z$21:$Z$97,C929))*(1+INDEX($Z$21:$Z$97,D929))*(1+INDEX($Z$21:$Z$97,E929))*(1+INDEX($Z$21:$Z$97,F929))-1</f>
        <v>0.304180241913602</v>
      </c>
      <c r="H929" s="68">
        <f>(1+INDEX($AA$21:$AA$97,B929))*(1+INDEX($AA$21:$AA$97,C929))*(1+INDEX($AA$21:$AA$97,D929))*(1+INDEX($AA$21:$AA$97,E929))*(1+INDEX($AA$21:$AA$97,F929))-1</f>
        <v>0.29934934994225</v>
      </c>
      <c r="I929" s="68">
        <f>(1+INDEX($AB$21:$AB$97,B929))*(1+INDEX($AB$21:$AB$97,C929))*(1+INDEX($AB$21:$AB$97,D929))*(1+INDEX($AB$21:$AB$97,E929))*(1+INDEX($AB$21:$AB$97,F929))-1</f>
        <v>0.306164481751259</v>
      </c>
      <c r="J929" s="489">
        <f>LN((1+G929)/(1+H929))</f>
        <v>0.00371103714790486</v>
      </c>
      <c r="K929" s="489">
        <f>LN((1+I929)/(1+H929))</f>
        <v>0.00523132694093131</v>
      </c>
      <c r="L929" s="489">
        <f>(1+INDEX($AC$21:$AC$97,B929))*(1+INDEX($AC$21:$AC$97,C929))*(1+INDEX($AC$21:$AC$97,D929))*(1+INDEX($AC$21:$AC$97,E929))*(1+INDEX($AC$21:$AC$97,F929))-1</f>
        <v>0.297808787967721</v>
      </c>
      <c r="M929" s="489">
        <f>(1+INDEX($AD$21:$AD$97,B929))*(1+INDEX($AD$21:$AD$97,C929))*(1+INDEX($AD$21:$AD$97,D929))*(1+INDEX($AD$21:$AD$97,E929))*(1+INDEX($AD$21:$AD$97,F929))-1</f>
        <v>0.323168413153129</v>
      </c>
      <c r="N929" s="489">
        <f>(1+INDEX($AE$21:$AE$97,B929))*(1+INDEX($AE$21:$AE$97,C929))*(1+INDEX($AE$21:$AE$97,D929))*(1+INDEX($AE$21:$AE$97,E929))*(1+INDEX($AE$21:$AE$97,F929))-1</f>
        <v>0.293198395946988</v>
      </c>
      <c r="O929" s="489">
        <f>(1+INDEX($AF$21:$AF$97,B929))*(1+INDEX($AF$21:$AF$97,C929))*(1+INDEX($AF$21:$AF$97,D929))*(1+INDEX($AF$21:$AF$97,E929))*(1+INDEX($AF$21:$AF$97,F929))-1</f>
        <v>0.322323469810411</v>
      </c>
      <c r="P929" s="489">
        <f>LN((1+L929)/(1+H929))</f>
        <v>-0.00118634451458738</v>
      </c>
      <c r="Q929" s="489">
        <f>LN((1+M929)/(1+H929))</f>
        <v>0.0181655343122453</v>
      </c>
      <c r="R929" s="489">
        <f>LN((1+N929)/(1+H929))</f>
        <v>-0.00474511263778928</v>
      </c>
      <c r="S929" s="542">
        <f>LN((1+O929)/(1+H929))</f>
        <v>0.0175267545247205</v>
      </c>
    </row>
    <row r="930">
      <c r="A930" s="320" t="n">
        <v>829</v>
      </c>
      <c r="B930" s="174" t="n">
        <v>47</v>
      </c>
      <c r="C930" s="174" t="n">
        <v>24</v>
      </c>
      <c r="D930" s="174" t="n">
        <v>46</v>
      </c>
      <c r="E930" s="174" t="n">
        <v>33</v>
      </c>
      <c r="F930" s="174" t="n">
        <v>30</v>
      </c>
      <c r="G930" s="68">
        <f>(1+INDEX($Z$21:$Z$97,B930))*(1+INDEX($Z$21:$Z$97,C930))*(1+INDEX($Z$21:$Z$97,D930))*(1+INDEX($Z$21:$Z$97,E930))*(1+INDEX($Z$21:$Z$97,F930))-1</f>
        <v>0.9285233017276</v>
      </c>
      <c r="H930" s="68">
        <f>(1+INDEX($AA$21:$AA$97,B930))*(1+INDEX($AA$21:$AA$97,C930))*(1+INDEX($AA$21:$AA$97,D930))*(1+INDEX($AA$21:$AA$97,E930))*(1+INDEX($AA$21:$AA$97,F930))-1</f>
        <v>0.849234530620539</v>
      </c>
      <c r="I930" s="68">
        <f>(1+INDEX($AB$21:$AB$97,B930))*(1+INDEX($AB$21:$AB$97,C930))*(1+INDEX($AB$21:$AB$97,D930))*(1+INDEX($AB$21:$AB$97,E930))*(1+INDEX($AB$21:$AB$97,F930))-1</f>
        <v>0.982699356516914</v>
      </c>
      <c r="J930" s="489">
        <f>LN((1+G930)/(1+H930))</f>
        <v>0.0419827951851238</v>
      </c>
      <c r="K930" s="489">
        <f>LN((1+I930)/(1+H930))</f>
        <v>0.069687441380625</v>
      </c>
      <c r="L930" s="489">
        <f>(1+INDEX($AC$21:$AC$97,B930))*(1+INDEX($AC$21:$AC$97,C930))*(1+INDEX($AC$21:$AC$97,D930))*(1+INDEX($AC$21:$AC$97,E930))*(1+INDEX($AC$21:$AC$97,F930))-1</f>
        <v>0.959734284695294</v>
      </c>
      <c r="M930" s="489">
        <f>(1+INDEX($AD$21:$AD$97,B930))*(1+INDEX($AD$21:$AD$97,C930))*(1+INDEX($AD$21:$AD$97,D930))*(1+INDEX($AD$21:$AD$97,E930))*(1+INDEX($AD$21:$AD$97,F930))-1</f>
        <v>0.95764872078278</v>
      </c>
      <c r="N930" s="489">
        <f>(1+INDEX($AE$21:$AE$97,B930))*(1+INDEX($AE$21:$AE$97,C930))*(1+INDEX($AE$21:$AE$97,D930))*(1+INDEX($AE$21:$AE$97,E930))*(1+INDEX($AE$21:$AE$97,F930))-1</f>
        <v>0.942359489053111</v>
      </c>
      <c r="O930" s="489">
        <f>(1+INDEX($AF$21:$AF$97,B930))*(1+INDEX($AF$21:$AF$97,C930))*(1+INDEX($AF$21:$AF$97,D930))*(1+INDEX($AF$21:$AF$97,E930))*(1+INDEX($AF$21:$AF$97,F930))-1</f>
        <v>0.860777329378303</v>
      </c>
      <c r="P930" s="489">
        <f>LN((1+L930)/(1+H930))</f>
        <v>0.0580371087862896</v>
      </c>
      <c r="Q930" s="489">
        <f>LN((1+M930)/(1+H930))</f>
        <v>0.0569723346211704</v>
      </c>
      <c r="R930" s="489">
        <f>LN((1+N930)/(1+H930))</f>
        <v>0.0491316793027509</v>
      </c>
      <c r="S930" s="542">
        <f>LN((1+O930)/(1+H930))</f>
        <v>0.00622253320906082</v>
      </c>
    </row>
    <row r="931">
      <c r="A931" s="320" t="n">
        <v>830</v>
      </c>
      <c r="B931" s="174" t="n">
        <v>75</v>
      </c>
      <c r="C931" s="174" t="n">
        <v>73</v>
      </c>
      <c r="D931" s="174" t="n">
        <v>72</v>
      </c>
      <c r="E931" s="174" t="n">
        <v>42</v>
      </c>
      <c r="F931" s="174" t="n">
        <v>25</v>
      </c>
      <c r="G931" s="68">
        <f>(1+INDEX($Z$21:$Z$97,B931))*(1+INDEX($Z$21:$Z$97,C931))*(1+INDEX($Z$21:$Z$97,D931))*(1+INDEX($Z$21:$Z$97,E931))*(1+INDEX($Z$21:$Z$97,F931))-1</f>
        <v>0.60594883698236</v>
      </c>
      <c r="H931" s="68">
        <f>(1+INDEX($AA$21:$AA$97,B931))*(1+INDEX($AA$21:$AA$97,C931))*(1+INDEX($AA$21:$AA$97,D931))*(1+INDEX($AA$21:$AA$97,E931))*(1+INDEX($AA$21:$AA$97,F931))-1</f>
        <v>0.582142550168313</v>
      </c>
      <c r="I931" s="68">
        <f>(1+INDEX($AB$21:$AB$97,B931))*(1+INDEX($AB$21:$AB$97,C931))*(1+INDEX($AB$21:$AB$97,D931))*(1+INDEX($AB$21:$AB$97,E931))*(1+INDEX($AB$21:$AB$97,F931))-1</f>
        <v>0.681567795436839</v>
      </c>
      <c r="J931" s="489">
        <f>LN((1+G931)/(1+H931))</f>
        <v>0.0149347847450895</v>
      </c>
      <c r="K931" s="489">
        <f>LN((1+I931)/(1+H931))</f>
        <v>0.06094659696219</v>
      </c>
      <c r="L931" s="489">
        <f>(1+INDEX($AC$21:$AC$97,B931))*(1+INDEX($AC$21:$AC$97,C931))*(1+INDEX($AC$21:$AC$97,D931))*(1+INDEX($AC$21:$AC$97,E931))*(1+INDEX($AC$21:$AC$97,F931))-1</f>
        <v>0.66693511504755</v>
      </c>
      <c r="M931" s="489">
        <f>(1+INDEX($AD$21:$AD$97,B931))*(1+INDEX($AD$21:$AD$97,C931))*(1+INDEX($AD$21:$AD$97,D931))*(1+INDEX($AD$21:$AD$97,E931))*(1+INDEX($AD$21:$AD$97,F931))-1</f>
        <v>0.665534681619271</v>
      </c>
      <c r="N931" s="489">
        <f>(1+INDEX($AE$21:$AE$97,B931))*(1+INDEX($AE$21:$AE$97,C931))*(1+INDEX($AE$21:$AE$97,D931))*(1+INDEX($AE$21:$AE$97,E931))*(1+INDEX($AE$21:$AE$97,F931))-1</f>
        <v>0.64264655432837</v>
      </c>
      <c r="O931" s="489">
        <f>(1+INDEX($AF$21:$AF$97,B931))*(1+INDEX($AF$21:$AF$97,C931))*(1+INDEX($AF$21:$AF$97,D931))*(1+INDEX($AF$21:$AF$97,E931))*(1+INDEX($AF$21:$AF$97,F931))-1</f>
        <v>0.606657581547208</v>
      </c>
      <c r="P931" s="489">
        <f>LN((1+L931)/(1+H931))</f>
        <v>0.0522067069729726</v>
      </c>
      <c r="Q931" s="489">
        <f>LN((1+M931)/(1+H931))</f>
        <v>0.0513662291315118</v>
      </c>
      <c r="R931" s="489">
        <f>LN((1+N931)/(1+H931))</f>
        <v>0.0375287209243921</v>
      </c>
      <c r="S931" s="542">
        <f>LN((1+O931)/(1+H931))</f>
        <v>0.0153760118884196</v>
      </c>
    </row>
    <row r="932">
      <c r="A932" s="320" t="n">
        <v>831</v>
      </c>
      <c r="B932" s="174" t="n">
        <v>38</v>
      </c>
      <c r="C932" s="174" t="n">
        <v>69</v>
      </c>
      <c r="D932" s="174" t="n">
        <v>40</v>
      </c>
      <c r="E932" s="174" t="n">
        <v>11</v>
      </c>
      <c r="F932" s="174" t="n">
        <v>58</v>
      </c>
      <c r="G932" s="68">
        <f>(1+INDEX($Z$21:$Z$97,B932))*(1+INDEX($Z$21:$Z$97,C932))*(1+INDEX($Z$21:$Z$97,D932))*(1+INDEX($Z$21:$Z$97,E932))*(1+INDEX($Z$21:$Z$97,F932))-1</f>
        <v>0.517899228738843</v>
      </c>
      <c r="H932" s="68">
        <f>(1+INDEX($AA$21:$AA$97,B932))*(1+INDEX($AA$21:$AA$97,C932))*(1+INDEX($AA$21:$AA$97,D932))*(1+INDEX($AA$21:$AA$97,E932))*(1+INDEX($AA$21:$AA$97,F932))-1</f>
        <v>0.488110133039982</v>
      </c>
      <c r="I932" s="68">
        <f>(1+INDEX($AB$21:$AB$97,B932))*(1+INDEX($AB$21:$AB$97,C932))*(1+INDEX($AB$21:$AB$97,D932))*(1+INDEX($AB$21:$AB$97,E932))*(1+INDEX($AB$21:$AB$97,F932))-1</f>
        <v>0.479859702409085</v>
      </c>
      <c r="J932" s="489">
        <f>LN((1+G932)/(1+H932))</f>
        <v>0.0198203447281348</v>
      </c>
      <c r="K932" s="489">
        <f>LN((1+I932)/(1+H932))</f>
        <v>-0.00555966019866817</v>
      </c>
      <c r="L932" s="489">
        <f>(1+INDEX($AC$21:$AC$97,B932))*(1+INDEX($AC$21:$AC$97,C932))*(1+INDEX($AC$21:$AC$97,D932))*(1+INDEX($AC$21:$AC$97,E932))*(1+INDEX($AC$21:$AC$97,F932))-1</f>
        <v>0.50427644048771</v>
      </c>
      <c r="M932" s="489">
        <f>(1+INDEX($AD$21:$AD$97,B932))*(1+INDEX($AD$21:$AD$97,C932))*(1+INDEX($AD$21:$AD$97,D932))*(1+INDEX($AD$21:$AD$97,E932))*(1+INDEX($AD$21:$AD$97,F932))-1</f>
        <v>0.486580492706543</v>
      </c>
      <c r="N932" s="489">
        <f>(1+INDEX($AE$21:$AE$97,B932))*(1+INDEX($AE$21:$AE$97,C932))*(1+INDEX($AE$21:$AE$97,D932))*(1+INDEX($AE$21:$AE$97,E932))*(1+INDEX($AE$21:$AE$97,F932))-1</f>
        <v>0.505989517593219</v>
      </c>
      <c r="O932" s="489">
        <f>(1+INDEX($AF$21:$AF$97,B932))*(1+INDEX($AF$21:$AF$97,C932))*(1+INDEX($AF$21:$AF$97,D932))*(1+INDEX($AF$21:$AF$97,E932))*(1+INDEX($AF$21:$AF$97,F932))-1</f>
        <v>0.48511596625837</v>
      </c>
      <c r="P932" s="489">
        <f>LN((1+L932)/(1+H932))</f>
        <v>0.0108050643418544</v>
      </c>
      <c r="Q932" s="489">
        <f>LN((1+M932)/(1+H932))</f>
        <v>-0.00102843667507603</v>
      </c>
      <c r="R932" s="489">
        <f>LN((1+N932)/(1+H932))</f>
        <v>0.0119432211122472</v>
      </c>
      <c r="S932" s="542">
        <f>LN((1+O932)/(1+H932))</f>
        <v>-0.0020140868496227</v>
      </c>
    </row>
    <row r="933">
      <c r="A933" s="320" t="n">
        <v>832</v>
      </c>
      <c r="B933" s="174" t="n">
        <v>63</v>
      </c>
      <c r="C933" s="174" t="n">
        <v>56</v>
      </c>
      <c r="D933" s="174" t="n">
        <v>63</v>
      </c>
      <c r="E933" s="174" t="n">
        <v>42</v>
      </c>
      <c r="F933" s="174" t="n">
        <v>35</v>
      </c>
      <c r="G933" s="68">
        <f>(1+INDEX($Z$21:$Z$97,B933))*(1+INDEX($Z$21:$Z$97,C933))*(1+INDEX($Z$21:$Z$97,D933))*(1+INDEX($Z$21:$Z$97,E933))*(1+INDEX($Z$21:$Z$97,F933))-1</f>
        <v>0.0112688726497083</v>
      </c>
      <c r="H933" s="68">
        <f>(1+INDEX($AA$21:$AA$97,B933))*(1+INDEX($AA$21:$AA$97,C933))*(1+INDEX($AA$21:$AA$97,D933))*(1+INDEX($AA$21:$AA$97,E933))*(1+INDEX($AA$21:$AA$97,F933))-1</f>
        <v>0.0193745155872651</v>
      </c>
      <c r="I933" s="68">
        <f>(1+INDEX($AB$21:$AB$97,B933))*(1+INDEX($AB$21:$AB$97,C933))*(1+INDEX($AB$21:$AB$97,D933))*(1+INDEX($AB$21:$AB$97,E933))*(1+INDEX($AB$21:$AB$97,F933))-1</f>
        <v>0.0373061468428442</v>
      </c>
      <c r="J933" s="489">
        <f>LN((1+G933)/(1+H933))</f>
        <v>-0.00798336727658762</v>
      </c>
      <c r="K933" s="489">
        <f>LN((1+I933)/(1+H933))</f>
        <v>0.0174378900608116</v>
      </c>
      <c r="L933" s="489">
        <f>(1+INDEX($AC$21:$AC$97,B933))*(1+INDEX($AC$21:$AC$97,C933))*(1+INDEX($AC$21:$AC$97,D933))*(1+INDEX($AC$21:$AC$97,E933))*(1+INDEX($AC$21:$AC$97,F933))-1</f>
        <v>0.0409058372468312</v>
      </c>
      <c r="M933" s="489">
        <f>(1+INDEX($AD$21:$AD$97,B933))*(1+INDEX($AD$21:$AD$97,C933))*(1+INDEX($AD$21:$AD$97,D933))*(1+INDEX($AD$21:$AD$97,E933))*(1+INDEX($AD$21:$AD$97,F933))-1</f>
        <v>0.0212242407028325</v>
      </c>
      <c r="N933" s="489">
        <f>(1+INDEX($AE$21:$AE$97,B933))*(1+INDEX($AE$21:$AE$97,C933))*(1+INDEX($AE$21:$AE$97,D933))*(1+INDEX($AE$21:$AE$97,E933))*(1+INDEX($AE$21:$AE$97,F933))-1</f>
        <v>0.0346573549992411</v>
      </c>
      <c r="O933" s="489">
        <f>(1+INDEX($AF$21:$AF$97,B933))*(1+INDEX($AF$21:$AF$97,C933))*(1+INDEX($AF$21:$AF$97,D933))*(1+INDEX($AF$21:$AF$97,E933))*(1+INDEX($AF$21:$AF$97,F933))-1</f>
        <v>0.00465236790851908</v>
      </c>
      <c r="P933" s="489">
        <f>LN((1+L933)/(1+H933))</f>
        <v>0.0209021122205198</v>
      </c>
      <c r="Q933" s="489">
        <f>LN((1+M933)/(1+H933))</f>
        <v>0.00181292438456036</v>
      </c>
      <c r="R933" s="489">
        <f>LN((1+N933)/(1+H933))</f>
        <v>0.0148810947463942</v>
      </c>
      <c r="S933" s="542">
        <f>LN((1+O933)/(1+H933))</f>
        <v>-0.0145476400930474</v>
      </c>
    </row>
    <row r="934">
      <c r="A934" s="320" t="n">
        <v>833</v>
      </c>
      <c r="B934" s="174" t="n">
        <v>61</v>
      </c>
      <c r="C934" s="174" t="n">
        <v>76</v>
      </c>
      <c r="D934" s="174" t="n">
        <v>34</v>
      </c>
      <c r="E934" s="174" t="n">
        <v>19</v>
      </c>
      <c r="F934" s="174" t="n">
        <v>3</v>
      </c>
      <c r="G934" s="68">
        <f>(1+INDEX($Z$21:$Z$97,B934))*(1+INDEX($Z$21:$Z$97,C934))*(1+INDEX($Z$21:$Z$97,D934))*(1+INDEX($Z$21:$Z$97,E934))*(1+INDEX($Z$21:$Z$97,F934))-1</f>
        <v>0.463307395888268</v>
      </c>
      <c r="H934" s="68">
        <f>(1+INDEX($AA$21:$AA$97,B934))*(1+INDEX($AA$21:$AA$97,C934))*(1+INDEX($AA$21:$AA$97,D934))*(1+INDEX($AA$21:$AA$97,E934))*(1+INDEX($AA$21:$AA$97,F934))-1</f>
        <v>0.444778001300051</v>
      </c>
      <c r="I934" s="68">
        <f>(1+INDEX($AB$21:$AB$97,B934))*(1+INDEX($AB$21:$AB$97,C934))*(1+INDEX($AB$21:$AB$97,D934))*(1+INDEX($AB$21:$AB$97,E934))*(1+INDEX($AB$21:$AB$97,F934))-1</f>
        <v>0.455887748180883</v>
      </c>
      <c r="J934" s="489">
        <f>LN((1+G934)/(1+H934))</f>
        <v>0.0127435359129324</v>
      </c>
      <c r="K934" s="489">
        <f>LN((1+I934)/(1+H934))</f>
        <v>0.00766017332939114</v>
      </c>
      <c r="L934" s="489">
        <f>(1+INDEX($AC$21:$AC$97,B934))*(1+INDEX($AC$21:$AC$97,C934))*(1+INDEX($AC$21:$AC$97,D934))*(1+INDEX($AC$21:$AC$97,E934))*(1+INDEX($AC$21:$AC$97,F934))-1</f>
        <v>0.474192137754051</v>
      </c>
      <c r="M934" s="489">
        <f>(1+INDEX($AD$21:$AD$97,B934))*(1+INDEX($AD$21:$AD$97,C934))*(1+INDEX($AD$21:$AD$97,D934))*(1+INDEX($AD$21:$AD$97,E934))*(1+INDEX($AD$21:$AD$97,F934))-1</f>
        <v>0.438551841256319</v>
      </c>
      <c r="N934" s="489">
        <f>(1+INDEX($AE$21:$AE$97,B934))*(1+INDEX($AE$21:$AE$97,C934))*(1+INDEX($AE$21:$AE$97,D934))*(1+INDEX($AE$21:$AE$97,E934))*(1+INDEX($AE$21:$AE$97,F934))-1</f>
        <v>0.470185678348647</v>
      </c>
      <c r="O934" s="489">
        <f>(1+INDEX($AF$21:$AF$97,B934))*(1+INDEX($AF$21:$AF$97,C934))*(1+INDEX($AF$21:$AF$97,D934))*(1+INDEX($AF$21:$AF$97,E934))*(1+INDEX($AF$21:$AF$97,F934))-1</f>
        <v>0.409590367127565</v>
      </c>
      <c r="P934" s="489">
        <f>LN((1+L934)/(1+H934))</f>
        <v>0.0201544590865562</v>
      </c>
      <c r="Q934" s="489">
        <f>LN((1+M934)/(1+H934))</f>
        <v>-0.00431873567088397</v>
      </c>
      <c r="R934" s="489">
        <f>LN((1+N934)/(1+H934))</f>
        <v>0.0174330271723434</v>
      </c>
      <c r="S934" s="542">
        <f>LN((1+O934)/(1+H934))</f>
        <v>-0.0246565350300887</v>
      </c>
    </row>
    <row r="935">
      <c r="A935" s="320" t="n">
        <v>834</v>
      </c>
      <c r="B935" s="174" t="n">
        <v>19</v>
      </c>
      <c r="C935" s="174" t="n">
        <v>5</v>
      </c>
      <c r="D935" s="174" t="n">
        <v>35</v>
      </c>
      <c r="E935" s="174" t="n">
        <v>47</v>
      </c>
      <c r="F935" s="174" t="n">
        <v>68</v>
      </c>
      <c r="G935" s="68">
        <f>(1+INDEX($Z$21:$Z$97,B935))*(1+INDEX($Z$21:$Z$97,C935))*(1+INDEX($Z$21:$Z$97,D935))*(1+INDEX($Z$21:$Z$97,E935))*(1+INDEX($Z$21:$Z$97,F935))-1</f>
        <v>0.235664487415588</v>
      </c>
      <c r="H935" s="68">
        <f>(1+INDEX($AA$21:$AA$97,B935))*(1+INDEX($AA$21:$AA$97,C935))*(1+INDEX($AA$21:$AA$97,D935))*(1+INDEX($AA$21:$AA$97,E935))*(1+INDEX($AA$21:$AA$97,F935))-1</f>
        <v>0.27176698970618</v>
      </c>
      <c r="I935" s="68">
        <f>(1+INDEX($AB$21:$AB$97,B935))*(1+INDEX($AB$21:$AB$97,C935))*(1+INDEX($AB$21:$AB$97,D935))*(1+INDEX($AB$21:$AB$97,E935))*(1+INDEX($AB$21:$AB$97,F935))-1</f>
        <v>0.261418846617646</v>
      </c>
      <c r="J935" s="489">
        <f>LN((1+G935)/(1+H935))</f>
        <v>-0.0287983920692206</v>
      </c>
      <c r="K935" s="489">
        <f>LN((1+I935)/(1+H935))</f>
        <v>-0.00817010777669905</v>
      </c>
      <c r="L935" s="489">
        <f>(1+INDEX($AC$21:$AC$97,B935))*(1+INDEX($AC$21:$AC$97,C935))*(1+INDEX($AC$21:$AC$97,D935))*(1+INDEX($AC$21:$AC$97,E935))*(1+INDEX($AC$21:$AC$97,F935))-1</f>
        <v>0.260374368436296</v>
      </c>
      <c r="M935" s="489">
        <f>(1+INDEX($AD$21:$AD$97,B935))*(1+INDEX($AD$21:$AD$97,C935))*(1+INDEX($AD$21:$AD$97,D935))*(1+INDEX($AD$21:$AD$97,E935))*(1+INDEX($AD$21:$AD$97,F935))-1</f>
        <v>0.254612917952866</v>
      </c>
      <c r="N935" s="489">
        <f>(1+INDEX($AE$21:$AE$97,B935))*(1+INDEX($AE$21:$AE$97,C935))*(1+INDEX($AE$21:$AE$97,D935))*(1+INDEX($AE$21:$AE$97,E935))*(1+INDEX($AE$21:$AE$97,F935))-1</f>
        <v>0.258323089878456</v>
      </c>
      <c r="O935" s="489">
        <f>(1+INDEX($AF$21:$AF$97,B935))*(1+INDEX($AF$21:$AF$97,C935))*(1+INDEX($AF$21:$AF$97,D935))*(1+INDEX($AF$21:$AF$97,E935))*(1+INDEX($AF$21:$AF$97,F935))-1</f>
        <v>0.259367425702749</v>
      </c>
      <c r="P935" s="489">
        <f>LN((1+L935)/(1+H935))</f>
        <v>-0.00899846930518623</v>
      </c>
      <c r="Q935" s="489">
        <f>LN((1+M935)/(1+H935))</f>
        <v>-0.0135801708456261</v>
      </c>
      <c r="R935" s="489">
        <f>LN((1+N935)/(1+H935))</f>
        <v>-0.0106273104386</v>
      </c>
      <c r="S935" s="542">
        <f>LN((1+O935)/(1+H935))</f>
        <v>-0.00979771213990081</v>
      </c>
    </row>
    <row r="936">
      <c r="A936" s="320" t="n">
        <v>835</v>
      </c>
      <c r="B936" s="174" t="n">
        <v>46</v>
      </c>
      <c r="C936" s="174" t="n">
        <v>37</v>
      </c>
      <c r="D936" s="174" t="n">
        <v>3</v>
      </c>
      <c r="E936" s="174" t="n">
        <v>62</v>
      </c>
      <c r="F936" s="174" t="n">
        <v>64</v>
      </c>
      <c r="G936" s="68">
        <f>(1+INDEX($Z$21:$Z$97,B936))*(1+INDEX($Z$21:$Z$97,C936))*(1+INDEX($Z$21:$Z$97,D936))*(1+INDEX($Z$21:$Z$97,E936))*(1+INDEX($Z$21:$Z$97,F936))-1</f>
        <v>0.0398353015858755</v>
      </c>
      <c r="H936" s="68">
        <f>(1+INDEX($AA$21:$AA$97,B936))*(1+INDEX($AA$21:$AA$97,C936))*(1+INDEX($AA$21:$AA$97,D936))*(1+INDEX($AA$21:$AA$97,E936))*(1+INDEX($AA$21:$AA$97,F936))-1</f>
        <v>0.0177387199614272</v>
      </c>
      <c r="I936" s="68">
        <f>(1+INDEX($AB$21:$AB$97,B936))*(1+INDEX($AB$21:$AB$97,C936))*(1+INDEX($AB$21:$AB$97,D936))*(1+INDEX($AB$21:$AB$97,E936))*(1+INDEX($AB$21:$AB$97,F936))-1</f>
        <v>0.0163540178000978</v>
      </c>
      <c r="J936" s="489">
        <f>LN((1+G936)/(1+H936))</f>
        <v>0.0214791117229587</v>
      </c>
      <c r="K936" s="489">
        <f>LN((1+I936)/(1+H936))</f>
        <v>-0.00136149384885086</v>
      </c>
      <c r="L936" s="489">
        <f>(1+INDEX($AC$21:$AC$97,B936))*(1+INDEX($AC$21:$AC$97,C936))*(1+INDEX($AC$21:$AC$97,D936))*(1+INDEX($AC$21:$AC$97,E936))*(1+INDEX($AC$21:$AC$97,F936))-1</f>
        <v>0.024693703726268</v>
      </c>
      <c r="M936" s="489">
        <f>(1+INDEX($AD$21:$AD$97,B936))*(1+INDEX($AD$21:$AD$97,C936))*(1+INDEX($AD$21:$AD$97,D936))*(1+INDEX($AD$21:$AD$97,E936))*(1+INDEX($AD$21:$AD$97,F936))-1</f>
        <v>-0.0157301184075934</v>
      </c>
      <c r="N936" s="489">
        <f>(1+INDEX($AE$21:$AE$97,B936))*(1+INDEX($AE$21:$AE$97,C936))*(1+INDEX($AE$21:$AE$97,D936))*(1+INDEX($AE$21:$AE$97,E936))*(1+INDEX($AE$21:$AE$97,F936))-1</f>
        <v>0.0198390609317549</v>
      </c>
      <c r="O936" s="489">
        <f>(1+INDEX($AF$21:$AF$97,B936))*(1+INDEX($AF$21:$AF$97,C936))*(1+INDEX($AF$21:$AF$97,D936))*(1+INDEX($AF$21:$AF$97,E936))*(1+INDEX($AF$21:$AF$97,F936))-1</f>
        <v>-0.0122779069174174</v>
      </c>
      <c r="P936" s="489">
        <f>LN((1+L936)/(1+H936))</f>
        <v>0.00681051727047861</v>
      </c>
      <c r="Q936" s="489">
        <f>LN((1+M936)/(1+H936))</f>
        <v>-0.0334383746537249</v>
      </c>
      <c r="R936" s="489">
        <f>LN((1+N936)/(1+H936))</f>
        <v>0.0020616064171219</v>
      </c>
      <c r="S936" s="542">
        <f>LN((1+O936)/(1+H936))</f>
        <v>-0.0299371281363424</v>
      </c>
    </row>
    <row r="937">
      <c r="A937" s="320" t="n">
        <v>836</v>
      </c>
      <c r="B937" s="174" t="n">
        <v>26</v>
      </c>
      <c r="C937" s="174" t="n">
        <v>8</v>
      </c>
      <c r="D937" s="174" t="n">
        <v>62</v>
      </c>
      <c r="E937" s="174" t="n">
        <v>8</v>
      </c>
      <c r="F937" s="174" t="n">
        <v>37</v>
      </c>
      <c r="G937" s="68">
        <f>(1+INDEX($Z$21:$Z$97,B937))*(1+INDEX($Z$21:$Z$97,C937))*(1+INDEX($Z$21:$Z$97,D937))*(1+INDEX($Z$21:$Z$97,E937))*(1+INDEX($Z$21:$Z$97,F937))-1</f>
        <v>-0.31288658311457</v>
      </c>
      <c r="H937" s="68">
        <f>(1+INDEX($AA$21:$AA$97,B937))*(1+INDEX($AA$21:$AA$97,C937))*(1+INDEX($AA$21:$AA$97,D937))*(1+INDEX($AA$21:$AA$97,E937))*(1+INDEX($AA$21:$AA$97,F937))-1</f>
        <v>-0.255009995546978</v>
      </c>
      <c r="I937" s="68">
        <f>(1+INDEX($AB$21:$AB$97,B937))*(1+INDEX($AB$21:$AB$97,C937))*(1+INDEX($AB$21:$AB$97,D937))*(1+INDEX($AB$21:$AB$97,E937))*(1+INDEX($AB$21:$AB$97,F937))-1</f>
        <v>-0.301184553879404</v>
      </c>
      <c r="J937" s="489">
        <f>LN((1+G937)/(1+H937))</f>
        <v>-0.0808714327708049</v>
      </c>
      <c r="K937" s="489">
        <f>LN((1+I937)/(1+H937))</f>
        <v>-0.0639841196535971</v>
      </c>
      <c r="L937" s="489">
        <f>(1+INDEX($AC$21:$AC$97,B937))*(1+INDEX($AC$21:$AC$97,C937))*(1+INDEX($AC$21:$AC$97,D937))*(1+INDEX($AC$21:$AC$97,E937))*(1+INDEX($AC$21:$AC$97,F937))-1</f>
        <v>-0.313697771540744</v>
      </c>
      <c r="M937" s="489">
        <f>(1+INDEX($AD$21:$AD$97,B937))*(1+INDEX($AD$21:$AD$97,C937))*(1+INDEX($AD$21:$AD$97,D937))*(1+INDEX($AD$21:$AD$97,E937))*(1+INDEX($AD$21:$AD$97,F937))-1</f>
        <v>-0.294049415329235</v>
      </c>
      <c r="N937" s="489">
        <f>(1+INDEX($AE$21:$AE$97,B937))*(1+INDEX($AE$21:$AE$97,C937))*(1+INDEX($AE$21:$AE$97,D937))*(1+INDEX($AE$21:$AE$97,E937))*(1+INDEX($AE$21:$AE$97,F937))-1</f>
        <v>-0.30997891457793</v>
      </c>
      <c r="O937" s="489">
        <f>(1+INDEX($AF$21:$AF$97,B937))*(1+INDEX($AF$21:$AF$97,C937))*(1+INDEX($AF$21:$AF$97,D937))*(1+INDEX($AF$21:$AF$97,E937))*(1+INDEX($AF$21:$AF$97,F937))-1</f>
        <v>-0.249688735515039</v>
      </c>
      <c r="P937" s="489">
        <f>LN((1+L937)/(1+H937))</f>
        <v>-0.082052704475771</v>
      </c>
      <c r="Q937" s="489">
        <f>LN((1+M937)/(1+H937))</f>
        <v>-0.053825559788566</v>
      </c>
      <c r="R937" s="489">
        <f>LN((1+N937)/(1+H937))</f>
        <v>-0.0766486457408596</v>
      </c>
      <c r="S937" s="542">
        <f>LN((1+O937)/(1+H937))</f>
        <v>0.00711733829897096</v>
      </c>
    </row>
    <row r="938">
      <c r="A938" s="320" t="n">
        <v>837</v>
      </c>
      <c r="B938" s="174" t="n">
        <v>65</v>
      </c>
      <c r="C938" s="174" t="n">
        <v>44</v>
      </c>
      <c r="D938" s="174" t="n">
        <v>75</v>
      </c>
      <c r="E938" s="174" t="n">
        <v>47</v>
      </c>
      <c r="F938" s="174" t="n">
        <v>17</v>
      </c>
      <c r="G938" s="68">
        <f>(1+INDEX($Z$21:$Z$97,B938))*(1+INDEX($Z$21:$Z$97,C938))*(1+INDEX($Z$21:$Z$97,D938))*(1+INDEX($Z$21:$Z$97,E938))*(1+INDEX($Z$21:$Z$97,F938))-1</f>
        <v>0.359931666844727</v>
      </c>
      <c r="H938" s="68">
        <f>(1+INDEX($AA$21:$AA$97,B938))*(1+INDEX($AA$21:$AA$97,C938))*(1+INDEX($AA$21:$AA$97,D938))*(1+INDEX($AA$21:$AA$97,E938))*(1+INDEX($AA$21:$AA$97,F938))-1</f>
        <v>0.338376405271869</v>
      </c>
      <c r="I938" s="68">
        <f>(1+INDEX($AB$21:$AB$97,B938))*(1+INDEX($AB$21:$AB$97,C938))*(1+INDEX($AB$21:$AB$97,D938))*(1+INDEX($AB$21:$AB$97,E938))*(1+INDEX($AB$21:$AB$97,F938))-1</f>
        <v>0.395482178404775</v>
      </c>
      <c r="J938" s="489">
        <f>LN((1+G938)/(1+H938))</f>
        <v>0.0159772120391301</v>
      </c>
      <c r="K938" s="489">
        <f>LN((1+I938)/(1+H938))</f>
        <v>0.0417827616735504</v>
      </c>
      <c r="L938" s="489">
        <f>(1+INDEX($AC$21:$AC$97,B938))*(1+INDEX($AC$21:$AC$97,C938))*(1+INDEX($AC$21:$AC$97,D938))*(1+INDEX($AC$21:$AC$97,E938))*(1+INDEX($AC$21:$AC$97,F938))-1</f>
        <v>0.368578783960322</v>
      </c>
      <c r="M938" s="489">
        <f>(1+INDEX($AD$21:$AD$97,B938))*(1+INDEX($AD$21:$AD$97,C938))*(1+INDEX($AD$21:$AD$97,D938))*(1+INDEX($AD$21:$AD$97,E938))*(1+INDEX($AD$21:$AD$97,F938))-1</f>
        <v>0.373250927634939</v>
      </c>
      <c r="N938" s="489">
        <f>(1+INDEX($AE$21:$AE$97,B938))*(1+INDEX($AE$21:$AE$97,C938))*(1+INDEX($AE$21:$AE$97,D938))*(1+INDEX($AE$21:$AE$97,E938))*(1+INDEX($AE$21:$AE$97,F938))-1</f>
        <v>0.359122737509874</v>
      </c>
      <c r="O938" s="489">
        <f>(1+INDEX($AF$21:$AF$97,B938))*(1+INDEX($AF$21:$AF$97,C938))*(1+INDEX($AF$21:$AF$97,D938))*(1+INDEX($AF$21:$AF$97,E938))*(1+INDEX($AF$21:$AF$97,F938))-1</f>
        <v>0.359814837021511</v>
      </c>
      <c r="P938" s="489">
        <f>LN((1+L938)/(1+H938))</f>
        <v>0.0223155759348955</v>
      </c>
      <c r="Q938" s="489">
        <f>LN((1+M938)/(1+H938))</f>
        <v>0.025723627264291</v>
      </c>
      <c r="R938" s="489">
        <f>LN((1+N938)/(1+H938))</f>
        <v>0.0153822041882954</v>
      </c>
      <c r="S938" s="542">
        <f>LN((1+O938)/(1+H938))</f>
        <v>0.015891299750524</v>
      </c>
    </row>
    <row r="939">
      <c r="A939" s="320" t="n">
        <v>838</v>
      </c>
      <c r="B939" s="174" t="n">
        <v>39</v>
      </c>
      <c r="C939" s="174" t="n">
        <v>41</v>
      </c>
      <c r="D939" s="174" t="n">
        <v>49</v>
      </c>
      <c r="E939" s="174" t="n">
        <v>36</v>
      </c>
      <c r="F939" s="174" t="n">
        <v>24</v>
      </c>
      <c r="G939" s="68">
        <f>(1+INDEX($Z$21:$Z$97,B939))*(1+INDEX($Z$21:$Z$97,C939))*(1+INDEX($Z$21:$Z$97,D939))*(1+INDEX($Z$21:$Z$97,E939))*(1+INDEX($Z$21:$Z$97,F939))-1</f>
        <v>0.651421190082841</v>
      </c>
      <c r="H939" s="68">
        <f>(1+INDEX($AA$21:$AA$97,B939))*(1+INDEX($AA$21:$AA$97,C939))*(1+INDEX($AA$21:$AA$97,D939))*(1+INDEX($AA$21:$AA$97,E939))*(1+INDEX($AA$21:$AA$97,F939))-1</f>
        <v>0.537503921080735</v>
      </c>
      <c r="I939" s="68">
        <f>(1+INDEX($AB$21:$AB$97,B939))*(1+INDEX($AB$21:$AB$97,C939))*(1+INDEX($AB$21:$AB$97,D939))*(1+INDEX($AB$21:$AB$97,E939))*(1+INDEX($AB$21:$AB$97,F939))-1</f>
        <v>0.609443720605038</v>
      </c>
      <c r="J939" s="489">
        <f>LN((1+G939)/(1+H939))</f>
        <v>0.0714759735142118</v>
      </c>
      <c r="K939" s="489">
        <f>LN((1+I939)/(1+H939))</f>
        <v>0.0457283331484113</v>
      </c>
      <c r="L939" s="489">
        <f>(1+INDEX($AC$21:$AC$97,B939))*(1+INDEX($AC$21:$AC$97,C939))*(1+INDEX($AC$21:$AC$97,D939))*(1+INDEX($AC$21:$AC$97,E939))*(1+INDEX($AC$21:$AC$97,F939))-1</f>
        <v>0.591389690392025</v>
      </c>
      <c r="M939" s="489">
        <f>(1+INDEX($AD$21:$AD$97,B939))*(1+INDEX($AD$21:$AD$97,C939))*(1+INDEX($AD$21:$AD$97,D939))*(1+INDEX($AD$21:$AD$97,E939))*(1+INDEX($AD$21:$AD$97,F939))-1</f>
        <v>0.619349065432322</v>
      </c>
      <c r="N939" s="489">
        <f>(1+INDEX($AE$21:$AE$97,B939))*(1+INDEX($AE$21:$AE$97,C939))*(1+INDEX($AE$21:$AE$97,D939))*(1+INDEX($AE$21:$AE$97,E939))*(1+INDEX($AE$21:$AE$97,F939))-1</f>
        <v>0.583590011159821</v>
      </c>
      <c r="O939" s="489">
        <f>(1+INDEX($AF$21:$AF$97,B939))*(1+INDEX($AF$21:$AF$97,C939))*(1+INDEX($AF$21:$AF$97,D939))*(1+INDEX($AF$21:$AF$97,E939))*(1+INDEX($AF$21:$AF$97,F939))-1</f>
        <v>0.581149225970736</v>
      </c>
      <c r="P939" s="489">
        <f>LN((1+L939)/(1+H939))</f>
        <v>0.0344473826226293</v>
      </c>
      <c r="Q939" s="489">
        <f>LN((1+M939)/(1+H939))</f>
        <v>0.0518639860432098</v>
      </c>
      <c r="R939" s="489">
        <f>LN((1+N939)/(1+H939))</f>
        <v>0.029534157559428</v>
      </c>
      <c r="S939" s="542">
        <f>LN((1+O939)/(1+H939))</f>
        <v>0.0279916698597221</v>
      </c>
    </row>
    <row r="940">
      <c r="A940" s="320" t="n">
        <v>839</v>
      </c>
      <c r="B940" s="174" t="n">
        <v>7</v>
      </c>
      <c r="C940" s="174" t="n">
        <v>41</v>
      </c>
      <c r="D940" s="174" t="n">
        <v>77</v>
      </c>
      <c r="E940" s="174" t="n">
        <v>77</v>
      </c>
      <c r="F940" s="174" t="n">
        <v>63</v>
      </c>
      <c r="G940" s="68">
        <f>(1+INDEX($Z$21:$Z$97,B940))*(1+INDEX($Z$21:$Z$97,C940))*(1+INDEX($Z$21:$Z$97,D940))*(1+INDEX($Z$21:$Z$97,E940))*(1+INDEX($Z$21:$Z$97,F940))-1</f>
        <v>0.00523665422127717</v>
      </c>
      <c r="H940" s="68">
        <f>(1+INDEX($AA$21:$AA$97,B940))*(1+INDEX($AA$21:$AA$97,C940))*(1+INDEX($AA$21:$AA$97,D940))*(1+INDEX($AA$21:$AA$97,E940))*(1+INDEX($AA$21:$AA$97,F940))-1</f>
        <v>0.0257724726850395</v>
      </c>
      <c r="I940" s="68">
        <f>(1+INDEX($AB$21:$AB$97,B940))*(1+INDEX($AB$21:$AB$97,C940))*(1+INDEX($AB$21:$AB$97,D940))*(1+INDEX($AB$21:$AB$97,E940))*(1+INDEX($AB$21:$AB$97,F940))-1</f>
        <v>0.0406602421499109</v>
      </c>
      <c r="J940" s="489">
        <f>LN((1+G940)/(1+H940))</f>
        <v>-0.020222970012489</v>
      </c>
      <c r="K940" s="489">
        <f>LN((1+I940)/(1+H940))</f>
        <v>0.0144093993031641</v>
      </c>
      <c r="L940" s="489">
        <f>(1+INDEX($AC$21:$AC$97,B940))*(1+INDEX($AC$21:$AC$97,C940))*(1+INDEX($AC$21:$AC$97,D940))*(1+INDEX($AC$21:$AC$97,E940))*(1+INDEX($AC$21:$AC$97,F940))-1</f>
        <v>0.0440185011710339</v>
      </c>
      <c r="M940" s="489">
        <f>(1+INDEX($AD$21:$AD$97,B940))*(1+INDEX($AD$21:$AD$97,C940))*(1+INDEX($AD$21:$AD$97,D940))*(1+INDEX($AD$21:$AD$97,E940))*(1+INDEX($AD$21:$AD$97,F940))-1</f>
        <v>0.00182719794530017</v>
      </c>
      <c r="N940" s="489">
        <f>(1+INDEX($AE$21:$AE$97,B940))*(1+INDEX($AE$21:$AE$97,C940))*(1+INDEX($AE$21:$AE$97,D940))*(1+INDEX($AE$21:$AE$97,E940))*(1+INDEX($AE$21:$AE$97,F940))-1</f>
        <v>0.0116794869876815</v>
      </c>
      <c r="O940" s="489">
        <f>(1+INDEX($AF$21:$AF$97,B940))*(1+INDEX($AF$21:$AF$97,C940))*(1+INDEX($AF$21:$AF$97,D940))*(1+INDEX($AF$21:$AF$97,E940))*(1+INDEX($AF$21:$AF$97,F940))-1</f>
        <v>0.0122687686525336</v>
      </c>
      <c r="P940" s="489">
        <f>LN((1+L940)/(1+H940))</f>
        <v>0.0176312500913169</v>
      </c>
      <c r="Q940" s="489">
        <f>LN((1+M940)/(1+H940))</f>
        <v>-0.0236204299904894</v>
      </c>
      <c r="R940" s="489">
        <f>LN((1+N940)/(1+H940))</f>
        <v>-0.0138341524017765</v>
      </c>
      <c r="S940" s="542">
        <f>LN((1+O940)/(1+H940))</f>
        <v>-0.0132518433631326</v>
      </c>
    </row>
    <row r="941">
      <c r="A941" s="320" t="n">
        <v>840</v>
      </c>
      <c r="B941" s="174" t="n">
        <v>11</v>
      </c>
      <c r="C941" s="174" t="n">
        <v>10</v>
      </c>
      <c r="D941" s="174" t="n">
        <v>7</v>
      </c>
      <c r="E941" s="174" t="n">
        <v>30</v>
      </c>
      <c r="F941" s="174" t="n">
        <v>77</v>
      </c>
      <c r="G941" s="68">
        <f>(1+INDEX($Z$21:$Z$97,B941))*(1+INDEX($Z$21:$Z$97,C941))*(1+INDEX($Z$21:$Z$97,D941))*(1+INDEX($Z$21:$Z$97,E941))*(1+INDEX($Z$21:$Z$97,F941))-1</f>
        <v>-0.0839911343731077</v>
      </c>
      <c r="H941" s="68">
        <f>(1+INDEX($AA$21:$AA$97,B941))*(1+INDEX($AA$21:$AA$97,C941))*(1+INDEX($AA$21:$AA$97,D941))*(1+INDEX($AA$21:$AA$97,E941))*(1+INDEX($AA$21:$AA$97,F941))-1</f>
        <v>-0.0470163616201321</v>
      </c>
      <c r="I941" s="68">
        <f>(1+INDEX($AB$21:$AB$97,B941))*(1+INDEX($AB$21:$AB$97,C941))*(1+INDEX($AB$21:$AB$97,D941))*(1+INDEX($AB$21:$AB$97,E941))*(1+INDEX($AB$21:$AB$97,F941))-1</f>
        <v>-0.087408862886147</v>
      </c>
      <c r="J941" s="489">
        <f>LN((1+G941)/(1+H941))</f>
        <v>-0.0395716917059632</v>
      </c>
      <c r="K941" s="489">
        <f>LN((1+I941)/(1+H941))</f>
        <v>-0.0433097782067383</v>
      </c>
      <c r="L941" s="489">
        <f>(1+INDEX($AC$21:$AC$97,B941))*(1+INDEX($AC$21:$AC$97,C941))*(1+INDEX($AC$21:$AC$97,D941))*(1+INDEX($AC$21:$AC$97,E941))*(1+INDEX($AC$21:$AC$97,F941))-1</f>
        <v>-0.098129556086497</v>
      </c>
      <c r="M941" s="489">
        <f>(1+INDEX($AD$21:$AD$97,B941))*(1+INDEX($AD$21:$AD$97,C941))*(1+INDEX($AD$21:$AD$97,D941))*(1+INDEX($AD$21:$AD$97,E941))*(1+INDEX($AD$21:$AD$97,F941))-1</f>
        <v>-0.0680783997211188</v>
      </c>
      <c r="N941" s="489">
        <f>(1+INDEX($AE$21:$AE$97,B941))*(1+INDEX($AE$21:$AE$97,C941))*(1+INDEX($AE$21:$AE$97,D941))*(1+INDEX($AE$21:$AE$97,E941))*(1+INDEX($AE$21:$AE$97,F941))-1</f>
        <v>-0.116660922706612</v>
      </c>
      <c r="O941" s="489">
        <f>(1+INDEX($AF$21:$AF$97,B941))*(1+INDEX($AF$21:$AF$97,C941))*(1+INDEX($AF$21:$AF$97,D941))*(1+INDEX($AF$21:$AF$97,E941))*(1+INDEX($AF$21:$AF$97,F941))-1</f>
        <v>-0.00407187568318512</v>
      </c>
      <c r="P941" s="489">
        <f>LN((1+L941)/(1+H941))</f>
        <v>-0.055126857243619</v>
      </c>
      <c r="Q941" s="489">
        <f>LN((1+M941)/(1+H941))</f>
        <v>-0.0223490436903632</v>
      </c>
      <c r="R941" s="489">
        <f>LN((1+N941)/(1+H941))</f>
        <v>-0.0758886020779299</v>
      </c>
      <c r="S941" s="542">
        <f>LN((1+O941)/(1+H941))</f>
        <v>0.0440773556748453</v>
      </c>
    </row>
    <row r="942">
      <c r="A942" s="320" t="n">
        <v>841</v>
      </c>
      <c r="B942" s="174" t="n">
        <v>17</v>
      </c>
      <c r="C942" s="174" t="n">
        <v>73</v>
      </c>
      <c r="D942" s="174" t="n">
        <v>62</v>
      </c>
      <c r="E942" s="174" t="n">
        <v>41</v>
      </c>
      <c r="F942" s="174" t="n">
        <v>41</v>
      </c>
      <c r="G942" s="68">
        <f>(1+INDEX($Z$21:$Z$97,B942))*(1+INDEX($Z$21:$Z$97,C942))*(1+INDEX($Z$21:$Z$97,D942))*(1+INDEX($Z$21:$Z$97,E942))*(1+INDEX($Z$21:$Z$97,F942))-1</f>
        <v>0.284483261228159</v>
      </c>
      <c r="H942" s="68">
        <f>(1+INDEX($AA$21:$AA$97,B942))*(1+INDEX($AA$21:$AA$97,C942))*(1+INDEX($AA$21:$AA$97,D942))*(1+INDEX($AA$21:$AA$97,E942))*(1+INDEX($AA$21:$AA$97,F942))-1</f>
        <v>0.275596400946125</v>
      </c>
      <c r="I942" s="68">
        <f>(1+INDEX($AB$21:$AB$97,B942))*(1+INDEX($AB$21:$AB$97,C942))*(1+INDEX($AB$21:$AB$97,D942))*(1+INDEX($AB$21:$AB$97,E942))*(1+INDEX($AB$21:$AB$97,F942))-1</f>
        <v>0.304753056069842</v>
      </c>
      <c r="J942" s="489">
        <f>LN((1+G942)/(1+H942))</f>
        <v>0.00694267144056079</v>
      </c>
      <c r="K942" s="489">
        <f>LN((1+I942)/(1+H942))</f>
        <v>0.0225999591131446</v>
      </c>
      <c r="L942" s="489">
        <f>(1+INDEX($AC$21:$AC$97,B942))*(1+INDEX($AC$21:$AC$97,C942))*(1+INDEX($AC$21:$AC$97,D942))*(1+INDEX($AC$21:$AC$97,E942))*(1+INDEX($AC$21:$AC$97,F942))-1</f>
        <v>0.315859647117568</v>
      </c>
      <c r="M942" s="489">
        <f>(1+INDEX($AD$21:$AD$97,B942))*(1+INDEX($AD$21:$AD$97,C942))*(1+INDEX($AD$21:$AD$97,D942))*(1+INDEX($AD$21:$AD$97,E942))*(1+INDEX($AD$21:$AD$97,F942))-1</f>
        <v>0.267660295242312</v>
      </c>
      <c r="N942" s="489">
        <f>(1+INDEX($AE$21:$AE$97,B942))*(1+INDEX($AE$21:$AE$97,C942))*(1+INDEX($AE$21:$AE$97,D942))*(1+INDEX($AE$21:$AE$97,E942))*(1+INDEX($AE$21:$AE$97,F942))-1</f>
        <v>0.299995695266658</v>
      </c>
      <c r="O942" s="489">
        <f>(1+INDEX($AF$21:$AF$97,B942))*(1+INDEX($AF$21:$AF$97,C942))*(1+INDEX($AF$21:$AF$97,D942))*(1+INDEX($AF$21:$AF$97,E942))*(1+INDEX($AF$21:$AF$97,F942))-1</f>
        <v>0.248641897935167</v>
      </c>
      <c r="P942" s="489">
        <f>LN((1+L942)/(1+H942))</f>
        <v>0.0310763413988437</v>
      </c>
      <c r="Q942" s="489">
        <f>LN((1+M942)/(1+H942))</f>
        <v>-0.00624092052867842</v>
      </c>
      <c r="R942" s="489">
        <f>LN((1+N942)/(1+H942))</f>
        <v>0.0189471184384904</v>
      </c>
      <c r="S942" s="542">
        <f>LN((1+O942)/(1+H942))</f>
        <v>-0.0213573556768831</v>
      </c>
    </row>
    <row r="943">
      <c r="A943" s="320" t="n">
        <v>842</v>
      </c>
      <c r="B943" s="174" t="n">
        <v>55</v>
      </c>
      <c r="C943" s="174" t="n">
        <v>69</v>
      </c>
      <c r="D943" s="174" t="n">
        <v>74</v>
      </c>
      <c r="E943" s="174" t="n">
        <v>57</v>
      </c>
      <c r="F943" s="174" t="n">
        <v>66</v>
      </c>
      <c r="G943" s="68">
        <f>(1+INDEX($Z$21:$Z$97,B943))*(1+INDEX($Z$21:$Z$97,C943))*(1+INDEX($Z$21:$Z$97,D943))*(1+INDEX($Z$21:$Z$97,E943))*(1+INDEX($Z$21:$Z$97,F943))-1</f>
        <v>0.600544358843343</v>
      </c>
      <c r="H943" s="68">
        <f>(1+INDEX($AA$21:$AA$97,B943))*(1+INDEX($AA$21:$AA$97,C943))*(1+INDEX($AA$21:$AA$97,D943))*(1+INDEX($AA$21:$AA$97,E943))*(1+INDEX($AA$21:$AA$97,F943))-1</f>
        <v>0.564661091694037</v>
      </c>
      <c r="I943" s="68">
        <f>(1+INDEX($AB$21:$AB$97,B943))*(1+INDEX($AB$21:$AB$97,C943))*(1+INDEX($AB$21:$AB$97,D943))*(1+INDEX($AB$21:$AB$97,E943))*(1+INDEX($AB$21:$AB$97,F943))-1</f>
        <v>0.60839370194973</v>
      </c>
      <c r="J943" s="489">
        <f>LN((1+G943)/(1+H943))</f>
        <v>0.0226745499470271</v>
      </c>
      <c r="K943" s="489">
        <f>LN((1+I943)/(1+H943))</f>
        <v>0.0275667345968045</v>
      </c>
      <c r="L943" s="489">
        <f>(1+INDEX($AC$21:$AC$97,B943))*(1+INDEX($AC$21:$AC$97,C943))*(1+INDEX($AC$21:$AC$97,D943))*(1+INDEX($AC$21:$AC$97,E943))*(1+INDEX($AC$21:$AC$97,F943))-1</f>
        <v>0.607951501093202</v>
      </c>
      <c r="M943" s="489">
        <f>(1+INDEX($AD$21:$AD$97,B943))*(1+INDEX($AD$21:$AD$97,C943))*(1+INDEX($AD$21:$AD$97,D943))*(1+INDEX($AD$21:$AD$97,E943))*(1+INDEX($AD$21:$AD$97,F943))-1</f>
        <v>0.606547516175879</v>
      </c>
      <c r="N943" s="489">
        <f>(1+INDEX($AE$21:$AE$97,B943))*(1+INDEX($AE$21:$AE$97,C943))*(1+INDEX($AE$21:$AE$97,D943))*(1+INDEX($AE$21:$AE$97,E943))*(1+INDEX($AE$21:$AE$97,F943))-1</f>
        <v>0.621651409241376</v>
      </c>
      <c r="O943" s="489">
        <f>(1+INDEX($AF$21:$AF$97,B943))*(1+INDEX($AF$21:$AF$97,C943))*(1+INDEX($AF$21:$AF$97,D943))*(1+INDEX($AF$21:$AF$97,E943))*(1+INDEX($AF$21:$AF$97,F943))-1</f>
        <v>0.626397718329691</v>
      </c>
      <c r="P943" s="489">
        <f>LN((1+L943)/(1+H943))</f>
        <v>0.0272917635775892</v>
      </c>
      <c r="Q943" s="489">
        <f>LN((1+M943)/(1+H943))</f>
        <v>0.0264182308752567</v>
      </c>
      <c r="R943" s="489">
        <f>LN((1+N943)/(1+H943))</f>
        <v>0.0357757727287069</v>
      </c>
      <c r="S943" s="542">
        <f>LN((1+O943)/(1+H943))</f>
        <v>0.0386983347222163</v>
      </c>
    </row>
    <row r="944">
      <c r="A944" s="320" t="n">
        <v>843</v>
      </c>
      <c r="B944" s="174" t="n">
        <v>8</v>
      </c>
      <c r="C944" s="174" t="n">
        <v>29</v>
      </c>
      <c r="D944" s="174" t="n">
        <v>59</v>
      </c>
      <c r="E944" s="174" t="n">
        <v>14</v>
      </c>
      <c r="F944" s="174" t="n">
        <v>36</v>
      </c>
      <c r="G944" s="68">
        <f>(1+INDEX($Z$21:$Z$97,B944))*(1+INDEX($Z$21:$Z$97,C944))*(1+INDEX($Z$21:$Z$97,D944))*(1+INDEX($Z$21:$Z$97,E944))*(1+INDEX($Z$21:$Z$97,F944))-1</f>
        <v>0.316238894130495</v>
      </c>
      <c r="H944" s="68">
        <f>(1+INDEX($AA$21:$AA$97,B944))*(1+INDEX($AA$21:$AA$97,C944))*(1+INDEX($AA$21:$AA$97,D944))*(1+INDEX($AA$21:$AA$97,E944))*(1+INDEX($AA$21:$AA$97,F944))-1</f>
        <v>0.343139731039049</v>
      </c>
      <c r="I944" s="68">
        <f>(1+INDEX($AB$21:$AB$97,B944))*(1+INDEX($AB$21:$AB$97,C944))*(1+INDEX($AB$21:$AB$97,D944))*(1+INDEX($AB$21:$AB$97,E944))*(1+INDEX($AB$21:$AB$97,F944))-1</f>
        <v>0.332628242779082</v>
      </c>
      <c r="J944" s="489">
        <f>LN((1+G944)/(1+H944))</f>
        <v>-0.0202316091667193</v>
      </c>
      <c r="K944" s="489">
        <f>LN((1+I944)/(1+H944))</f>
        <v>-0.00785684142689139</v>
      </c>
      <c r="L944" s="489">
        <f>(1+INDEX($AC$21:$AC$97,B944))*(1+INDEX($AC$21:$AC$97,C944))*(1+INDEX($AC$21:$AC$97,D944))*(1+INDEX($AC$21:$AC$97,E944))*(1+INDEX($AC$21:$AC$97,F944))-1</f>
        <v>0.33793752334756</v>
      </c>
      <c r="M944" s="489">
        <f>(1+INDEX($AD$21:$AD$97,B944))*(1+INDEX($AD$21:$AD$97,C944))*(1+INDEX($AD$21:$AD$97,D944))*(1+INDEX($AD$21:$AD$97,E944))*(1+INDEX($AD$21:$AD$97,F944))-1</f>
        <v>0.335228940857011</v>
      </c>
      <c r="N944" s="489">
        <f>(1+INDEX($AE$21:$AE$97,B944))*(1+INDEX($AE$21:$AE$97,C944))*(1+INDEX($AE$21:$AE$97,D944))*(1+INDEX($AE$21:$AE$97,E944))*(1+INDEX($AE$21:$AE$97,F944))-1</f>
        <v>0.345882143092312</v>
      </c>
      <c r="O944" s="489">
        <f>(1+INDEX($AF$21:$AF$97,B944))*(1+INDEX($AF$21:$AF$97,C944))*(1+INDEX($AF$21:$AF$97,D944))*(1+INDEX($AF$21:$AF$97,E944))*(1+INDEX($AF$21:$AF$97,F944))-1</f>
        <v>0.321993029217976</v>
      </c>
      <c r="P944" s="489">
        <f>LN((1+L944)/(1+H944))</f>
        <v>-0.00388068953375995</v>
      </c>
      <c r="Q944" s="489">
        <f>LN((1+M944)/(1+H944))</f>
        <v>-0.00590718766155122</v>
      </c>
      <c r="R944" s="489">
        <f>LN((1+N944)/(1+H944))</f>
        <v>0.00203971044671966</v>
      </c>
      <c r="S944" s="542">
        <f>LN((1+O944)/(1+H944))</f>
        <v>-0.0158694875801037</v>
      </c>
    </row>
    <row r="945">
      <c r="A945" s="320" t="n">
        <v>844</v>
      </c>
      <c r="B945" s="174" t="n">
        <v>54</v>
      </c>
      <c r="C945" s="174" t="n">
        <v>4</v>
      </c>
      <c r="D945" s="174" t="n">
        <v>29</v>
      </c>
      <c r="E945" s="174" t="n">
        <v>51</v>
      </c>
      <c r="F945" s="174" t="n">
        <v>2</v>
      </c>
      <c r="G945" s="68">
        <f>(1+INDEX($Z$21:$Z$97,B945))*(1+INDEX($Z$21:$Z$97,C945))*(1+INDEX($Z$21:$Z$97,D945))*(1+INDEX($Z$21:$Z$97,E945))*(1+INDEX($Z$21:$Z$97,F945))-1</f>
        <v>0.508971650096532</v>
      </c>
      <c r="H945" s="68">
        <f>(1+INDEX($AA$21:$AA$97,B945))*(1+INDEX($AA$21:$AA$97,C945))*(1+INDEX($AA$21:$AA$97,D945))*(1+INDEX($AA$21:$AA$97,E945))*(1+INDEX($AA$21:$AA$97,F945))-1</f>
        <v>0.467617517217226</v>
      </c>
      <c r="I945" s="68">
        <f>(1+INDEX($AB$21:$AB$97,B945))*(1+INDEX($AB$21:$AB$97,C945))*(1+INDEX($AB$21:$AB$97,D945))*(1+INDEX($AB$21:$AB$97,E945))*(1+INDEX($AB$21:$AB$97,F945))-1</f>
        <v>0.485124936417994</v>
      </c>
      <c r="J945" s="489">
        <f>LN((1+G945)/(1+H945))</f>
        <v>0.0277880430075143</v>
      </c>
      <c r="K945" s="489">
        <f>LN((1+I945)/(1+H945))</f>
        <v>0.0118585515944076</v>
      </c>
      <c r="L945" s="489">
        <f>(1+INDEX($AC$21:$AC$97,B945))*(1+INDEX($AC$21:$AC$97,C945))*(1+INDEX($AC$21:$AC$97,D945))*(1+INDEX($AC$21:$AC$97,E945))*(1+INDEX($AC$21:$AC$97,F945))-1</f>
        <v>0.479983658791032</v>
      </c>
      <c r="M945" s="489">
        <f>(1+INDEX($AD$21:$AD$97,B945))*(1+INDEX($AD$21:$AD$97,C945))*(1+INDEX($AD$21:$AD$97,D945))*(1+INDEX($AD$21:$AD$97,E945))*(1+INDEX($AD$21:$AD$97,F945))-1</f>
        <v>0.503084558561742</v>
      </c>
      <c r="N945" s="489">
        <f>(1+INDEX($AE$21:$AE$97,B945))*(1+INDEX($AE$21:$AE$97,C945))*(1+INDEX($AE$21:$AE$97,D945))*(1+INDEX($AE$21:$AE$97,E945))*(1+INDEX($AE$21:$AE$97,F945))-1</f>
        <v>0.469266800562625</v>
      </c>
      <c r="O945" s="489">
        <f>(1+INDEX($AF$21:$AF$97,B945))*(1+INDEX($AF$21:$AF$97,C945))*(1+INDEX($AF$21:$AF$97,D945))*(1+INDEX($AF$21:$AF$97,E945))*(1+INDEX($AF$21:$AF$97,F945))-1</f>
        <v>0.519724290578813</v>
      </c>
      <c r="P945" s="489">
        <f>LN((1+L945)/(1+H945))</f>
        <v>0.0083906969683122</v>
      </c>
      <c r="Q945" s="489">
        <f>LN((1+M945)/(1+H945))</f>
        <v>0.0238790196537522</v>
      </c>
      <c r="R945" s="489">
        <f>LN((1+N945)/(1+H945))</f>
        <v>0.00112315184414394</v>
      </c>
      <c r="S945" s="542">
        <f>LN((1+O945)/(1+H945))</f>
        <v>0.0348885812389917</v>
      </c>
    </row>
    <row r="946">
      <c r="A946" s="320" t="n">
        <v>845</v>
      </c>
      <c r="B946" s="174" t="n">
        <v>3</v>
      </c>
      <c r="C946" s="174" t="n">
        <v>48</v>
      </c>
      <c r="D946" s="174" t="n">
        <v>9</v>
      </c>
      <c r="E946" s="174" t="n">
        <v>40</v>
      </c>
      <c r="F946" s="174" t="n">
        <v>56</v>
      </c>
      <c r="G946" s="68">
        <f>(1+INDEX($Z$21:$Z$97,B946))*(1+INDEX($Z$21:$Z$97,C946))*(1+INDEX($Z$21:$Z$97,D946))*(1+INDEX($Z$21:$Z$97,E946))*(1+INDEX($Z$21:$Z$97,F946))-1</f>
        <v>0.0286653567756565</v>
      </c>
      <c r="H946" s="68">
        <f>(1+INDEX($AA$21:$AA$97,B946))*(1+INDEX($AA$21:$AA$97,C946))*(1+INDEX($AA$21:$AA$97,D946))*(1+INDEX($AA$21:$AA$97,E946))*(1+INDEX($AA$21:$AA$97,F946))-1</f>
        <v>0.0290414390683966</v>
      </c>
      <c r="I946" s="68">
        <f>(1+INDEX($AB$21:$AB$97,B946))*(1+INDEX($AB$21:$AB$97,C946))*(1+INDEX($AB$21:$AB$97,D946))*(1+INDEX($AB$21:$AB$97,E946))*(1+INDEX($AB$21:$AB$97,F946))-1</f>
        <v>0.00478314663728874</v>
      </c>
      <c r="J946" s="489">
        <f>LN((1+G946)/(1+H946))</f>
        <v>-0.00036553535973856</v>
      </c>
      <c r="K946" s="489">
        <f>LN((1+I946)/(1+H946))</f>
        <v>-0.0238559835064301</v>
      </c>
      <c r="L946" s="489">
        <f>(1+INDEX($AC$21:$AC$97,B946))*(1+INDEX($AC$21:$AC$97,C946))*(1+INDEX($AC$21:$AC$97,D946))*(1+INDEX($AC$21:$AC$97,E946))*(1+INDEX($AC$21:$AC$97,F946))-1</f>
        <v>-0.0135694784272502</v>
      </c>
      <c r="M946" s="489">
        <f>(1+INDEX($AD$21:$AD$97,B946))*(1+INDEX($AD$21:$AD$97,C946))*(1+INDEX($AD$21:$AD$97,D946))*(1+INDEX($AD$21:$AD$97,E946))*(1+INDEX($AD$21:$AD$97,F946))-1</f>
        <v>0.0294638012418174</v>
      </c>
      <c r="N946" s="489">
        <f>(1+INDEX($AE$21:$AE$97,B946))*(1+INDEX($AE$21:$AE$97,C946))*(1+INDEX($AE$21:$AE$97,D946))*(1+INDEX($AE$21:$AE$97,E946))*(1+INDEX($AE$21:$AE$97,F946))-1</f>
        <v>-0.0208379058341054</v>
      </c>
      <c r="O946" s="489">
        <f>(1+INDEX($AF$21:$AF$97,B946))*(1+INDEX($AF$21:$AF$97,C946))*(1+INDEX($AF$21:$AF$97,D946))*(1+INDEX($AF$21:$AF$97,E946))*(1+INDEX($AF$21:$AF$97,F946))-1</f>
        <v>0.0868407658903025</v>
      </c>
      <c r="P946" s="489">
        <f>LN((1+L946)/(1+H946))</f>
        <v>-0.0422901124660096</v>
      </c>
      <c r="Q946" s="489">
        <f>LN((1+M946)/(1+H946))</f>
        <v>0.000410358128876152</v>
      </c>
      <c r="R946" s="489">
        <f>LN((1+N946)/(1+H946))</f>
        <v>-0.0496858062413031</v>
      </c>
      <c r="S946" s="542">
        <f>LN((1+O946)/(1+H946))</f>
        <v>0.054647380642549</v>
      </c>
    </row>
    <row r="947">
      <c r="A947" s="320" t="n">
        <v>846</v>
      </c>
      <c r="B947" s="174" t="n">
        <v>68</v>
      </c>
      <c r="C947" s="174" t="n">
        <v>38</v>
      </c>
      <c r="D947" s="174" t="n">
        <v>9</v>
      </c>
      <c r="E947" s="174" t="n">
        <v>8</v>
      </c>
      <c r="F947" s="174" t="n">
        <v>23</v>
      </c>
      <c r="G947" s="68">
        <f>(1+INDEX($Z$21:$Z$97,B947))*(1+INDEX($Z$21:$Z$97,C947))*(1+INDEX($Z$21:$Z$97,D947))*(1+INDEX($Z$21:$Z$97,E947))*(1+INDEX($Z$21:$Z$97,F947))-1</f>
        <v>-0.131316745232822</v>
      </c>
      <c r="H947" s="68">
        <f>(1+INDEX($AA$21:$AA$97,B947))*(1+INDEX($AA$21:$AA$97,C947))*(1+INDEX($AA$21:$AA$97,D947))*(1+INDEX($AA$21:$AA$97,E947))*(1+INDEX($AA$21:$AA$97,F947))-1</f>
        <v>-0.0932320931587989</v>
      </c>
      <c r="I947" s="68">
        <f>(1+INDEX($AB$21:$AB$97,B947))*(1+INDEX($AB$21:$AB$97,C947))*(1+INDEX($AB$21:$AB$97,D947))*(1+INDEX($AB$21:$AB$97,E947))*(1+INDEX($AB$21:$AB$97,F947))-1</f>
        <v>-0.138690695693317</v>
      </c>
      <c r="J947" s="489">
        <f>LN((1+G947)/(1+H947))</f>
        <v>-0.042907961462883</v>
      </c>
      <c r="K947" s="489">
        <f>LN((1+I947)/(1+H947))</f>
        <v>-0.0514328479769279</v>
      </c>
      <c r="L947" s="489">
        <f>(1+INDEX($AC$21:$AC$97,B947))*(1+INDEX($AC$21:$AC$97,C947))*(1+INDEX($AC$21:$AC$97,D947))*(1+INDEX($AC$21:$AC$97,E947))*(1+INDEX($AC$21:$AC$97,F947))-1</f>
        <v>-0.166375568178101</v>
      </c>
      <c r="M947" s="489">
        <f>(1+INDEX($AD$21:$AD$97,B947))*(1+INDEX($AD$21:$AD$97,C947))*(1+INDEX($AD$21:$AD$97,D947))*(1+INDEX($AD$21:$AD$97,E947))*(1+INDEX($AD$21:$AD$97,F947))-1</f>
        <v>-0.107747514582135</v>
      </c>
      <c r="N947" s="489">
        <f>(1+INDEX($AE$21:$AE$97,B947))*(1+INDEX($AE$21:$AE$97,C947))*(1+INDEX($AE$21:$AE$97,D947))*(1+INDEX($AE$21:$AE$97,E947))*(1+INDEX($AE$21:$AE$97,F947))-1</f>
        <v>-0.160310930566233</v>
      </c>
      <c r="O947" s="489">
        <f>(1+INDEX($AF$21:$AF$97,B947))*(1+INDEX($AF$21:$AF$97,C947))*(1+INDEX($AF$21:$AF$97,D947))*(1+INDEX($AF$21:$AF$97,E947))*(1+INDEX($AF$21:$AF$97,F947))-1</f>
        <v>-0.0446627274579243</v>
      </c>
      <c r="P947" s="489">
        <f>LN((1+L947)/(1+H947))</f>
        <v>-0.08410354696834</v>
      </c>
      <c r="Q947" s="489">
        <f>LN((1+M947)/(1+H947))</f>
        <v>-0.016137378416827</v>
      </c>
      <c r="R947" s="489">
        <f>LN((1+N947)/(1+H947))</f>
        <v>-0.0768548584684742</v>
      </c>
      <c r="S947" s="542">
        <f>LN((1+O947)/(1+H947))</f>
        <v>0.052177916752779</v>
      </c>
    </row>
    <row r="948">
      <c r="A948" s="320" t="n">
        <v>847</v>
      </c>
      <c r="B948" s="174" t="n">
        <v>67</v>
      </c>
      <c r="C948" s="174" t="n">
        <v>72</v>
      </c>
      <c r="D948" s="174" t="n">
        <v>66</v>
      </c>
      <c r="E948" s="174" t="n">
        <v>49</v>
      </c>
      <c r="F948" s="174" t="n">
        <v>26</v>
      </c>
      <c r="G948" s="68">
        <f>(1+INDEX($Z$21:$Z$97,B948))*(1+INDEX($Z$21:$Z$97,C948))*(1+INDEX($Z$21:$Z$97,D948))*(1+INDEX($Z$21:$Z$97,E948))*(1+INDEX($Z$21:$Z$97,F948))-1</f>
        <v>0.82545025603135</v>
      </c>
      <c r="H948" s="68">
        <f>(1+INDEX($AA$21:$AA$97,B948))*(1+INDEX($AA$21:$AA$97,C948))*(1+INDEX($AA$21:$AA$97,D948))*(1+INDEX($AA$21:$AA$97,E948))*(1+INDEX($AA$21:$AA$97,F948))-1</f>
        <v>0.775229360852072</v>
      </c>
      <c r="I948" s="68">
        <f>(1+INDEX($AB$21:$AB$97,B948))*(1+INDEX($AB$21:$AB$97,C948))*(1+INDEX($AB$21:$AB$97,D948))*(1+INDEX($AB$21:$AB$97,E948))*(1+INDEX($AB$21:$AB$97,F948))-1</f>
        <v>0.885852291002767</v>
      </c>
      <c r="J948" s="489">
        <f>LN((1+G948)/(1+H948))</f>
        <v>0.0278970402777929</v>
      </c>
      <c r="K948" s="489">
        <f>LN((1+I948)/(1+H948))</f>
        <v>0.0604502305208464</v>
      </c>
      <c r="L948" s="489">
        <f>(1+INDEX($AC$21:$AC$97,B948))*(1+INDEX($AC$21:$AC$97,C948))*(1+INDEX($AC$21:$AC$97,D948))*(1+INDEX($AC$21:$AC$97,E948))*(1+INDEX($AC$21:$AC$97,F948))-1</f>
        <v>0.881712339798751</v>
      </c>
      <c r="M948" s="489">
        <f>(1+INDEX($AD$21:$AD$97,B948))*(1+INDEX($AD$21:$AD$97,C948))*(1+INDEX($AD$21:$AD$97,D948))*(1+INDEX($AD$21:$AD$97,E948))*(1+INDEX($AD$21:$AD$97,F948))-1</f>
        <v>0.856992122455457</v>
      </c>
      <c r="N948" s="489">
        <f>(1+INDEX($AE$21:$AE$97,B948))*(1+INDEX($AE$21:$AE$97,C948))*(1+INDEX($AE$21:$AE$97,D948))*(1+INDEX($AE$21:$AE$97,E948))*(1+INDEX($AE$21:$AE$97,F948))-1</f>
        <v>0.891741321061872</v>
      </c>
      <c r="O948" s="489">
        <f>(1+INDEX($AF$21:$AF$97,B948))*(1+INDEX($AF$21:$AF$97,C948))*(1+INDEX($AF$21:$AF$97,D948))*(1+INDEX($AF$21:$AF$97,E948))*(1+INDEX($AF$21:$AF$97,F948))-1</f>
        <v>0.804973497145849</v>
      </c>
      <c r="P948" s="489">
        <f>LN((1+L948)/(1+H948))</f>
        <v>0.0582525493787992</v>
      </c>
      <c r="Q948" s="489">
        <f>LN((1+M948)/(1+H948))</f>
        <v>0.0450284083195218</v>
      </c>
      <c r="R948" s="489">
        <f>LN((1+N948)/(1+H948))</f>
        <v>0.0635681068381801</v>
      </c>
      <c r="S948" s="542">
        <f>LN((1+O948)/(1+H948))</f>
        <v>0.0166162766943761</v>
      </c>
    </row>
    <row r="949">
      <c r="A949" s="320" t="n">
        <v>848</v>
      </c>
      <c r="B949" s="174" t="n">
        <v>72</v>
      </c>
      <c r="C949" s="174" t="n">
        <v>64</v>
      </c>
      <c r="D949" s="174" t="n">
        <v>18</v>
      </c>
      <c r="E949" s="174" t="n">
        <v>45</v>
      </c>
      <c r="F949" s="174" t="n">
        <v>54</v>
      </c>
      <c r="G949" s="68">
        <f>(1+INDEX($Z$21:$Z$97,B949))*(1+INDEX($Z$21:$Z$97,C949))*(1+INDEX($Z$21:$Z$97,D949))*(1+INDEX($Z$21:$Z$97,E949))*(1+INDEX($Z$21:$Z$97,F949))-1</f>
        <v>0.123977377505581</v>
      </c>
      <c r="H949" s="68">
        <f>(1+INDEX($AA$21:$AA$97,B949))*(1+INDEX($AA$21:$AA$97,C949))*(1+INDEX($AA$21:$AA$97,D949))*(1+INDEX($AA$21:$AA$97,E949))*(1+INDEX($AA$21:$AA$97,F949))-1</f>
        <v>0.126974763109809</v>
      </c>
      <c r="I949" s="68">
        <f>(1+INDEX($AB$21:$AB$97,B949))*(1+INDEX($AB$21:$AB$97,C949))*(1+INDEX($AB$21:$AB$97,D949))*(1+INDEX($AB$21:$AB$97,E949))*(1+INDEX($AB$21:$AB$97,F949))-1</f>
        <v>0.146654375498377</v>
      </c>
      <c r="J949" s="489">
        <f>LN((1+G949)/(1+H949))</f>
        <v>-0.00266321733081782</v>
      </c>
      <c r="K949" s="489">
        <f>LN((1+I949)/(1+H949))</f>
        <v>0.0173116217922584</v>
      </c>
      <c r="L949" s="489">
        <f>(1+INDEX($AC$21:$AC$97,B949))*(1+INDEX($AC$21:$AC$97,C949))*(1+INDEX($AC$21:$AC$97,D949))*(1+INDEX($AC$21:$AC$97,E949))*(1+INDEX($AC$21:$AC$97,F949))-1</f>
        <v>0.127711054432198</v>
      </c>
      <c r="M949" s="489">
        <f>(1+INDEX($AD$21:$AD$97,B949))*(1+INDEX($AD$21:$AD$97,C949))*(1+INDEX($AD$21:$AD$97,D949))*(1+INDEX($AD$21:$AD$97,E949))*(1+INDEX($AD$21:$AD$97,F949))-1</f>
        <v>0.132738509472098</v>
      </c>
      <c r="N949" s="489">
        <f>(1+INDEX($AE$21:$AE$97,B949))*(1+INDEX($AE$21:$AE$97,C949))*(1+INDEX($AE$21:$AE$97,D949))*(1+INDEX($AE$21:$AE$97,E949))*(1+INDEX($AE$21:$AE$97,F949))-1</f>
        <v>0.125069251267514</v>
      </c>
      <c r="O949" s="489">
        <f>(1+INDEX($AF$21:$AF$97,B949))*(1+INDEX($AF$21:$AF$97,C949))*(1+INDEX($AF$21:$AF$97,D949))*(1+INDEX($AF$21:$AF$97,E949))*(1+INDEX($AF$21:$AF$97,F949))-1</f>
        <v>0.145828437521996</v>
      </c>
      <c r="P949" s="489">
        <f>LN((1+L949)/(1+H949))</f>
        <v>0.000653121018310781</v>
      </c>
      <c r="Q949" s="489">
        <f>LN((1+M949)/(1+H949))</f>
        <v>0.00510131876605716</v>
      </c>
      <c r="R949" s="489">
        <f>LN((1+N949)/(1+H949))</f>
        <v>-0.00169225138129368</v>
      </c>
      <c r="S949" s="542">
        <f>LN((1+O949)/(1+H949))</f>
        <v>0.0165910597819985</v>
      </c>
    </row>
    <row r="950">
      <c r="A950" s="320" t="n">
        <v>849</v>
      </c>
      <c r="B950" s="174" t="n">
        <v>62</v>
      </c>
      <c r="C950" s="174" t="n">
        <v>6</v>
      </c>
      <c r="D950" s="174" t="n">
        <v>22</v>
      </c>
      <c r="E950" s="174" t="n">
        <v>74</v>
      </c>
      <c r="F950" s="174" t="n">
        <v>57</v>
      </c>
      <c r="G950" s="68">
        <f>(1+INDEX($Z$21:$Z$97,B950))*(1+INDEX($Z$21:$Z$97,C950))*(1+INDEX($Z$21:$Z$97,D950))*(1+INDEX($Z$21:$Z$97,E950))*(1+INDEX($Z$21:$Z$97,F950))-1</f>
        <v>0.130712259735958</v>
      </c>
      <c r="H950" s="68">
        <f>(1+INDEX($AA$21:$AA$97,B950))*(1+INDEX($AA$21:$AA$97,C950))*(1+INDEX($AA$21:$AA$97,D950))*(1+INDEX($AA$21:$AA$97,E950))*(1+INDEX($AA$21:$AA$97,F950))-1</f>
        <v>0.139023286115036</v>
      </c>
      <c r="I950" s="68">
        <f>(1+INDEX($AB$21:$AB$97,B950))*(1+INDEX($AB$21:$AB$97,C950))*(1+INDEX($AB$21:$AB$97,D950))*(1+INDEX($AB$21:$AB$97,E950))*(1+INDEX($AB$21:$AB$97,F950))-1</f>
        <v>0.135091622772683</v>
      </c>
      <c r="J950" s="489">
        <f>LN((1+G950)/(1+H950))</f>
        <v>-0.00732337609892203</v>
      </c>
      <c r="K950" s="489">
        <f>LN((1+I950)/(1+H950))</f>
        <v>-0.00345775602126321</v>
      </c>
      <c r="L950" s="489">
        <f>(1+INDEX($AC$21:$AC$97,B950))*(1+INDEX($AC$21:$AC$97,C950))*(1+INDEX($AC$21:$AC$97,D950))*(1+INDEX($AC$21:$AC$97,E950))*(1+INDEX($AC$21:$AC$97,F950))-1</f>
        <v>0.140423654582715</v>
      </c>
      <c r="M950" s="489">
        <f>(1+INDEX($AD$21:$AD$97,B950))*(1+INDEX($AD$21:$AD$97,C950))*(1+INDEX($AD$21:$AD$97,D950))*(1+INDEX($AD$21:$AD$97,E950))*(1+INDEX($AD$21:$AD$97,F950))-1</f>
        <v>0.096160040680072</v>
      </c>
      <c r="N950" s="489">
        <f>(1+INDEX($AE$21:$AE$97,B950))*(1+INDEX($AE$21:$AE$97,C950))*(1+INDEX($AE$21:$AE$97,D950))*(1+INDEX($AE$21:$AE$97,E950))*(1+INDEX($AE$21:$AE$97,F950))-1</f>
        <v>0.123298175019565</v>
      </c>
      <c r="O950" s="489">
        <f>(1+INDEX($AF$21:$AF$97,B950))*(1+INDEX($AF$21:$AF$97,C950))*(1+INDEX($AF$21:$AF$97,D950))*(1+INDEX($AF$21:$AF$97,E950))*(1+INDEX($AF$21:$AF$97,F950))-1</f>
        <v>0.115895518920881</v>
      </c>
      <c r="P950" s="489">
        <f>LN((1+L950)/(1+H950))</f>
        <v>0.00122869159079956</v>
      </c>
      <c r="Q950" s="489">
        <f>LN((1+M950)/(1+H950))</f>
        <v>-0.038357928222514</v>
      </c>
      <c r="R950" s="489">
        <f>LN((1+N950)/(1+H950))</f>
        <v>-0.0139019716022074</v>
      </c>
      <c r="S950" s="542">
        <f>LN((1+O950)/(1+H950))</f>
        <v>-0.0205138900686428</v>
      </c>
    </row>
    <row r="951">
      <c r="A951" s="320" t="n">
        <v>850</v>
      </c>
      <c r="B951" s="174" t="n">
        <v>23</v>
      </c>
      <c r="C951" s="174" t="n">
        <v>31</v>
      </c>
      <c r="D951" s="174" t="n">
        <v>16</v>
      </c>
      <c r="E951" s="174" t="n">
        <v>43</v>
      </c>
      <c r="F951" s="174" t="n">
        <v>41</v>
      </c>
      <c r="G951" s="68">
        <f>(1+INDEX($Z$21:$Z$97,B951))*(1+INDEX($Z$21:$Z$97,C951))*(1+INDEX($Z$21:$Z$97,D951))*(1+INDEX($Z$21:$Z$97,E951))*(1+INDEX($Z$21:$Z$97,F951))-1</f>
        <v>0.519228628434229</v>
      </c>
      <c r="H951" s="68">
        <f>(1+INDEX($AA$21:$AA$97,B951))*(1+INDEX($AA$21:$AA$97,C951))*(1+INDEX($AA$21:$AA$97,D951))*(1+INDEX($AA$21:$AA$97,E951))*(1+INDEX($AA$21:$AA$97,F951))-1</f>
        <v>0.48814554548023</v>
      </c>
      <c r="I951" s="68">
        <f>(1+INDEX($AB$21:$AB$97,B951))*(1+INDEX($AB$21:$AB$97,C951))*(1+INDEX($AB$21:$AB$97,D951))*(1+INDEX($AB$21:$AB$97,E951))*(1+INDEX($AB$21:$AB$97,F951))-1</f>
        <v>0.541575022963412</v>
      </c>
      <c r="J951" s="489">
        <f>LN((1+G951)/(1+H951))</f>
        <v>0.0206719803024284</v>
      </c>
      <c r="K951" s="489">
        <f>LN((1+I951)/(1+H951))</f>
        <v>0.0352738915148348</v>
      </c>
      <c r="L951" s="489">
        <f>(1+INDEX($AC$21:$AC$97,B951))*(1+INDEX($AC$21:$AC$97,C951))*(1+INDEX($AC$21:$AC$97,D951))*(1+INDEX($AC$21:$AC$97,E951))*(1+INDEX($AC$21:$AC$97,F951))-1</f>
        <v>0.526530919392438</v>
      </c>
      <c r="M951" s="489">
        <f>(1+INDEX($AD$21:$AD$97,B951))*(1+INDEX($AD$21:$AD$97,C951))*(1+INDEX($AD$21:$AD$97,D951))*(1+INDEX($AD$21:$AD$97,E951))*(1+INDEX($AD$21:$AD$97,F951))-1</f>
        <v>0.54042495457277</v>
      </c>
      <c r="N951" s="489">
        <f>(1+INDEX($AE$21:$AE$97,B951))*(1+INDEX($AE$21:$AE$97,C951))*(1+INDEX($AE$21:$AE$97,D951))*(1+INDEX($AE$21:$AE$97,E951))*(1+INDEX($AE$21:$AE$97,F951))-1</f>
        <v>0.51270560733417</v>
      </c>
      <c r="O951" s="489">
        <f>(1+INDEX($AF$21:$AF$97,B951))*(1+INDEX($AF$21:$AF$97,C951))*(1+INDEX($AF$21:$AF$97,D951))*(1+INDEX($AF$21:$AF$97,E951))*(1+INDEX($AF$21:$AF$97,F951))-1</f>
        <v>0.515321535784269</v>
      </c>
      <c r="P951" s="489">
        <f>LN((1+L951)/(1+H951))</f>
        <v>0.0254670436257884</v>
      </c>
      <c r="Q951" s="489">
        <f>LN((1+M951)/(1+H951))</f>
        <v>0.034527578437349</v>
      </c>
      <c r="R951" s="489">
        <f>LN((1+N951)/(1+H951))</f>
        <v>0.01636909596709</v>
      </c>
      <c r="S951" s="542">
        <f>LN((1+O951)/(1+H951))</f>
        <v>0.0180969068335337</v>
      </c>
    </row>
    <row r="952">
      <c r="A952" s="320" t="n">
        <v>851</v>
      </c>
      <c r="B952" s="174" t="n">
        <v>75</v>
      </c>
      <c r="C952" s="174" t="n">
        <v>44</v>
      </c>
      <c r="D952" s="174" t="n">
        <v>3</v>
      </c>
      <c r="E952" s="174" t="n">
        <v>42</v>
      </c>
      <c r="F952" s="174" t="n">
        <v>48</v>
      </c>
      <c r="G952" s="68">
        <f>(1+INDEX($Z$21:$Z$97,B952))*(1+INDEX($Z$21:$Z$97,C952))*(1+INDEX($Z$21:$Z$97,D952))*(1+INDEX($Z$21:$Z$97,E952))*(1+INDEX($Z$21:$Z$97,F952))-1</f>
        <v>0.447138160289005</v>
      </c>
      <c r="H952" s="68">
        <f>(1+INDEX($AA$21:$AA$97,B952))*(1+INDEX($AA$21:$AA$97,C952))*(1+INDEX($AA$21:$AA$97,D952))*(1+INDEX($AA$21:$AA$97,E952))*(1+INDEX($AA$21:$AA$97,F952))-1</f>
        <v>0.396662464027654</v>
      </c>
      <c r="I952" s="68">
        <f>(1+INDEX($AB$21:$AB$97,B952))*(1+INDEX($AB$21:$AB$97,C952))*(1+INDEX($AB$21:$AB$97,D952))*(1+INDEX($AB$21:$AB$97,E952))*(1+INDEX($AB$21:$AB$97,F952))-1</f>
        <v>0.444837749762437</v>
      </c>
      <c r="J952" s="489">
        <f>LN((1+G952)/(1+H952))</f>
        <v>0.035502487383181</v>
      </c>
      <c r="K952" s="489">
        <f>LN((1+I952)/(1+H952))</f>
        <v>0.0339115951466619</v>
      </c>
      <c r="L952" s="489">
        <f>(1+INDEX($AC$21:$AC$97,B952))*(1+INDEX($AC$21:$AC$97,C952))*(1+INDEX($AC$21:$AC$97,D952))*(1+INDEX($AC$21:$AC$97,E952))*(1+INDEX($AC$21:$AC$97,F952))-1</f>
        <v>0.43007954962601</v>
      </c>
      <c r="M952" s="489">
        <f>(1+INDEX($AD$21:$AD$97,B952))*(1+INDEX($AD$21:$AD$97,C952))*(1+INDEX($AD$21:$AD$97,D952))*(1+INDEX($AD$21:$AD$97,E952))*(1+INDEX($AD$21:$AD$97,F952))-1</f>
        <v>0.446206685788243</v>
      </c>
      <c r="N952" s="489">
        <f>(1+INDEX($AE$21:$AE$97,B952))*(1+INDEX($AE$21:$AE$97,C952))*(1+INDEX($AE$21:$AE$97,D952))*(1+INDEX($AE$21:$AE$97,E952))*(1+INDEX($AE$21:$AE$97,F952))-1</f>
        <v>0.411690106873386</v>
      </c>
      <c r="O952" s="489">
        <f>(1+INDEX($AF$21:$AF$97,B952))*(1+INDEX($AF$21:$AF$97,C952))*(1+INDEX($AF$21:$AF$97,D952))*(1+INDEX($AF$21:$AF$97,E952))*(1+INDEX($AF$21:$AF$97,F952))-1</f>
        <v>0.436463884321424</v>
      </c>
      <c r="P952" s="489">
        <f>LN((1+L952)/(1+H952))</f>
        <v>0.0236446356216756</v>
      </c>
      <c r="Q952" s="489">
        <f>LN((1+M952)/(1+H952))</f>
        <v>0.0348586135399334</v>
      </c>
      <c r="R952" s="489">
        <f>LN((1+N952)/(1+H952))</f>
        <v>0.0107022077189149</v>
      </c>
      <c r="S952" s="542">
        <f>LN((1+O952)/(1+H952))</f>
        <v>0.0280990214691481</v>
      </c>
    </row>
    <row r="953">
      <c r="A953" s="320" t="n">
        <v>852</v>
      </c>
      <c r="B953" s="174" t="n">
        <v>23</v>
      </c>
      <c r="C953" s="174" t="n">
        <v>40</v>
      </c>
      <c r="D953" s="174" t="n">
        <v>31</v>
      </c>
      <c r="E953" s="174" t="n">
        <v>41</v>
      </c>
      <c r="F953" s="174" t="n">
        <v>73</v>
      </c>
      <c r="G953" s="68">
        <f>(1+INDEX($Z$21:$Z$97,B953))*(1+INDEX($Z$21:$Z$97,C953))*(1+INDEX($Z$21:$Z$97,D953))*(1+INDEX($Z$21:$Z$97,E953))*(1+INDEX($Z$21:$Z$97,F953))-1</f>
        <v>0.583915693445958</v>
      </c>
      <c r="H953" s="68">
        <f>(1+INDEX($AA$21:$AA$97,B953))*(1+INDEX($AA$21:$AA$97,C953))*(1+INDEX($AA$21:$AA$97,D953))*(1+INDEX($AA$21:$AA$97,E953))*(1+INDEX($AA$21:$AA$97,F953))-1</f>
        <v>0.56043428712739</v>
      </c>
      <c r="I953" s="68">
        <f>(1+INDEX($AB$21:$AB$97,B953))*(1+INDEX($AB$21:$AB$97,C953))*(1+INDEX($AB$21:$AB$97,D953))*(1+INDEX($AB$21:$AB$97,E953))*(1+INDEX($AB$21:$AB$97,F953))-1</f>
        <v>0.628388313599789</v>
      </c>
      <c r="J953" s="489">
        <f>LN((1+G953)/(1+H953))</f>
        <v>0.0149358964385811</v>
      </c>
      <c r="K953" s="489">
        <f>LN((1+I953)/(1+H953))</f>
        <v>0.0426265893031313</v>
      </c>
      <c r="L953" s="489">
        <f>(1+INDEX($AC$21:$AC$97,B953))*(1+INDEX($AC$21:$AC$97,C953))*(1+INDEX($AC$21:$AC$97,D953))*(1+INDEX($AC$21:$AC$97,E953))*(1+INDEX($AC$21:$AC$97,F953))-1</f>
        <v>0.626685048432015</v>
      </c>
      <c r="M953" s="489">
        <f>(1+INDEX($AD$21:$AD$97,B953))*(1+INDEX($AD$21:$AD$97,C953))*(1+INDEX($AD$21:$AD$97,D953))*(1+INDEX($AD$21:$AD$97,E953))*(1+INDEX($AD$21:$AD$97,F953))-1</f>
        <v>0.615196401576713</v>
      </c>
      <c r="N953" s="489">
        <f>(1+INDEX($AE$21:$AE$97,B953))*(1+INDEX($AE$21:$AE$97,C953))*(1+INDEX($AE$21:$AE$97,D953))*(1+INDEX($AE$21:$AE$97,E953))*(1+INDEX($AE$21:$AE$97,F953))-1</f>
        <v>0.601257341182993</v>
      </c>
      <c r="O953" s="489">
        <f>(1+INDEX($AF$21:$AF$97,B953))*(1+INDEX($AF$21:$AF$97,C953))*(1+INDEX($AF$21:$AF$97,D953))*(1+INDEX($AF$21:$AF$97,E953))*(1+INDEX($AF$21:$AF$97,F953))-1</f>
        <v>0.564979664336663</v>
      </c>
      <c r="P953" s="489">
        <f>LN((1+L953)/(1+H953))</f>
        <v>0.0415800596960898</v>
      </c>
      <c r="Q953" s="489">
        <f>LN((1+M953)/(1+H953))</f>
        <v>0.0344923884614378</v>
      </c>
      <c r="R953" s="489">
        <f>LN((1+N953)/(1+H953))</f>
        <v>0.0258249871733127</v>
      </c>
      <c r="S953" s="542">
        <f>LN((1+O953)/(1+H953))</f>
        <v>0.00290865817102027</v>
      </c>
    </row>
    <row r="954">
      <c r="A954" s="320" t="n">
        <v>853</v>
      </c>
      <c r="B954" s="174" t="n">
        <v>6</v>
      </c>
      <c r="C954" s="174" t="n">
        <v>41</v>
      </c>
      <c r="D954" s="174" t="n">
        <v>44</v>
      </c>
      <c r="E954" s="174" t="n">
        <v>55</v>
      </c>
      <c r="F954" s="174" t="n">
        <v>73</v>
      </c>
      <c r="G954" s="68">
        <f>(1+INDEX($Z$21:$Z$97,B954))*(1+INDEX($Z$21:$Z$97,C954))*(1+INDEX($Z$21:$Z$97,D954))*(1+INDEX($Z$21:$Z$97,E954))*(1+INDEX($Z$21:$Z$97,F954))-1</f>
        <v>0.0652636342856447</v>
      </c>
      <c r="H954" s="68">
        <f>(1+INDEX($AA$21:$AA$97,B954))*(1+INDEX($AA$21:$AA$97,C954))*(1+INDEX($AA$21:$AA$97,D954))*(1+INDEX($AA$21:$AA$97,E954))*(1+INDEX($AA$21:$AA$97,F954))-1</f>
        <v>0.0995279919698322</v>
      </c>
      <c r="I954" s="68">
        <f>(1+INDEX($AB$21:$AB$97,B954))*(1+INDEX($AB$21:$AB$97,C954))*(1+INDEX($AB$21:$AB$97,D954))*(1+INDEX($AB$21:$AB$97,E954))*(1+INDEX($AB$21:$AB$97,F954))-1</f>
        <v>0.100978910301335</v>
      </c>
      <c r="J954" s="489">
        <f>LN((1+G954)/(1+H954))</f>
        <v>-0.0316586770484724</v>
      </c>
      <c r="K954" s="489">
        <f>LN((1+I954)/(1+H954))</f>
        <v>0.00131871301132345</v>
      </c>
      <c r="L954" s="489">
        <f>(1+INDEX($AC$21:$AC$97,B954))*(1+INDEX($AC$21:$AC$97,C954))*(1+INDEX($AC$21:$AC$97,D954))*(1+INDEX($AC$21:$AC$97,E954))*(1+INDEX($AC$21:$AC$97,F954))-1</f>
        <v>0.0876601718335033</v>
      </c>
      <c r="M954" s="489">
        <f>(1+INDEX($AD$21:$AD$97,B954))*(1+INDEX($AD$21:$AD$97,C954))*(1+INDEX($AD$21:$AD$97,D954))*(1+INDEX($AD$21:$AD$97,E954))*(1+INDEX($AD$21:$AD$97,F954))-1</f>
        <v>0.0932306981474644</v>
      </c>
      <c r="N954" s="489">
        <f>(1+INDEX($AE$21:$AE$97,B954))*(1+INDEX($AE$21:$AE$97,C954))*(1+INDEX($AE$21:$AE$97,D954))*(1+INDEX($AE$21:$AE$97,E954))*(1+INDEX($AE$21:$AE$97,F954))-1</f>
        <v>0.0619633104996196</v>
      </c>
      <c r="O954" s="489">
        <f>(1+INDEX($AF$21:$AF$97,B954))*(1+INDEX($AF$21:$AF$97,C954))*(1+INDEX($AF$21:$AF$97,D954))*(1+INDEX($AF$21:$AF$97,E954))*(1+INDEX($AF$21:$AF$97,F954))-1</f>
        <v>0.128196758211743</v>
      </c>
      <c r="P954" s="489">
        <f>LN((1+L954)/(1+H954))</f>
        <v>-0.0108522319260865</v>
      </c>
      <c r="Q954" s="489">
        <f>LN((1+M954)/(1+H954))</f>
        <v>-0.00574373383017592</v>
      </c>
      <c r="R954" s="489">
        <f>LN((1+N954)/(1+H954))</f>
        <v>-0.0347616148352811</v>
      </c>
      <c r="S954" s="542">
        <f>LN((1+O954)/(1+H954))</f>
        <v>0.0257395793972213</v>
      </c>
    </row>
    <row r="955">
      <c r="A955" s="320" t="n">
        <v>854</v>
      </c>
      <c r="B955" s="174" t="n">
        <v>58</v>
      </c>
      <c r="C955" s="174" t="n">
        <v>57</v>
      </c>
      <c r="D955" s="174" t="n">
        <v>76</v>
      </c>
      <c r="E955" s="174" t="n">
        <v>73</v>
      </c>
      <c r="F955" s="174" t="n">
        <v>68</v>
      </c>
      <c r="G955" s="68">
        <f>(1+INDEX($Z$21:$Z$97,B955))*(1+INDEX($Z$21:$Z$97,C955))*(1+INDEX($Z$21:$Z$97,D955))*(1+INDEX($Z$21:$Z$97,E955))*(1+INDEX($Z$21:$Z$97,F955))-1</f>
        <v>0.806023877217333</v>
      </c>
      <c r="H955" s="68">
        <f>(1+INDEX($AA$21:$AA$97,B955))*(1+INDEX($AA$21:$AA$97,C955))*(1+INDEX($AA$21:$AA$97,D955))*(1+INDEX($AA$21:$AA$97,E955))*(1+INDEX($AA$21:$AA$97,F955))-1</f>
        <v>0.755795663781304</v>
      </c>
      <c r="I955" s="68">
        <f>(1+INDEX($AB$21:$AB$97,B955))*(1+INDEX($AB$21:$AB$97,C955))*(1+INDEX($AB$21:$AB$97,D955))*(1+INDEX($AB$21:$AB$97,E955))*(1+INDEX($AB$21:$AB$97,F955))-1</f>
        <v>0.824550131579972</v>
      </c>
      <c r="J955" s="489">
        <f>LN((1+G955)/(1+H955))</f>
        <v>0.028205552105162</v>
      </c>
      <c r="K955" s="489">
        <f>LN((1+I955)/(1+H955))</f>
        <v>0.0384113295508792</v>
      </c>
      <c r="L955" s="489">
        <f>(1+INDEX($AC$21:$AC$97,B955))*(1+INDEX($AC$21:$AC$97,C955))*(1+INDEX($AC$21:$AC$97,D955))*(1+INDEX($AC$21:$AC$97,E955))*(1+INDEX($AC$21:$AC$97,F955))-1</f>
        <v>0.860659214165384</v>
      </c>
      <c r="M955" s="489">
        <f>(1+INDEX($AD$21:$AD$97,B955))*(1+INDEX($AD$21:$AD$97,C955))*(1+INDEX($AD$21:$AD$97,D955))*(1+INDEX($AD$21:$AD$97,E955))*(1+INDEX($AD$21:$AD$97,F955))-1</f>
        <v>0.789486865282899</v>
      </c>
      <c r="N955" s="489">
        <f>(1+INDEX($AE$21:$AE$97,B955))*(1+INDEX($AE$21:$AE$97,C955))*(1+INDEX($AE$21:$AE$97,D955))*(1+INDEX($AE$21:$AE$97,E955))*(1+INDEX($AE$21:$AE$97,F955))-1</f>
        <v>0.846250333347955</v>
      </c>
      <c r="O955" s="489">
        <f>(1+INDEX($AF$21:$AF$97,B955))*(1+INDEX($AF$21:$AF$97,C955))*(1+INDEX($AF$21:$AF$97,D955))*(1+INDEX($AF$21:$AF$97,E955))*(1+INDEX($AF$21:$AF$97,F955))-1</f>
        <v>0.731115777861773</v>
      </c>
      <c r="P955" s="489">
        <f>LN((1+L955)/(1+H955))</f>
        <v>0.05800871729966</v>
      </c>
      <c r="Q955" s="489">
        <f>LN((1+M955)/(1+H955))</f>
        <v>0.0190067874631711</v>
      </c>
      <c r="R955" s="489">
        <f>LN((1+N955)/(1+H955))</f>
        <v>0.0502346115647017</v>
      </c>
      <c r="S955" s="542">
        <f>LN((1+O955)/(1+H955))</f>
        <v>-0.0141559649377361</v>
      </c>
    </row>
    <row r="956">
      <c r="A956" s="320" t="n">
        <v>855</v>
      </c>
      <c r="B956" s="174" t="n">
        <v>1</v>
      </c>
      <c r="C956" s="174" t="n">
        <v>23</v>
      </c>
      <c r="D956" s="174" t="n">
        <v>70</v>
      </c>
      <c r="E956" s="174" t="n">
        <v>44</v>
      </c>
      <c r="F956" s="174" t="n">
        <v>73</v>
      </c>
      <c r="G956" s="68">
        <f>(1+INDEX($Z$21:$Z$97,B956))*(1+INDEX($Z$21:$Z$97,C956))*(1+INDEX($Z$21:$Z$97,D956))*(1+INDEX($Z$21:$Z$97,E956))*(1+INDEX($Z$21:$Z$97,F956))-1</f>
        <v>0.556596188298477</v>
      </c>
      <c r="H956" s="68">
        <f>(1+INDEX($AA$21:$AA$97,B956))*(1+INDEX($AA$21:$AA$97,C956))*(1+INDEX($AA$21:$AA$97,D956))*(1+INDEX($AA$21:$AA$97,E956))*(1+INDEX($AA$21:$AA$97,F956))-1</f>
        <v>0.49050683840222</v>
      </c>
      <c r="I956" s="68">
        <f>(1+INDEX($AB$21:$AB$97,B956))*(1+INDEX($AB$21:$AB$97,C956))*(1+INDEX($AB$21:$AB$97,D956))*(1+INDEX($AB$21:$AB$97,E956))*(1+INDEX($AB$21:$AB$97,F956))-1</f>
        <v>0.542578424447775</v>
      </c>
      <c r="J956" s="489">
        <f>LN((1+G956)/(1+H956))</f>
        <v>0.043385284687192</v>
      </c>
      <c r="K956" s="489">
        <f>LN((1+I956)/(1+H956))</f>
        <v>0.0343390958170883</v>
      </c>
      <c r="L956" s="489">
        <f>(1+INDEX($AC$21:$AC$97,B956))*(1+INDEX($AC$21:$AC$97,C956))*(1+INDEX($AC$21:$AC$97,D956))*(1+INDEX($AC$21:$AC$97,E956))*(1+INDEX($AC$21:$AC$97,F956))-1</f>
        <v>0.522851296850265</v>
      </c>
      <c r="M956" s="489">
        <f>(1+INDEX($AD$21:$AD$97,B956))*(1+INDEX($AD$21:$AD$97,C956))*(1+INDEX($AD$21:$AD$97,D956))*(1+INDEX($AD$21:$AD$97,E956))*(1+INDEX($AD$21:$AD$97,F956))-1</f>
        <v>0.539787133278832</v>
      </c>
      <c r="N956" s="489">
        <f>(1+INDEX($AE$21:$AE$97,B956))*(1+INDEX($AE$21:$AE$97,C956))*(1+INDEX($AE$21:$AE$97,D956))*(1+INDEX($AE$21:$AE$97,E956))*(1+INDEX($AE$21:$AE$97,F956))-1</f>
        <v>0.517961453282308</v>
      </c>
      <c r="O956" s="489">
        <f>(1+INDEX($AF$21:$AF$97,B956))*(1+INDEX($AF$21:$AF$97,C956))*(1+INDEX($AF$21:$AF$97,D956))*(1+INDEX($AF$21:$AF$97,E956))*(1+INDEX($AF$21:$AF$97,F956))-1</f>
        <v>0.503884191371077</v>
      </c>
      <c r="P956" s="489">
        <f>LN((1+L956)/(1+H956))</f>
        <v>0.0214682087161666</v>
      </c>
      <c r="Q956" s="489">
        <f>LN((1+M956)/(1+H956))</f>
        <v>0.0325279596103858</v>
      </c>
      <c r="R956" s="489">
        <f>LN((1+N956)/(1+H956))</f>
        <v>0.0182520634388088</v>
      </c>
      <c r="S956" s="542">
        <f>LN((1+O956)/(1+H956))</f>
        <v>0.00893500002723611</v>
      </c>
    </row>
    <row r="957">
      <c r="A957" s="320" t="n">
        <v>856</v>
      </c>
      <c r="B957" s="174" t="n">
        <v>70</v>
      </c>
      <c r="C957" s="174" t="n">
        <v>73</v>
      </c>
      <c r="D957" s="174" t="n">
        <v>48</v>
      </c>
      <c r="E957" s="174" t="n">
        <v>67</v>
      </c>
      <c r="F957" s="174" t="n">
        <v>64</v>
      </c>
      <c r="G957" s="68">
        <f>(1+INDEX($Z$21:$Z$97,B957))*(1+INDEX($Z$21:$Z$97,C957))*(1+INDEX($Z$21:$Z$97,D957))*(1+INDEX($Z$21:$Z$97,E957))*(1+INDEX($Z$21:$Z$97,F957))-1</f>
        <v>0.182984509840273</v>
      </c>
      <c r="H957" s="68">
        <f>(1+INDEX($AA$21:$AA$97,B957))*(1+INDEX($AA$21:$AA$97,C957))*(1+INDEX($AA$21:$AA$97,D957))*(1+INDEX($AA$21:$AA$97,E957))*(1+INDEX($AA$21:$AA$97,F957))-1</f>
        <v>0.184197186651101</v>
      </c>
      <c r="I957" s="68">
        <f>(1+INDEX($AB$21:$AB$97,B957))*(1+INDEX($AB$21:$AB$97,C957))*(1+INDEX($AB$21:$AB$97,D957))*(1+INDEX($AB$21:$AB$97,E957))*(1+INDEX($AB$21:$AB$97,F957))-1</f>
        <v>0.20993434860195</v>
      </c>
      <c r="J957" s="489">
        <f>LN((1+G957)/(1+H957))</f>
        <v>-0.00102457442849378</v>
      </c>
      <c r="K957" s="489">
        <f>LN((1+I957)/(1+H957))</f>
        <v>0.0215010354081553</v>
      </c>
      <c r="L957" s="489">
        <f>(1+INDEX($AC$21:$AC$97,B957))*(1+INDEX($AC$21:$AC$97,C957))*(1+INDEX($AC$21:$AC$97,D957))*(1+INDEX($AC$21:$AC$97,E957))*(1+INDEX($AC$21:$AC$97,F957))-1</f>
        <v>0.206375864185199</v>
      </c>
      <c r="M957" s="489">
        <f>(1+INDEX($AD$21:$AD$97,B957))*(1+INDEX($AD$21:$AD$97,C957))*(1+INDEX($AD$21:$AD$97,D957))*(1+INDEX($AD$21:$AD$97,E957))*(1+INDEX($AD$21:$AD$97,F957))-1</f>
        <v>0.180476144800658</v>
      </c>
      <c r="N957" s="489">
        <f>(1+INDEX($AE$21:$AE$97,B957))*(1+INDEX($AE$21:$AE$97,C957))*(1+INDEX($AE$21:$AE$97,D957))*(1+INDEX($AE$21:$AE$97,E957))*(1+INDEX($AE$21:$AE$97,F957))-1</f>
        <v>0.207005023526048</v>
      </c>
      <c r="O957" s="489">
        <f>(1+INDEX($AF$21:$AF$97,B957))*(1+INDEX($AF$21:$AF$97,C957))*(1+INDEX($AF$21:$AF$97,D957))*(1+INDEX($AF$21:$AF$97,E957))*(1+INDEX($AF$21:$AF$97,F957))-1</f>
        <v>0.167334147081724</v>
      </c>
      <c r="P957" s="489">
        <f>LN((1+L957)/(1+H957))</f>
        <v>0.0185556462188851</v>
      </c>
      <c r="Q957" s="489">
        <f>LN((1+M957)/(1+H957))</f>
        <v>-0.00314719574353962</v>
      </c>
      <c r="R957" s="489">
        <f>LN((1+N957)/(1+H957))</f>
        <v>0.0190770387253946</v>
      </c>
      <c r="S957" s="542">
        <f>LN((1+O957)/(1+H957))</f>
        <v>-0.014342423079166</v>
      </c>
    </row>
    <row r="958">
      <c r="A958" s="320" t="n">
        <v>857</v>
      </c>
      <c r="B958" s="174" t="n">
        <v>48</v>
      </c>
      <c r="C958" s="174" t="n">
        <v>32</v>
      </c>
      <c r="D958" s="174" t="n">
        <v>25</v>
      </c>
      <c r="E958" s="174" t="n">
        <v>63</v>
      </c>
      <c r="F958" s="174" t="n">
        <v>58</v>
      </c>
      <c r="G958" s="68">
        <f>(1+INDEX($Z$21:$Z$97,B958))*(1+INDEX($Z$21:$Z$97,C958))*(1+INDEX($Z$21:$Z$97,D958))*(1+INDEX($Z$21:$Z$97,E958))*(1+INDEX($Z$21:$Z$97,F958))-1</f>
        <v>0.400380442594626</v>
      </c>
      <c r="H958" s="68">
        <f>(1+INDEX($AA$21:$AA$97,B958))*(1+INDEX($AA$21:$AA$97,C958))*(1+INDEX($AA$21:$AA$97,D958))*(1+INDEX($AA$21:$AA$97,E958))*(1+INDEX($AA$21:$AA$97,F958))-1</f>
        <v>0.362423259438244</v>
      </c>
      <c r="I958" s="68">
        <f>(1+INDEX($AB$21:$AB$97,B958))*(1+INDEX($AB$21:$AB$97,C958))*(1+INDEX($AB$21:$AB$97,D958))*(1+INDEX($AB$21:$AB$97,E958))*(1+INDEX($AB$21:$AB$97,F958))-1</f>
        <v>0.406075482955926</v>
      </c>
      <c r="J958" s="489">
        <f>LN((1+G958)/(1+H958))</f>
        <v>0.0274790217947891</v>
      </c>
      <c r="K958" s="489">
        <f>LN((1+I958)/(1+H958))</f>
        <v>0.031537555639342</v>
      </c>
      <c r="L958" s="489">
        <f>(1+INDEX($AC$21:$AC$97,B958))*(1+INDEX($AC$21:$AC$97,C958))*(1+INDEX($AC$21:$AC$97,D958))*(1+INDEX($AC$21:$AC$97,E958))*(1+INDEX($AC$21:$AC$97,F958))-1</f>
        <v>0.412451059842325</v>
      </c>
      <c r="M958" s="489">
        <f>(1+INDEX($AD$21:$AD$97,B958))*(1+INDEX($AD$21:$AD$97,C958))*(1+INDEX($AD$21:$AD$97,D958))*(1+INDEX($AD$21:$AD$97,E958))*(1+INDEX($AD$21:$AD$97,F958))-1</f>
        <v>0.37860463608415</v>
      </c>
      <c r="N958" s="489">
        <f>(1+INDEX($AE$21:$AE$97,B958))*(1+INDEX($AE$21:$AE$97,C958))*(1+INDEX($AE$21:$AE$97,D958))*(1+INDEX($AE$21:$AE$97,E958))*(1+INDEX($AE$21:$AE$97,F958))-1</f>
        <v>0.413331009480324</v>
      </c>
      <c r="O958" s="489">
        <f>(1+INDEX($AF$21:$AF$97,B958))*(1+INDEX($AF$21:$AF$97,C958))*(1+INDEX($AF$21:$AF$97,D958))*(1+INDEX($AF$21:$AF$97,E958))*(1+INDEX($AF$21:$AF$97,F958))-1</f>
        <v>0.315707184598097</v>
      </c>
      <c r="P958" s="489">
        <f>LN((1+L958)/(1+H958))</f>
        <v>0.0360616129180029</v>
      </c>
      <c r="Q958" s="489">
        <f>LN((1+M958)/(1+H958))</f>
        <v>0.0118069317356932</v>
      </c>
      <c r="R958" s="489">
        <f>LN((1+N958)/(1+H958))</f>
        <v>0.0366844137178204</v>
      </c>
      <c r="S958" s="542">
        <f>LN((1+O958)/(1+H958))</f>
        <v>-0.0348906185803398</v>
      </c>
    </row>
    <row r="959">
      <c r="A959" s="320" t="n">
        <v>858</v>
      </c>
      <c r="B959" s="174" t="n">
        <v>72</v>
      </c>
      <c r="C959" s="174" t="n">
        <v>59</v>
      </c>
      <c r="D959" s="174" t="n">
        <v>76</v>
      </c>
      <c r="E959" s="174" t="n">
        <v>71</v>
      </c>
      <c r="F959" s="174" t="n">
        <v>47</v>
      </c>
      <c r="G959" s="68">
        <f>(1+INDEX($Z$21:$Z$97,B959))*(1+INDEX($Z$21:$Z$97,C959))*(1+INDEX($Z$21:$Z$97,D959))*(1+INDEX($Z$21:$Z$97,E959))*(1+INDEX($Z$21:$Z$97,F959))-1</f>
        <v>0.918754155602995</v>
      </c>
      <c r="H959" s="68">
        <f>(1+INDEX($AA$21:$AA$97,B959))*(1+INDEX($AA$21:$AA$97,C959))*(1+INDEX($AA$21:$AA$97,D959))*(1+INDEX($AA$21:$AA$97,E959))*(1+INDEX($AA$21:$AA$97,F959))-1</f>
        <v>0.877961252396106</v>
      </c>
      <c r="I959" s="68">
        <f>(1+INDEX($AB$21:$AB$97,B959))*(1+INDEX($AB$21:$AB$97,C959))*(1+INDEX($AB$21:$AB$97,D959))*(1+INDEX($AB$21:$AB$97,E959))*(1+INDEX($AB$21:$AB$97,F959))-1</f>
        <v>0.979771220417848</v>
      </c>
      <c r="J959" s="489">
        <f>LN((1+G959)/(1+H959))</f>
        <v>0.0214893499413217</v>
      </c>
      <c r="K959" s="489">
        <f>LN((1+I959)/(1+H959))</f>
        <v>0.0527945445907866</v>
      </c>
      <c r="L959" s="489">
        <f>(1+INDEX($AC$21:$AC$97,B959))*(1+INDEX($AC$21:$AC$97,C959))*(1+INDEX($AC$21:$AC$97,D959))*(1+INDEX($AC$21:$AC$97,E959))*(1+INDEX($AC$21:$AC$97,F959))-1</f>
        <v>0.992956161021834</v>
      </c>
      <c r="M959" s="489">
        <f>(1+INDEX($AD$21:$AD$97,B959))*(1+INDEX($AD$21:$AD$97,C959))*(1+INDEX($AD$21:$AD$97,D959))*(1+INDEX($AD$21:$AD$97,E959))*(1+INDEX($AD$21:$AD$97,F959))-1</f>
        <v>0.928259132339609</v>
      </c>
      <c r="N959" s="489">
        <f>(1+INDEX($AE$21:$AE$97,B959))*(1+INDEX($AE$21:$AE$97,C959))*(1+INDEX($AE$21:$AE$97,D959))*(1+INDEX($AE$21:$AE$97,E959))*(1+INDEX($AE$21:$AE$97,F959))-1</f>
        <v>0.995659030679369</v>
      </c>
      <c r="O959" s="489">
        <f>(1+INDEX($AF$21:$AF$97,B959))*(1+INDEX($AF$21:$AF$97,C959))*(1+INDEX($AF$21:$AF$97,D959))*(1+INDEX($AF$21:$AF$97,E959))*(1+INDEX($AF$21:$AF$97,F959))-1</f>
        <v>0.846490797294449</v>
      </c>
      <c r="P959" s="489">
        <f>LN((1+L959)/(1+H959))</f>
        <v>0.0594322963156995</v>
      </c>
      <c r="Q959" s="489">
        <f>LN((1+M959)/(1+H959))</f>
        <v>0.0264308437010265</v>
      </c>
      <c r="R959" s="489">
        <f>LN((1+N959)/(1+H959))</f>
        <v>0.0607875887875739</v>
      </c>
      <c r="S959" s="542">
        <f>LN((1+O959)/(1+H959))</f>
        <v>-0.0168997767625843</v>
      </c>
    </row>
    <row r="960">
      <c r="A960" s="320" t="n">
        <v>859</v>
      </c>
      <c r="B960" s="174" t="n">
        <v>59</v>
      </c>
      <c r="C960" s="174" t="n">
        <v>60</v>
      </c>
      <c r="D960" s="174" t="n">
        <v>60</v>
      </c>
      <c r="E960" s="174" t="n">
        <v>24</v>
      </c>
      <c r="F960" s="174" t="n">
        <v>74</v>
      </c>
      <c r="G960" s="68">
        <f>(1+INDEX($Z$21:$Z$97,B960))*(1+INDEX($Z$21:$Z$97,C960))*(1+INDEX($Z$21:$Z$97,D960))*(1+INDEX($Z$21:$Z$97,E960))*(1+INDEX($Z$21:$Z$97,F960))-1</f>
        <v>1.09522270143257</v>
      </c>
      <c r="H960" s="68">
        <f>(1+INDEX($AA$21:$AA$97,B960))*(1+INDEX($AA$21:$AA$97,C960))*(1+INDEX($AA$21:$AA$97,D960))*(1+INDEX($AA$21:$AA$97,E960))*(1+INDEX($AA$21:$AA$97,F960))-1</f>
        <v>1.06288969431856</v>
      </c>
      <c r="I960" s="68">
        <f>(1+INDEX($AB$21:$AB$97,B960))*(1+INDEX($AB$21:$AB$97,C960))*(1+INDEX($AB$21:$AB$97,D960))*(1+INDEX($AB$21:$AB$97,E960))*(1+INDEX($AB$21:$AB$97,F960))-1</f>
        <v>1.12692169723027</v>
      </c>
      <c r="J960" s="489">
        <f>LN((1+G960)/(1+H960))</f>
        <v>0.0155520850451179</v>
      </c>
      <c r="K960" s="489">
        <f>LN((1+I960)/(1+H960))</f>
        <v>0.0305679577472538</v>
      </c>
      <c r="L960" s="489">
        <f>(1+INDEX($AC$21:$AC$97,B960))*(1+INDEX($AC$21:$AC$97,C960))*(1+INDEX($AC$21:$AC$97,D960))*(1+INDEX($AC$21:$AC$97,E960))*(1+INDEX($AC$21:$AC$97,F960))-1</f>
        <v>1.22213761413251</v>
      </c>
      <c r="M960" s="489">
        <f>(1+INDEX($AD$21:$AD$97,B960))*(1+INDEX($AD$21:$AD$97,C960))*(1+INDEX($AD$21:$AD$97,D960))*(1+INDEX($AD$21:$AD$97,E960))*(1+INDEX($AD$21:$AD$97,F960))-1</f>
        <v>1.0381905467243</v>
      </c>
      <c r="N960" s="489">
        <f>(1+INDEX($AE$21:$AE$97,B960))*(1+INDEX($AE$21:$AE$97,C960))*(1+INDEX($AE$21:$AE$97,D960))*(1+INDEX($AE$21:$AE$97,E960))*(1+INDEX($AE$21:$AE$97,F960))-1</f>
        <v>1.24869123947573</v>
      </c>
      <c r="O960" s="489">
        <f>(1+INDEX($AF$21:$AF$97,B960))*(1+INDEX($AF$21:$AF$97,C960))*(1+INDEX($AF$21:$AF$97,D960))*(1+INDEX($AF$21:$AF$97,E960))*(1+INDEX($AF$21:$AF$97,F960))-1</f>
        <v>0.896248201830097</v>
      </c>
      <c r="P960" s="489">
        <f>LN((1+L960)/(1+H960))</f>
        <v>0.0743618577733987</v>
      </c>
      <c r="Q960" s="489">
        <f>LN((1+M960)/(1+H960))</f>
        <v>-0.0120453367285544</v>
      </c>
      <c r="R960" s="489">
        <f>LN((1+N960)/(1+H960))</f>
        <v>0.0862406115566213</v>
      </c>
      <c r="S960" s="542">
        <f>LN((1+O960)/(1+H960))</f>
        <v>-0.0842304606758387</v>
      </c>
    </row>
    <row r="961">
      <c r="A961" s="320" t="n">
        <v>860</v>
      </c>
      <c r="B961" s="174" t="n">
        <v>20</v>
      </c>
      <c r="C961" s="174" t="n">
        <v>12</v>
      </c>
      <c r="D961" s="174" t="n">
        <v>35</v>
      </c>
      <c r="E961" s="174" t="n">
        <v>30</v>
      </c>
      <c r="F961" s="174" t="n">
        <v>26</v>
      </c>
      <c r="G961" s="68">
        <f>(1+INDEX($Z$21:$Z$97,B961))*(1+INDEX($Z$21:$Z$97,C961))*(1+INDEX($Z$21:$Z$97,D961))*(1+INDEX($Z$21:$Z$97,E961))*(1+INDEX($Z$21:$Z$97,F961))-1</f>
        <v>0.668876658319062</v>
      </c>
      <c r="H961" s="68">
        <f>(1+INDEX($AA$21:$AA$97,B961))*(1+INDEX($AA$21:$AA$97,C961))*(1+INDEX($AA$21:$AA$97,D961))*(1+INDEX($AA$21:$AA$97,E961))*(1+INDEX($AA$21:$AA$97,F961))-1</f>
        <v>0.610908192727249</v>
      </c>
      <c r="I961" s="68">
        <f>(1+INDEX($AB$21:$AB$97,B961))*(1+INDEX($AB$21:$AB$97,C961))*(1+INDEX($AB$21:$AB$97,D961))*(1+INDEX($AB$21:$AB$97,E961))*(1+INDEX($AB$21:$AB$97,F961))-1</f>
        <v>0.651738983009131</v>
      </c>
      <c r="J961" s="489">
        <f>LN((1+G961)/(1+H961))</f>
        <v>0.0353526255861292</v>
      </c>
      <c r="K961" s="489">
        <f>LN((1+I961)/(1+H961))</f>
        <v>0.0250305471992598</v>
      </c>
      <c r="L961" s="489">
        <f>(1+INDEX($AC$21:$AC$97,B961))*(1+INDEX($AC$21:$AC$97,C961))*(1+INDEX($AC$21:$AC$97,D961))*(1+INDEX($AC$21:$AC$97,E961))*(1+INDEX($AC$21:$AC$97,F961))-1</f>
        <v>0.652186496276061</v>
      </c>
      <c r="M961" s="489">
        <f>(1+INDEX($AD$21:$AD$97,B961))*(1+INDEX($AD$21:$AD$97,C961))*(1+INDEX($AD$21:$AD$97,D961))*(1+INDEX($AD$21:$AD$97,E961))*(1+INDEX($AD$21:$AD$97,F961))-1</f>
        <v>0.661700070618493</v>
      </c>
      <c r="N961" s="489">
        <f>(1+INDEX($AE$21:$AE$97,B961))*(1+INDEX($AE$21:$AE$97,C961))*(1+INDEX($AE$21:$AE$97,D961))*(1+INDEX($AE$21:$AE$97,E961))*(1+INDEX($AE$21:$AE$97,F961))-1</f>
        <v>0.645944560357671</v>
      </c>
      <c r="O961" s="489">
        <f>(1+INDEX($AF$21:$AF$97,B961))*(1+INDEX($AF$21:$AF$97,C961))*(1+INDEX($AF$21:$AF$97,D961))*(1+INDEX($AF$21:$AF$97,E961))*(1+INDEX($AF$21:$AF$97,F961))-1</f>
        <v>0.623172737503814</v>
      </c>
      <c r="P961" s="489">
        <f>LN((1+L961)/(1+H961))</f>
        <v>0.0253014451190056</v>
      </c>
      <c r="Q961" s="489">
        <f>LN((1+M961)/(1+H961))</f>
        <v>0.0310431024064514</v>
      </c>
      <c r="R961" s="489">
        <f>LN((1+N961)/(1+H961))</f>
        <v>0.0215163054361346</v>
      </c>
      <c r="S961" s="542">
        <f>LN((1+O961)/(1+H961))</f>
        <v>0.00758459904710043</v>
      </c>
    </row>
    <row r="962">
      <c r="A962" s="320" t="n">
        <v>861</v>
      </c>
      <c r="B962" s="174" t="n">
        <v>17</v>
      </c>
      <c r="C962" s="174" t="n">
        <v>59</v>
      </c>
      <c r="D962" s="174" t="n">
        <v>48</v>
      </c>
      <c r="E962" s="174" t="n">
        <v>23</v>
      </c>
      <c r="F962" s="174" t="n">
        <v>59</v>
      </c>
      <c r="G962" s="68">
        <f>(1+INDEX($Z$21:$Z$97,B962))*(1+INDEX($Z$21:$Z$97,C962))*(1+INDEX($Z$21:$Z$97,D962))*(1+INDEX($Z$21:$Z$97,E962))*(1+INDEX($Z$21:$Z$97,F962))-1</f>
        <v>0.702561884452764</v>
      </c>
      <c r="H962" s="68">
        <f>(1+INDEX($AA$21:$AA$97,B962))*(1+INDEX($AA$21:$AA$97,C962))*(1+INDEX($AA$21:$AA$97,D962))*(1+INDEX($AA$21:$AA$97,E962))*(1+INDEX($AA$21:$AA$97,F962))-1</f>
        <v>0.651399039786586</v>
      </c>
      <c r="I962" s="68">
        <f>(1+INDEX($AB$21:$AB$97,B962))*(1+INDEX($AB$21:$AB$97,C962))*(1+INDEX($AB$21:$AB$97,D962))*(1+INDEX($AB$21:$AB$97,E962))*(1+INDEX($AB$21:$AB$97,F962))-1</f>
        <v>0.686019571092235</v>
      </c>
      <c r="J962" s="489">
        <f>LN((1+G962)/(1+H962))</f>
        <v>0.0305112759986806</v>
      </c>
      <c r="K962" s="489">
        <f>LN((1+I962)/(1+H962))</f>
        <v>0.0207476359679493</v>
      </c>
      <c r="L962" s="489">
        <f>(1+INDEX($AC$21:$AC$97,B962))*(1+INDEX($AC$21:$AC$97,C962))*(1+INDEX($AC$21:$AC$97,D962))*(1+INDEX($AC$21:$AC$97,E962))*(1+INDEX($AC$21:$AC$97,F962))-1</f>
        <v>0.712116606503417</v>
      </c>
      <c r="M962" s="489">
        <f>(1+INDEX($AD$21:$AD$97,B962))*(1+INDEX($AD$21:$AD$97,C962))*(1+INDEX($AD$21:$AD$97,D962))*(1+INDEX($AD$21:$AD$97,E962))*(1+INDEX($AD$21:$AD$97,F962))-1</f>
        <v>0.634846107821149</v>
      </c>
      <c r="N962" s="489">
        <f>(1+INDEX($AE$21:$AE$97,B962))*(1+INDEX($AE$21:$AE$97,C962))*(1+INDEX($AE$21:$AE$97,D962))*(1+INDEX($AE$21:$AE$97,E962))*(1+INDEX($AE$21:$AE$97,F962))-1</f>
        <v>0.724172507410616</v>
      </c>
      <c r="O962" s="489">
        <f>(1+INDEX($AF$21:$AF$97,B962))*(1+INDEX($AF$21:$AF$97,C962))*(1+INDEX($AF$21:$AF$97,D962))*(1+INDEX($AF$21:$AF$97,E962))*(1+INDEX($AF$21:$AF$97,F962))-1</f>
        <v>0.575767696416431</v>
      </c>
      <c r="P962" s="489">
        <f>LN((1+L962)/(1+H962))</f>
        <v>0.0361075551285896</v>
      </c>
      <c r="Q962" s="489">
        <f>LN((1+M962)/(1+H962))</f>
        <v>-0.0100741552843362</v>
      </c>
      <c r="R962" s="489">
        <f>LN((1+N962)/(1+H962))</f>
        <v>0.0431243979918908</v>
      </c>
      <c r="S962" s="542">
        <f>LN((1+O962)/(1+H962))</f>
        <v>-0.0468802517267204</v>
      </c>
    </row>
    <row r="963">
      <c r="A963" s="320" t="n">
        <v>862</v>
      </c>
      <c r="B963" s="174" t="n">
        <v>20</v>
      </c>
      <c r="C963" s="174" t="n">
        <v>7</v>
      </c>
      <c r="D963" s="174" t="n">
        <v>35</v>
      </c>
      <c r="E963" s="174" t="n">
        <v>39</v>
      </c>
      <c r="F963" s="174" t="n">
        <v>36</v>
      </c>
      <c r="G963" s="68">
        <f>(1+INDEX($Z$21:$Z$97,B963))*(1+INDEX($Z$21:$Z$97,C963))*(1+INDEX($Z$21:$Z$97,D963))*(1+INDEX($Z$21:$Z$97,E963))*(1+INDEX($Z$21:$Z$97,F963))-1</f>
        <v>0.0675223837020524</v>
      </c>
      <c r="H963" s="68">
        <f>(1+INDEX($AA$21:$AA$97,B963))*(1+INDEX($AA$21:$AA$97,C963))*(1+INDEX($AA$21:$AA$97,D963))*(1+INDEX($AA$21:$AA$97,E963))*(1+INDEX($AA$21:$AA$97,F963))-1</f>
        <v>0.0942499304415192</v>
      </c>
      <c r="I963" s="68">
        <f>(1+INDEX($AB$21:$AB$97,B963))*(1+INDEX($AB$21:$AB$97,C963))*(1+INDEX($AB$21:$AB$97,D963))*(1+INDEX($AB$21:$AB$97,E963))*(1+INDEX($AB$21:$AB$97,F963))-1</f>
        <v>0.0757928453145382</v>
      </c>
      <c r="J963" s="489">
        <f>LN((1+G963)/(1+H963))</f>
        <v>-0.0247286992816305</v>
      </c>
      <c r="K963" s="489">
        <f>LN((1+I963)/(1+H963))</f>
        <v>-0.0170112132588065</v>
      </c>
      <c r="L963" s="489">
        <f>(1+INDEX($AC$21:$AC$97,B963))*(1+INDEX($AC$21:$AC$97,C963))*(1+INDEX($AC$21:$AC$97,D963))*(1+INDEX($AC$21:$AC$97,E963))*(1+INDEX($AC$21:$AC$97,F963))-1</f>
        <v>0.0583863996797194</v>
      </c>
      <c r="M963" s="489">
        <f>(1+INDEX($AD$21:$AD$97,B963))*(1+INDEX($AD$21:$AD$97,C963))*(1+INDEX($AD$21:$AD$97,D963))*(1+INDEX($AD$21:$AD$97,E963))*(1+INDEX($AD$21:$AD$97,F963))-1</f>
        <v>0.0878854048186426</v>
      </c>
      <c r="N963" s="489">
        <f>(1+INDEX($AE$21:$AE$97,B963))*(1+INDEX($AE$21:$AE$97,C963))*(1+INDEX($AE$21:$AE$97,D963))*(1+INDEX($AE$21:$AE$97,E963))*(1+INDEX($AE$21:$AE$97,F963))-1</f>
        <v>0.0645076817622574</v>
      </c>
      <c r="O963" s="489">
        <f>(1+INDEX($AF$21:$AF$97,B963))*(1+INDEX($AF$21:$AF$97,C963))*(1+INDEX($AF$21:$AF$97,D963))*(1+INDEX($AF$21:$AF$97,E963))*(1+INDEX($AF$21:$AF$97,F963))-1</f>
        <v>0.0849727321936924</v>
      </c>
      <c r="P963" s="489">
        <f>LN((1+L963)/(1+H963))</f>
        <v>-0.0333236496724378</v>
      </c>
      <c r="Q963" s="489">
        <f>LN((1+M963)/(1+H963))</f>
        <v>-0.00583331708852269</v>
      </c>
      <c r="R963" s="489">
        <f>LN((1+N963)/(1+H963))</f>
        <v>-0.0275567118859935</v>
      </c>
      <c r="S963" s="542">
        <f>LN((1+O963)/(1+H963))</f>
        <v>-0.00851427846369791</v>
      </c>
    </row>
    <row r="964">
      <c r="A964" s="320" t="n">
        <v>863</v>
      </c>
      <c r="B964" s="174" t="n">
        <v>70</v>
      </c>
      <c r="C964" s="174" t="n">
        <v>63</v>
      </c>
      <c r="D964" s="174" t="n">
        <v>23</v>
      </c>
      <c r="E964" s="174" t="n">
        <v>18</v>
      </c>
      <c r="F964" s="174" t="n">
        <v>41</v>
      </c>
      <c r="G964" s="68">
        <f>(1+INDEX($Z$21:$Z$97,B964))*(1+INDEX($Z$21:$Z$97,C964))*(1+INDEX($Z$21:$Z$97,D964))*(1+INDEX($Z$21:$Z$97,E964))*(1+INDEX($Z$21:$Z$97,F964))-1</f>
        <v>0.353288461692101</v>
      </c>
      <c r="H964" s="68">
        <f>(1+INDEX($AA$21:$AA$97,B964))*(1+INDEX($AA$21:$AA$97,C964))*(1+INDEX($AA$21:$AA$97,D964))*(1+INDEX($AA$21:$AA$97,E964))*(1+INDEX($AA$21:$AA$97,F964))-1</f>
        <v>0.303878684850265</v>
      </c>
      <c r="I964" s="68">
        <f>(1+INDEX($AB$21:$AB$97,B964))*(1+INDEX($AB$21:$AB$97,C964))*(1+INDEX($AB$21:$AB$97,D964))*(1+INDEX($AB$21:$AB$97,E964))*(1+INDEX($AB$21:$AB$97,F964))-1</f>
        <v>0.334386299330113</v>
      </c>
      <c r="J964" s="489">
        <f>LN((1+G964)/(1+H964))</f>
        <v>0.0371941019243721</v>
      </c>
      <c r="K964" s="489">
        <f>LN((1+I964)/(1+H964))</f>
        <v>0.0231280591947245</v>
      </c>
      <c r="L964" s="489">
        <f>(1+INDEX($AC$21:$AC$97,B964))*(1+INDEX($AC$21:$AC$97,C964))*(1+INDEX($AC$21:$AC$97,D964))*(1+INDEX($AC$21:$AC$97,E964))*(1+INDEX($AC$21:$AC$97,F964))-1</f>
        <v>0.328426983789057</v>
      </c>
      <c r="M964" s="489">
        <f>(1+INDEX($AD$21:$AD$97,B964))*(1+INDEX($AD$21:$AD$97,C964))*(1+INDEX($AD$21:$AD$97,D964))*(1+INDEX($AD$21:$AD$97,E964))*(1+INDEX($AD$21:$AD$97,F964))-1</f>
        <v>0.305803988250566</v>
      </c>
      <c r="N964" s="489">
        <f>(1+INDEX($AE$21:$AE$97,B964))*(1+INDEX($AE$21:$AE$97,C964))*(1+INDEX($AE$21:$AE$97,D964))*(1+INDEX($AE$21:$AE$97,E964))*(1+INDEX($AE$21:$AE$97,F964))-1</f>
        <v>0.330656825457928</v>
      </c>
      <c r="O964" s="489">
        <f>(1+INDEX($AF$21:$AF$97,B964))*(1+INDEX($AF$21:$AF$97,C964))*(1+INDEX($AF$21:$AF$97,D964))*(1+INDEX($AF$21:$AF$97,E964))*(1+INDEX($AF$21:$AF$97,F964))-1</f>
        <v>0.311051952885341</v>
      </c>
      <c r="P964" s="489">
        <f>LN((1+L964)/(1+H964))</f>
        <v>0.0186520972277136</v>
      </c>
      <c r="Q964" s="489">
        <f>LN((1+M964)/(1+H964))</f>
        <v>0.00147550793776446</v>
      </c>
      <c r="R964" s="489">
        <f>LN((1+N964)/(1+H964))</f>
        <v>0.0203292479694823</v>
      </c>
      <c r="S964" s="542">
        <f>LN((1+O964)/(1+H964))</f>
        <v>0.00548640635043203</v>
      </c>
    </row>
    <row r="965">
      <c r="A965" s="320" t="n">
        <v>864</v>
      </c>
      <c r="B965" s="174" t="n">
        <v>40</v>
      </c>
      <c r="C965" s="174" t="n">
        <v>21</v>
      </c>
      <c r="D965" s="174" t="n">
        <v>73</v>
      </c>
      <c r="E965" s="174" t="n">
        <v>6</v>
      </c>
      <c r="F965" s="174" t="n">
        <v>59</v>
      </c>
      <c r="G965" s="68">
        <f>(1+INDEX($Z$21:$Z$97,B965))*(1+INDEX($Z$21:$Z$97,C965))*(1+INDEX($Z$21:$Z$97,D965))*(1+INDEX($Z$21:$Z$97,E965))*(1+INDEX($Z$21:$Z$97,F965))-1</f>
        <v>0.224629657824943</v>
      </c>
      <c r="H965" s="68">
        <f>(1+INDEX($AA$21:$AA$97,B965))*(1+INDEX($AA$21:$AA$97,C965))*(1+INDEX($AA$21:$AA$97,D965))*(1+INDEX($AA$21:$AA$97,E965))*(1+INDEX($AA$21:$AA$97,F965))-1</f>
        <v>0.256708145269569</v>
      </c>
      <c r="I965" s="68">
        <f>(1+INDEX($AB$21:$AB$97,B965))*(1+INDEX($AB$21:$AB$97,C965))*(1+INDEX($AB$21:$AB$97,D965))*(1+INDEX($AB$21:$AB$97,E965))*(1+INDEX($AB$21:$AB$97,F965))-1</f>
        <v>0.250550287635995</v>
      </c>
      <c r="J965" s="489">
        <f>LN((1+G965)/(1+H965))</f>
        <v>-0.0258572409470667</v>
      </c>
      <c r="K965" s="489">
        <f>LN((1+I965)/(1+H965))</f>
        <v>-0.00491203454274491</v>
      </c>
      <c r="L965" s="489">
        <f>(1+INDEX($AC$21:$AC$97,B965))*(1+INDEX($AC$21:$AC$97,C965))*(1+INDEX($AC$21:$AC$97,D965))*(1+INDEX($AC$21:$AC$97,E965))*(1+INDEX($AC$21:$AC$97,F965))-1</f>
        <v>0.261079240337147</v>
      </c>
      <c r="M965" s="489">
        <f>(1+INDEX($AD$21:$AD$97,B965))*(1+INDEX($AD$21:$AD$97,C965))*(1+INDEX($AD$21:$AD$97,D965))*(1+INDEX($AD$21:$AD$97,E965))*(1+INDEX($AD$21:$AD$97,F965))-1</f>
        <v>0.215547397590287</v>
      </c>
      <c r="N965" s="489">
        <f>(1+INDEX($AE$21:$AE$97,B965))*(1+INDEX($AE$21:$AE$97,C965))*(1+INDEX($AE$21:$AE$97,D965))*(1+INDEX($AE$21:$AE$97,E965))*(1+INDEX($AE$21:$AE$97,F965))-1</f>
        <v>0.239253886854625</v>
      </c>
      <c r="O965" s="489">
        <f>(1+INDEX($AF$21:$AF$97,B965))*(1+INDEX($AF$21:$AF$97,C965))*(1+INDEX($AF$21:$AF$97,D965))*(1+INDEX($AF$21:$AF$97,E965))*(1+INDEX($AF$21:$AF$97,F965))-1</f>
        <v>0.218807920736371</v>
      </c>
      <c r="P965" s="489">
        <f>LN((1+L965)/(1+H965))</f>
        <v>0.00347217519958938</v>
      </c>
      <c r="Q965" s="489">
        <f>LN((1+M965)/(1+H965))</f>
        <v>-0.0333012107637908</v>
      </c>
      <c r="R965" s="489">
        <f>LN((1+N965)/(1+H965))</f>
        <v>-0.0139862247220469</v>
      </c>
      <c r="S965" s="542">
        <f>LN((1+O965)/(1+H965))</f>
        <v>-0.0306224521854834</v>
      </c>
    </row>
    <row r="966">
      <c r="A966" s="320" t="n">
        <v>865</v>
      </c>
      <c r="B966" s="174" t="n">
        <v>77</v>
      </c>
      <c r="C966" s="174" t="n">
        <v>10</v>
      </c>
      <c r="D966" s="174" t="n">
        <v>61</v>
      </c>
      <c r="E966" s="174" t="n">
        <v>52</v>
      </c>
      <c r="F966" s="174" t="n">
        <v>38</v>
      </c>
      <c r="G966" s="68">
        <f>(1+INDEX($Z$21:$Z$97,B966))*(1+INDEX($Z$21:$Z$97,C966))*(1+INDEX($Z$21:$Z$97,D966))*(1+INDEX($Z$21:$Z$97,E966))*(1+INDEX($Z$21:$Z$97,F966))-1</f>
        <v>0.283272814872779</v>
      </c>
      <c r="H966" s="68">
        <f>(1+INDEX($AA$21:$AA$97,B966))*(1+INDEX($AA$21:$AA$97,C966))*(1+INDEX($AA$21:$AA$97,D966))*(1+INDEX($AA$21:$AA$97,E966))*(1+INDEX($AA$21:$AA$97,F966))-1</f>
        <v>0.277592911956095</v>
      </c>
      <c r="I966" s="68">
        <f>(1+INDEX($AB$21:$AB$97,B966))*(1+INDEX($AB$21:$AB$97,C966))*(1+INDEX($AB$21:$AB$97,D966))*(1+INDEX($AB$21:$AB$97,E966))*(1+INDEX($AB$21:$AB$97,F966))-1</f>
        <v>0.280237121469832</v>
      </c>
      <c r="J966" s="489">
        <f>LN((1+G966)/(1+H966))</f>
        <v>0.0044359313110608</v>
      </c>
      <c r="K966" s="489">
        <f>LN((1+I966)/(1+H966))</f>
        <v>0.00206754195636269</v>
      </c>
      <c r="L966" s="489">
        <f>(1+INDEX($AC$21:$AC$97,B966))*(1+INDEX($AC$21:$AC$97,C966))*(1+INDEX($AC$21:$AC$97,D966))*(1+INDEX($AC$21:$AC$97,E966))*(1+INDEX($AC$21:$AC$97,F966))-1</f>
        <v>0.289546672756933</v>
      </c>
      <c r="M966" s="489">
        <f>(1+INDEX($AD$21:$AD$97,B966))*(1+INDEX($AD$21:$AD$97,C966))*(1+INDEX($AD$21:$AD$97,D966))*(1+INDEX($AD$21:$AD$97,E966))*(1+INDEX($AD$21:$AD$97,F966))-1</f>
        <v>0.272637044116321</v>
      </c>
      <c r="N966" s="489">
        <f>(1+INDEX($AE$21:$AE$97,B966))*(1+INDEX($AE$21:$AE$97,C966))*(1+INDEX($AE$21:$AE$97,D966))*(1+INDEX($AE$21:$AE$97,E966))*(1+INDEX($AE$21:$AE$97,F966))-1</f>
        <v>0.275620583965418</v>
      </c>
      <c r="O966" s="489">
        <f>(1+INDEX($AF$21:$AF$97,B966))*(1+INDEX($AF$21:$AF$97,C966))*(1+INDEX($AF$21:$AF$97,D966))*(1+INDEX($AF$21:$AF$97,E966))*(1+INDEX($AF$21:$AF$97,F966))-1</f>
        <v>0.27232467069599</v>
      </c>
      <c r="P966" s="489">
        <f>LN((1+L966)/(1+H966))</f>
        <v>0.00931297017825675</v>
      </c>
      <c r="Q966" s="489">
        <f>LN((1+M966)/(1+H966))</f>
        <v>-0.00388660957140277</v>
      </c>
      <c r="R966" s="489">
        <f>LN((1+N966)/(1+H966))</f>
        <v>-0.00154497725015911</v>
      </c>
      <c r="S966" s="542">
        <f>LN((1+O966)/(1+H966))</f>
        <v>-0.00413209336008323</v>
      </c>
    </row>
    <row r="967">
      <c r="A967" s="320" t="n">
        <v>866</v>
      </c>
      <c r="B967" s="174" t="n">
        <v>10</v>
      </c>
      <c r="C967" s="174" t="n">
        <v>77</v>
      </c>
      <c r="D967" s="174" t="n">
        <v>64</v>
      </c>
      <c r="E967" s="174" t="n">
        <v>30</v>
      </c>
      <c r="F967" s="174" t="n">
        <v>22</v>
      </c>
      <c r="G967" s="68">
        <f>(1+INDEX($Z$21:$Z$97,B967))*(1+INDEX($Z$21:$Z$97,C967))*(1+INDEX($Z$21:$Z$97,D967))*(1+INDEX($Z$21:$Z$97,E967))*(1+INDEX($Z$21:$Z$97,F967))-1</f>
        <v>-0.00196886395459106</v>
      </c>
      <c r="H967" s="68">
        <f>(1+INDEX($AA$21:$AA$97,B967))*(1+INDEX($AA$21:$AA$97,C967))*(1+INDEX($AA$21:$AA$97,D967))*(1+INDEX($AA$21:$AA$97,E967))*(1+INDEX($AA$21:$AA$97,F967))-1</f>
        <v>0.013122657074734</v>
      </c>
      <c r="I967" s="68">
        <f>(1+INDEX($AB$21:$AB$97,B967))*(1+INDEX($AB$21:$AB$97,C967))*(1+INDEX($AB$21:$AB$97,D967))*(1+INDEX($AB$21:$AB$97,E967))*(1+INDEX($AB$21:$AB$97,F967))-1</f>
        <v>0.0060139307401279</v>
      </c>
      <c r="J967" s="489">
        <f>LN((1+G967)/(1+H967))</f>
        <v>-0.0150081056474217</v>
      </c>
      <c r="K967" s="489">
        <f>LN((1+I967)/(1+H967))</f>
        <v>-0.00704138169650855</v>
      </c>
      <c r="L967" s="489">
        <f>(1+INDEX($AC$21:$AC$97,B967))*(1+INDEX($AC$21:$AC$97,C967))*(1+INDEX($AC$21:$AC$97,D967))*(1+INDEX($AC$21:$AC$97,E967))*(1+INDEX($AC$21:$AC$97,F967))-1</f>
        <v>-0.0040021662515165</v>
      </c>
      <c r="M967" s="489">
        <f>(1+INDEX($AD$21:$AD$97,B967))*(1+INDEX($AD$21:$AD$97,C967))*(1+INDEX($AD$21:$AD$97,D967))*(1+INDEX($AD$21:$AD$97,E967))*(1+INDEX($AD$21:$AD$97,F967))-1</f>
        <v>0.0050383751529457</v>
      </c>
      <c r="N967" s="489">
        <f>(1+INDEX($AE$21:$AE$97,B967))*(1+INDEX($AE$21:$AE$97,C967))*(1+INDEX($AE$21:$AE$97,D967))*(1+INDEX($AE$21:$AE$97,E967))*(1+INDEX($AE$21:$AE$97,F967))-1</f>
        <v>-0.0209234072238537</v>
      </c>
      <c r="O967" s="489">
        <f>(1+INDEX($AF$21:$AF$97,B967))*(1+INDEX($AF$21:$AF$97,C967))*(1+INDEX($AF$21:$AF$97,D967))*(1+INDEX($AF$21:$AF$97,E967))*(1+INDEX($AF$21:$AF$97,F967))-1</f>
        <v>0.0331680455277579</v>
      </c>
      <c r="P967" s="489">
        <f>LN((1+L967)/(1+H967))</f>
        <v>-0.0170474972836067</v>
      </c>
      <c r="Q967" s="489">
        <f>LN((1+M967)/(1+H967))</f>
        <v>-0.00801157591855425</v>
      </c>
      <c r="R967" s="489">
        <f>LN((1+N967)/(1+H967))</f>
        <v>-0.0341827047178616</v>
      </c>
      <c r="S967" s="542">
        <f>LN((1+O967)/(1+H967))</f>
        <v>0.0195925531554147</v>
      </c>
    </row>
    <row r="968">
      <c r="A968" s="320" t="n">
        <v>867</v>
      </c>
      <c r="B968" s="174" t="n">
        <v>33</v>
      </c>
      <c r="C968" s="174" t="n">
        <v>64</v>
      </c>
      <c r="D968" s="174" t="n">
        <v>66</v>
      </c>
      <c r="E968" s="174" t="n">
        <v>47</v>
      </c>
      <c r="F968" s="174" t="n">
        <v>65</v>
      </c>
      <c r="G968" s="68">
        <f>(1+INDEX($Z$21:$Z$97,B968))*(1+INDEX($Z$21:$Z$97,C968))*(1+INDEX($Z$21:$Z$97,D968))*(1+INDEX($Z$21:$Z$97,E968))*(1+INDEX($Z$21:$Z$97,F968))-1</f>
        <v>0.371430924222689</v>
      </c>
      <c r="H968" s="68">
        <f>(1+INDEX($AA$21:$AA$97,B968))*(1+INDEX($AA$21:$AA$97,C968))*(1+INDEX($AA$21:$AA$97,D968))*(1+INDEX($AA$21:$AA$97,E968))*(1+INDEX($AA$21:$AA$97,F968))-1</f>
        <v>0.336273287301237</v>
      </c>
      <c r="I968" s="68">
        <f>(1+INDEX($AB$21:$AB$97,B968))*(1+INDEX($AB$21:$AB$97,C968))*(1+INDEX($AB$21:$AB$97,D968))*(1+INDEX($AB$21:$AB$97,E968))*(1+INDEX($AB$21:$AB$97,F968))-1</f>
        <v>0.40314417640208</v>
      </c>
      <c r="J968" s="489">
        <f>LN((1+G968)/(1+H968))</f>
        <v>0.0259700544371942</v>
      </c>
      <c r="K968" s="489">
        <f>LN((1+I968)/(1+H968))</f>
        <v>0.0488309482197669</v>
      </c>
      <c r="L968" s="489">
        <f>(1+INDEX($AC$21:$AC$97,B968))*(1+INDEX($AC$21:$AC$97,C968))*(1+INDEX($AC$21:$AC$97,D968))*(1+INDEX($AC$21:$AC$97,E968))*(1+INDEX($AC$21:$AC$97,F968))-1</f>
        <v>0.38748472306587</v>
      </c>
      <c r="M968" s="489">
        <f>(1+INDEX($AD$21:$AD$97,B968))*(1+INDEX($AD$21:$AD$97,C968))*(1+INDEX($AD$21:$AD$97,D968))*(1+INDEX($AD$21:$AD$97,E968))*(1+INDEX($AD$21:$AD$97,F968))-1</f>
        <v>0.375965374001259</v>
      </c>
      <c r="N968" s="489">
        <f>(1+INDEX($AE$21:$AE$97,B968))*(1+INDEX($AE$21:$AE$97,C968))*(1+INDEX($AE$21:$AE$97,D968))*(1+INDEX($AE$21:$AE$97,E968))*(1+INDEX($AE$21:$AE$97,F968))-1</f>
        <v>0.392857349684446</v>
      </c>
      <c r="O968" s="489">
        <f>(1+INDEX($AF$21:$AF$97,B968))*(1+INDEX($AF$21:$AF$97,C968))*(1+INDEX($AF$21:$AF$97,D968))*(1+INDEX($AF$21:$AF$97,E968))*(1+INDEX($AF$21:$AF$97,F968))-1</f>
        <v>0.342772543500568</v>
      </c>
      <c r="P968" s="489">
        <f>LN((1+L968)/(1+H968))</f>
        <v>0.0376079456160061</v>
      </c>
      <c r="Q968" s="489">
        <f>LN((1+M968)/(1+H968))</f>
        <v>0.0292709643924009</v>
      </c>
      <c r="R968" s="489">
        <f>LN((1+N968)/(1+H968))</f>
        <v>0.0414726738869737</v>
      </c>
      <c r="S968" s="542">
        <f>LN((1+O968)/(1+H968))</f>
        <v>0.00485192815638324</v>
      </c>
    </row>
    <row r="969">
      <c r="A969" s="320" t="n">
        <v>868</v>
      </c>
      <c r="B969" s="174" t="n">
        <v>17</v>
      </c>
      <c r="C969" s="174" t="n">
        <v>16</v>
      </c>
      <c r="D969" s="174" t="n">
        <v>76</v>
      </c>
      <c r="E969" s="174" t="n">
        <v>28</v>
      </c>
      <c r="F969" s="174" t="n">
        <v>50</v>
      </c>
      <c r="G969" s="68">
        <f>(1+INDEX($Z$21:$Z$97,B969))*(1+INDEX($Z$21:$Z$97,C969))*(1+INDEX($Z$21:$Z$97,D969))*(1+INDEX($Z$21:$Z$97,E969))*(1+INDEX($Z$21:$Z$97,F969))-1</f>
        <v>0.514285433562952</v>
      </c>
      <c r="H969" s="68">
        <f>(1+INDEX($AA$21:$AA$97,B969))*(1+INDEX($AA$21:$AA$97,C969))*(1+INDEX($AA$21:$AA$97,D969))*(1+INDEX($AA$21:$AA$97,E969))*(1+INDEX($AA$21:$AA$97,F969))-1</f>
        <v>0.462998344918532</v>
      </c>
      <c r="I969" s="68">
        <f>(1+INDEX($AB$21:$AB$97,B969))*(1+INDEX($AB$21:$AB$97,C969))*(1+INDEX($AB$21:$AB$97,D969))*(1+INDEX($AB$21:$AB$97,E969))*(1+INDEX($AB$21:$AB$97,F969))-1</f>
        <v>0.519791496586378</v>
      </c>
      <c r="J969" s="489">
        <f>LN((1+G969)/(1+H969))</f>
        <v>0.0344556759352565</v>
      </c>
      <c r="K969" s="489">
        <f>LN((1+I969)/(1+H969))</f>
        <v>0.0380851614061542</v>
      </c>
      <c r="L969" s="489">
        <f>(1+INDEX($AC$21:$AC$97,B969))*(1+INDEX($AC$21:$AC$97,C969))*(1+INDEX($AC$21:$AC$97,D969))*(1+INDEX($AC$21:$AC$97,E969))*(1+INDEX($AC$21:$AC$97,F969))-1</f>
        <v>0.49083829991952</v>
      </c>
      <c r="M969" s="489">
        <f>(1+INDEX($AD$21:$AD$97,B969))*(1+INDEX($AD$21:$AD$97,C969))*(1+INDEX($AD$21:$AD$97,D969))*(1+INDEX($AD$21:$AD$97,E969))*(1+INDEX($AD$21:$AD$97,F969))-1</f>
        <v>0.517160127136276</v>
      </c>
      <c r="N969" s="489">
        <f>(1+INDEX($AE$21:$AE$97,B969))*(1+INDEX($AE$21:$AE$97,C969))*(1+INDEX($AE$21:$AE$97,D969))*(1+INDEX($AE$21:$AE$97,E969))*(1+INDEX($AE$21:$AE$97,F969))-1</f>
        <v>0.483075113889432</v>
      </c>
      <c r="O969" s="489">
        <f>(1+INDEX($AF$21:$AF$97,B969))*(1+INDEX($AF$21:$AF$97,C969))*(1+INDEX($AF$21:$AF$97,D969))*(1+INDEX($AF$21:$AF$97,E969))*(1+INDEX($AF$21:$AF$97,F969))-1</f>
        <v>0.500645191163089</v>
      </c>
      <c r="P969" s="489">
        <f>LN((1+L969)/(1+H969))</f>
        <v>0.0188505883987119</v>
      </c>
      <c r="Q969" s="489">
        <f>LN((1+M969)/(1+H969))</f>
        <v>0.0363522591840462</v>
      </c>
      <c r="R969" s="489">
        <f>LN((1+N969)/(1+H969))</f>
        <v>0.0136297210878094</v>
      </c>
      <c r="S969" s="542">
        <f>LN((1+O969)/(1+H969))</f>
        <v>0.0254071523274545</v>
      </c>
    </row>
    <row r="970">
      <c r="A970" s="320" t="n">
        <v>869</v>
      </c>
      <c r="B970" s="174" t="n">
        <v>77</v>
      </c>
      <c r="C970" s="174" t="n">
        <v>16</v>
      </c>
      <c r="D970" s="174" t="n">
        <v>62</v>
      </c>
      <c r="E970" s="174" t="n">
        <v>46</v>
      </c>
      <c r="F970" s="174" t="n">
        <v>29</v>
      </c>
      <c r="G970" s="68">
        <f>(1+INDEX($Z$21:$Z$97,B970))*(1+INDEX($Z$21:$Z$97,C970))*(1+INDEX($Z$21:$Z$97,D970))*(1+INDEX($Z$21:$Z$97,E970))*(1+INDEX($Z$21:$Z$97,F970))-1</f>
        <v>0.28638687863717</v>
      </c>
      <c r="H970" s="68">
        <f>(1+INDEX($AA$21:$AA$97,B970))*(1+INDEX($AA$21:$AA$97,C970))*(1+INDEX($AA$21:$AA$97,D970))*(1+INDEX($AA$21:$AA$97,E970))*(1+INDEX($AA$21:$AA$97,F970))-1</f>
        <v>0.286671683444025</v>
      </c>
      <c r="I970" s="68">
        <f>(1+INDEX($AB$21:$AB$97,B970))*(1+INDEX($AB$21:$AB$97,C970))*(1+INDEX($AB$21:$AB$97,D970))*(1+INDEX($AB$21:$AB$97,E970))*(1+INDEX($AB$21:$AB$97,F970))-1</f>
        <v>0.331157863595966</v>
      </c>
      <c r="J970" s="489">
        <f>LN((1+G970)/(1+H970))</f>
        <v>-0.00022137452463357</v>
      </c>
      <c r="K970" s="489">
        <f>LN((1+I970)/(1+H970))</f>
        <v>0.0339903437853111</v>
      </c>
      <c r="L970" s="489">
        <f>(1+INDEX($AC$21:$AC$97,B970))*(1+INDEX($AC$21:$AC$97,C970))*(1+INDEX($AC$21:$AC$97,D970))*(1+INDEX($AC$21:$AC$97,E970))*(1+INDEX($AC$21:$AC$97,F970))-1</f>
        <v>0.336038696038551</v>
      </c>
      <c r="M970" s="489">
        <f>(1+INDEX($AD$21:$AD$97,B970))*(1+INDEX($AD$21:$AD$97,C970))*(1+INDEX($AD$21:$AD$97,D970))*(1+INDEX($AD$21:$AD$97,E970))*(1+INDEX($AD$21:$AD$97,F970))-1</f>
        <v>0.283023817838318</v>
      </c>
      <c r="N970" s="489">
        <f>(1+INDEX($AE$21:$AE$97,B970))*(1+INDEX($AE$21:$AE$97,C970))*(1+INDEX($AE$21:$AE$97,D970))*(1+INDEX($AE$21:$AE$97,E970))*(1+INDEX($AE$21:$AE$97,F970))-1</f>
        <v>0.312283859128861</v>
      </c>
      <c r="O970" s="489">
        <f>(1+INDEX($AF$21:$AF$97,B970))*(1+INDEX($AF$21:$AF$97,C970))*(1+INDEX($AF$21:$AF$97,D970))*(1+INDEX($AF$21:$AF$97,E970))*(1+INDEX($AF$21:$AF$97,F970))-1</f>
        <v>0.26043841048804</v>
      </c>
      <c r="P970" s="489">
        <f>LN((1+L970)/(1+H970))</f>
        <v>0.0376502449449258</v>
      </c>
      <c r="Q970" s="489">
        <f>LN((1+M970)/(1+H970))</f>
        <v>-0.00283914421320388</v>
      </c>
      <c r="R970" s="489">
        <f>LN((1+N970)/(1+H970))</f>
        <v>0.0197102293128542</v>
      </c>
      <c r="S970" s="542">
        <f>LN((1+O970)/(1+H970))</f>
        <v>-0.0205991885743899</v>
      </c>
    </row>
    <row r="971">
      <c r="A971" s="320" t="n">
        <v>870</v>
      </c>
      <c r="B971" s="174" t="n">
        <v>3</v>
      </c>
      <c r="C971" s="174" t="n">
        <v>18</v>
      </c>
      <c r="D971" s="174" t="n">
        <v>24</v>
      </c>
      <c r="E971" s="174" t="n">
        <v>57</v>
      </c>
      <c r="F971" s="174" t="n">
        <v>49</v>
      </c>
      <c r="G971" s="68">
        <f>(1+INDEX($Z$21:$Z$97,B971))*(1+INDEX($Z$21:$Z$97,C971))*(1+INDEX($Z$21:$Z$97,D971))*(1+INDEX($Z$21:$Z$97,E971))*(1+INDEX($Z$21:$Z$97,F971))-1</f>
        <v>0.847458754800503</v>
      </c>
      <c r="H971" s="68">
        <f>(1+INDEX($AA$21:$AA$97,B971))*(1+INDEX($AA$21:$AA$97,C971))*(1+INDEX($AA$21:$AA$97,D971))*(1+INDEX($AA$21:$AA$97,E971))*(1+INDEX($AA$21:$AA$97,F971))-1</f>
        <v>0.642731410811486</v>
      </c>
      <c r="I971" s="68">
        <f>(1+INDEX($AB$21:$AB$97,B971))*(1+INDEX($AB$21:$AB$97,C971))*(1+INDEX($AB$21:$AB$97,D971))*(1+INDEX($AB$21:$AB$97,E971))*(1+INDEX($AB$21:$AB$97,F971))-1</f>
        <v>0.713045424464363</v>
      </c>
      <c r="J971" s="489">
        <f>LN((1+G971)/(1+H971))</f>
        <v>0.117450697884244</v>
      </c>
      <c r="K971" s="489">
        <f>LN((1+I971)/(1+H971))</f>
        <v>0.0419123856471352</v>
      </c>
      <c r="L971" s="489">
        <f>(1+INDEX($AC$21:$AC$97,B971))*(1+INDEX($AC$21:$AC$97,C971))*(1+INDEX($AC$21:$AC$97,D971))*(1+INDEX($AC$21:$AC$97,E971))*(1+INDEX($AC$21:$AC$97,F971))-1</f>
        <v>0.695366682333441</v>
      </c>
      <c r="M971" s="489">
        <f>(1+INDEX($AD$21:$AD$97,B971))*(1+INDEX($AD$21:$AD$97,C971))*(1+INDEX($AD$21:$AD$97,D971))*(1+INDEX($AD$21:$AD$97,E971))*(1+INDEX($AD$21:$AD$97,F971))-1</f>
        <v>0.706974406829353</v>
      </c>
      <c r="N971" s="489">
        <f>(1+INDEX($AE$21:$AE$97,B971))*(1+INDEX($AE$21:$AE$97,C971))*(1+INDEX($AE$21:$AE$97,D971))*(1+INDEX($AE$21:$AE$97,E971))*(1+INDEX($AE$21:$AE$97,F971))-1</f>
        <v>0.689516792031772</v>
      </c>
      <c r="O971" s="489">
        <f>(1+INDEX($AF$21:$AF$97,B971))*(1+INDEX($AF$21:$AF$97,C971))*(1+INDEX($AF$21:$AF$97,D971))*(1+INDEX($AF$21:$AF$97,E971))*(1+INDEX($AF$21:$AF$97,F971))-1</f>
        <v>0.703395336146254</v>
      </c>
      <c r="P971" s="489">
        <f>LN((1+L971)/(1+H971))</f>
        <v>0.0315386983606188</v>
      </c>
      <c r="Q971" s="489">
        <f>LN((1+M971)/(1+H971))</f>
        <v>0.0383620997942182</v>
      </c>
      <c r="R971" s="489">
        <f>LN((1+N971)/(1+H971))</f>
        <v>0.0280822153412422</v>
      </c>
      <c r="S971" s="542">
        <f>LN((1+O971)/(1+H971))</f>
        <v>0.0362631649180538</v>
      </c>
    </row>
    <row r="972">
      <c r="A972" s="320" t="n">
        <v>871</v>
      </c>
      <c r="B972" s="174" t="n">
        <v>54</v>
      </c>
      <c r="C972" s="174" t="n">
        <v>3</v>
      </c>
      <c r="D972" s="174" t="n">
        <v>7</v>
      </c>
      <c r="E972" s="174" t="n">
        <v>36</v>
      </c>
      <c r="F972" s="174" t="n">
        <v>13</v>
      </c>
      <c r="G972" s="68">
        <f>(1+INDEX($Z$21:$Z$97,B972))*(1+INDEX($Z$21:$Z$97,C972))*(1+INDEX($Z$21:$Z$97,D972))*(1+INDEX($Z$21:$Z$97,E972))*(1+INDEX($Z$21:$Z$97,F972))-1</f>
        <v>0.275822167283777</v>
      </c>
      <c r="H972" s="68">
        <f>(1+INDEX($AA$21:$AA$97,B972))*(1+INDEX($AA$21:$AA$97,C972))*(1+INDEX($AA$21:$AA$97,D972))*(1+INDEX($AA$21:$AA$97,E972))*(1+INDEX($AA$21:$AA$97,F972))-1</f>
        <v>0.237552643758473</v>
      </c>
      <c r="I972" s="68">
        <f>(1+INDEX($AB$21:$AB$97,B972))*(1+INDEX($AB$21:$AB$97,C972))*(1+INDEX($AB$21:$AB$97,D972))*(1+INDEX($AB$21:$AB$97,E972))*(1+INDEX($AB$21:$AB$97,F972))-1</f>
        <v>0.229798678520945</v>
      </c>
      <c r="J972" s="489">
        <f>LN((1+G972)/(1+H972))</f>
        <v>0.0304550529108277</v>
      </c>
      <c r="K972" s="489">
        <f>LN((1+I972)/(1+H972))</f>
        <v>-0.00628527497806211</v>
      </c>
      <c r="L972" s="489">
        <f>(1+INDEX($AC$21:$AC$97,B972))*(1+INDEX($AC$21:$AC$97,C972))*(1+INDEX($AC$21:$AC$97,D972))*(1+INDEX($AC$21:$AC$97,E972))*(1+INDEX($AC$21:$AC$97,F972))-1</f>
        <v>0.223571513244616</v>
      </c>
      <c r="M972" s="489">
        <f>(1+INDEX($AD$21:$AD$97,B972))*(1+INDEX($AD$21:$AD$97,C972))*(1+INDEX($AD$21:$AD$97,D972))*(1+INDEX($AD$21:$AD$97,E972))*(1+INDEX($AD$21:$AD$97,F972))-1</f>
        <v>0.244450725195668</v>
      </c>
      <c r="N972" s="489">
        <f>(1+INDEX($AE$21:$AE$97,B972))*(1+INDEX($AE$21:$AE$97,C972))*(1+INDEX($AE$21:$AE$97,D972))*(1+INDEX($AE$21:$AE$97,E972))*(1+INDEX($AE$21:$AE$97,F972))-1</f>
        <v>0.214762578800424</v>
      </c>
      <c r="O972" s="489">
        <f>(1+INDEX($AF$21:$AF$97,B972))*(1+INDEX($AF$21:$AF$97,C972))*(1+INDEX($AF$21:$AF$97,D972))*(1+INDEX($AF$21:$AF$97,E972))*(1+INDEX($AF$21:$AF$97,F972))-1</f>
        <v>0.261569942944991</v>
      </c>
      <c r="P972" s="489">
        <f>LN((1+L972)/(1+H972))</f>
        <v>-0.0113617030443397</v>
      </c>
      <c r="Q972" s="489">
        <f>LN((1+M972)/(1+H972))</f>
        <v>0.00555849301754873</v>
      </c>
      <c r="R972" s="489">
        <f>LN((1+N972)/(1+H972))</f>
        <v>-0.0185871056636871</v>
      </c>
      <c r="S972" s="542">
        <f>LN((1+O972)/(1+H972))</f>
        <v>0.0192211768639414</v>
      </c>
    </row>
    <row r="973">
      <c r="A973" s="320" t="n">
        <v>872</v>
      </c>
      <c r="B973" s="174" t="n">
        <v>21</v>
      </c>
      <c r="C973" s="174" t="n">
        <v>24</v>
      </c>
      <c r="D973" s="174" t="n">
        <v>44</v>
      </c>
      <c r="E973" s="174" t="n">
        <v>40</v>
      </c>
      <c r="F973" s="174" t="n">
        <v>41</v>
      </c>
      <c r="G973" s="68">
        <f>(1+INDEX($Z$21:$Z$97,B973))*(1+INDEX($Z$21:$Z$97,C973))*(1+INDEX($Z$21:$Z$97,D973))*(1+INDEX($Z$21:$Z$97,E973))*(1+INDEX($Z$21:$Z$97,F973))-1</f>
        <v>0.507253792367658</v>
      </c>
      <c r="H973" s="68">
        <f>(1+INDEX($AA$21:$AA$97,B973))*(1+INDEX($AA$21:$AA$97,C973))*(1+INDEX($AA$21:$AA$97,D973))*(1+INDEX($AA$21:$AA$97,E973))*(1+INDEX($AA$21:$AA$97,F973))-1</f>
        <v>0.464165266991048</v>
      </c>
      <c r="I973" s="68">
        <f>(1+INDEX($AB$21:$AB$97,B973))*(1+INDEX($AB$21:$AB$97,C973))*(1+INDEX($AB$21:$AB$97,D973))*(1+INDEX($AB$21:$AB$97,E973))*(1+INDEX($AB$21:$AB$97,F973))-1</f>
        <v>0.509542743701786</v>
      </c>
      <c r="J973" s="489">
        <f>LN((1+G973)/(1+H973))</f>
        <v>0.0290040180114488</v>
      </c>
      <c r="K973" s="489">
        <f>LN((1+I973)/(1+H973))</f>
        <v>0.0305214897706444</v>
      </c>
      <c r="L973" s="489">
        <f>(1+INDEX($AC$21:$AC$97,B973))*(1+INDEX($AC$21:$AC$97,C973))*(1+INDEX($AC$21:$AC$97,D973))*(1+INDEX($AC$21:$AC$97,E973))*(1+INDEX($AC$21:$AC$97,F973))-1</f>
        <v>0.501398300279877</v>
      </c>
      <c r="M973" s="489">
        <f>(1+INDEX($AD$21:$AD$97,B973))*(1+INDEX($AD$21:$AD$97,C973))*(1+INDEX($AD$21:$AD$97,D973))*(1+INDEX($AD$21:$AD$97,E973))*(1+INDEX($AD$21:$AD$97,F973))-1</f>
        <v>0.509421761127389</v>
      </c>
      <c r="N973" s="489">
        <f>(1+INDEX($AE$21:$AE$97,B973))*(1+INDEX($AE$21:$AE$97,C973))*(1+INDEX($AE$21:$AE$97,D973))*(1+INDEX($AE$21:$AE$97,E973))*(1+INDEX($AE$21:$AE$97,F973))-1</f>
        <v>0.476625973398089</v>
      </c>
      <c r="O973" s="489">
        <f>(1+INDEX($AF$21:$AF$97,B973))*(1+INDEX($AF$21:$AF$97,C973))*(1+INDEX($AF$21:$AF$97,D973))*(1+INDEX($AF$21:$AF$97,E973))*(1+INDEX($AF$21:$AF$97,F973))-1</f>
        <v>0.498012386647846</v>
      </c>
      <c r="P973" s="489">
        <f>LN((1+L973)/(1+H973))</f>
        <v>0.0251115776091966</v>
      </c>
      <c r="Q973" s="489">
        <f>LN((1+M973)/(1+H973))</f>
        <v>0.0304413413791893</v>
      </c>
      <c r="R973" s="489">
        <f>LN((1+N973)/(1+H973))</f>
        <v>0.00847444103419871</v>
      </c>
      <c r="S973" s="542">
        <f>LN((1+O973)/(1+H973))</f>
        <v>0.0228538573943298</v>
      </c>
    </row>
    <row r="974">
      <c r="A974" s="320" t="n">
        <v>873</v>
      </c>
      <c r="B974" s="174" t="n">
        <v>3</v>
      </c>
      <c r="C974" s="174" t="n">
        <v>27</v>
      </c>
      <c r="D974" s="174" t="n">
        <v>23</v>
      </c>
      <c r="E974" s="174" t="n">
        <v>52</v>
      </c>
      <c r="F974" s="174" t="n">
        <v>74</v>
      </c>
      <c r="G974" s="68">
        <f>(1+INDEX($Z$21:$Z$97,B974))*(1+INDEX($Z$21:$Z$97,C974))*(1+INDEX($Z$21:$Z$97,D974))*(1+INDEX($Z$21:$Z$97,E974))*(1+INDEX($Z$21:$Z$97,F974))-1</f>
        <v>1.00591552404113</v>
      </c>
      <c r="H974" s="68">
        <f>(1+INDEX($AA$21:$AA$97,B974))*(1+INDEX($AA$21:$AA$97,C974))*(1+INDEX($AA$21:$AA$97,D974))*(1+INDEX($AA$21:$AA$97,E974))*(1+INDEX($AA$21:$AA$97,F974))-1</f>
        <v>0.865779077686951</v>
      </c>
      <c r="I974" s="68">
        <f>(1+INDEX($AB$21:$AB$97,B974))*(1+INDEX($AB$21:$AB$97,C974))*(1+INDEX($AB$21:$AB$97,D974))*(1+INDEX($AB$21:$AB$97,E974))*(1+INDEX($AB$21:$AB$97,F974))-1</f>
        <v>0.965863615619134</v>
      </c>
      <c r="J974" s="489">
        <f>LN((1+G974)/(1+H974))</f>
        <v>0.0724218751149681</v>
      </c>
      <c r="K974" s="489">
        <f>LN((1+I974)/(1+H974))</f>
        <v>0.0522529459190731</v>
      </c>
      <c r="L974" s="489">
        <f>(1+INDEX($AC$21:$AC$97,B974))*(1+INDEX($AC$21:$AC$97,C974))*(1+INDEX($AC$21:$AC$97,D974))*(1+INDEX($AC$21:$AC$97,E974))*(1+INDEX($AC$21:$AC$97,F974))-1</f>
        <v>0.96233337659127</v>
      </c>
      <c r="M974" s="489">
        <f>(1+INDEX($AD$21:$AD$97,B974))*(1+INDEX($AD$21:$AD$97,C974))*(1+INDEX($AD$21:$AD$97,D974))*(1+INDEX($AD$21:$AD$97,E974))*(1+INDEX($AD$21:$AD$97,F974))-1</f>
        <v>0.95465647551131</v>
      </c>
      <c r="N974" s="489">
        <f>(1+INDEX($AE$21:$AE$97,B974))*(1+INDEX($AE$21:$AE$97,C974))*(1+INDEX($AE$21:$AE$97,D974))*(1+INDEX($AE$21:$AE$97,E974))*(1+INDEX($AE$21:$AE$97,F974))-1</f>
        <v>0.94483356143583</v>
      </c>
      <c r="O974" s="489">
        <f>(1+INDEX($AF$21:$AF$97,B974))*(1+INDEX($AF$21:$AF$97,C974))*(1+INDEX($AF$21:$AF$97,D974))*(1+INDEX($AF$21:$AF$97,E974))*(1+INDEX($AF$21:$AF$97,F974))-1</f>
        <v>0.918104345142159</v>
      </c>
      <c r="P974" s="489">
        <f>LN((1+L974)/(1+H974))</f>
        <v>0.0504555615285957</v>
      </c>
      <c r="Q974" s="489">
        <f>LN((1+M974)/(1+H974))</f>
        <v>0.0465357602529461</v>
      </c>
      <c r="R974" s="489">
        <f>LN((1+N974)/(1+H974))</f>
        <v>0.0414976989887547</v>
      </c>
      <c r="S974" s="542">
        <f>LN((1+O974)/(1+H974))</f>
        <v>0.0276586761860015</v>
      </c>
    </row>
    <row r="975">
      <c r="A975" s="320" t="n">
        <v>874</v>
      </c>
      <c r="B975" s="174" t="n">
        <v>3</v>
      </c>
      <c r="C975" s="174" t="n">
        <v>54</v>
      </c>
      <c r="D975" s="174" t="n">
        <v>35</v>
      </c>
      <c r="E975" s="174" t="n">
        <v>53</v>
      </c>
      <c r="F975" s="174" t="n">
        <v>62</v>
      </c>
      <c r="G975" s="68">
        <f>(1+INDEX($Z$21:$Z$97,B975))*(1+INDEX($Z$21:$Z$97,C975))*(1+INDEX($Z$21:$Z$97,D975))*(1+INDEX($Z$21:$Z$97,E975))*(1+INDEX($Z$21:$Z$97,F975))-1</f>
        <v>0.0898810669359522</v>
      </c>
      <c r="H975" s="68">
        <f>(1+INDEX($AA$21:$AA$97,B975))*(1+INDEX($AA$21:$AA$97,C975))*(1+INDEX($AA$21:$AA$97,D975))*(1+INDEX($AA$21:$AA$97,E975))*(1+INDEX($AA$21:$AA$97,F975))-1</f>
        <v>0.130503606672159</v>
      </c>
      <c r="I975" s="68">
        <f>(1+INDEX($AB$21:$AB$97,B975))*(1+INDEX($AB$21:$AB$97,C975))*(1+INDEX($AB$21:$AB$97,D975))*(1+INDEX($AB$21:$AB$97,E975))*(1+INDEX($AB$21:$AB$97,F975))-1</f>
        <v>0.11487488503093</v>
      </c>
      <c r="J975" s="489">
        <f>LN((1+G975)/(1+H975))</f>
        <v>-0.0365946256794096</v>
      </c>
      <c r="K975" s="489">
        <f>LN((1+I975)/(1+H975))</f>
        <v>-0.0139210151830249</v>
      </c>
      <c r="L975" s="489">
        <f>(1+INDEX($AC$21:$AC$97,B975))*(1+INDEX($AC$21:$AC$97,C975))*(1+INDEX($AC$21:$AC$97,D975))*(1+INDEX($AC$21:$AC$97,E975))*(1+INDEX($AC$21:$AC$97,F975))-1</f>
        <v>0.124849580211774</v>
      </c>
      <c r="M975" s="489">
        <f>(1+INDEX($AD$21:$AD$97,B975))*(1+INDEX($AD$21:$AD$97,C975))*(1+INDEX($AD$21:$AD$97,D975))*(1+INDEX($AD$21:$AD$97,E975))*(1+INDEX($AD$21:$AD$97,F975))-1</f>
        <v>0.121598616425536</v>
      </c>
      <c r="N975" s="489">
        <f>(1+INDEX($AE$21:$AE$97,B975))*(1+INDEX($AE$21:$AE$97,C975))*(1+INDEX($AE$21:$AE$97,D975))*(1+INDEX($AE$21:$AE$97,E975))*(1+INDEX($AE$21:$AE$97,F975))-1</f>
        <v>0.120923145809207</v>
      </c>
      <c r="O975" s="489">
        <f>(1+INDEX($AF$21:$AF$97,B975))*(1+INDEX($AF$21:$AF$97,C975))*(1+INDEX($AF$21:$AF$97,D975))*(1+INDEX($AF$21:$AF$97,E975))*(1+INDEX($AF$21:$AF$97,F975))-1</f>
        <v>0.11373081881566</v>
      </c>
      <c r="P975" s="489">
        <f>LN((1+L975)/(1+H975))</f>
        <v>-0.00501388282596755</v>
      </c>
      <c r="Q975" s="489">
        <f>LN((1+M975)/(1+H975))</f>
        <v>-0.00790819933908905</v>
      </c>
      <c r="R975" s="489">
        <f>LN((1+N975)/(1+H975))</f>
        <v>-0.00851061992481724</v>
      </c>
      <c r="S975" s="542">
        <f>LN((1+O975)/(1+H975))</f>
        <v>-0.0149477255731093</v>
      </c>
    </row>
    <row r="976">
      <c r="A976" s="320" t="n">
        <v>875</v>
      </c>
      <c r="B976" s="174" t="n">
        <v>35</v>
      </c>
      <c r="C976" s="174" t="n">
        <v>30</v>
      </c>
      <c r="D976" s="174" t="n">
        <v>51</v>
      </c>
      <c r="E976" s="174" t="n">
        <v>70</v>
      </c>
      <c r="F976" s="174" t="n">
        <v>61</v>
      </c>
      <c r="G976" s="68">
        <f>(1+INDEX($Z$21:$Z$97,B976))*(1+INDEX($Z$21:$Z$97,C976))*(1+INDEX($Z$21:$Z$97,D976))*(1+INDEX($Z$21:$Z$97,E976))*(1+INDEX($Z$21:$Z$97,F976))-1</f>
        <v>0.684317912648521</v>
      </c>
      <c r="H976" s="68">
        <f>(1+INDEX($AA$21:$AA$97,B976))*(1+INDEX($AA$21:$AA$97,C976))*(1+INDEX($AA$21:$AA$97,D976))*(1+INDEX($AA$21:$AA$97,E976))*(1+INDEX($AA$21:$AA$97,F976))-1</f>
        <v>0.656344102347358</v>
      </c>
      <c r="I976" s="68">
        <f>(1+INDEX($AB$21:$AB$97,B976))*(1+INDEX($AB$21:$AB$97,C976))*(1+INDEX($AB$21:$AB$97,D976))*(1+INDEX($AB$21:$AB$97,E976))*(1+INDEX($AB$21:$AB$97,F976))-1</f>
        <v>0.700789732112017</v>
      </c>
      <c r="J976" s="489">
        <f>LN((1+G976)/(1+H976))</f>
        <v>0.0167478565857119</v>
      </c>
      <c r="K976" s="489">
        <f>LN((1+I976)/(1+H976))</f>
        <v>0.0264798658441894</v>
      </c>
      <c r="L976" s="489">
        <f>(1+INDEX($AC$21:$AC$97,B976))*(1+INDEX($AC$21:$AC$97,C976))*(1+INDEX($AC$21:$AC$97,D976))*(1+INDEX($AC$21:$AC$97,E976))*(1+INDEX($AC$21:$AC$97,F976))-1</f>
        <v>0.719702135629026</v>
      </c>
      <c r="M976" s="489">
        <f>(1+INDEX($AD$21:$AD$97,B976))*(1+INDEX($AD$21:$AD$97,C976))*(1+INDEX($AD$21:$AD$97,D976))*(1+INDEX($AD$21:$AD$97,E976))*(1+INDEX($AD$21:$AD$97,F976))-1</f>
        <v>0.672615187862399</v>
      </c>
      <c r="N976" s="489">
        <f>(1+INDEX($AE$21:$AE$97,B976))*(1+INDEX($AE$21:$AE$97,C976))*(1+INDEX($AE$21:$AE$97,D976))*(1+INDEX($AE$21:$AE$97,E976))*(1+INDEX($AE$21:$AE$97,F976))-1</f>
        <v>0.736463797418876</v>
      </c>
      <c r="O976" s="489">
        <f>(1+INDEX($AF$21:$AF$97,B976))*(1+INDEX($AF$21:$AF$97,C976))*(1+INDEX($AF$21:$AF$97,D976))*(1+INDEX($AF$21:$AF$97,E976))*(1+INDEX($AF$21:$AF$97,F976))-1</f>
        <v>0.603938681154608</v>
      </c>
      <c r="P976" s="489">
        <f>LN((1+L976)/(1+H976))</f>
        <v>0.0375382732186211</v>
      </c>
      <c r="Q976" s="489">
        <f>LN((1+M976)/(1+H976))</f>
        <v>0.00977555666529767</v>
      </c>
      <c r="R976" s="489">
        <f>LN((1+N976)/(1+H976))</f>
        <v>0.0472379193178863</v>
      </c>
      <c r="S976" s="542">
        <f>LN((1+O976)/(1+H976))</f>
        <v>-0.032150545643027</v>
      </c>
    </row>
    <row r="977">
      <c r="A977" s="320" t="n">
        <v>876</v>
      </c>
      <c r="B977" s="174" t="n">
        <v>17</v>
      </c>
      <c r="C977" s="174" t="n">
        <v>23</v>
      </c>
      <c r="D977" s="174" t="n">
        <v>67</v>
      </c>
      <c r="E977" s="174" t="n">
        <v>18</v>
      </c>
      <c r="F977" s="174" t="n">
        <v>19</v>
      </c>
      <c r="G977" s="68">
        <f>(1+INDEX($Z$21:$Z$97,B977))*(1+INDEX($Z$21:$Z$97,C977))*(1+INDEX($Z$21:$Z$97,D977))*(1+INDEX($Z$21:$Z$97,E977))*(1+INDEX($Z$21:$Z$97,F977))-1</f>
        <v>0.314142778653529</v>
      </c>
      <c r="H977" s="68">
        <f>(1+INDEX($AA$21:$AA$97,B977))*(1+INDEX($AA$21:$AA$97,C977))*(1+INDEX($AA$21:$AA$97,D977))*(1+INDEX($AA$21:$AA$97,E977))*(1+INDEX($AA$21:$AA$97,F977))-1</f>
        <v>0.275045313026115</v>
      </c>
      <c r="I977" s="68">
        <f>(1+INDEX($AB$21:$AB$97,B977))*(1+INDEX($AB$21:$AB$97,C977))*(1+INDEX($AB$21:$AB$97,D977))*(1+INDEX($AB$21:$AB$97,E977))*(1+INDEX($AB$21:$AB$97,F977))-1</f>
        <v>0.265662617309171</v>
      </c>
      <c r="J977" s="489">
        <f>LN((1+G977)/(1+H977))</f>
        <v>0.0302028561058748</v>
      </c>
      <c r="K977" s="489">
        <f>LN((1+I977)/(1+H977))</f>
        <v>-0.00738592441777253</v>
      </c>
      <c r="L977" s="489">
        <f>(1+INDEX($AC$21:$AC$97,B977))*(1+INDEX($AC$21:$AC$97,C977))*(1+INDEX($AC$21:$AC$97,D977))*(1+INDEX($AC$21:$AC$97,E977))*(1+INDEX($AC$21:$AC$97,F977))-1</f>
        <v>0.24728650575095</v>
      </c>
      <c r="M977" s="489">
        <f>(1+INDEX($AD$21:$AD$97,B977))*(1+INDEX($AD$21:$AD$97,C977))*(1+INDEX($AD$21:$AD$97,D977))*(1+INDEX($AD$21:$AD$97,E977))*(1+INDEX($AD$21:$AD$97,F977))-1</f>
        <v>0.260763601637141</v>
      </c>
      <c r="N977" s="489">
        <f>(1+INDEX($AE$21:$AE$97,B977))*(1+INDEX($AE$21:$AE$97,C977))*(1+INDEX($AE$21:$AE$97,D977))*(1+INDEX($AE$21:$AE$97,E977))*(1+INDEX($AE$21:$AE$97,F977))-1</f>
        <v>0.262064717429133</v>
      </c>
      <c r="O977" s="489">
        <f>(1+INDEX($AF$21:$AF$97,B977))*(1+INDEX($AF$21:$AF$97,C977))*(1+INDEX($AF$21:$AF$97,D977))*(1+INDEX($AF$21:$AF$97,E977))*(1+INDEX($AF$21:$AF$97,F977))-1</f>
        <v>0.291592277524918</v>
      </c>
      <c r="P977" s="489">
        <f>LN((1+L977)/(1+H977))</f>
        <v>-0.0220113212839728</v>
      </c>
      <c r="Q977" s="489">
        <f>LN((1+M977)/(1+H977))</f>
        <v>-0.0112641471623268</v>
      </c>
      <c r="R977" s="489">
        <f>LN((1+N977)/(1+H977))</f>
        <v>-0.010232673163468</v>
      </c>
      <c r="S977" s="542">
        <f>LN((1+O977)/(1+H977))</f>
        <v>0.0128940632779318</v>
      </c>
    </row>
    <row r="978">
      <c r="A978" s="320" t="n">
        <v>877</v>
      </c>
      <c r="B978" s="174" t="n">
        <v>69</v>
      </c>
      <c r="C978" s="174" t="n">
        <v>61</v>
      </c>
      <c r="D978" s="174" t="n">
        <v>32</v>
      </c>
      <c r="E978" s="174" t="n">
        <v>68</v>
      </c>
      <c r="F978" s="174" t="n">
        <v>49</v>
      </c>
      <c r="G978" s="68">
        <f>(1+INDEX($Z$21:$Z$97,B978))*(1+INDEX($Z$21:$Z$97,C978))*(1+INDEX($Z$21:$Z$97,D978))*(1+INDEX($Z$21:$Z$97,E978))*(1+INDEX($Z$21:$Z$97,F978))-1</f>
        <v>0.743975374900131</v>
      </c>
      <c r="H978" s="68">
        <f>(1+INDEX($AA$21:$AA$97,B978))*(1+INDEX($AA$21:$AA$97,C978))*(1+INDEX($AA$21:$AA$97,D978))*(1+INDEX($AA$21:$AA$97,E978))*(1+INDEX($AA$21:$AA$97,F978))-1</f>
        <v>0.708106031485817</v>
      </c>
      <c r="I978" s="68">
        <f>(1+INDEX($AB$21:$AB$97,B978))*(1+INDEX($AB$21:$AB$97,C978))*(1+INDEX($AB$21:$AB$97,D978))*(1+INDEX($AB$21:$AB$97,E978))*(1+INDEX($AB$21:$AB$97,F978))-1</f>
        <v>0.765756784150903</v>
      </c>
      <c r="J978" s="489">
        <f>LN((1+G978)/(1+H978))</f>
        <v>0.0207820327266024</v>
      </c>
      <c r="K978" s="489">
        <f>LN((1+I978)/(1+H978))</f>
        <v>0.0331941986146773</v>
      </c>
      <c r="L978" s="489">
        <f>(1+INDEX($AC$21:$AC$97,B978))*(1+INDEX($AC$21:$AC$97,C978))*(1+INDEX($AC$21:$AC$97,D978))*(1+INDEX($AC$21:$AC$97,E978))*(1+INDEX($AC$21:$AC$97,F978))-1</f>
        <v>0.780534280679461</v>
      </c>
      <c r="M978" s="489">
        <f>(1+INDEX($AD$21:$AD$97,B978))*(1+INDEX($AD$21:$AD$97,C978))*(1+INDEX($AD$21:$AD$97,D978))*(1+INDEX($AD$21:$AD$97,E978))*(1+INDEX($AD$21:$AD$97,F978))-1</f>
        <v>0.732285120326002</v>
      </c>
      <c r="N978" s="489">
        <f>(1+INDEX($AE$21:$AE$97,B978))*(1+INDEX($AE$21:$AE$97,C978))*(1+INDEX($AE$21:$AE$97,D978))*(1+INDEX($AE$21:$AE$97,E978))*(1+INDEX($AE$21:$AE$97,F978))-1</f>
        <v>0.809816397587738</v>
      </c>
      <c r="O978" s="489">
        <f>(1+INDEX($AF$21:$AF$97,B978))*(1+INDEX($AF$21:$AF$97,C978))*(1+INDEX($AF$21:$AF$97,D978))*(1+INDEX($AF$21:$AF$97,E978))*(1+INDEX($AF$21:$AF$97,F978))-1</f>
        <v>0.658128151518622</v>
      </c>
      <c r="P978" s="489">
        <f>LN((1+L978)/(1+H978))</f>
        <v>0.0415283041869933</v>
      </c>
      <c r="Q978" s="489">
        <f>LN((1+M978)/(1+H978))</f>
        <v>0.0140562429540839</v>
      </c>
      <c r="R978" s="489">
        <f>LN((1+N978)/(1+H978))</f>
        <v>0.0578402295719582</v>
      </c>
      <c r="S978" s="542">
        <f>LN((1+O978)/(1+H978))</f>
        <v>-0.0296958262037095</v>
      </c>
    </row>
    <row r="979">
      <c r="A979" s="320" t="n">
        <v>878</v>
      </c>
      <c r="B979" s="174" t="n">
        <v>62</v>
      </c>
      <c r="C979" s="174" t="n">
        <v>69</v>
      </c>
      <c r="D979" s="174" t="n">
        <v>56</v>
      </c>
      <c r="E979" s="174" t="n">
        <v>9</v>
      </c>
      <c r="F979" s="174" t="n">
        <v>74</v>
      </c>
      <c r="G979" s="68">
        <f>(1+INDEX($Z$21:$Z$97,B979))*(1+INDEX($Z$21:$Z$97,C979))*(1+INDEX($Z$21:$Z$97,D979))*(1+INDEX($Z$21:$Z$97,E979))*(1+INDEX($Z$21:$Z$97,F979))-1</f>
        <v>-0.0109542446213093</v>
      </c>
      <c r="H979" s="68">
        <f>(1+INDEX($AA$21:$AA$97,B979))*(1+INDEX($AA$21:$AA$97,C979))*(1+INDEX($AA$21:$AA$97,D979))*(1+INDEX($AA$21:$AA$97,E979))*(1+INDEX($AA$21:$AA$97,F979))-1</f>
        <v>0.0368100172624366</v>
      </c>
      <c r="I979" s="68">
        <f>(1+INDEX($AB$21:$AB$97,B979))*(1+INDEX($AB$21:$AB$97,C979))*(1+INDEX($AB$21:$AB$97,D979))*(1+INDEX($AB$21:$AB$97,E979))*(1+INDEX($AB$21:$AB$97,F979))-1</f>
        <v>0.01284719166069</v>
      </c>
      <c r="J979" s="489">
        <f>LN((1+G979)/(1+H979))</f>
        <v>-0.0471633924244033</v>
      </c>
      <c r="K979" s="489">
        <f>LN((1+I979)/(1+H979))</f>
        <v>-0.0233833417168065</v>
      </c>
      <c r="L979" s="489">
        <f>(1+INDEX($AC$21:$AC$97,B979))*(1+INDEX($AC$21:$AC$97,C979))*(1+INDEX($AC$21:$AC$97,D979))*(1+INDEX($AC$21:$AC$97,E979))*(1+INDEX($AC$21:$AC$97,F979))-1</f>
        <v>0.00688468206491244</v>
      </c>
      <c r="M979" s="489">
        <f>(1+INDEX($AD$21:$AD$97,B979))*(1+INDEX($AD$21:$AD$97,C979))*(1+INDEX($AD$21:$AD$97,D979))*(1+INDEX($AD$21:$AD$97,E979))*(1+INDEX($AD$21:$AD$97,F979))-1</f>
        <v>0.012366174248422</v>
      </c>
      <c r="N979" s="489">
        <f>(1+INDEX($AE$21:$AE$97,B979))*(1+INDEX($AE$21:$AE$97,C979))*(1+INDEX($AE$21:$AE$97,D979))*(1+INDEX($AE$21:$AE$97,E979))*(1+INDEX($AE$21:$AE$97,F979))-1</f>
        <v>0.0109910428771025</v>
      </c>
      <c r="O979" s="489">
        <f>(1+INDEX($AF$21:$AF$97,B979))*(1+INDEX($AF$21:$AF$97,C979))*(1+INDEX($AF$21:$AF$97,D979))*(1+INDEX($AF$21:$AF$97,E979))*(1+INDEX($AF$21:$AF$97,F979))-1</f>
        <v>0.0549745447773213</v>
      </c>
      <c r="P979" s="489">
        <f>LN((1+L979)/(1+H979))</f>
        <v>-0.0292876174225651</v>
      </c>
      <c r="Q979" s="489">
        <f>LN((1+M979)/(1+H979))</f>
        <v>-0.0238583705996001</v>
      </c>
      <c r="R979" s="489">
        <f>LN((1+N979)/(1+H979))</f>
        <v>-0.0252176279481323</v>
      </c>
      <c r="S979" s="542">
        <f>LN((1+O979)/(1+H979))</f>
        <v>0.0173679301831314</v>
      </c>
    </row>
    <row r="980">
      <c r="A980" s="320" t="n">
        <v>879</v>
      </c>
      <c r="B980" s="174" t="n">
        <v>30</v>
      </c>
      <c r="C980" s="174" t="n">
        <v>59</v>
      </c>
      <c r="D980" s="174" t="n">
        <v>55</v>
      </c>
      <c r="E980" s="174" t="n">
        <v>29</v>
      </c>
      <c r="F980" s="174" t="n">
        <v>64</v>
      </c>
      <c r="G980" s="68">
        <f>(1+INDEX($Z$21:$Z$97,B980))*(1+INDEX($Z$21:$Z$97,C980))*(1+INDEX($Z$21:$Z$97,D980))*(1+INDEX($Z$21:$Z$97,E980))*(1+INDEX($Z$21:$Z$97,F980))-1</f>
        <v>0.372561721039611</v>
      </c>
      <c r="H980" s="68">
        <f>(1+INDEX($AA$21:$AA$97,B980))*(1+INDEX($AA$21:$AA$97,C980))*(1+INDEX($AA$21:$AA$97,D980))*(1+INDEX($AA$21:$AA$97,E980))*(1+INDEX($AA$21:$AA$97,F980))-1</f>
        <v>0.385981402194412</v>
      </c>
      <c r="I980" s="68">
        <f>(1+INDEX($AB$21:$AB$97,B980))*(1+INDEX($AB$21:$AB$97,C980))*(1+INDEX($AB$21:$AB$97,D980))*(1+INDEX($AB$21:$AB$97,E980))*(1+INDEX($AB$21:$AB$97,F980))-1</f>
        <v>0.403519401593402</v>
      </c>
      <c r="J980" s="489">
        <f>LN((1+G980)/(1+H980))</f>
        <v>-0.00972961916503069</v>
      </c>
      <c r="K980" s="489">
        <f>LN((1+I980)/(1+H980))</f>
        <v>0.0125744580984154</v>
      </c>
      <c r="L980" s="489">
        <f>(1+INDEX($AC$21:$AC$97,B980))*(1+INDEX($AC$21:$AC$97,C980))*(1+INDEX($AC$21:$AC$97,D980))*(1+INDEX($AC$21:$AC$97,E980))*(1+INDEX($AC$21:$AC$97,F980))-1</f>
        <v>0.4242705514075</v>
      </c>
      <c r="M980" s="489">
        <f>(1+INDEX($AD$21:$AD$97,B980))*(1+INDEX($AD$21:$AD$97,C980))*(1+INDEX($AD$21:$AD$97,D980))*(1+INDEX($AD$21:$AD$97,E980))*(1+INDEX($AD$21:$AD$97,F980))-1</f>
        <v>0.370329343594144</v>
      </c>
      <c r="N980" s="489">
        <f>(1+INDEX($AE$21:$AE$97,B980))*(1+INDEX($AE$21:$AE$97,C980))*(1+INDEX($AE$21:$AE$97,D980))*(1+INDEX($AE$21:$AE$97,E980))*(1+INDEX($AE$21:$AE$97,F980))-1</f>
        <v>0.427846479968503</v>
      </c>
      <c r="O980" s="489">
        <f>(1+INDEX($AF$21:$AF$97,B980))*(1+INDEX($AF$21:$AF$97,C980))*(1+INDEX($AF$21:$AF$97,D980))*(1+INDEX($AF$21:$AF$97,E980))*(1+INDEX($AF$21:$AF$97,F980))-1</f>
        <v>0.375583598495884</v>
      </c>
      <c r="P980" s="489">
        <f>LN((1+L980)/(1+H980))</f>
        <v>0.0272513065616222</v>
      </c>
      <c r="Q980" s="489">
        <f>LN((1+M980)/(1+H980))</f>
        <v>-0.0113573746141318</v>
      </c>
      <c r="R980" s="489">
        <f>LN((1+N980)/(1+H980))</f>
        <v>0.0297588687657052</v>
      </c>
      <c r="S980" s="542">
        <f>LN((1+O980)/(1+H980))</f>
        <v>-0.00753040600643749</v>
      </c>
    </row>
    <row r="981">
      <c r="A981" s="320" t="n">
        <v>880</v>
      </c>
      <c r="B981" s="174" t="n">
        <v>57</v>
      </c>
      <c r="C981" s="174" t="n">
        <v>40</v>
      </c>
      <c r="D981" s="174" t="n">
        <v>36</v>
      </c>
      <c r="E981" s="174" t="n">
        <v>17</v>
      </c>
      <c r="F981" s="174" t="n">
        <v>15</v>
      </c>
      <c r="G981" s="68">
        <f>(1+INDEX($Z$21:$Z$97,B981))*(1+INDEX($Z$21:$Z$97,C981))*(1+INDEX($Z$21:$Z$97,D981))*(1+INDEX($Z$21:$Z$97,E981))*(1+INDEX($Z$21:$Z$97,F981))-1</f>
        <v>0.483982079782007</v>
      </c>
      <c r="H981" s="68">
        <f>(1+INDEX($AA$21:$AA$97,B981))*(1+INDEX($AA$21:$AA$97,C981))*(1+INDEX($AA$21:$AA$97,D981))*(1+INDEX($AA$21:$AA$97,E981))*(1+INDEX($AA$21:$AA$97,F981))-1</f>
        <v>0.413573399072182</v>
      </c>
      <c r="I981" s="68">
        <f>(1+INDEX($AB$21:$AB$97,B981))*(1+INDEX($AB$21:$AB$97,C981))*(1+INDEX($AB$21:$AB$97,D981))*(1+INDEX($AB$21:$AB$97,E981))*(1+INDEX($AB$21:$AB$97,F981))-1</f>
        <v>0.445492048201494</v>
      </c>
      <c r="J981" s="489">
        <f>LN((1+G981)/(1+H981))</f>
        <v>0.0486082450680452</v>
      </c>
      <c r="K981" s="489">
        <f>LN((1+I981)/(1+H981))</f>
        <v>0.0223289574022339</v>
      </c>
      <c r="L981" s="489">
        <f>(1+INDEX($AC$21:$AC$97,B981))*(1+INDEX($AC$21:$AC$97,C981))*(1+INDEX($AC$21:$AC$97,D981))*(1+INDEX($AC$21:$AC$97,E981))*(1+INDEX($AC$21:$AC$97,F981))-1</f>
        <v>0.439090009475148</v>
      </c>
      <c r="M981" s="489">
        <f>(1+INDEX($AD$21:$AD$97,B981))*(1+INDEX($AD$21:$AD$97,C981))*(1+INDEX($AD$21:$AD$97,D981))*(1+INDEX($AD$21:$AD$97,E981))*(1+INDEX($AD$21:$AD$97,F981))-1</f>
        <v>0.442615783603132</v>
      </c>
      <c r="N981" s="489">
        <f>(1+INDEX($AE$21:$AE$97,B981))*(1+INDEX($AE$21:$AE$97,C981))*(1+INDEX($AE$21:$AE$97,D981))*(1+INDEX($AE$21:$AE$97,E981))*(1+INDEX($AE$21:$AE$97,F981))-1</f>
        <v>0.431218942718852</v>
      </c>
      <c r="O981" s="489">
        <f>(1+INDEX($AF$21:$AF$97,B981))*(1+INDEX($AF$21:$AF$97,C981))*(1+INDEX($AF$21:$AF$97,D981))*(1+INDEX($AF$21:$AF$97,E981))*(1+INDEX($AF$21:$AF$97,F981))-1</f>
        <v>0.423405442883248</v>
      </c>
      <c r="P981" s="489">
        <f>LN((1+L981)/(1+H981))</f>
        <v>0.0178901519808969</v>
      </c>
      <c r="Q981" s="489">
        <f>LN((1+M981)/(1+H981))</f>
        <v>0.0203371581227222</v>
      </c>
      <c r="R981" s="489">
        <f>LN((1+N981)/(1+H981))</f>
        <v>0.0124056646889287</v>
      </c>
      <c r="S981" s="542">
        <f>LN((1+O981)/(1+H981))</f>
        <v>0.00693137575073258</v>
      </c>
    </row>
    <row r="982">
      <c r="A982" s="320" t="n">
        <v>881</v>
      </c>
      <c r="B982" s="174" t="n">
        <v>19</v>
      </c>
      <c r="C982" s="174" t="n">
        <v>59</v>
      </c>
      <c r="D982" s="174" t="n">
        <v>30</v>
      </c>
      <c r="E982" s="174" t="n">
        <v>21</v>
      </c>
      <c r="F982" s="174" t="n">
        <v>8</v>
      </c>
      <c r="G982" s="68">
        <f>(1+INDEX($Z$21:$Z$97,B982))*(1+INDEX($Z$21:$Z$97,C982))*(1+INDEX($Z$21:$Z$97,D982))*(1+INDEX($Z$21:$Z$97,E982))*(1+INDEX($Z$21:$Z$97,F982))-1</f>
        <v>0.0733922412090016</v>
      </c>
      <c r="H982" s="68">
        <f>(1+INDEX($AA$21:$AA$97,B982))*(1+INDEX($AA$21:$AA$97,C982))*(1+INDEX($AA$21:$AA$97,D982))*(1+INDEX($AA$21:$AA$97,E982))*(1+INDEX($AA$21:$AA$97,F982))-1</f>
        <v>0.116873360268193</v>
      </c>
      <c r="I982" s="68">
        <f>(1+INDEX($AB$21:$AB$97,B982))*(1+INDEX($AB$21:$AB$97,C982))*(1+INDEX($AB$21:$AB$97,D982))*(1+INDEX($AB$21:$AB$97,E982))*(1+INDEX($AB$21:$AB$97,F982))-1</f>
        <v>0.0724077811678128</v>
      </c>
      <c r="J982" s="489">
        <f>LN((1+G982)/(1+H982))</f>
        <v>-0.0397091862916807</v>
      </c>
      <c r="K982" s="489">
        <f>LN((1+I982)/(1+H982))</f>
        <v>-0.0406267555898385</v>
      </c>
      <c r="L982" s="489">
        <f>(1+INDEX($AC$21:$AC$97,B982))*(1+INDEX($AC$21:$AC$97,C982))*(1+INDEX($AC$21:$AC$97,D982))*(1+INDEX($AC$21:$AC$97,E982))*(1+INDEX($AC$21:$AC$97,F982))-1</f>
        <v>0.0641508438687917</v>
      </c>
      <c r="M982" s="489">
        <f>(1+INDEX($AD$21:$AD$97,B982))*(1+INDEX($AD$21:$AD$97,C982))*(1+INDEX($AD$21:$AD$97,D982))*(1+INDEX($AD$21:$AD$97,E982))*(1+INDEX($AD$21:$AD$97,F982))-1</f>
        <v>0.0740066828331674</v>
      </c>
      <c r="N982" s="489">
        <f>(1+INDEX($AE$21:$AE$97,B982))*(1+INDEX($AE$21:$AE$97,C982))*(1+INDEX($AE$21:$AE$97,D982))*(1+INDEX($AE$21:$AE$97,E982))*(1+INDEX($AE$21:$AE$97,F982))-1</f>
        <v>0.0741494763710997</v>
      </c>
      <c r="O982" s="489">
        <f>(1+INDEX($AF$21:$AF$97,B982))*(1+INDEX($AF$21:$AF$97,C982))*(1+INDEX($AF$21:$AF$97,D982))*(1+INDEX($AF$21:$AF$97,E982))*(1+INDEX($AF$21:$AF$97,F982))-1</f>
        <v>0.119388117507576</v>
      </c>
      <c r="P982" s="489">
        <f>LN((1+L982)/(1+H982))</f>
        <v>-0.0483559873635086</v>
      </c>
      <c r="Q982" s="489">
        <f>LN((1+M982)/(1+H982))</f>
        <v>-0.0391369203432768</v>
      </c>
      <c r="R982" s="489">
        <f>LN((1+N982)/(1+H982))</f>
        <v>-0.0390039751311414</v>
      </c>
      <c r="S982" s="542">
        <f>LN((1+O982)/(1+H982))</f>
        <v>0.00224907357606827</v>
      </c>
    </row>
    <row r="983">
      <c r="A983" s="320" t="n">
        <v>882</v>
      </c>
      <c r="B983" s="174" t="n">
        <v>1</v>
      </c>
      <c r="C983" s="174" t="n">
        <v>32</v>
      </c>
      <c r="D983" s="174" t="n">
        <v>28</v>
      </c>
      <c r="E983" s="174" t="n">
        <v>75</v>
      </c>
      <c r="F983" s="174" t="n">
        <v>35</v>
      </c>
      <c r="G983" s="68">
        <f>(1+INDEX($Z$21:$Z$97,B983))*(1+INDEX($Z$21:$Z$97,C983))*(1+INDEX($Z$21:$Z$97,D983))*(1+INDEX($Z$21:$Z$97,E983))*(1+INDEX($Z$21:$Z$97,F983))-1</f>
        <v>0.808513977792523</v>
      </c>
      <c r="H983" s="68">
        <f>(1+INDEX($AA$21:$AA$97,B983))*(1+INDEX($AA$21:$AA$97,C983))*(1+INDEX($AA$21:$AA$97,D983))*(1+INDEX($AA$21:$AA$97,E983))*(1+INDEX($AA$21:$AA$97,F983))-1</f>
        <v>0.777911195513829</v>
      </c>
      <c r="I983" s="68">
        <f>(1+INDEX($AB$21:$AB$97,B983))*(1+INDEX($AB$21:$AB$97,C983))*(1+INDEX($AB$21:$AB$97,D983))*(1+INDEX($AB$21:$AB$97,E983))*(1+INDEX($AB$21:$AB$97,F983))-1</f>
        <v>0.859666824391882</v>
      </c>
      <c r="J983" s="489">
        <f>LN((1+G983)/(1+H983))</f>
        <v>0.0170663117584842</v>
      </c>
      <c r="K983" s="489">
        <f>LN((1+I983)/(1+H983))</f>
        <v>0.0449581554448103</v>
      </c>
      <c r="L983" s="489">
        <f>(1+INDEX($AC$21:$AC$97,B983))*(1+INDEX($AC$21:$AC$97,C983))*(1+INDEX($AC$21:$AC$97,D983))*(1+INDEX($AC$21:$AC$97,E983))*(1+INDEX($AC$21:$AC$97,F983))-1</f>
        <v>0.856509159890771</v>
      </c>
      <c r="M983" s="489">
        <f>(1+INDEX($AD$21:$AD$97,B983))*(1+INDEX($AD$21:$AD$97,C983))*(1+INDEX($AD$21:$AD$97,D983))*(1+INDEX($AD$21:$AD$97,E983))*(1+INDEX($AD$21:$AD$97,F983))-1</f>
        <v>0.871630589331938</v>
      </c>
      <c r="N983" s="489">
        <f>(1+INDEX($AE$21:$AE$97,B983))*(1+INDEX($AE$21:$AE$97,C983))*(1+INDEX($AE$21:$AE$97,D983))*(1+INDEX($AE$21:$AE$97,E983))*(1+INDEX($AE$21:$AE$97,F983))-1</f>
        <v>0.869754744625152</v>
      </c>
      <c r="O983" s="489">
        <f>(1+INDEX($AF$21:$AF$97,B983))*(1+INDEX($AF$21:$AF$97,C983))*(1+INDEX($AF$21:$AF$97,D983))*(1+INDEX($AF$21:$AF$97,E983))*(1+INDEX($AF$21:$AF$97,F983))-1</f>
        <v>0.753747006259615</v>
      </c>
      <c r="P983" s="489">
        <f>LN((1+L983)/(1+H983))</f>
        <v>0.0432587390154405</v>
      </c>
      <c r="Q983" s="489">
        <f>LN((1+M983)/(1+H983))</f>
        <v>0.0513708342595848</v>
      </c>
      <c r="R983" s="489">
        <f>LN((1+N983)/(1+H983))</f>
        <v>0.0503680800941995</v>
      </c>
      <c r="S983" s="542">
        <f>LN((1+O983)/(1+H983))</f>
        <v>-0.0136845441819185</v>
      </c>
    </row>
    <row r="984">
      <c r="A984" s="320" t="n">
        <v>883</v>
      </c>
      <c r="B984" s="174" t="n">
        <v>71</v>
      </c>
      <c r="C984" s="174" t="n">
        <v>6</v>
      </c>
      <c r="D984" s="174" t="n">
        <v>16</v>
      </c>
      <c r="E984" s="174" t="n">
        <v>49</v>
      </c>
      <c r="F984" s="174" t="n">
        <v>20</v>
      </c>
      <c r="G984" s="68">
        <f>(1+INDEX($Z$21:$Z$97,B984))*(1+INDEX($Z$21:$Z$97,C984))*(1+INDEX($Z$21:$Z$97,D984))*(1+INDEX($Z$21:$Z$97,E984))*(1+INDEX($Z$21:$Z$97,F984))-1</f>
        <v>0.15331463112483</v>
      </c>
      <c r="H984" s="68">
        <f>(1+INDEX($AA$21:$AA$97,B984))*(1+INDEX($AA$21:$AA$97,C984))*(1+INDEX($AA$21:$AA$97,D984))*(1+INDEX($AA$21:$AA$97,E984))*(1+INDEX($AA$21:$AA$97,F984))-1</f>
        <v>0.134289613397328</v>
      </c>
      <c r="I984" s="68">
        <f>(1+INDEX($AB$21:$AB$97,B984))*(1+INDEX($AB$21:$AB$97,C984))*(1+INDEX($AB$21:$AB$97,D984))*(1+INDEX($AB$21:$AB$97,E984))*(1+INDEX($AB$21:$AB$97,F984))-1</f>
        <v>0.133426715459782</v>
      </c>
      <c r="J984" s="489">
        <f>LN((1+G984)/(1+H984))</f>
        <v>0.0166335207805622</v>
      </c>
      <c r="K984" s="489">
        <f>LN((1+I984)/(1+H984))</f>
        <v>-0.000761028148195965</v>
      </c>
      <c r="L984" s="489">
        <f>(1+INDEX($AC$21:$AC$97,B984))*(1+INDEX($AC$21:$AC$97,C984))*(1+INDEX($AC$21:$AC$97,D984))*(1+INDEX($AC$21:$AC$97,E984))*(1+INDEX($AC$21:$AC$97,F984))-1</f>
        <v>0.0991780072997108</v>
      </c>
      <c r="M984" s="489">
        <f>(1+INDEX($AD$21:$AD$97,B984))*(1+INDEX($AD$21:$AD$97,C984))*(1+INDEX($AD$21:$AD$97,D984))*(1+INDEX($AD$21:$AD$97,E984))*(1+INDEX($AD$21:$AD$97,F984))-1</f>
        <v>0.125905362642645</v>
      </c>
      <c r="N984" s="489">
        <f>(1+INDEX($AE$21:$AE$97,B984))*(1+INDEX($AE$21:$AE$97,C984))*(1+INDEX($AE$21:$AE$97,D984))*(1+INDEX($AE$21:$AE$97,E984))*(1+INDEX($AE$21:$AE$97,F984))-1</f>
        <v>0.0933405077706369</v>
      </c>
      <c r="O984" s="489">
        <f>(1+INDEX($AF$21:$AF$97,B984))*(1+INDEX($AF$21:$AF$97,C984))*(1+INDEX($AF$21:$AF$97,D984))*(1+INDEX($AF$21:$AF$97,E984))*(1+INDEX($AF$21:$AF$97,F984))-1</f>
        <v>0.154551079481754</v>
      </c>
      <c r="P984" s="489">
        <f>LN((1+L984)/(1+H984))</f>
        <v>-0.0314439293310876</v>
      </c>
      <c r="Q984" s="489">
        <f>LN((1+M984)/(1+H984))</f>
        <v>-0.00741908490308396</v>
      </c>
      <c r="R984" s="489">
        <f>LN((1+N984)/(1+H984))</f>
        <v>-0.0367688680100126</v>
      </c>
      <c r="S984" s="542">
        <f>LN((1+O984)/(1+H984))</f>
        <v>0.0177050289446127</v>
      </c>
    </row>
    <row r="985">
      <c r="A985" s="320" t="n">
        <v>884</v>
      </c>
      <c r="B985" s="174" t="n">
        <v>28</v>
      </c>
      <c r="C985" s="174" t="n">
        <v>24</v>
      </c>
      <c r="D985" s="174" t="n">
        <v>8</v>
      </c>
      <c r="E985" s="174" t="n">
        <v>12</v>
      </c>
      <c r="F985" s="174" t="n">
        <v>23</v>
      </c>
      <c r="G985" s="68">
        <f>(1+INDEX($Z$21:$Z$97,B985))*(1+INDEX($Z$21:$Z$97,C985))*(1+INDEX($Z$21:$Z$97,D985))*(1+INDEX($Z$21:$Z$97,E985))*(1+INDEX($Z$21:$Z$97,F985))-1</f>
        <v>0.43608810625489</v>
      </c>
      <c r="H985" s="68">
        <f>(1+INDEX($AA$21:$AA$97,B985))*(1+INDEX($AA$21:$AA$97,C985))*(1+INDEX($AA$21:$AA$97,D985))*(1+INDEX($AA$21:$AA$97,E985))*(1+INDEX($AA$21:$AA$97,F985))-1</f>
        <v>0.398898768057005</v>
      </c>
      <c r="I985" s="68">
        <f>(1+INDEX($AB$21:$AB$97,B985))*(1+INDEX($AB$21:$AB$97,C985))*(1+INDEX($AB$21:$AB$97,D985))*(1+INDEX($AB$21:$AB$97,E985))*(1+INDEX($AB$21:$AB$97,F985))-1</f>
        <v>0.410947793525644</v>
      </c>
      <c r="J985" s="489">
        <f>LN((1+G985)/(1+H985))</f>
        <v>0.0262374912259364</v>
      </c>
      <c r="K985" s="489">
        <f>LN((1+I985)/(1+H985))</f>
        <v>0.00857633971006921</v>
      </c>
      <c r="L985" s="489">
        <f>(1+INDEX($AC$21:$AC$97,B985))*(1+INDEX($AC$21:$AC$97,C985))*(1+INDEX($AC$21:$AC$97,D985))*(1+INDEX($AC$21:$AC$97,E985))*(1+INDEX($AC$21:$AC$97,F985))-1</f>
        <v>0.39455345043451</v>
      </c>
      <c r="M985" s="489">
        <f>(1+INDEX($AD$21:$AD$97,B985))*(1+INDEX($AD$21:$AD$97,C985))*(1+INDEX($AD$21:$AD$97,D985))*(1+INDEX($AD$21:$AD$97,E985))*(1+INDEX($AD$21:$AD$97,F985))-1</f>
        <v>0.429939727547579</v>
      </c>
      <c r="N985" s="489">
        <f>(1+INDEX($AE$21:$AE$97,B985))*(1+INDEX($AE$21:$AE$97,C985))*(1+INDEX($AE$21:$AE$97,D985))*(1+INDEX($AE$21:$AE$97,E985))*(1+INDEX($AE$21:$AE$97,F985))-1</f>
        <v>0.38210408248745</v>
      </c>
      <c r="O985" s="489">
        <f>(1+INDEX($AF$21:$AF$97,B985))*(1+INDEX($AF$21:$AF$97,C985))*(1+INDEX($AF$21:$AF$97,D985))*(1+INDEX($AF$21:$AF$97,E985))*(1+INDEX($AF$21:$AF$97,F985))-1</f>
        <v>0.459730771682222</v>
      </c>
      <c r="P985" s="489">
        <f>LN((1+L985)/(1+H985))</f>
        <v>-0.00311107603596499</v>
      </c>
      <c r="Q985" s="489">
        <f>LN((1+M985)/(1+H985))</f>
        <v>0.0219469619667752</v>
      </c>
      <c r="R985" s="489">
        <f>LN((1+N985)/(1+H985))</f>
        <v>-0.0120782973958752</v>
      </c>
      <c r="S985" s="542">
        <f>LN((1+O985)/(1+H985))</f>
        <v>0.0425666829099091</v>
      </c>
    </row>
    <row r="986">
      <c r="A986" s="320" t="n">
        <v>885</v>
      </c>
      <c r="B986" s="174" t="n">
        <v>61</v>
      </c>
      <c r="C986" s="174" t="n">
        <v>2</v>
      </c>
      <c r="D986" s="174" t="n">
        <v>70</v>
      </c>
      <c r="E986" s="174" t="n">
        <v>23</v>
      </c>
      <c r="F986" s="174" t="n">
        <v>69</v>
      </c>
      <c r="G986" s="68">
        <f>(1+INDEX($Z$21:$Z$97,B986))*(1+INDEX($Z$21:$Z$97,C986))*(1+INDEX($Z$21:$Z$97,D986))*(1+INDEX($Z$21:$Z$97,E986))*(1+INDEX($Z$21:$Z$97,F986))-1</f>
        <v>0.777966000842364</v>
      </c>
      <c r="H986" s="68">
        <f>(1+INDEX($AA$21:$AA$97,B986))*(1+INDEX($AA$21:$AA$97,C986))*(1+INDEX($AA$21:$AA$97,D986))*(1+INDEX($AA$21:$AA$97,E986))*(1+INDEX($AA$21:$AA$97,F986))-1</f>
        <v>0.718674398787088</v>
      </c>
      <c r="I986" s="68">
        <f>(1+INDEX($AB$21:$AB$97,B986))*(1+INDEX($AB$21:$AB$97,C986))*(1+INDEX($AB$21:$AB$97,D986))*(1+INDEX($AB$21:$AB$97,E986))*(1+INDEX($AB$21:$AB$97,F986))-1</f>
        <v>0.755868834596617</v>
      </c>
      <c r="J986" s="489">
        <f>LN((1+G986)/(1+H986))</f>
        <v>0.0339167194678939</v>
      </c>
      <c r="K986" s="489">
        <f>LN((1+I986)/(1+H986))</f>
        <v>0.0214105015579746</v>
      </c>
      <c r="L986" s="489">
        <f>(1+INDEX($AC$21:$AC$97,B986))*(1+INDEX($AC$21:$AC$97,C986))*(1+INDEX($AC$21:$AC$97,D986))*(1+INDEX($AC$21:$AC$97,E986))*(1+INDEX($AC$21:$AC$97,F986))-1</f>
        <v>0.778973506640553</v>
      </c>
      <c r="M986" s="489">
        <f>(1+INDEX($AD$21:$AD$97,B986))*(1+INDEX($AD$21:$AD$97,C986))*(1+INDEX($AD$21:$AD$97,D986))*(1+INDEX($AD$21:$AD$97,E986))*(1+INDEX($AD$21:$AD$97,F986))-1</f>
        <v>0.717802271184427</v>
      </c>
      <c r="N986" s="489">
        <f>(1+INDEX($AE$21:$AE$97,B986))*(1+INDEX($AE$21:$AE$97,C986))*(1+INDEX($AE$21:$AE$97,D986))*(1+INDEX($AE$21:$AE$97,E986))*(1+INDEX($AE$21:$AE$97,F986))-1</f>
        <v>0.803790045696079</v>
      </c>
      <c r="O986" s="489">
        <f>(1+INDEX($AF$21:$AF$97,B986))*(1+INDEX($AF$21:$AF$97,C986))*(1+INDEX($AF$21:$AF$97,D986))*(1+INDEX($AF$21:$AF$97,E986))*(1+INDEX($AF$21:$AF$97,F986))-1</f>
        <v>0.687933924989922</v>
      </c>
      <c r="P986" s="489">
        <f>LN((1+L986)/(1+H986))</f>
        <v>0.0344832209914729</v>
      </c>
      <c r="Q986" s="489">
        <f>LN((1+M986)/(1+H986))</f>
        <v>-0.000507570808791069</v>
      </c>
      <c r="R986" s="489">
        <f>LN((1+N986)/(1+H986))</f>
        <v>0.0483367369105198</v>
      </c>
      <c r="S986" s="542">
        <f>LN((1+O986)/(1+H986))</f>
        <v>-0.0180480438607807</v>
      </c>
    </row>
    <row r="987">
      <c r="A987" s="320" t="n">
        <v>886</v>
      </c>
      <c r="B987" s="174" t="n">
        <v>42</v>
      </c>
      <c r="C987" s="174" t="n">
        <v>67</v>
      </c>
      <c r="D987" s="174" t="n">
        <v>24</v>
      </c>
      <c r="E987" s="174" t="n">
        <v>12</v>
      </c>
      <c r="F987" s="174" t="n">
        <v>12</v>
      </c>
      <c r="G987" s="68">
        <f>(1+INDEX($Z$21:$Z$97,B987))*(1+INDEX($Z$21:$Z$97,C987))*(1+INDEX($Z$21:$Z$97,D987))*(1+INDEX($Z$21:$Z$97,E987))*(1+INDEX($Z$21:$Z$97,F987))-1</f>
        <v>0.823859344514049</v>
      </c>
      <c r="H987" s="68">
        <f>(1+INDEX($AA$21:$AA$97,B987))*(1+INDEX($AA$21:$AA$97,C987))*(1+INDEX($AA$21:$AA$97,D987))*(1+INDEX($AA$21:$AA$97,E987))*(1+INDEX($AA$21:$AA$97,F987))-1</f>
        <v>0.675193996924695</v>
      </c>
      <c r="I987" s="68">
        <f>(1+INDEX($AB$21:$AB$97,B987))*(1+INDEX($AB$21:$AB$97,C987))*(1+INDEX($AB$21:$AB$97,D987))*(1+INDEX($AB$21:$AB$97,E987))*(1+INDEX($AB$21:$AB$97,F987))-1</f>
        <v>0.711472291921533</v>
      </c>
      <c r="J987" s="489">
        <f>LN((1+G987)/(1+H987))</f>
        <v>0.085025797295419</v>
      </c>
      <c r="K987" s="489">
        <f>LN((1+I987)/(1+H987))</f>
        <v>0.0214250118735423</v>
      </c>
      <c r="L987" s="489">
        <f>(1+INDEX($AC$21:$AC$97,B987))*(1+INDEX($AC$21:$AC$97,C987))*(1+INDEX($AC$21:$AC$97,D987))*(1+INDEX($AC$21:$AC$97,E987))*(1+INDEX($AC$21:$AC$97,F987))-1</f>
        <v>0.740813209497544</v>
      </c>
      <c r="M987" s="489">
        <f>(1+INDEX($AD$21:$AD$97,B987))*(1+INDEX($AD$21:$AD$97,C987))*(1+INDEX($AD$21:$AD$97,D987))*(1+INDEX($AD$21:$AD$97,E987))*(1+INDEX($AD$21:$AD$97,F987))-1</f>
        <v>0.725152850674697</v>
      </c>
      <c r="N987" s="489">
        <f>(1+INDEX($AE$21:$AE$97,B987))*(1+INDEX($AE$21:$AE$97,C987))*(1+INDEX($AE$21:$AE$97,D987))*(1+INDEX($AE$21:$AE$97,E987))*(1+INDEX($AE$21:$AE$97,F987))-1</f>
        <v>0.71436565713079</v>
      </c>
      <c r="O987" s="489">
        <f>(1+INDEX($AF$21:$AF$97,B987))*(1+INDEX($AF$21:$AF$97,C987))*(1+INDEX($AF$21:$AF$97,D987))*(1+INDEX($AF$21:$AF$97,E987))*(1+INDEX($AF$21:$AF$97,F987))-1</f>
        <v>0.723848028109182</v>
      </c>
      <c r="P987" s="489">
        <f>LN((1+L987)/(1+H987))</f>
        <v>0.0384233881970952</v>
      </c>
      <c r="Q987" s="489">
        <f>LN((1+M987)/(1+H987))</f>
        <v>0.029386678014511</v>
      </c>
      <c r="R987" s="489">
        <f>LN((1+N987)/(1+H987))</f>
        <v>0.0231141553416417</v>
      </c>
      <c r="S987" s="542">
        <f>LN((1+O987)/(1+H987))</f>
        <v>0.0286300399772215</v>
      </c>
    </row>
    <row r="988">
      <c r="A988" s="320" t="n">
        <v>887</v>
      </c>
      <c r="B988" s="174" t="n">
        <v>48</v>
      </c>
      <c r="C988" s="174" t="n">
        <v>73</v>
      </c>
      <c r="D988" s="174" t="n">
        <v>53</v>
      </c>
      <c r="E988" s="174" t="n">
        <v>11</v>
      </c>
      <c r="F988" s="174" t="n">
        <v>56</v>
      </c>
      <c r="G988" s="68">
        <f>(1+INDEX($Z$21:$Z$97,B988))*(1+INDEX($Z$21:$Z$97,C988))*(1+INDEX($Z$21:$Z$97,D988))*(1+INDEX($Z$21:$Z$97,E988))*(1+INDEX($Z$21:$Z$97,F988))-1</f>
        <v>0.015255468603339</v>
      </c>
      <c r="H988" s="68">
        <f>(1+INDEX($AA$21:$AA$97,B988))*(1+INDEX($AA$21:$AA$97,C988))*(1+INDEX($AA$21:$AA$97,D988))*(1+INDEX($AA$21:$AA$97,E988))*(1+INDEX($AA$21:$AA$97,F988))-1</f>
        <v>0.0383297903343887</v>
      </c>
      <c r="I988" s="68">
        <f>(1+INDEX($AB$21:$AB$97,B988))*(1+INDEX($AB$21:$AB$97,C988))*(1+INDEX($AB$21:$AB$97,D988))*(1+INDEX($AB$21:$AB$97,E988))*(1+INDEX($AB$21:$AB$97,F988))-1</f>
        <v>0.019104348742595</v>
      </c>
      <c r="J988" s="489">
        <f>LN((1+G988)/(1+H988))</f>
        <v>-0.0224731773378748</v>
      </c>
      <c r="K988" s="489">
        <f>LN((1+I988)/(1+H988))</f>
        <v>-0.0186892992857158</v>
      </c>
      <c r="L988" s="489">
        <f>(1+INDEX($AC$21:$AC$97,B988))*(1+INDEX($AC$21:$AC$97,C988))*(1+INDEX($AC$21:$AC$97,D988))*(1+INDEX($AC$21:$AC$97,E988))*(1+INDEX($AC$21:$AC$97,F988))-1</f>
        <v>0.00389041133640089</v>
      </c>
      <c r="M988" s="489">
        <f>(1+INDEX($AD$21:$AD$97,B988))*(1+INDEX($AD$21:$AD$97,C988))*(1+INDEX($AD$21:$AD$97,D988))*(1+INDEX($AD$21:$AD$97,E988))*(1+INDEX($AD$21:$AD$97,F988))-1</f>
        <v>0.0523291064400921</v>
      </c>
      <c r="N988" s="489">
        <f>(1+INDEX($AE$21:$AE$97,B988))*(1+INDEX($AE$21:$AE$97,C988))*(1+INDEX($AE$21:$AE$97,D988))*(1+INDEX($AE$21:$AE$97,E988))*(1+INDEX($AE$21:$AE$97,F988))-1</f>
        <v>-0.00478992174890713</v>
      </c>
      <c r="O988" s="489">
        <f>(1+INDEX($AF$21:$AF$97,B988))*(1+INDEX($AF$21:$AF$97,C988))*(1+INDEX($AF$21:$AF$97,D988))*(1+INDEX($AF$21:$AF$97,E988))*(1+INDEX($AF$21:$AF$97,F988))-1</f>
        <v>0.0858328750803878</v>
      </c>
      <c r="P988" s="489">
        <f>LN((1+L988)/(1+H988))</f>
        <v>-0.0337305881108239</v>
      </c>
      <c r="Q988" s="489">
        <f>LN((1+M988)/(1+H988))</f>
        <v>0.013392452845573</v>
      </c>
      <c r="R988" s="489">
        <f>LN((1+N988)/(1+H988))</f>
        <v>-0.0424148815559421</v>
      </c>
      <c r="S988" s="542">
        <f>LN((1+O988)/(1+H988))</f>
        <v>0.0447338679523935</v>
      </c>
    </row>
    <row r="989">
      <c r="A989" s="320" t="n">
        <v>888</v>
      </c>
      <c r="B989" s="174" t="n">
        <v>60</v>
      </c>
      <c r="C989" s="174" t="n">
        <v>57</v>
      </c>
      <c r="D989" s="174" t="n">
        <v>21</v>
      </c>
      <c r="E989" s="174" t="n">
        <v>40</v>
      </c>
      <c r="F989" s="174" t="n">
        <v>53</v>
      </c>
      <c r="G989" s="68">
        <f>(1+INDEX($Z$21:$Z$97,B989))*(1+INDEX($Z$21:$Z$97,C989))*(1+INDEX($Z$21:$Z$97,D989))*(1+INDEX($Z$21:$Z$97,E989))*(1+INDEX($Z$21:$Z$97,F989))-1</f>
        <v>0.473280053489589</v>
      </c>
      <c r="H989" s="68">
        <f>(1+INDEX($AA$21:$AA$97,B989))*(1+INDEX($AA$21:$AA$97,C989))*(1+INDEX($AA$21:$AA$97,D989))*(1+INDEX($AA$21:$AA$97,E989))*(1+INDEX($AA$21:$AA$97,F989))-1</f>
        <v>0.493925052541101</v>
      </c>
      <c r="I989" s="68">
        <f>(1+INDEX($AB$21:$AB$97,B989))*(1+INDEX($AB$21:$AB$97,C989))*(1+INDEX($AB$21:$AB$97,D989))*(1+INDEX($AB$21:$AB$97,E989))*(1+INDEX($AB$21:$AB$97,F989))-1</f>
        <v>0.495026161450774</v>
      </c>
      <c r="J989" s="489">
        <f>LN((1+G989)/(1+H989))</f>
        <v>-0.0139156758394123</v>
      </c>
      <c r="K989" s="489">
        <f>LN((1+I989)/(1+H989))</f>
        <v>0.000736786170567372</v>
      </c>
      <c r="L989" s="489">
        <f>(1+INDEX($AC$21:$AC$97,B989))*(1+INDEX($AC$21:$AC$97,C989))*(1+INDEX($AC$21:$AC$97,D989))*(1+INDEX($AC$21:$AC$97,E989))*(1+INDEX($AC$21:$AC$97,F989))-1</f>
        <v>0.526807780216877</v>
      </c>
      <c r="M989" s="489">
        <f>(1+INDEX($AD$21:$AD$97,B989))*(1+INDEX($AD$21:$AD$97,C989))*(1+INDEX($AD$21:$AD$97,D989))*(1+INDEX($AD$21:$AD$97,E989))*(1+INDEX($AD$21:$AD$97,F989))-1</f>
        <v>0.480651112661202</v>
      </c>
      <c r="N989" s="489">
        <f>(1+INDEX($AE$21:$AE$97,B989))*(1+INDEX($AE$21:$AE$97,C989))*(1+INDEX($AE$21:$AE$97,D989))*(1+INDEX($AE$21:$AE$97,E989))*(1+INDEX($AE$21:$AE$97,F989))-1</f>
        <v>0.529352645066123</v>
      </c>
      <c r="O989" s="489">
        <f>(1+INDEX($AF$21:$AF$97,B989))*(1+INDEX($AF$21:$AF$97,C989))*(1+INDEX($AF$21:$AF$97,D989))*(1+INDEX($AF$21:$AF$97,E989))*(1+INDEX($AF$21:$AF$97,F989))-1</f>
        <v>0.461747549582338</v>
      </c>
      <c r="P989" s="489">
        <f>LN((1+L989)/(1+H989))</f>
        <v>0.0217722178256894</v>
      </c>
      <c r="Q989" s="489">
        <f>LN((1+M989)/(1+H989))</f>
        <v>-0.00892498779948817</v>
      </c>
      <c r="R989" s="489">
        <f>LN((1+N989)/(1+H989))</f>
        <v>0.0234376182519146</v>
      </c>
      <c r="S989" s="542">
        <f>LN((1+O989)/(1+H989))</f>
        <v>-0.0217742481038378</v>
      </c>
    </row>
    <row r="990">
      <c r="A990" s="320" t="n">
        <v>889</v>
      </c>
      <c r="B990" s="174" t="n">
        <v>25</v>
      </c>
      <c r="C990" s="174" t="n">
        <v>37</v>
      </c>
      <c r="D990" s="174" t="n">
        <v>12</v>
      </c>
      <c r="E990" s="174" t="n">
        <v>37</v>
      </c>
      <c r="F990" s="174" t="n">
        <v>22</v>
      </c>
      <c r="G990" s="68">
        <f>(1+INDEX($Z$21:$Z$97,B990))*(1+INDEX($Z$21:$Z$97,C990))*(1+INDEX($Z$21:$Z$97,D990))*(1+INDEX($Z$21:$Z$97,E990))*(1+INDEX($Z$21:$Z$97,F990))-1</f>
        <v>0.251198816768321</v>
      </c>
      <c r="H990" s="68">
        <f>(1+INDEX($AA$21:$AA$97,B990))*(1+INDEX($AA$21:$AA$97,C990))*(1+INDEX($AA$21:$AA$97,D990))*(1+INDEX($AA$21:$AA$97,E990))*(1+INDEX($AA$21:$AA$97,F990))-1</f>
        <v>0.192514767763145</v>
      </c>
      <c r="I990" s="68">
        <f>(1+INDEX($AB$21:$AB$97,B990))*(1+INDEX($AB$21:$AB$97,C990))*(1+INDEX($AB$21:$AB$97,D990))*(1+INDEX($AB$21:$AB$97,E990))*(1+INDEX($AB$21:$AB$97,F990))-1</f>
        <v>0.180161595412614</v>
      </c>
      <c r="J990" s="489">
        <f>LN((1+G990)/(1+H990))</f>
        <v>0.0480378175588243</v>
      </c>
      <c r="K990" s="489">
        <f>LN((1+I990)/(1+H990))</f>
        <v>-0.0104129532057913</v>
      </c>
      <c r="L990" s="489">
        <f>(1+INDEX($AC$21:$AC$97,B990))*(1+INDEX($AC$21:$AC$97,C990))*(1+INDEX($AC$21:$AC$97,D990))*(1+INDEX($AC$21:$AC$97,E990))*(1+INDEX($AC$21:$AC$97,F990))-1</f>
        <v>0.172727570382253</v>
      </c>
      <c r="M990" s="489">
        <f>(1+INDEX($AD$21:$AD$97,B990))*(1+INDEX($AD$21:$AD$97,C990))*(1+INDEX($AD$21:$AD$97,D990))*(1+INDEX($AD$21:$AD$97,E990))*(1+INDEX($AD$21:$AD$97,F990))-1</f>
        <v>0.208744169913199</v>
      </c>
      <c r="N990" s="489">
        <f>(1+INDEX($AE$21:$AE$97,B990))*(1+INDEX($AE$21:$AE$97,C990))*(1+INDEX($AE$21:$AE$97,D990))*(1+INDEX($AE$21:$AE$97,E990))*(1+INDEX($AE$21:$AE$97,F990))-1</f>
        <v>0.171907044197652</v>
      </c>
      <c r="O990" s="489">
        <f>(1+INDEX($AF$21:$AF$97,B990))*(1+INDEX($AF$21:$AF$97,C990))*(1+INDEX($AF$21:$AF$97,D990))*(1+INDEX($AF$21:$AF$97,E990))*(1+INDEX($AF$21:$AF$97,F990))-1</f>
        <v>0.211846992645839</v>
      </c>
      <c r="P990" s="489">
        <f>LN((1+L990)/(1+H990))</f>
        <v>-0.0167320351885969</v>
      </c>
      <c r="Q990" s="489">
        <f>LN((1+M990)/(1+H990))</f>
        <v>0.0135176169653536</v>
      </c>
      <c r="R990" s="489">
        <f>LN((1+N990)/(1+H990))</f>
        <v>-0.0174319533873613</v>
      </c>
      <c r="S990" s="542">
        <f>LN((1+O990)/(1+H990))</f>
        <v>0.0160813084140204</v>
      </c>
    </row>
    <row r="991">
      <c r="A991" s="320" t="n">
        <v>890</v>
      </c>
      <c r="B991" s="174" t="n">
        <v>22</v>
      </c>
      <c r="C991" s="174" t="n">
        <v>3</v>
      </c>
      <c r="D991" s="174" t="n">
        <v>35</v>
      </c>
      <c r="E991" s="174" t="n">
        <v>58</v>
      </c>
      <c r="F991" s="174" t="n">
        <v>58</v>
      </c>
      <c r="G991" s="68">
        <f>(1+INDEX($Z$21:$Z$97,B991))*(1+INDEX($Z$21:$Z$97,C991))*(1+INDEX($Z$21:$Z$97,D991))*(1+INDEX($Z$21:$Z$97,E991))*(1+INDEX($Z$21:$Z$97,F991))-1</f>
        <v>0.787697823824766</v>
      </c>
      <c r="H991" s="68">
        <f>(1+INDEX($AA$21:$AA$97,B991))*(1+INDEX($AA$21:$AA$97,C991))*(1+INDEX($AA$21:$AA$97,D991))*(1+INDEX($AA$21:$AA$97,E991))*(1+INDEX($AA$21:$AA$97,F991))-1</f>
        <v>0.763571423676688</v>
      </c>
      <c r="I991" s="68">
        <f>(1+INDEX($AB$21:$AB$97,B991))*(1+INDEX($AB$21:$AB$97,C991))*(1+INDEX($AB$21:$AB$97,D991))*(1+INDEX($AB$21:$AB$97,E991))*(1+INDEX($AB$21:$AB$97,F991))-1</f>
        <v>0.782458302981809</v>
      </c>
      <c r="J991" s="489">
        <f>LN((1+G991)/(1+H991))</f>
        <v>0.0135876891673174</v>
      </c>
      <c r="K991" s="489">
        <f>LN((1+I991)/(1+H991))</f>
        <v>0.0106525096297748</v>
      </c>
      <c r="L991" s="489">
        <f>(1+INDEX($AC$21:$AC$97,B991))*(1+INDEX($AC$21:$AC$97,C991))*(1+INDEX($AC$21:$AC$97,D991))*(1+INDEX($AC$21:$AC$97,E991))*(1+INDEX($AC$21:$AC$97,F991))-1</f>
        <v>0.833173243367086</v>
      </c>
      <c r="M991" s="489">
        <f>(1+INDEX($AD$21:$AD$97,B991))*(1+INDEX($AD$21:$AD$97,C991))*(1+INDEX($AD$21:$AD$97,D991))*(1+INDEX($AD$21:$AD$97,E991))*(1+INDEX($AD$21:$AD$97,F991))-1</f>
        <v>0.759983570012279</v>
      </c>
      <c r="N991" s="489">
        <f>(1+INDEX($AE$21:$AE$97,B991))*(1+INDEX($AE$21:$AE$97,C991))*(1+INDEX($AE$21:$AE$97,D991))*(1+INDEX($AE$21:$AE$97,E991))*(1+INDEX($AE$21:$AE$97,F991))-1</f>
        <v>0.834969346679319</v>
      </c>
      <c r="O991" s="489">
        <f>(1+INDEX($AF$21:$AF$97,B991))*(1+INDEX($AF$21:$AF$97,C991))*(1+INDEX($AF$21:$AF$97,D991))*(1+INDEX($AF$21:$AF$97,E991))*(1+INDEX($AF$21:$AF$97,F991))-1</f>
        <v>0.671736588783746</v>
      </c>
      <c r="P991" s="489">
        <f>LN((1+L991)/(1+H991))</f>
        <v>0.0387075069914152</v>
      </c>
      <c r="Q991" s="489">
        <f>LN((1+M991)/(1+H991))</f>
        <v>-0.00203649718016841</v>
      </c>
      <c r="R991" s="489">
        <f>LN((1+N991)/(1+H991))</f>
        <v>0.0396868055937369</v>
      </c>
      <c r="S991" s="542">
        <f>LN((1+O991)/(1+H991))</f>
        <v>-0.0534780113084405</v>
      </c>
    </row>
    <row r="992">
      <c r="A992" s="320" t="n">
        <v>891</v>
      </c>
      <c r="B992" s="174" t="n">
        <v>18</v>
      </c>
      <c r="C992" s="174" t="n">
        <v>1</v>
      </c>
      <c r="D992" s="174" t="n">
        <v>41</v>
      </c>
      <c r="E992" s="174" t="n">
        <v>31</v>
      </c>
      <c r="F992" s="174" t="n">
        <v>59</v>
      </c>
      <c r="G992" s="68">
        <f>(1+INDEX($Z$21:$Z$97,B992))*(1+INDEX($Z$21:$Z$97,C992))*(1+INDEX($Z$21:$Z$97,D992))*(1+INDEX($Z$21:$Z$97,E992))*(1+INDEX($Z$21:$Z$97,F992))-1</f>
        <v>0.757547169722749</v>
      </c>
      <c r="H992" s="68">
        <f>(1+INDEX($AA$21:$AA$97,B992))*(1+INDEX($AA$21:$AA$97,C992))*(1+INDEX($AA$21:$AA$97,D992))*(1+INDEX($AA$21:$AA$97,E992))*(1+INDEX($AA$21:$AA$97,F992))-1</f>
        <v>0.673053773896315</v>
      </c>
      <c r="I992" s="68">
        <f>(1+INDEX($AB$21:$AB$97,B992))*(1+INDEX($AB$21:$AB$97,C992))*(1+INDEX($AB$21:$AB$97,D992))*(1+INDEX($AB$21:$AB$97,E992))*(1+INDEX($AB$21:$AB$97,F992))-1</f>
        <v>0.688276116654067</v>
      </c>
      <c r="J992" s="489">
        <f>LN((1+G992)/(1+H992))</f>
        <v>0.0492686197595044</v>
      </c>
      <c r="K992" s="489">
        <f>LN((1+I992)/(1+H992))</f>
        <v>0.00905739532792248</v>
      </c>
      <c r="L992" s="489">
        <f>(1+INDEX($AC$21:$AC$97,B992))*(1+INDEX($AC$21:$AC$97,C992))*(1+INDEX($AC$21:$AC$97,D992))*(1+INDEX($AC$21:$AC$97,E992))*(1+INDEX($AC$21:$AC$97,F992))-1</f>
        <v>0.710332283300374</v>
      </c>
      <c r="M992" s="489">
        <f>(1+INDEX($AD$21:$AD$97,B992))*(1+INDEX($AD$21:$AD$97,C992))*(1+INDEX($AD$21:$AD$97,D992))*(1+INDEX($AD$21:$AD$97,E992))*(1+INDEX($AD$21:$AD$97,F992))-1</f>
        <v>0.670286934710111</v>
      </c>
      <c r="N992" s="489">
        <f>(1+INDEX($AE$21:$AE$97,B992))*(1+INDEX($AE$21:$AE$97,C992))*(1+INDEX($AE$21:$AE$97,D992))*(1+INDEX($AE$21:$AE$97,E992))*(1+INDEX($AE$21:$AE$97,F992))-1</f>
        <v>0.735345334925426</v>
      </c>
      <c r="O992" s="489">
        <f>(1+INDEX($AF$21:$AF$97,B992))*(1+INDEX($AF$21:$AF$97,C992))*(1+INDEX($AF$21:$AF$97,D992))*(1+INDEX($AF$21:$AF$97,E992))*(1+INDEX($AF$21:$AF$97,F992))-1</f>
        <v>0.647378317383425</v>
      </c>
      <c r="P992" s="489">
        <f>LN((1+L992)/(1+H992))</f>
        <v>0.0220371056712667</v>
      </c>
      <c r="Q992" s="489">
        <f>LN((1+M992)/(1+H992))</f>
        <v>-0.00165513482411266</v>
      </c>
      <c r="R992" s="489">
        <f>LN((1+N992)/(1+H992))</f>
        <v>0.0365558702101927</v>
      </c>
      <c r="S992" s="542">
        <f>LN((1+O992)/(1+H992))</f>
        <v>-0.0154654379666026</v>
      </c>
    </row>
    <row r="993">
      <c r="A993" s="320" t="n">
        <v>892</v>
      </c>
      <c r="B993" s="174" t="n">
        <v>19</v>
      </c>
      <c r="C993" s="174" t="n">
        <v>67</v>
      </c>
      <c r="D993" s="174" t="n">
        <v>26</v>
      </c>
      <c r="E993" s="174" t="n">
        <v>62</v>
      </c>
      <c r="F993" s="174" t="n">
        <v>40</v>
      </c>
      <c r="G993" s="68">
        <f>(1+INDEX($Z$21:$Z$97,B993))*(1+INDEX($Z$21:$Z$97,C993))*(1+INDEX($Z$21:$Z$97,D993))*(1+INDEX($Z$21:$Z$97,E993))*(1+INDEX($Z$21:$Z$97,F993))-1</f>
        <v>0.290595014456208</v>
      </c>
      <c r="H993" s="68">
        <f>(1+INDEX($AA$21:$AA$97,B993))*(1+INDEX($AA$21:$AA$97,C993))*(1+INDEX($AA$21:$AA$97,D993))*(1+INDEX($AA$21:$AA$97,E993))*(1+INDEX($AA$21:$AA$97,F993))-1</f>
        <v>0.306334866836524</v>
      </c>
      <c r="I993" s="68">
        <f>(1+INDEX($AB$21:$AB$97,B993))*(1+INDEX($AB$21:$AB$97,C993))*(1+INDEX($AB$21:$AB$97,D993))*(1+INDEX($AB$21:$AB$97,E993))*(1+INDEX($AB$21:$AB$97,F993))-1</f>
        <v>0.318668954349972</v>
      </c>
      <c r="J993" s="489">
        <f>LN((1+G993)/(1+H993))</f>
        <v>-0.0121220409013004</v>
      </c>
      <c r="K993" s="489">
        <f>LN((1+I993)/(1+H993))</f>
        <v>0.00939745548909356</v>
      </c>
      <c r="L993" s="489">
        <f>(1+INDEX($AC$21:$AC$97,B993))*(1+INDEX($AC$21:$AC$97,C993))*(1+INDEX($AC$21:$AC$97,D993))*(1+INDEX($AC$21:$AC$97,E993))*(1+INDEX($AC$21:$AC$97,F993))-1</f>
        <v>0.341750907307905</v>
      </c>
      <c r="M993" s="489">
        <f>(1+INDEX($AD$21:$AD$97,B993))*(1+INDEX($AD$21:$AD$97,C993))*(1+INDEX($AD$21:$AD$97,D993))*(1+INDEX($AD$21:$AD$97,E993))*(1+INDEX($AD$21:$AD$97,F993))-1</f>
        <v>0.280131636361954</v>
      </c>
      <c r="N993" s="489">
        <f>(1+INDEX($AE$21:$AE$97,B993))*(1+INDEX($AE$21:$AE$97,C993))*(1+INDEX($AE$21:$AE$97,D993))*(1+INDEX($AE$21:$AE$97,E993))*(1+INDEX($AE$21:$AE$97,F993))-1</f>
        <v>0.336452365220237</v>
      </c>
      <c r="O993" s="489">
        <f>(1+INDEX($AF$21:$AF$97,B993))*(1+INDEX($AF$21:$AF$97,C993))*(1+INDEX($AF$21:$AF$97,D993))*(1+INDEX($AF$21:$AF$97,E993))*(1+INDEX($AF$21:$AF$97,F993))-1</f>
        <v>0.273146944541388</v>
      </c>
      <c r="P993" s="489">
        <f>LN((1+L993)/(1+H993))</f>
        <v>0.0267500038393705</v>
      </c>
      <c r="Q993" s="489">
        <f>LN((1+M993)/(1+H993))</f>
        <v>-0.0202624908960013</v>
      </c>
      <c r="R993" s="489">
        <f>LN((1+N993)/(1+H993))</f>
        <v>0.0227932100777148</v>
      </c>
      <c r="S993" s="542">
        <f>LN((1+O993)/(1+H993))</f>
        <v>-0.0257336598439813</v>
      </c>
    </row>
    <row r="994">
      <c r="A994" s="320" t="n">
        <v>893</v>
      </c>
      <c r="B994" s="174" t="n">
        <v>30</v>
      </c>
      <c r="C994" s="174" t="n">
        <v>19</v>
      </c>
      <c r="D994" s="174" t="n">
        <v>55</v>
      </c>
      <c r="E994" s="174" t="n">
        <v>46</v>
      </c>
      <c r="F994" s="174" t="n">
        <v>4</v>
      </c>
      <c r="G994" s="68">
        <f>(1+INDEX($Z$21:$Z$97,B994))*(1+INDEX($Z$21:$Z$97,C994))*(1+INDEX($Z$21:$Z$97,D994))*(1+INDEX($Z$21:$Z$97,E994))*(1+INDEX($Z$21:$Z$97,F994))-1</f>
        <v>0.210771768535659</v>
      </c>
      <c r="H994" s="68">
        <f>(1+INDEX($AA$21:$AA$97,B994))*(1+INDEX($AA$21:$AA$97,C994))*(1+INDEX($AA$21:$AA$97,D994))*(1+INDEX($AA$21:$AA$97,E994))*(1+INDEX($AA$21:$AA$97,F994))-1</f>
        <v>0.224572479665701</v>
      </c>
      <c r="I994" s="68">
        <f>(1+INDEX($AB$21:$AB$97,B994))*(1+INDEX($AB$21:$AB$97,C994))*(1+INDEX($AB$21:$AB$97,D994))*(1+INDEX($AB$21:$AB$97,E994))*(1+INDEX($AB$21:$AB$97,F994))-1</f>
        <v>0.216744698157832</v>
      </c>
      <c r="J994" s="489">
        <f>LN((1+G994)/(1+H994))</f>
        <v>-0.0113338053714148</v>
      </c>
      <c r="K994" s="489">
        <f>LN((1+I994)/(1+H994))</f>
        <v>-0.00641277455019312</v>
      </c>
      <c r="L994" s="489">
        <f>(1+INDEX($AC$21:$AC$97,B994))*(1+INDEX($AC$21:$AC$97,C994))*(1+INDEX($AC$21:$AC$97,D994))*(1+INDEX($AC$21:$AC$97,E994))*(1+INDEX($AC$21:$AC$97,F994))-1</f>
        <v>0.205264253997042</v>
      </c>
      <c r="M994" s="489">
        <f>(1+INDEX($AD$21:$AD$97,B994))*(1+INDEX($AD$21:$AD$97,C994))*(1+INDEX($AD$21:$AD$97,D994))*(1+INDEX($AD$21:$AD$97,E994))*(1+INDEX($AD$21:$AD$97,F994))-1</f>
        <v>0.214554062919442</v>
      </c>
      <c r="N994" s="489">
        <f>(1+INDEX($AE$21:$AE$97,B994))*(1+INDEX($AE$21:$AE$97,C994))*(1+INDEX($AE$21:$AE$97,D994))*(1+INDEX($AE$21:$AE$97,E994))*(1+INDEX($AE$21:$AE$97,F994))-1</f>
        <v>0.195435489272551</v>
      </c>
      <c r="O994" s="489">
        <f>(1+INDEX($AF$21:$AF$97,B994))*(1+INDEX($AF$21:$AF$97,C994))*(1+INDEX($AF$21:$AF$97,D994))*(1+INDEX($AF$21:$AF$97,E994))*(1+INDEX($AF$21:$AF$97,F994))-1</f>
        <v>0.2629726388997</v>
      </c>
      <c r="P994" s="489">
        <f>LN((1+L994)/(1+H994))</f>
        <v>-0.0158929460688825</v>
      </c>
      <c r="Q994" s="489">
        <f>LN((1+M994)/(1+H994))</f>
        <v>-0.00821480387399746</v>
      </c>
      <c r="R994" s="489">
        <f>LN((1+N994)/(1+H994))</f>
        <v>-0.0240812417261979</v>
      </c>
      <c r="S994" s="542">
        <f>LN((1+O994)/(1+H994))</f>
        <v>0.0308763926625944</v>
      </c>
    </row>
    <row r="995">
      <c r="A995" s="320" t="n">
        <v>894</v>
      </c>
      <c r="B995" s="174" t="n">
        <v>70</v>
      </c>
      <c r="C995" s="174" t="n">
        <v>45</v>
      </c>
      <c r="D995" s="174" t="n">
        <v>69</v>
      </c>
      <c r="E995" s="174" t="n">
        <v>59</v>
      </c>
      <c r="F995" s="174" t="n">
        <v>69</v>
      </c>
      <c r="G995" s="68">
        <f>(1+INDEX($Z$21:$Z$97,B995))*(1+INDEX($Z$21:$Z$97,C995))*(1+INDEX($Z$21:$Z$97,D995))*(1+INDEX($Z$21:$Z$97,E995))*(1+INDEX($Z$21:$Z$97,F995))-1</f>
        <v>0.783073266873235</v>
      </c>
      <c r="H995" s="68">
        <f>(1+INDEX($AA$21:$AA$97,B995))*(1+INDEX($AA$21:$AA$97,C995))*(1+INDEX($AA$21:$AA$97,D995))*(1+INDEX($AA$21:$AA$97,E995))*(1+INDEX($AA$21:$AA$97,F995))-1</f>
        <v>0.81605695766566</v>
      </c>
      <c r="I995" s="68">
        <f>(1+INDEX($AB$21:$AB$97,B995))*(1+INDEX($AB$21:$AB$97,C995))*(1+INDEX($AB$21:$AB$97,D995))*(1+INDEX($AB$21:$AB$97,E995))*(1+INDEX($AB$21:$AB$97,F995))-1</f>
        <v>0.869719298515288</v>
      </c>
      <c r="J995" s="489">
        <f>LN((1+G995)/(1+H995))</f>
        <v>-0.0183292140951206</v>
      </c>
      <c r="K995" s="489">
        <f>LN((1+I995)/(1+H995))</f>
        <v>0.0291206678127773</v>
      </c>
      <c r="L995" s="489">
        <f>(1+INDEX($AC$21:$AC$97,B995))*(1+INDEX($AC$21:$AC$97,C995))*(1+INDEX($AC$21:$AC$97,D995))*(1+INDEX($AC$21:$AC$97,E995))*(1+INDEX($AC$21:$AC$97,F995))-1</f>
        <v>0.901450165312562</v>
      </c>
      <c r="M995" s="489">
        <f>(1+INDEX($AD$21:$AD$97,B995))*(1+INDEX($AD$21:$AD$97,C995))*(1+INDEX($AD$21:$AD$97,D995))*(1+INDEX($AD$21:$AD$97,E995))*(1+INDEX($AD$21:$AD$97,F995))-1</f>
        <v>0.813053234450889</v>
      </c>
      <c r="N995" s="489">
        <f>(1+INDEX($AE$21:$AE$97,B995))*(1+INDEX($AE$21:$AE$97,C995))*(1+INDEX($AE$21:$AE$97,D995))*(1+INDEX($AE$21:$AE$97,E995))*(1+INDEX($AE$21:$AE$97,F995))-1</f>
        <v>0.925659632770763</v>
      </c>
      <c r="O995" s="489">
        <f>(1+INDEX($AF$21:$AF$97,B995))*(1+INDEX($AF$21:$AF$97,C995))*(1+INDEX($AF$21:$AF$97,D995))*(1+INDEX($AF$21:$AF$97,E995))*(1+INDEX($AF$21:$AF$97,F995))-1</f>
        <v>0.758584253107854</v>
      </c>
      <c r="P995" s="489">
        <f>LN((1+L995)/(1+H995))</f>
        <v>0.0459491959098886</v>
      </c>
      <c r="Q995" s="489">
        <f>LN((1+M995)/(1+H995))</f>
        <v>-0.00165535006745856</v>
      </c>
      <c r="R995" s="489">
        <f>LN((1+N995)/(1+H995))</f>
        <v>0.0586009313768683</v>
      </c>
      <c r="S995" s="542">
        <f>LN((1+O995)/(1+H995))</f>
        <v>-0.0321585603383978</v>
      </c>
    </row>
    <row r="996">
      <c r="A996" s="320" t="n">
        <v>895</v>
      </c>
      <c r="B996" s="174" t="n">
        <v>47</v>
      </c>
      <c r="C996" s="174" t="n">
        <v>59</v>
      </c>
      <c r="D996" s="174" t="n">
        <v>62</v>
      </c>
      <c r="E996" s="174" t="n">
        <v>20</v>
      </c>
      <c r="F996" s="174" t="n">
        <v>77</v>
      </c>
      <c r="G996" s="68">
        <f>(1+INDEX($Z$21:$Z$97,B996))*(1+INDEX($Z$21:$Z$97,C996))*(1+INDEX($Z$21:$Z$97,D996))*(1+INDEX($Z$21:$Z$97,E996))*(1+INDEX($Z$21:$Z$97,F996))-1</f>
        <v>0.307004308117839</v>
      </c>
      <c r="H996" s="68">
        <f>(1+INDEX($AA$21:$AA$97,B996))*(1+INDEX($AA$21:$AA$97,C996))*(1+INDEX($AA$21:$AA$97,D996))*(1+INDEX($AA$21:$AA$97,E996))*(1+INDEX($AA$21:$AA$97,F996))-1</f>
        <v>0.320060051367047</v>
      </c>
      <c r="I996" s="68">
        <f>(1+INDEX($AB$21:$AB$97,B996))*(1+INDEX($AB$21:$AB$97,C996))*(1+INDEX($AB$21:$AB$97,D996))*(1+INDEX($AB$21:$AB$97,E996))*(1+INDEX($AB$21:$AB$97,F996))-1</f>
        <v>0.341055380976603</v>
      </c>
      <c r="J996" s="489">
        <f>LN((1+G996)/(1+H996))</f>
        <v>-0.00993949819862105</v>
      </c>
      <c r="K996" s="489">
        <f>LN((1+I996)/(1+H996))</f>
        <v>0.0157796726908389</v>
      </c>
      <c r="L996" s="489">
        <f>(1+INDEX($AC$21:$AC$97,B996))*(1+INDEX($AC$21:$AC$97,C996))*(1+INDEX($AC$21:$AC$97,D996))*(1+INDEX($AC$21:$AC$97,E996))*(1+INDEX($AC$21:$AC$97,F996))-1</f>
        <v>0.366540876462692</v>
      </c>
      <c r="M996" s="489">
        <f>(1+INDEX($AD$21:$AD$97,B996))*(1+INDEX($AD$21:$AD$97,C996))*(1+INDEX($AD$21:$AD$97,D996))*(1+INDEX($AD$21:$AD$97,E996))*(1+INDEX($AD$21:$AD$97,F996))-1</f>
        <v>0.278252076416834</v>
      </c>
      <c r="N996" s="489">
        <f>(1+INDEX($AE$21:$AE$97,B996))*(1+INDEX($AE$21:$AE$97,C996))*(1+INDEX($AE$21:$AE$97,D996))*(1+INDEX($AE$21:$AE$97,E996))*(1+INDEX($AE$21:$AE$97,F996))-1</f>
        <v>0.354629406649185</v>
      </c>
      <c r="O996" s="489">
        <f>(1+INDEX($AF$21:$AF$97,B996))*(1+INDEX($AF$21:$AF$97,C996))*(1+INDEX($AF$21:$AF$97,D996))*(1+INDEX($AF$21:$AF$97,E996))*(1+INDEX($AF$21:$AF$97,F996))-1</f>
        <v>0.256151936677117</v>
      </c>
      <c r="P996" s="489">
        <f>LN((1+L996)/(1+H996))</f>
        <v>0.0346054101700315</v>
      </c>
      <c r="Q996" s="489">
        <f>LN((1+M996)/(1+H996))</f>
        <v>-0.0321836496251749</v>
      </c>
      <c r="R996" s="489">
        <f>LN((1+N996)/(1+H996))</f>
        <v>0.0258506872722714</v>
      </c>
      <c r="S996" s="542">
        <f>LN((1+O996)/(1+H996))</f>
        <v>-0.0496241996015104</v>
      </c>
    </row>
    <row r="997">
      <c r="A997" s="320" t="n">
        <v>896</v>
      </c>
      <c r="B997" s="174" t="n">
        <v>49</v>
      </c>
      <c r="C997" s="174" t="n">
        <v>22</v>
      </c>
      <c r="D997" s="174" t="n">
        <v>6</v>
      </c>
      <c r="E997" s="174" t="n">
        <v>54</v>
      </c>
      <c r="F997" s="174" t="n">
        <v>42</v>
      </c>
      <c r="G997" s="68">
        <f>(1+INDEX($Z$21:$Z$97,B997))*(1+INDEX($Z$21:$Z$97,C997))*(1+INDEX($Z$21:$Z$97,D997))*(1+INDEX($Z$21:$Z$97,E997))*(1+INDEX($Z$21:$Z$97,F997))-1</f>
        <v>0.0588753115192733</v>
      </c>
      <c r="H997" s="68">
        <f>(1+INDEX($AA$21:$AA$97,B997))*(1+INDEX($AA$21:$AA$97,C997))*(1+INDEX($AA$21:$AA$97,D997))*(1+INDEX($AA$21:$AA$97,E997))*(1+INDEX($AA$21:$AA$97,F997))-1</f>
        <v>0.0771116206935603</v>
      </c>
      <c r="I997" s="68">
        <f>(1+INDEX($AB$21:$AB$97,B997))*(1+INDEX($AB$21:$AB$97,C997))*(1+INDEX($AB$21:$AB$97,D997))*(1+INDEX($AB$21:$AB$97,E997))*(1+INDEX($AB$21:$AB$97,F997))-1</f>
        <v>0.076134665978203</v>
      </c>
      <c r="J997" s="489">
        <f>LN((1+G997)/(1+H997))</f>
        <v>-0.0170757152200704</v>
      </c>
      <c r="K997" s="489">
        <f>LN((1+I997)/(1+H997))</f>
        <v>-0.000907425024662989</v>
      </c>
      <c r="L997" s="489">
        <f>(1+INDEX($AC$21:$AC$97,B997))*(1+INDEX($AC$21:$AC$97,C997))*(1+INDEX($AC$21:$AC$97,D997))*(1+INDEX($AC$21:$AC$97,E997))*(1+INDEX($AC$21:$AC$97,F997))-1</f>
        <v>0.0547268578397695</v>
      </c>
      <c r="M997" s="489">
        <f>(1+INDEX($AD$21:$AD$97,B997))*(1+INDEX($AD$21:$AD$97,C997))*(1+INDEX($AD$21:$AD$97,D997))*(1+INDEX($AD$21:$AD$97,E997))*(1+INDEX($AD$21:$AD$97,F997))-1</f>
        <v>0.0765177680903963</v>
      </c>
      <c r="N997" s="489">
        <f>(1+INDEX($AE$21:$AE$97,B997))*(1+INDEX($AE$21:$AE$97,C997))*(1+INDEX($AE$21:$AE$97,D997))*(1+INDEX($AE$21:$AE$97,E997))*(1+INDEX($AE$21:$AE$97,F997))-1</f>
        <v>0.0377089027521604</v>
      </c>
      <c r="O997" s="489">
        <f>(1+INDEX($AF$21:$AF$97,B997))*(1+INDEX($AF$21:$AF$97,C997))*(1+INDEX($AF$21:$AF$97,D997))*(1+INDEX($AF$21:$AF$97,E997))*(1+INDEX($AF$21:$AF$97,F997))-1</f>
        <v>0.10844538041747</v>
      </c>
      <c r="P997" s="489">
        <f>LN((1+L997)/(1+H997))</f>
        <v>-0.0210012023025102</v>
      </c>
      <c r="Q997" s="489">
        <f>LN((1+M997)/(1+H997))</f>
        <v>-0.000551490076526521</v>
      </c>
      <c r="R997" s="489">
        <f>LN((1+N997)/(1+H997))</f>
        <v>-0.0372677282835628</v>
      </c>
      <c r="S997" s="542">
        <f>LN((1+O997)/(1+H997))</f>
        <v>0.0286754422554973</v>
      </c>
    </row>
    <row r="998">
      <c r="A998" s="320" t="n">
        <v>897</v>
      </c>
      <c r="B998" s="174" t="n">
        <v>3</v>
      </c>
      <c r="C998" s="174" t="n">
        <v>54</v>
      </c>
      <c r="D998" s="174" t="n">
        <v>63</v>
      </c>
      <c r="E998" s="174" t="n">
        <v>5</v>
      </c>
      <c r="F998" s="174" t="n">
        <v>51</v>
      </c>
      <c r="G998" s="68">
        <f>(1+INDEX($Z$21:$Z$97,B998))*(1+INDEX($Z$21:$Z$97,C998))*(1+INDEX($Z$21:$Z$97,D998))*(1+INDEX($Z$21:$Z$97,E998))*(1+INDEX($Z$21:$Z$97,F998))-1</f>
        <v>0.0447264408658932</v>
      </c>
      <c r="H998" s="68">
        <f>(1+INDEX($AA$21:$AA$97,B998))*(1+INDEX($AA$21:$AA$97,C998))*(1+INDEX($AA$21:$AA$97,D998))*(1+INDEX($AA$21:$AA$97,E998))*(1+INDEX($AA$21:$AA$97,F998))-1</f>
        <v>0.0366904949444069</v>
      </c>
      <c r="I998" s="68">
        <f>(1+INDEX($AB$21:$AB$97,B998))*(1+INDEX($AB$21:$AB$97,C998))*(1+INDEX($AB$21:$AB$97,D998))*(1+INDEX($AB$21:$AB$97,E998))*(1+INDEX($AB$21:$AB$97,F998))-1</f>
        <v>0.0228417109881229</v>
      </c>
      <c r="J998" s="489">
        <f>LN((1+G998)/(1+H998))</f>
        <v>0.00772164933515991</v>
      </c>
      <c r="K998" s="489">
        <f>LN((1+I998)/(1+H998))</f>
        <v>-0.0134486779551451</v>
      </c>
      <c r="L998" s="489">
        <f>(1+INDEX($AC$21:$AC$97,B998))*(1+INDEX($AC$21:$AC$97,C998))*(1+INDEX($AC$21:$AC$97,D998))*(1+INDEX($AC$21:$AC$97,E998))*(1+INDEX($AC$21:$AC$97,F998))-1</f>
        <v>0.0209459211351761</v>
      </c>
      <c r="M998" s="489">
        <f>(1+INDEX($AD$21:$AD$97,B998))*(1+INDEX($AD$21:$AD$97,C998))*(1+INDEX($AD$21:$AD$97,D998))*(1+INDEX($AD$21:$AD$97,E998))*(1+INDEX($AD$21:$AD$97,F998))-1</f>
        <v>0.0191169871115169</v>
      </c>
      <c r="N998" s="489">
        <f>(1+INDEX($AE$21:$AE$97,B998))*(1+INDEX($AE$21:$AE$97,C998))*(1+INDEX($AE$21:$AE$97,D998))*(1+INDEX($AE$21:$AE$97,E998))*(1+INDEX($AE$21:$AE$97,F998))-1</f>
        <v>0.00390784987085269</v>
      </c>
      <c r="O998" s="489">
        <f>(1+INDEX($AF$21:$AF$97,B998))*(1+INDEX($AF$21:$AF$97,C998))*(1+INDEX($AF$21:$AF$97,D998))*(1+INDEX($AF$21:$AF$97,E998))*(1+INDEX($AF$21:$AF$97,F998))-1</f>
        <v>0.0477518014417482</v>
      </c>
      <c r="P998" s="489">
        <f>LN((1+L998)/(1+H998))</f>
        <v>-0.0153038515229591</v>
      </c>
      <c r="Q998" s="489">
        <f>LN((1+M998)/(1+H998))</f>
        <v>-0.0170968692835925</v>
      </c>
      <c r="R998" s="489">
        <f>LN((1+N998)/(1+H998))</f>
        <v>-0.0321331886757291</v>
      </c>
      <c r="S998" s="542">
        <f>LN((1+O998)/(1+H998))</f>
        <v>0.0106133044288894</v>
      </c>
    </row>
    <row r="999">
      <c r="A999" s="320" t="n">
        <v>898</v>
      </c>
      <c r="B999" s="174" t="n">
        <v>4</v>
      </c>
      <c r="C999" s="174" t="n">
        <v>12</v>
      </c>
      <c r="D999" s="174" t="n">
        <v>11</v>
      </c>
      <c r="E999" s="174" t="n">
        <v>14</v>
      </c>
      <c r="F999" s="174" t="n">
        <v>32</v>
      </c>
      <c r="G999" s="68">
        <f>(1+INDEX($Z$21:$Z$97,B999))*(1+INDEX($Z$21:$Z$97,C999))*(1+INDEX($Z$21:$Z$97,D999))*(1+INDEX($Z$21:$Z$97,E999))*(1+INDEX($Z$21:$Z$97,F999))-1</f>
        <v>0.517861403679138</v>
      </c>
      <c r="H999" s="68">
        <f>(1+INDEX($AA$21:$AA$97,B999))*(1+INDEX($AA$21:$AA$97,C999))*(1+INDEX($AA$21:$AA$97,D999))*(1+INDEX($AA$21:$AA$97,E999))*(1+INDEX($AA$21:$AA$97,F999))-1</f>
        <v>0.420836247667937</v>
      </c>
      <c r="I999" s="68">
        <f>(1+INDEX($AB$21:$AB$97,B999))*(1+INDEX($AB$21:$AB$97,C999))*(1+INDEX($AB$21:$AB$97,D999))*(1+INDEX($AB$21:$AB$97,E999))*(1+INDEX($AB$21:$AB$97,F999))-1</f>
        <v>0.415498571238383</v>
      </c>
      <c r="J999" s="489">
        <f>LN((1+G999)/(1+H999))</f>
        <v>0.0660567677970013</v>
      </c>
      <c r="K999" s="489">
        <f>LN((1+I999)/(1+H999))</f>
        <v>-0.00376378888356052</v>
      </c>
      <c r="L999" s="489">
        <f>(1+INDEX($AC$21:$AC$97,B999))*(1+INDEX($AC$21:$AC$97,C999))*(1+INDEX($AC$21:$AC$97,D999))*(1+INDEX($AC$21:$AC$97,E999))*(1+INDEX($AC$21:$AC$97,F999))-1</f>
        <v>0.418204573719426</v>
      </c>
      <c r="M999" s="489">
        <f>(1+INDEX($AD$21:$AD$97,B999))*(1+INDEX($AD$21:$AD$97,C999))*(1+INDEX($AD$21:$AD$97,D999))*(1+INDEX($AD$21:$AD$97,E999))*(1+INDEX($AD$21:$AD$97,F999))-1</f>
        <v>0.455644312463791</v>
      </c>
      <c r="N999" s="489">
        <f>(1+INDEX($AE$21:$AE$97,B999))*(1+INDEX($AE$21:$AE$97,C999))*(1+INDEX($AE$21:$AE$97,D999))*(1+INDEX($AE$21:$AE$97,E999))*(1+INDEX($AE$21:$AE$97,F999))-1</f>
        <v>0.390545213371398</v>
      </c>
      <c r="O999" s="489">
        <f>(1+INDEX($AF$21:$AF$97,B999))*(1+INDEX($AF$21:$AF$97,C999))*(1+INDEX($AF$21:$AF$97,D999))*(1+INDEX($AF$21:$AF$97,E999))*(1+INDEX($AF$21:$AF$97,F999))-1</f>
        <v>0.457277311540723</v>
      </c>
      <c r="P999" s="489">
        <f>LN((1+L999)/(1+H999))</f>
        <v>-0.00185391818422851</v>
      </c>
      <c r="Q999" s="489">
        <f>LN((1+M999)/(1+H999))</f>
        <v>0.0242030239563499</v>
      </c>
      <c r="R999" s="489">
        <f>LN((1+N999)/(1+H999))</f>
        <v>-0.0215496950118067</v>
      </c>
      <c r="S999" s="542">
        <f>LN((1+O999)/(1+H999))</f>
        <v>0.0253242345200305</v>
      </c>
    </row>
    <row r="1000">
      <c r="A1000" s="320" t="n">
        <v>899</v>
      </c>
      <c r="B1000" s="174" t="n">
        <v>37</v>
      </c>
      <c r="C1000" s="174" t="n">
        <v>33</v>
      </c>
      <c r="D1000" s="174" t="n">
        <v>14</v>
      </c>
      <c r="E1000" s="174" t="n">
        <v>45</v>
      </c>
      <c r="F1000" s="174" t="n">
        <v>38</v>
      </c>
      <c r="G1000" s="68">
        <f>(1+INDEX($Z$21:$Z$97,B1000))*(1+INDEX($Z$21:$Z$97,C1000))*(1+INDEX($Z$21:$Z$97,D1000))*(1+INDEX($Z$21:$Z$97,E1000))*(1+INDEX($Z$21:$Z$97,F1000))-1</f>
        <v>0.417639840648957</v>
      </c>
      <c r="H1000" s="68">
        <f>(1+INDEX($AA$21:$AA$97,B1000))*(1+INDEX($AA$21:$AA$97,C1000))*(1+INDEX($AA$21:$AA$97,D1000))*(1+INDEX($AA$21:$AA$97,E1000))*(1+INDEX($AA$21:$AA$97,F1000))-1</f>
        <v>0.383260067151891</v>
      </c>
      <c r="I1000" s="68">
        <f>(1+INDEX($AB$21:$AB$97,B1000))*(1+INDEX($AB$21:$AB$97,C1000))*(1+INDEX($AB$21:$AB$97,D1000))*(1+INDEX($AB$21:$AB$97,E1000))*(1+INDEX($AB$21:$AB$97,F1000))-1</f>
        <v>0.424985948264828</v>
      </c>
      <c r="J1000" s="489">
        <f>LN((1+G1000)/(1+H1000))</f>
        <v>0.0245503241017943</v>
      </c>
      <c r="K1000" s="489">
        <f>LN((1+I1000)/(1+H1000))</f>
        <v>0.0297188721379836</v>
      </c>
      <c r="L1000" s="489">
        <f>(1+INDEX($AC$21:$AC$97,B1000))*(1+INDEX($AC$21:$AC$97,C1000))*(1+INDEX($AC$21:$AC$97,D1000))*(1+INDEX($AC$21:$AC$97,E1000))*(1+INDEX($AC$21:$AC$97,F1000))-1</f>
        <v>0.402461375597924</v>
      </c>
      <c r="M1000" s="489">
        <f>(1+INDEX($AD$21:$AD$97,B1000))*(1+INDEX($AD$21:$AD$97,C1000))*(1+INDEX($AD$21:$AD$97,D1000))*(1+INDEX($AD$21:$AD$97,E1000))*(1+INDEX($AD$21:$AD$97,F1000))-1</f>
        <v>0.451111748649371</v>
      </c>
      <c r="N1000" s="489">
        <f>(1+INDEX($AE$21:$AE$97,B1000))*(1+INDEX($AE$21:$AE$97,C1000))*(1+INDEX($AE$21:$AE$97,D1000))*(1+INDEX($AE$21:$AE$97,E1000))*(1+INDEX($AE$21:$AE$97,F1000))-1</f>
        <v>0.396273764497409</v>
      </c>
      <c r="O1000" s="489">
        <f>(1+INDEX($AF$21:$AF$97,B1000))*(1+INDEX($AF$21:$AF$97,C1000))*(1+INDEX($AF$21:$AF$97,D1000))*(1+INDEX($AF$21:$AF$97,E1000))*(1+INDEX($AF$21:$AF$97,F1000))-1</f>
        <v>0.361496924053794</v>
      </c>
      <c r="P1000" s="489">
        <f>LN((1+L1000)/(1+H1000))</f>
        <v>0.0137857376876414</v>
      </c>
      <c r="Q1000" s="489">
        <f>LN((1+M1000)/(1+H1000))</f>
        <v>0.0478869051896408</v>
      </c>
      <c r="R1000" s="489">
        <f>LN((1+N1000)/(1+H1000))</f>
        <v>0.00936401082011707</v>
      </c>
      <c r="S1000" s="542">
        <f>LN((1+O1000)/(1+H1000))</f>
        <v>-0.0158583067714496</v>
      </c>
    </row>
    <row r="1001">
      <c r="A1001" s="320" t="n">
        <v>900</v>
      </c>
      <c r="B1001" s="174" t="n">
        <v>23</v>
      </c>
      <c r="C1001" s="174" t="n">
        <v>73</v>
      </c>
      <c r="D1001" s="174" t="n">
        <v>65</v>
      </c>
      <c r="E1001" s="174" t="n">
        <v>24</v>
      </c>
      <c r="F1001" s="174" t="n">
        <v>50</v>
      </c>
      <c r="G1001" s="68">
        <f>(1+INDEX($Z$21:$Z$97,B1001))*(1+INDEX($Z$21:$Z$97,C1001))*(1+INDEX($Z$21:$Z$97,D1001))*(1+INDEX($Z$21:$Z$97,E1001))*(1+INDEX($Z$21:$Z$97,F1001))-1</f>
        <v>0.483846059862924</v>
      </c>
      <c r="H1001" s="68">
        <f>(1+INDEX($AA$21:$AA$97,B1001))*(1+INDEX($AA$21:$AA$97,C1001))*(1+INDEX($AA$21:$AA$97,D1001))*(1+INDEX($AA$21:$AA$97,E1001))*(1+INDEX($AA$21:$AA$97,F1001))-1</f>
        <v>0.410908109465843</v>
      </c>
      <c r="I1001" s="68">
        <f>(1+INDEX($AB$21:$AB$97,B1001))*(1+INDEX($AB$21:$AB$97,C1001))*(1+INDEX($AB$21:$AB$97,D1001))*(1+INDEX($AB$21:$AB$97,E1001))*(1+INDEX($AB$21:$AB$97,F1001))-1</f>
        <v>0.49278842150309</v>
      </c>
      <c r="J1001" s="489">
        <f>LN((1+G1001)/(1+H1001))</f>
        <v>0.0504038597726048</v>
      </c>
      <c r="K1001" s="489">
        <f>LN((1+I1001)/(1+H1001))</f>
        <v>0.0564122485071183</v>
      </c>
      <c r="L1001" s="489">
        <f>(1+INDEX($AC$21:$AC$97,B1001))*(1+INDEX($AC$21:$AC$97,C1001))*(1+INDEX($AC$21:$AC$97,D1001))*(1+INDEX($AC$21:$AC$97,E1001))*(1+INDEX($AC$21:$AC$97,F1001))-1</f>
        <v>0.458616917171874</v>
      </c>
      <c r="M1001" s="489">
        <f>(1+INDEX($AD$21:$AD$97,B1001))*(1+INDEX($AD$21:$AD$97,C1001))*(1+INDEX($AD$21:$AD$97,D1001))*(1+INDEX($AD$21:$AD$97,E1001))*(1+INDEX($AD$21:$AD$97,F1001))-1</f>
        <v>0.487715505873656</v>
      </c>
      <c r="N1001" s="489">
        <f>(1+INDEX($AE$21:$AE$97,B1001))*(1+INDEX($AE$21:$AE$97,C1001))*(1+INDEX($AE$21:$AE$97,D1001))*(1+INDEX($AE$21:$AE$97,E1001))*(1+INDEX($AE$21:$AE$97,F1001))-1</f>
        <v>0.437353805801556</v>
      </c>
      <c r="O1001" s="489">
        <f>(1+INDEX($AF$21:$AF$97,B1001))*(1+INDEX($AF$21:$AF$97,C1001))*(1+INDEX($AF$21:$AF$97,D1001))*(1+INDEX($AF$21:$AF$97,E1001))*(1+INDEX($AF$21:$AF$97,F1001))-1</f>
        <v>0.447100897222394</v>
      </c>
      <c r="P1001" s="489">
        <f>LN((1+L1001)/(1+H1001))</f>
        <v>0.0332551233804349</v>
      </c>
      <c r="Q1001" s="489">
        <f>LN((1+M1001)/(1+H1001))</f>
        <v>0.0530081794962042</v>
      </c>
      <c r="R1001" s="489">
        <f>LN((1+N1001)/(1+H1001))</f>
        <v>0.0185702418596692</v>
      </c>
      <c r="S1001" s="542">
        <f>LN((1+O1001)/(1+H1001))</f>
        <v>0.0253286274297995</v>
      </c>
    </row>
    <row r="1002">
      <c r="A1002" s="320" t="n">
        <v>901</v>
      </c>
      <c r="B1002" s="174" t="n">
        <v>4</v>
      </c>
      <c r="C1002" s="174" t="n">
        <v>16</v>
      </c>
      <c r="D1002" s="174" t="n">
        <v>13</v>
      </c>
      <c r="E1002" s="174" t="n">
        <v>37</v>
      </c>
      <c r="F1002" s="174" t="n">
        <v>41</v>
      </c>
      <c r="G1002" s="68">
        <f>(1+INDEX($Z$21:$Z$97,B1002))*(1+INDEX($Z$21:$Z$97,C1002))*(1+INDEX($Z$21:$Z$97,D1002))*(1+INDEX($Z$21:$Z$97,E1002))*(1+INDEX($Z$21:$Z$97,F1002))-1</f>
        <v>0.453538026088251</v>
      </c>
      <c r="H1002" s="68">
        <f>(1+INDEX($AA$21:$AA$97,B1002))*(1+INDEX($AA$21:$AA$97,C1002))*(1+INDEX($AA$21:$AA$97,D1002))*(1+INDEX($AA$21:$AA$97,E1002))*(1+INDEX($AA$21:$AA$97,F1002))-1</f>
        <v>0.365262185106097</v>
      </c>
      <c r="I1002" s="68">
        <f>(1+INDEX($AB$21:$AB$97,B1002))*(1+INDEX($AB$21:$AB$97,C1002))*(1+INDEX($AB$21:$AB$97,D1002))*(1+INDEX($AB$21:$AB$97,E1002))*(1+INDEX($AB$21:$AB$97,F1002))-1</f>
        <v>0.371077184258231</v>
      </c>
      <c r="J1002" s="489">
        <f>LN((1+G1002)/(1+H1002))</f>
        <v>0.0626541152207021</v>
      </c>
      <c r="K1002" s="489">
        <f>LN((1+I1002)/(1+H1002))</f>
        <v>0.00425020958356559</v>
      </c>
      <c r="L1002" s="489">
        <f>(1+INDEX($AC$21:$AC$97,B1002))*(1+INDEX($AC$21:$AC$97,C1002))*(1+INDEX($AC$21:$AC$97,D1002))*(1+INDEX($AC$21:$AC$97,E1002))*(1+INDEX($AC$21:$AC$97,F1002))-1</f>
        <v>0.375326916449389</v>
      </c>
      <c r="M1002" s="489">
        <f>(1+INDEX($AD$21:$AD$97,B1002))*(1+INDEX($AD$21:$AD$97,C1002))*(1+INDEX($AD$21:$AD$97,D1002))*(1+INDEX($AD$21:$AD$97,E1002))*(1+INDEX($AD$21:$AD$97,F1002))-1</f>
        <v>0.380356285334135</v>
      </c>
      <c r="N1002" s="489">
        <f>(1+INDEX($AE$21:$AE$97,B1002))*(1+INDEX($AE$21:$AE$97,C1002))*(1+INDEX($AE$21:$AE$97,D1002))*(1+INDEX($AE$21:$AE$97,E1002))*(1+INDEX($AE$21:$AE$97,F1002))-1</f>
        <v>0.358757219652535</v>
      </c>
      <c r="O1002" s="489">
        <f>(1+INDEX($AF$21:$AF$97,B1002))*(1+INDEX($AF$21:$AF$97,C1002))*(1+INDEX($AF$21:$AF$97,D1002))*(1+INDEX($AF$21:$AF$97,E1002))*(1+INDEX($AF$21:$AF$97,F1002))-1</f>
        <v>0.38941585798995</v>
      </c>
      <c r="P1002" s="489">
        <f>LN((1+L1002)/(1+H1002))</f>
        <v>0.00734497308315479</v>
      </c>
      <c r="Q1002" s="489">
        <f>LN((1+M1002)/(1+H1002))</f>
        <v>0.0109951564320228</v>
      </c>
      <c r="R1002" s="489">
        <f>LN((1+N1002)/(1+H1002))</f>
        <v>-0.00477601430240827</v>
      </c>
      <c r="S1002" s="542">
        <f>LN((1+O1002)/(1+H1002))</f>
        <v>0.0175369255707847</v>
      </c>
    </row>
    <row r="1003">
      <c r="A1003" s="320" t="n">
        <v>902</v>
      </c>
      <c r="B1003" s="174" t="n">
        <v>25</v>
      </c>
      <c r="C1003" s="174" t="n">
        <v>70</v>
      </c>
      <c r="D1003" s="174" t="n">
        <v>58</v>
      </c>
      <c r="E1003" s="174" t="n">
        <v>15</v>
      </c>
      <c r="F1003" s="174" t="n">
        <v>23</v>
      </c>
      <c r="G1003" s="68">
        <f>(1+INDEX($Z$21:$Z$97,B1003))*(1+INDEX($Z$21:$Z$97,C1003))*(1+INDEX($Z$21:$Z$97,D1003))*(1+INDEX($Z$21:$Z$97,E1003))*(1+INDEX($Z$21:$Z$97,F1003))-1</f>
        <v>0.72773316771545</v>
      </c>
      <c r="H1003" s="68">
        <f>(1+INDEX($AA$21:$AA$97,B1003))*(1+INDEX($AA$21:$AA$97,C1003))*(1+INDEX($AA$21:$AA$97,D1003))*(1+INDEX($AA$21:$AA$97,E1003))*(1+INDEX($AA$21:$AA$97,F1003))-1</f>
        <v>0.658930119526742</v>
      </c>
      <c r="I1003" s="68">
        <f>(1+INDEX($AB$21:$AB$97,B1003))*(1+INDEX($AB$21:$AB$97,C1003))*(1+INDEX($AB$21:$AB$97,D1003))*(1+INDEX($AB$21:$AB$97,E1003))*(1+INDEX($AB$21:$AB$97,F1003))-1</f>
        <v>0.714496188918252</v>
      </c>
      <c r="J1003" s="489">
        <f>LN((1+G1003)/(1+H1003))</f>
        <v>0.0406373533512351</v>
      </c>
      <c r="K1003" s="489">
        <f>LN((1+I1003)/(1+H1003))</f>
        <v>0.0329463817894191</v>
      </c>
      <c r="L1003" s="489">
        <f>(1+INDEX($AC$21:$AC$97,B1003))*(1+INDEX($AC$21:$AC$97,C1003))*(1+INDEX($AC$21:$AC$97,D1003))*(1+INDEX($AC$21:$AC$97,E1003))*(1+INDEX($AC$21:$AC$97,F1003))-1</f>
        <v>0.715920885331549</v>
      </c>
      <c r="M1003" s="489">
        <f>(1+INDEX($AD$21:$AD$97,B1003))*(1+INDEX($AD$21:$AD$97,C1003))*(1+INDEX($AD$21:$AD$97,D1003))*(1+INDEX($AD$21:$AD$97,E1003))*(1+INDEX($AD$21:$AD$97,F1003))-1</f>
        <v>0.694564912439765</v>
      </c>
      <c r="N1003" s="489">
        <f>(1+INDEX($AE$21:$AE$97,B1003))*(1+INDEX($AE$21:$AE$97,C1003))*(1+INDEX($AE$21:$AE$97,D1003))*(1+INDEX($AE$21:$AE$97,E1003))*(1+INDEX($AE$21:$AE$97,F1003))-1</f>
        <v>0.709931085816451</v>
      </c>
      <c r="O1003" s="489">
        <f>(1+INDEX($AF$21:$AF$97,B1003))*(1+INDEX($AF$21:$AF$97,C1003))*(1+INDEX($AF$21:$AF$97,D1003))*(1+INDEX($AF$21:$AF$97,E1003))*(1+INDEX($AF$21:$AF$97,F1003))-1</f>
        <v>0.648486086344772</v>
      </c>
      <c r="P1003" s="489">
        <f>LN((1+L1003)/(1+H1003))</f>
        <v>0.0337770076080137</v>
      </c>
      <c r="Q1003" s="489">
        <f>LN((1+M1003)/(1+H1003))</f>
        <v>0.0212531307803151</v>
      </c>
      <c r="R1003" s="489">
        <f>LN((1+N1003)/(1+H1003))</f>
        <v>0.0302801807345542</v>
      </c>
      <c r="S1003" s="542">
        <f>LN((1+O1003)/(1+H1003))</f>
        <v>-0.0063155449729768</v>
      </c>
    </row>
    <row r="1004">
      <c r="A1004" s="320" t="n">
        <v>903</v>
      </c>
      <c r="B1004" s="174" t="n">
        <v>3</v>
      </c>
      <c r="C1004" s="174" t="n">
        <v>67</v>
      </c>
      <c r="D1004" s="174" t="n">
        <v>44</v>
      </c>
      <c r="E1004" s="174" t="n">
        <v>41</v>
      </c>
      <c r="F1004" s="174" t="n">
        <v>42</v>
      </c>
      <c r="G1004" s="68">
        <f>(1+INDEX($Z$21:$Z$97,B1004))*(1+INDEX($Z$21:$Z$97,C1004))*(1+INDEX($Z$21:$Z$97,D1004))*(1+INDEX($Z$21:$Z$97,E1004))*(1+INDEX($Z$21:$Z$97,F1004))-1</f>
        <v>0.610671156690174</v>
      </c>
      <c r="H1004" s="68">
        <f>(1+INDEX($AA$21:$AA$97,B1004))*(1+INDEX($AA$21:$AA$97,C1004))*(1+INDEX($AA$21:$AA$97,D1004))*(1+INDEX($AA$21:$AA$97,E1004))*(1+INDEX($AA$21:$AA$97,F1004))-1</f>
        <v>0.550883747609008</v>
      </c>
      <c r="I1004" s="68">
        <f>(1+INDEX($AB$21:$AB$97,B1004))*(1+INDEX($AB$21:$AB$97,C1004))*(1+INDEX($AB$21:$AB$97,D1004))*(1+INDEX($AB$21:$AB$97,E1004))*(1+INDEX($AB$21:$AB$97,F1004))-1</f>
        <v>0.584414215599986</v>
      </c>
      <c r="J1004" s="489">
        <f>LN((1+G1004)/(1+H1004))</f>
        <v>0.0378260314410861</v>
      </c>
      <c r="K1004" s="489">
        <f>LN((1+I1004)/(1+H1004))</f>
        <v>0.021389830755011</v>
      </c>
      <c r="L1004" s="489">
        <f>(1+INDEX($AC$21:$AC$97,B1004))*(1+INDEX($AC$21:$AC$97,C1004))*(1+INDEX($AC$21:$AC$97,D1004))*(1+INDEX($AC$21:$AC$97,E1004))*(1+INDEX($AC$21:$AC$97,F1004))-1</f>
        <v>0.598052574389421</v>
      </c>
      <c r="M1004" s="489">
        <f>(1+INDEX($AD$21:$AD$97,B1004))*(1+INDEX($AD$21:$AD$97,C1004))*(1+INDEX($AD$21:$AD$97,D1004))*(1+INDEX($AD$21:$AD$97,E1004))*(1+INDEX($AD$21:$AD$97,F1004))-1</f>
        <v>0.582377832527897</v>
      </c>
      <c r="N1004" s="489">
        <f>(1+INDEX($AE$21:$AE$97,B1004))*(1+INDEX($AE$21:$AE$97,C1004))*(1+INDEX($AE$21:$AE$97,D1004))*(1+INDEX($AE$21:$AE$97,E1004))*(1+INDEX($AE$21:$AE$97,F1004))-1</f>
        <v>0.586463707701886</v>
      </c>
      <c r="O1004" s="489">
        <f>(1+INDEX($AF$21:$AF$97,B1004))*(1+INDEX($AF$21:$AF$97,C1004))*(1+INDEX($AF$21:$AF$97,D1004))*(1+INDEX($AF$21:$AF$97,E1004))*(1+INDEX($AF$21:$AF$97,F1004))-1</f>
        <v>0.595341927162318</v>
      </c>
      <c r="P1004" s="489">
        <f>LN((1+L1004)/(1+H1004))</f>
        <v>0.0299608187218323</v>
      </c>
      <c r="Q1004" s="489">
        <f>LN((1+M1004)/(1+H1004))</f>
        <v>0.0201037448221012</v>
      </c>
      <c r="R1004" s="489">
        <f>LN((1+N1004)/(1+H1004))</f>
        <v>0.0226825278798304</v>
      </c>
      <c r="S1004" s="542">
        <f>LN((1+O1004)/(1+H1004))</f>
        <v>0.0282631594587481</v>
      </c>
    </row>
    <row r="1005">
      <c r="A1005" s="320" t="n">
        <v>904</v>
      </c>
      <c r="B1005" s="174" t="n">
        <v>39</v>
      </c>
      <c r="C1005" s="174" t="n">
        <v>44</v>
      </c>
      <c r="D1005" s="174" t="n">
        <v>7</v>
      </c>
      <c r="E1005" s="174" t="n">
        <v>37</v>
      </c>
      <c r="F1005" s="174" t="n">
        <v>69</v>
      </c>
      <c r="G1005" s="68">
        <f>(1+INDEX($Z$21:$Z$97,B1005))*(1+INDEX($Z$21:$Z$97,C1005))*(1+INDEX($Z$21:$Z$97,D1005))*(1+INDEX($Z$21:$Z$97,E1005))*(1+INDEX($Z$21:$Z$97,F1005))-1</f>
        <v>0.104275981185441</v>
      </c>
      <c r="H1005" s="68">
        <f>(1+INDEX($AA$21:$AA$97,B1005))*(1+INDEX($AA$21:$AA$97,C1005))*(1+INDEX($AA$21:$AA$97,D1005))*(1+INDEX($AA$21:$AA$97,E1005))*(1+INDEX($AA$21:$AA$97,F1005))-1</f>
        <v>0.118918745806205</v>
      </c>
      <c r="I1005" s="68">
        <f>(1+INDEX($AB$21:$AB$97,B1005))*(1+INDEX($AB$21:$AB$97,C1005))*(1+INDEX($AB$21:$AB$97,D1005))*(1+INDEX($AB$21:$AB$97,E1005))*(1+INDEX($AB$21:$AB$97,F1005))-1</f>
        <v>0.103901670471884</v>
      </c>
      <c r="J1005" s="489">
        <f>LN((1+G1005)/(1+H1005))</f>
        <v>-0.0131729139005741</v>
      </c>
      <c r="K1005" s="489">
        <f>LN((1+I1005)/(1+H1005))</f>
        <v>-0.013511936186087</v>
      </c>
      <c r="L1005" s="489">
        <f>(1+INDEX($AC$21:$AC$97,B1005))*(1+INDEX($AC$21:$AC$97,C1005))*(1+INDEX($AC$21:$AC$97,D1005))*(1+INDEX($AC$21:$AC$97,E1005))*(1+INDEX($AC$21:$AC$97,F1005))-1</f>
        <v>0.0901736797057091</v>
      </c>
      <c r="M1005" s="489">
        <f>(1+INDEX($AD$21:$AD$97,B1005))*(1+INDEX($AD$21:$AD$97,C1005))*(1+INDEX($AD$21:$AD$97,D1005))*(1+INDEX($AD$21:$AD$97,E1005))*(1+INDEX($AD$21:$AD$97,F1005))-1</f>
        <v>0.107892106793157</v>
      </c>
      <c r="N1005" s="489">
        <f>(1+INDEX($AE$21:$AE$97,B1005))*(1+INDEX($AE$21:$AE$97,C1005))*(1+INDEX($AE$21:$AE$97,D1005))*(1+INDEX($AE$21:$AE$97,E1005))*(1+INDEX($AE$21:$AE$97,F1005))-1</f>
        <v>0.0934162549919806</v>
      </c>
      <c r="O1005" s="489">
        <f>(1+INDEX($AF$21:$AF$97,B1005))*(1+INDEX($AF$21:$AF$97,C1005))*(1+INDEX($AF$21:$AF$97,D1005))*(1+INDEX($AF$21:$AF$97,E1005))*(1+INDEX($AF$21:$AF$97,F1005))-1</f>
        <v>0.128803261992262</v>
      </c>
      <c r="P1005" s="489">
        <f>LN((1+L1005)/(1+H1005))</f>
        <v>-0.0260257907453079</v>
      </c>
      <c r="Q1005" s="489">
        <f>LN((1+M1005)/(1+H1005))</f>
        <v>-0.00990360642955455</v>
      </c>
      <c r="R1005" s="489">
        <f>LN((1+N1005)/(1+H1005))</f>
        <v>-0.0230558396402919</v>
      </c>
      <c r="S1005" s="542">
        <f>LN((1+O1005)/(1+H1005))</f>
        <v>0.00879519786713745</v>
      </c>
    </row>
    <row r="1006">
      <c r="A1006" s="320" t="n">
        <v>905</v>
      </c>
      <c r="B1006" s="174" t="n">
        <v>32</v>
      </c>
      <c r="C1006" s="174" t="n">
        <v>36</v>
      </c>
      <c r="D1006" s="174" t="n">
        <v>4</v>
      </c>
      <c r="E1006" s="174" t="n">
        <v>31</v>
      </c>
      <c r="F1006" s="174" t="n">
        <v>56</v>
      </c>
      <c r="G1006" s="68">
        <f>(1+INDEX($Z$21:$Z$97,B1006))*(1+INDEX($Z$21:$Z$97,C1006))*(1+INDEX($Z$21:$Z$97,D1006))*(1+INDEX($Z$21:$Z$97,E1006))*(1+INDEX($Z$21:$Z$97,F1006))-1</f>
        <v>0.404822073502333</v>
      </c>
      <c r="H1006" s="68">
        <f>(1+INDEX($AA$21:$AA$97,B1006))*(1+INDEX($AA$21:$AA$97,C1006))*(1+INDEX($AA$21:$AA$97,D1006))*(1+INDEX($AA$21:$AA$97,E1006))*(1+INDEX($AA$21:$AA$97,F1006))-1</f>
        <v>0.407359753678727</v>
      </c>
      <c r="I1006" s="68">
        <f>(1+INDEX($AB$21:$AB$97,B1006))*(1+INDEX($AB$21:$AB$97,C1006))*(1+INDEX($AB$21:$AB$97,D1006))*(1+INDEX($AB$21:$AB$97,E1006))*(1+INDEX($AB$21:$AB$97,F1006))-1</f>
        <v>0.421685546426202</v>
      </c>
      <c r="J1006" s="489">
        <f>LN((1+G1006)/(1+H1006))</f>
        <v>-0.00180477723074722</v>
      </c>
      <c r="K1006" s="489">
        <f>LN((1+I1006)/(1+H1006))</f>
        <v>0.0101277382852376</v>
      </c>
      <c r="L1006" s="489">
        <f>(1+INDEX($AC$21:$AC$97,B1006))*(1+INDEX($AC$21:$AC$97,C1006))*(1+INDEX($AC$21:$AC$97,D1006))*(1+INDEX($AC$21:$AC$97,E1006))*(1+INDEX($AC$21:$AC$97,F1006))-1</f>
        <v>0.409159189984945</v>
      </c>
      <c r="M1006" s="489">
        <f>(1+INDEX($AD$21:$AD$97,B1006))*(1+INDEX($AD$21:$AD$97,C1006))*(1+INDEX($AD$21:$AD$97,D1006))*(1+INDEX($AD$21:$AD$97,E1006))*(1+INDEX($AD$21:$AD$97,F1006))-1</f>
        <v>0.446412624017535</v>
      </c>
      <c r="N1006" s="489">
        <f>(1+INDEX($AE$21:$AE$97,B1006))*(1+INDEX($AE$21:$AE$97,C1006))*(1+INDEX($AE$21:$AE$97,D1006))*(1+INDEX($AE$21:$AE$97,E1006))*(1+INDEX($AE$21:$AE$97,F1006))-1</f>
        <v>0.410075553082029</v>
      </c>
      <c r="O1006" s="489">
        <f>(1+INDEX($AF$21:$AF$97,B1006))*(1+INDEX($AF$21:$AF$97,C1006))*(1+INDEX($AF$21:$AF$97,D1006))*(1+INDEX($AF$21:$AF$97,E1006))*(1+INDEX($AF$21:$AF$97,F1006))-1</f>
        <v>0.425837580047858</v>
      </c>
      <c r="P1006" s="489">
        <f>LN((1+L1006)/(1+H1006))</f>
        <v>0.00127777344093188</v>
      </c>
      <c r="Q1006" s="489">
        <f>LN((1+M1006)/(1+H1006))</f>
        <v>0.0273710045853694</v>
      </c>
      <c r="R1006" s="489">
        <f>LN((1+N1006)/(1+H1006))</f>
        <v>0.00192785278009182</v>
      </c>
      <c r="S1006" s="542">
        <f>LN((1+O1006)/(1+H1006))</f>
        <v>0.0130439825999034</v>
      </c>
    </row>
    <row r="1007">
      <c r="A1007" s="320" t="n">
        <v>906</v>
      </c>
      <c r="B1007" s="174" t="n">
        <v>17</v>
      </c>
      <c r="C1007" s="174" t="n">
        <v>25</v>
      </c>
      <c r="D1007" s="174" t="n">
        <v>72</v>
      </c>
      <c r="E1007" s="174" t="n">
        <v>23</v>
      </c>
      <c r="F1007" s="174" t="n">
        <v>43</v>
      </c>
      <c r="G1007" s="68">
        <f>(1+INDEX($Z$21:$Z$97,B1007))*(1+INDEX($Z$21:$Z$97,C1007))*(1+INDEX($Z$21:$Z$97,D1007))*(1+INDEX($Z$21:$Z$97,E1007))*(1+INDEX($Z$21:$Z$97,F1007))-1</f>
        <v>0.58891517525744</v>
      </c>
      <c r="H1007" s="68">
        <f>(1+INDEX($AA$21:$AA$97,B1007))*(1+INDEX($AA$21:$AA$97,C1007))*(1+INDEX($AA$21:$AA$97,D1007))*(1+INDEX($AA$21:$AA$97,E1007))*(1+INDEX($AA$21:$AA$97,F1007))-1</f>
        <v>0.533707977862782</v>
      </c>
      <c r="I1007" s="68">
        <f>(1+INDEX($AB$21:$AB$97,B1007))*(1+INDEX($AB$21:$AB$97,C1007))*(1+INDEX($AB$21:$AB$97,D1007))*(1+INDEX($AB$21:$AB$97,E1007))*(1+INDEX($AB$21:$AB$97,F1007))-1</f>
        <v>0.605150388996253</v>
      </c>
      <c r="J1007" s="489">
        <f>LN((1+G1007)/(1+H1007))</f>
        <v>0.0353631852899438</v>
      </c>
      <c r="K1007" s="489">
        <f>LN((1+I1007)/(1+H1007))</f>
        <v>0.0455291341304019</v>
      </c>
      <c r="L1007" s="489">
        <f>(1+INDEX($AC$21:$AC$97,B1007))*(1+INDEX($AC$21:$AC$97,C1007))*(1+INDEX($AC$21:$AC$97,D1007))*(1+INDEX($AC$21:$AC$97,E1007))*(1+INDEX($AC$21:$AC$97,F1007))-1</f>
        <v>0.578422393247731</v>
      </c>
      <c r="M1007" s="489">
        <f>(1+INDEX($AD$21:$AD$97,B1007))*(1+INDEX($AD$21:$AD$97,C1007))*(1+INDEX($AD$21:$AD$97,D1007))*(1+INDEX($AD$21:$AD$97,E1007))*(1+INDEX($AD$21:$AD$97,F1007))-1</f>
        <v>0.59443554745263</v>
      </c>
      <c r="N1007" s="489">
        <f>(1+INDEX($AE$21:$AE$97,B1007))*(1+INDEX($AE$21:$AE$97,C1007))*(1+INDEX($AE$21:$AE$97,D1007))*(1+INDEX($AE$21:$AE$97,E1007))*(1+INDEX($AE$21:$AE$97,F1007))-1</f>
        <v>0.570495605672366</v>
      </c>
      <c r="O1007" s="489">
        <f>(1+INDEX($AF$21:$AF$97,B1007))*(1+INDEX($AF$21:$AF$97,C1007))*(1+INDEX($AF$21:$AF$97,D1007))*(1+INDEX($AF$21:$AF$97,E1007))*(1+INDEX($AF$21:$AF$97,F1007))-1</f>
        <v>0.560774249701119</v>
      </c>
      <c r="P1007" s="489">
        <f>LN((1+L1007)/(1+H1007))</f>
        <v>0.0287375445629571</v>
      </c>
      <c r="Q1007" s="489">
        <f>LN((1+M1007)/(1+H1007))</f>
        <v>0.0388314664878074</v>
      </c>
      <c r="R1007" s="489">
        <f>LN((1+N1007)/(1+H1007))</f>
        <v>0.0237029235777785</v>
      </c>
      <c r="S1007" s="542">
        <f>LN((1+O1007)/(1+H1007))</f>
        <v>0.0174936936782377</v>
      </c>
    </row>
    <row r="1008">
      <c r="A1008" s="320" t="n">
        <v>907</v>
      </c>
      <c r="B1008" s="174" t="n">
        <v>16</v>
      </c>
      <c r="C1008" s="174" t="n">
        <v>13</v>
      </c>
      <c r="D1008" s="174" t="n">
        <v>32</v>
      </c>
      <c r="E1008" s="174" t="n">
        <v>46</v>
      </c>
      <c r="F1008" s="174" t="n">
        <v>64</v>
      </c>
      <c r="G1008" s="68">
        <f>(1+INDEX($Z$21:$Z$97,B1008))*(1+INDEX($Z$21:$Z$97,C1008))*(1+INDEX($Z$21:$Z$97,D1008))*(1+INDEX($Z$21:$Z$97,E1008))*(1+INDEX($Z$21:$Z$97,F1008))-1</f>
        <v>0.456693330267459</v>
      </c>
      <c r="H1008" s="68">
        <f>(1+INDEX($AA$21:$AA$97,B1008))*(1+INDEX($AA$21:$AA$97,C1008))*(1+INDEX($AA$21:$AA$97,D1008))*(1+INDEX($AA$21:$AA$97,E1008))*(1+INDEX($AA$21:$AA$97,F1008))-1</f>
        <v>0.356401878389173</v>
      </c>
      <c r="I1008" s="68">
        <f>(1+INDEX($AB$21:$AB$97,B1008))*(1+INDEX($AB$21:$AB$97,C1008))*(1+INDEX($AB$21:$AB$97,D1008))*(1+INDEX($AB$21:$AB$97,E1008))*(1+INDEX($AB$21:$AB$97,F1008))-1</f>
        <v>0.410907187052931</v>
      </c>
      <c r="J1008" s="489">
        <f>LN((1+G1008)/(1+H1008))</f>
        <v>0.0713335087006646</v>
      </c>
      <c r="K1008" s="489">
        <f>LN((1+I1008)/(1+H1008))</f>
        <v>0.0393973764705694</v>
      </c>
      <c r="L1008" s="489">
        <f>(1+INDEX($AC$21:$AC$97,B1008))*(1+INDEX($AC$21:$AC$97,C1008))*(1+INDEX($AC$21:$AC$97,D1008))*(1+INDEX($AC$21:$AC$97,E1008))*(1+INDEX($AC$21:$AC$97,F1008))-1</f>
        <v>0.396883599816457</v>
      </c>
      <c r="M1008" s="489">
        <f>(1+INDEX($AD$21:$AD$97,B1008))*(1+INDEX($AD$21:$AD$97,C1008))*(1+INDEX($AD$21:$AD$97,D1008))*(1+INDEX($AD$21:$AD$97,E1008))*(1+INDEX($AD$21:$AD$97,F1008))-1</f>
        <v>0.39306840043141</v>
      </c>
      <c r="N1008" s="489">
        <f>(1+INDEX($AE$21:$AE$97,B1008))*(1+INDEX($AE$21:$AE$97,C1008))*(1+INDEX($AE$21:$AE$97,D1008))*(1+INDEX($AE$21:$AE$97,E1008))*(1+INDEX($AE$21:$AE$97,F1008))-1</f>
        <v>0.385639376297907</v>
      </c>
      <c r="O1008" s="489">
        <f>(1+INDEX($AF$21:$AF$97,B1008))*(1+INDEX($AF$21:$AF$97,C1008))*(1+INDEX($AF$21:$AF$97,D1008))*(1+INDEX($AF$21:$AF$97,E1008))*(1+INDEX($AF$21:$AF$97,F1008))-1</f>
        <v>0.348531804679662</v>
      </c>
      <c r="P1008" s="489">
        <f>LN((1+L1008)/(1+H1008))</f>
        <v>0.0294082391663683</v>
      </c>
      <c r="Q1008" s="489">
        <f>LN((1+M1008)/(1+H1008))</f>
        <v>0.026673280455359</v>
      </c>
      <c r="R1008" s="489">
        <f>LN((1+N1008)/(1+H1008))</f>
        <v>0.0213261605484679</v>
      </c>
      <c r="S1008" s="542">
        <f>LN((1+O1008)/(1+H1008))</f>
        <v>-0.00581906755533351</v>
      </c>
    </row>
    <row r="1009">
      <c r="A1009" s="320" t="n">
        <v>908</v>
      </c>
      <c r="B1009" s="174" t="n">
        <v>53</v>
      </c>
      <c r="C1009" s="174" t="n">
        <v>44</v>
      </c>
      <c r="D1009" s="174" t="n">
        <v>3</v>
      </c>
      <c r="E1009" s="174" t="n">
        <v>42</v>
      </c>
      <c r="F1009" s="174" t="n">
        <v>30</v>
      </c>
      <c r="G1009" s="68">
        <f>(1+INDEX($Z$21:$Z$97,B1009))*(1+INDEX($Z$21:$Z$97,C1009))*(1+INDEX($Z$21:$Z$97,D1009))*(1+INDEX($Z$21:$Z$97,E1009))*(1+INDEX($Z$21:$Z$97,F1009))-1</f>
        <v>0.41790666953132</v>
      </c>
      <c r="H1009" s="68">
        <f>(1+INDEX($AA$21:$AA$97,B1009))*(1+INDEX($AA$21:$AA$97,C1009))*(1+INDEX($AA$21:$AA$97,D1009))*(1+INDEX($AA$21:$AA$97,E1009))*(1+INDEX($AA$21:$AA$97,F1009))-1</f>
        <v>0.40158976797362</v>
      </c>
      <c r="I1009" s="68">
        <f>(1+INDEX($AB$21:$AB$97,B1009))*(1+INDEX($AB$21:$AB$97,C1009))*(1+INDEX($AB$21:$AB$97,D1009))*(1+INDEX($AB$21:$AB$97,E1009))*(1+INDEX($AB$21:$AB$97,F1009))-1</f>
        <v>0.410236216612957</v>
      </c>
      <c r="J1009" s="489">
        <f>LN((1+G1009)/(1+H1009))</f>
        <v>0.0115744666334817</v>
      </c>
      <c r="K1009" s="489">
        <f>LN((1+I1009)/(1+H1009))</f>
        <v>0.00615007894510002</v>
      </c>
      <c r="L1009" s="489">
        <f>(1+INDEX($AC$21:$AC$97,B1009))*(1+INDEX($AC$21:$AC$97,C1009))*(1+INDEX($AC$21:$AC$97,D1009))*(1+INDEX($AC$21:$AC$97,E1009))*(1+INDEX($AC$21:$AC$97,F1009))-1</f>
        <v>0.408693968162156</v>
      </c>
      <c r="M1009" s="489">
        <f>(1+INDEX($AD$21:$AD$97,B1009))*(1+INDEX($AD$21:$AD$97,C1009))*(1+INDEX($AD$21:$AD$97,D1009))*(1+INDEX($AD$21:$AD$97,E1009))*(1+INDEX($AD$21:$AD$97,F1009))-1</f>
        <v>0.42928161635882</v>
      </c>
      <c r="N1009" s="489">
        <f>(1+INDEX($AE$21:$AE$97,B1009))*(1+INDEX($AE$21:$AE$97,C1009))*(1+INDEX($AE$21:$AE$97,D1009))*(1+INDEX($AE$21:$AE$97,E1009))*(1+INDEX($AE$21:$AE$97,F1009))-1</f>
        <v>0.399268390881971</v>
      </c>
      <c r="O1009" s="489">
        <f>(1+INDEX($AF$21:$AF$97,B1009))*(1+INDEX($AF$21:$AF$97,C1009))*(1+INDEX($AF$21:$AF$97,D1009))*(1+INDEX($AF$21:$AF$97,E1009))*(1+INDEX($AF$21:$AF$97,F1009))-1</f>
        <v>0.450940844570314</v>
      </c>
      <c r="P1009" s="489">
        <f>LN((1+L1009)/(1+H1009))</f>
        <v>0.00505587050176407</v>
      </c>
      <c r="Q1009" s="489">
        <f>LN((1+M1009)/(1+H1009))</f>
        <v>0.0195648109347939</v>
      </c>
      <c r="R1009" s="489">
        <f>LN((1+N1009)/(1+H1009))</f>
        <v>-0.00165761883788814</v>
      </c>
      <c r="S1009" s="542">
        <f>LN((1+O1009)/(1+H1009))</f>
        <v>0.0346050634130801</v>
      </c>
    </row>
    <row r="1010">
      <c r="A1010" s="320" t="n">
        <v>909</v>
      </c>
      <c r="B1010" s="174" t="n">
        <v>58</v>
      </c>
      <c r="C1010" s="174" t="n">
        <v>56</v>
      </c>
      <c r="D1010" s="174" t="n">
        <v>46</v>
      </c>
      <c r="E1010" s="174" t="n">
        <v>3</v>
      </c>
      <c r="F1010" s="174" t="n">
        <v>29</v>
      </c>
      <c r="G1010" s="68">
        <f>(1+INDEX($Z$21:$Z$97,B1010))*(1+INDEX($Z$21:$Z$97,C1010))*(1+INDEX($Z$21:$Z$97,D1010))*(1+INDEX($Z$21:$Z$97,E1010))*(1+INDEX($Z$21:$Z$97,F1010))-1</f>
        <v>0.711083113347633</v>
      </c>
      <c r="H1010" s="68">
        <f>(1+INDEX($AA$21:$AA$97,B1010))*(1+INDEX($AA$21:$AA$97,C1010))*(1+INDEX($AA$21:$AA$97,D1010))*(1+INDEX($AA$21:$AA$97,E1010))*(1+INDEX($AA$21:$AA$97,F1010))-1</f>
        <v>0.66878929511285</v>
      </c>
      <c r="I1010" s="68">
        <f>(1+INDEX($AB$21:$AB$97,B1010))*(1+INDEX($AB$21:$AB$97,C1010))*(1+INDEX($AB$21:$AB$97,D1010))*(1+INDEX($AB$21:$AB$97,E1010))*(1+INDEX($AB$21:$AB$97,F1010))-1</f>
        <v>0.709559648526561</v>
      </c>
      <c r="J1010" s="489">
        <f>LN((1+G1010)/(1+H1010))</f>
        <v>0.0250281790978444</v>
      </c>
      <c r="K1010" s="489">
        <f>LN((1+I1010)/(1+H1010))</f>
        <v>0.0241374313478705</v>
      </c>
      <c r="L1010" s="489">
        <f>(1+INDEX($AC$21:$AC$97,B1010))*(1+INDEX($AC$21:$AC$97,C1010))*(1+INDEX($AC$21:$AC$97,D1010))*(1+INDEX($AC$21:$AC$97,E1010))*(1+INDEX($AC$21:$AC$97,F1010))-1</f>
        <v>0.729877918034614</v>
      </c>
      <c r="M1010" s="489">
        <f>(1+INDEX($AD$21:$AD$97,B1010))*(1+INDEX($AD$21:$AD$97,C1010))*(1+INDEX($AD$21:$AD$97,D1010))*(1+INDEX($AD$21:$AD$97,E1010))*(1+INDEX($AD$21:$AD$97,F1010))-1</f>
        <v>0.687286243084863</v>
      </c>
      <c r="N1010" s="489">
        <f>(1+INDEX($AE$21:$AE$97,B1010))*(1+INDEX($AE$21:$AE$97,C1010))*(1+INDEX($AE$21:$AE$97,D1010))*(1+INDEX($AE$21:$AE$97,E1010))*(1+INDEX($AE$21:$AE$97,F1010))-1</f>
        <v>0.722641449512831</v>
      </c>
      <c r="O1010" s="489">
        <f>(1+INDEX($AF$21:$AF$97,B1010))*(1+INDEX($AF$21:$AF$97,C1010))*(1+INDEX($AF$21:$AF$97,D1010))*(1+INDEX($AF$21:$AF$97,E1010))*(1+INDEX($AF$21:$AF$97,F1010))-1</f>
        <v>0.678020175160307</v>
      </c>
      <c r="P1010" s="489">
        <f>LN((1+L1010)/(1+H1010))</f>
        <v>0.0359524478872772</v>
      </c>
      <c r="Q1010" s="489">
        <f>LN((1+M1010)/(1+H1010))</f>
        <v>0.0110230744542537</v>
      </c>
      <c r="R1010" s="489">
        <f>LN((1+N1010)/(1+H1010))</f>
        <v>0.0317604487420039</v>
      </c>
      <c r="S1010" s="542">
        <f>LN((1+O1010)/(1+H1010))</f>
        <v>0.00551624078787416</v>
      </c>
    </row>
    <row r="1011">
      <c r="A1011" s="320" t="n">
        <v>910</v>
      </c>
      <c r="B1011" s="174" t="n">
        <v>8</v>
      </c>
      <c r="C1011" s="174" t="n">
        <v>31</v>
      </c>
      <c r="D1011" s="174" t="n">
        <v>24</v>
      </c>
      <c r="E1011" s="174" t="n">
        <v>69</v>
      </c>
      <c r="F1011" s="174" t="n">
        <v>29</v>
      </c>
      <c r="G1011" s="68">
        <f>(1+INDEX($Z$21:$Z$97,B1011))*(1+INDEX($Z$21:$Z$97,C1011))*(1+INDEX($Z$21:$Z$97,D1011))*(1+INDEX($Z$21:$Z$97,E1011))*(1+INDEX($Z$21:$Z$97,F1011))-1</f>
        <v>0.312775664326967</v>
      </c>
      <c r="H1011" s="68">
        <f>(1+INDEX($AA$21:$AA$97,B1011))*(1+INDEX($AA$21:$AA$97,C1011))*(1+INDEX($AA$21:$AA$97,D1011))*(1+INDEX($AA$21:$AA$97,E1011))*(1+INDEX($AA$21:$AA$97,F1011))-1</f>
        <v>0.362276943814271</v>
      </c>
      <c r="I1011" s="68">
        <f>(1+INDEX($AB$21:$AB$97,B1011))*(1+INDEX($AB$21:$AB$97,C1011))*(1+INDEX($AB$21:$AB$97,D1011))*(1+INDEX($AB$21:$AB$97,E1011))*(1+INDEX($AB$21:$AB$97,F1011))-1</f>
        <v>0.366446911946378</v>
      </c>
      <c r="J1011" s="489">
        <f>LN((1+G1011)/(1+H1011))</f>
        <v>-0.0370137997973166</v>
      </c>
      <c r="K1011" s="489">
        <f>LN((1+I1011)/(1+H1011))</f>
        <v>0.00305635278511438</v>
      </c>
      <c r="L1011" s="489">
        <f>(1+INDEX($AC$21:$AC$97,B1011))*(1+INDEX($AC$21:$AC$97,C1011))*(1+INDEX($AC$21:$AC$97,D1011))*(1+INDEX($AC$21:$AC$97,E1011))*(1+INDEX($AC$21:$AC$97,F1011))-1</f>
        <v>0.350451790240962</v>
      </c>
      <c r="M1011" s="489">
        <f>(1+INDEX($AD$21:$AD$97,B1011))*(1+INDEX($AD$21:$AD$97,C1011))*(1+INDEX($AD$21:$AD$97,D1011))*(1+INDEX($AD$21:$AD$97,E1011))*(1+INDEX($AD$21:$AD$97,F1011))-1</f>
        <v>0.374726225491691</v>
      </c>
      <c r="N1011" s="489">
        <f>(1+INDEX($AE$21:$AE$97,B1011))*(1+INDEX($AE$21:$AE$97,C1011))*(1+INDEX($AE$21:$AE$97,D1011))*(1+INDEX($AE$21:$AE$97,E1011))*(1+INDEX($AE$21:$AE$97,F1011))-1</f>
        <v>0.356189308996556</v>
      </c>
      <c r="O1011" s="489">
        <f>(1+INDEX($AF$21:$AF$97,B1011))*(1+INDEX($AF$21:$AF$97,C1011))*(1+INDEX($AF$21:$AF$97,D1011))*(1+INDEX($AF$21:$AF$97,E1011))*(1+INDEX($AF$21:$AF$97,F1011))-1</f>
        <v>0.386628677307596</v>
      </c>
      <c r="P1011" s="489">
        <f>LN((1+L1011)/(1+H1011))</f>
        <v>-0.00871832728904779</v>
      </c>
      <c r="Q1011" s="489">
        <f>LN((1+M1011)/(1+H1011))</f>
        <v>0.00909707936928676</v>
      </c>
      <c r="R1011" s="489">
        <f>LN((1+N1011)/(1+H1011))</f>
        <v>-0.00447873501275901</v>
      </c>
      <c r="S1011" s="542">
        <f>LN((1+O1011)/(1+H1011))</f>
        <v>0.0177178658662166</v>
      </c>
    </row>
    <row r="1012">
      <c r="A1012" s="320" t="n">
        <v>911</v>
      </c>
      <c r="B1012" s="174" t="n">
        <v>25</v>
      </c>
      <c r="C1012" s="174" t="n">
        <v>3</v>
      </c>
      <c r="D1012" s="174" t="n">
        <v>54</v>
      </c>
      <c r="E1012" s="174" t="n">
        <v>36</v>
      </c>
      <c r="F1012" s="174" t="n">
        <v>34</v>
      </c>
      <c r="G1012" s="68">
        <f>(1+INDEX($Z$21:$Z$97,B1012))*(1+INDEX($Z$21:$Z$97,C1012))*(1+INDEX($Z$21:$Z$97,D1012))*(1+INDEX($Z$21:$Z$97,E1012))*(1+INDEX($Z$21:$Z$97,F1012))-1</f>
        <v>0.521021776301415</v>
      </c>
      <c r="H1012" s="68">
        <f>(1+INDEX($AA$21:$AA$97,B1012))*(1+INDEX($AA$21:$AA$97,C1012))*(1+INDEX($AA$21:$AA$97,D1012))*(1+INDEX($AA$21:$AA$97,E1012))*(1+INDEX($AA$21:$AA$97,F1012))-1</f>
        <v>0.475059749650553</v>
      </c>
      <c r="I1012" s="68">
        <f>(1+INDEX($AB$21:$AB$97,B1012))*(1+INDEX($AB$21:$AB$97,C1012))*(1+INDEX($AB$21:$AB$97,D1012))*(1+INDEX($AB$21:$AB$97,E1012))*(1+INDEX($AB$21:$AB$97,F1012))-1</f>
        <v>0.512301323696954</v>
      </c>
      <c r="J1012" s="489">
        <f>LN((1+G1012)/(1+H1012))</f>
        <v>0.030683833060605</v>
      </c>
      <c r="K1012" s="489">
        <f>LN((1+I1012)/(1+H1012))</f>
        <v>0.0249340488524451</v>
      </c>
      <c r="L1012" s="489">
        <f>(1+INDEX($AC$21:$AC$97,B1012))*(1+INDEX($AC$21:$AC$97,C1012))*(1+INDEX($AC$21:$AC$97,D1012))*(1+INDEX($AC$21:$AC$97,E1012))*(1+INDEX($AC$21:$AC$97,F1012))-1</f>
        <v>0.501147759563756</v>
      </c>
      <c r="M1012" s="489">
        <f>(1+INDEX($AD$21:$AD$97,B1012))*(1+INDEX($AD$21:$AD$97,C1012))*(1+INDEX($AD$21:$AD$97,D1012))*(1+INDEX($AD$21:$AD$97,E1012))*(1+INDEX($AD$21:$AD$97,F1012))-1</f>
        <v>0.544812664950943</v>
      </c>
      <c r="N1012" s="489">
        <f>(1+INDEX($AE$21:$AE$97,B1012))*(1+INDEX($AE$21:$AE$97,C1012))*(1+INDEX($AE$21:$AE$97,D1012))*(1+INDEX($AE$21:$AE$97,E1012))*(1+INDEX($AE$21:$AE$97,F1012))-1</f>
        <v>0.498233874301681</v>
      </c>
      <c r="O1012" s="489">
        <f>(1+INDEX($AF$21:$AF$97,B1012))*(1+INDEX($AF$21:$AF$97,C1012))*(1+INDEX($AF$21:$AF$97,D1012))*(1+INDEX($AF$21:$AF$97,E1012))*(1+INDEX($AF$21:$AF$97,F1012))-1</f>
        <v>0.512843135285257</v>
      </c>
      <c r="P1012" s="489">
        <f>LN((1+L1012)/(1+H1012))</f>
        <v>0.0175314913460138</v>
      </c>
      <c r="Q1012" s="489">
        <f>LN((1+M1012)/(1+H1012))</f>
        <v>0.0462041533300887</v>
      </c>
      <c r="R1012" s="489">
        <f>LN((1+N1012)/(1+H1012))</f>
        <v>0.0155885000668204</v>
      </c>
      <c r="S1012" s="542">
        <f>LN((1+O1012)/(1+H1012))</f>
        <v>0.0252922542878828</v>
      </c>
    </row>
    <row r="1013">
      <c r="A1013" s="320" t="n">
        <v>912</v>
      </c>
      <c r="B1013" s="174" t="n">
        <v>71</v>
      </c>
      <c r="C1013" s="174" t="n">
        <v>58</v>
      </c>
      <c r="D1013" s="174" t="n">
        <v>12</v>
      </c>
      <c r="E1013" s="174" t="n">
        <v>19</v>
      </c>
      <c r="F1013" s="174" t="n">
        <v>40</v>
      </c>
      <c r="G1013" s="68">
        <f>(1+INDEX($Z$21:$Z$97,B1013))*(1+INDEX($Z$21:$Z$97,C1013))*(1+INDEX($Z$21:$Z$97,D1013))*(1+INDEX($Z$21:$Z$97,E1013))*(1+INDEX($Z$21:$Z$97,F1013))-1</f>
        <v>0.701927011452941</v>
      </c>
      <c r="H1013" s="68">
        <f>(1+INDEX($AA$21:$AA$97,B1013))*(1+INDEX($AA$21:$AA$97,C1013))*(1+INDEX($AA$21:$AA$97,D1013))*(1+INDEX($AA$21:$AA$97,E1013))*(1+INDEX($AA$21:$AA$97,F1013))-1</f>
        <v>0.620820948431283</v>
      </c>
      <c r="I1013" s="68">
        <f>(1+INDEX($AB$21:$AB$97,B1013))*(1+INDEX($AB$21:$AB$97,C1013))*(1+INDEX($AB$21:$AB$97,D1013))*(1+INDEX($AB$21:$AB$97,E1013))*(1+INDEX($AB$21:$AB$97,F1013))-1</f>
        <v>0.635602725367953</v>
      </c>
      <c r="J1013" s="489">
        <f>LN((1+G1013)/(1+H1013))</f>
        <v>0.0488283660673535</v>
      </c>
      <c r="K1013" s="489">
        <f>LN((1+I1013)/(1+H1013))</f>
        <v>0.00907859661060924</v>
      </c>
      <c r="L1013" s="489">
        <f>(1+INDEX($AC$21:$AC$97,B1013))*(1+INDEX($AC$21:$AC$97,C1013))*(1+INDEX($AC$21:$AC$97,D1013))*(1+INDEX($AC$21:$AC$97,E1013))*(1+INDEX($AC$21:$AC$97,F1013))-1</f>
        <v>0.659782089984235</v>
      </c>
      <c r="M1013" s="489">
        <f>(1+INDEX($AD$21:$AD$97,B1013))*(1+INDEX($AD$21:$AD$97,C1013))*(1+INDEX($AD$21:$AD$97,D1013))*(1+INDEX($AD$21:$AD$97,E1013))*(1+INDEX($AD$21:$AD$97,F1013))-1</f>
        <v>0.625297088328919</v>
      </c>
      <c r="N1013" s="489">
        <f>(1+INDEX($AE$21:$AE$97,B1013))*(1+INDEX($AE$21:$AE$97,C1013))*(1+INDEX($AE$21:$AE$97,D1013))*(1+INDEX($AE$21:$AE$97,E1013))*(1+INDEX($AE$21:$AE$97,F1013))-1</f>
        <v>0.655045449272049</v>
      </c>
      <c r="O1013" s="489">
        <f>(1+INDEX($AF$21:$AF$97,B1013))*(1+INDEX($AF$21:$AF$97,C1013))*(1+INDEX($AF$21:$AF$97,D1013))*(1+INDEX($AF$21:$AF$97,E1013))*(1+INDEX($AF$21:$AF$97,F1013))-1</f>
        <v>0.611300672523699</v>
      </c>
      <c r="P1013" s="489">
        <f>LN((1+L1013)/(1+H1013))</f>
        <v>0.0237535434812256</v>
      </c>
      <c r="Q1013" s="489">
        <f>LN((1+M1013)/(1+H1013))</f>
        <v>0.0027578434819443</v>
      </c>
      <c r="R1013" s="489">
        <f>LN((1+N1013)/(1+H1013))</f>
        <v>0.0208956910711698</v>
      </c>
      <c r="S1013" s="542">
        <f>LN((1+O1013)/(1+H1013))</f>
        <v>-0.00589105519971994</v>
      </c>
    </row>
    <row r="1014">
      <c r="A1014" s="320" t="n">
        <v>913</v>
      </c>
      <c r="B1014" s="174" t="n">
        <v>49</v>
      </c>
      <c r="C1014" s="174" t="n">
        <v>15</v>
      </c>
      <c r="D1014" s="174" t="n">
        <v>50</v>
      </c>
      <c r="E1014" s="174" t="n">
        <v>15</v>
      </c>
      <c r="F1014" s="174" t="n">
        <v>30</v>
      </c>
      <c r="G1014" s="68">
        <f>(1+INDEX($Z$21:$Z$97,B1014))*(1+INDEX($Z$21:$Z$97,C1014))*(1+INDEX($Z$21:$Z$97,D1014))*(1+INDEX($Z$21:$Z$97,E1014))*(1+INDEX($Z$21:$Z$97,F1014))-1</f>
        <v>0.476873580269836</v>
      </c>
      <c r="H1014" s="68">
        <f>(1+INDEX($AA$21:$AA$97,B1014))*(1+INDEX($AA$21:$AA$97,C1014))*(1+INDEX($AA$21:$AA$97,D1014))*(1+INDEX($AA$21:$AA$97,E1014))*(1+INDEX($AA$21:$AA$97,F1014))-1</f>
        <v>0.393656654332423</v>
      </c>
      <c r="I1014" s="68">
        <f>(1+INDEX($AB$21:$AB$97,B1014))*(1+INDEX($AB$21:$AB$97,C1014))*(1+INDEX($AB$21:$AB$97,D1014))*(1+INDEX($AB$21:$AB$97,E1014))*(1+INDEX($AB$21:$AB$97,F1014))-1</f>
        <v>0.452272910489433</v>
      </c>
      <c r="J1014" s="489">
        <f>LN((1+G1014)/(1+H1014))</f>
        <v>0.0579964281382573</v>
      </c>
      <c r="K1014" s="489">
        <f>LN((1+I1014)/(1+H1014))</f>
        <v>0.0411988741104365</v>
      </c>
      <c r="L1014" s="489">
        <f>(1+INDEX($AC$21:$AC$97,B1014))*(1+INDEX($AC$21:$AC$97,C1014))*(1+INDEX($AC$21:$AC$97,D1014))*(1+INDEX($AC$21:$AC$97,E1014))*(1+INDEX($AC$21:$AC$97,F1014))-1</f>
        <v>0.412501773868388</v>
      </c>
      <c r="M1014" s="489">
        <f>(1+INDEX($AD$21:$AD$97,B1014))*(1+INDEX($AD$21:$AD$97,C1014))*(1+INDEX($AD$21:$AD$97,D1014))*(1+INDEX($AD$21:$AD$97,E1014))*(1+INDEX($AD$21:$AD$97,F1014))-1</f>
        <v>0.458906379742545</v>
      </c>
      <c r="N1014" s="489">
        <f>(1+INDEX($AE$21:$AE$97,B1014))*(1+INDEX($AE$21:$AE$97,C1014))*(1+INDEX($AE$21:$AE$97,D1014))*(1+INDEX($AE$21:$AE$97,E1014))*(1+INDEX($AE$21:$AE$97,F1014))-1</f>
        <v>0.396532255058969</v>
      </c>
      <c r="O1014" s="489">
        <f>(1+INDEX($AF$21:$AF$97,B1014))*(1+INDEX($AF$21:$AF$97,C1014))*(1+INDEX($AF$21:$AF$97,D1014))*(1+INDEX($AF$21:$AF$97,E1014))*(1+INDEX($AF$21:$AF$97,F1014))-1</f>
        <v>0.431879953896912</v>
      </c>
      <c r="P1014" s="489">
        <f>LN((1+L1014)/(1+H1014))</f>
        <v>0.0134314603603061</v>
      </c>
      <c r="Q1014" s="489">
        <f>LN((1+M1014)/(1+H1014))</f>
        <v>0.0457561205541463</v>
      </c>
      <c r="R1014" s="489">
        <f>LN((1+N1014)/(1+H1014))</f>
        <v>0.00206122369348066</v>
      </c>
      <c r="S1014" s="542">
        <f>LN((1+O1014)/(1+H1014))</f>
        <v>0.0270572544334661</v>
      </c>
    </row>
    <row r="1015">
      <c r="A1015" s="320" t="n">
        <v>914</v>
      </c>
      <c r="B1015" s="174" t="n">
        <v>41</v>
      </c>
      <c r="C1015" s="174" t="n">
        <v>30</v>
      </c>
      <c r="D1015" s="174" t="n">
        <v>35</v>
      </c>
      <c r="E1015" s="174" t="n">
        <v>64</v>
      </c>
      <c r="F1015" s="174" t="n">
        <v>16</v>
      </c>
      <c r="G1015" s="68">
        <f>(1+INDEX($Z$21:$Z$97,B1015))*(1+INDEX($Z$21:$Z$97,C1015))*(1+INDEX($Z$21:$Z$97,D1015))*(1+INDEX($Z$21:$Z$97,E1015))*(1+INDEX($Z$21:$Z$97,F1015))-1</f>
        <v>0.324524603930225</v>
      </c>
      <c r="H1015" s="68">
        <f>(1+INDEX($AA$21:$AA$97,B1015))*(1+INDEX($AA$21:$AA$97,C1015))*(1+INDEX($AA$21:$AA$97,D1015))*(1+INDEX($AA$21:$AA$97,E1015))*(1+INDEX($AA$21:$AA$97,F1015))-1</f>
        <v>0.292901091182921</v>
      </c>
      <c r="I1015" s="68">
        <f>(1+INDEX($AB$21:$AB$97,B1015))*(1+INDEX($AB$21:$AB$97,C1015))*(1+INDEX($AB$21:$AB$97,D1015))*(1+INDEX($AB$21:$AB$97,E1015))*(1+INDEX($AB$21:$AB$97,F1015))-1</f>
        <v>0.322070491571722</v>
      </c>
      <c r="J1015" s="489">
        <f>LN((1+G1015)/(1+H1015))</f>
        <v>0.0241650043122895</v>
      </c>
      <c r="K1015" s="489">
        <f>LN((1+I1015)/(1+H1015))</f>
        <v>0.0223104606640753</v>
      </c>
      <c r="L1015" s="489">
        <f>(1+INDEX($AC$21:$AC$97,B1015))*(1+INDEX($AC$21:$AC$97,C1015))*(1+INDEX($AC$21:$AC$97,D1015))*(1+INDEX($AC$21:$AC$97,E1015))*(1+INDEX($AC$21:$AC$97,F1015))-1</f>
        <v>0.319665575114009</v>
      </c>
      <c r="M1015" s="489">
        <f>(1+INDEX($AD$21:$AD$97,B1015))*(1+INDEX($AD$21:$AD$97,C1015))*(1+INDEX($AD$21:$AD$97,D1015))*(1+INDEX($AD$21:$AD$97,E1015))*(1+INDEX($AD$21:$AD$97,F1015))-1</f>
        <v>0.308631807250449</v>
      </c>
      <c r="N1015" s="489">
        <f>(1+INDEX($AE$21:$AE$97,B1015))*(1+INDEX($AE$21:$AE$97,C1015))*(1+INDEX($AE$21:$AE$97,D1015))*(1+INDEX($AE$21:$AE$97,E1015))*(1+INDEX($AE$21:$AE$97,F1015))-1</f>
        <v>0.315695210698738</v>
      </c>
      <c r="O1015" s="489">
        <f>(1+INDEX($AF$21:$AF$97,B1015))*(1+INDEX($AF$21:$AF$97,C1015))*(1+INDEX($AF$21:$AF$97,D1015))*(1+INDEX($AF$21:$AF$97,E1015))*(1+INDEX($AF$21:$AF$97,F1015))-1</f>
        <v>0.289400776349965</v>
      </c>
      <c r="P1015" s="489">
        <f>LN((1+L1015)/(1+H1015))</f>
        <v>0.0204897510539095</v>
      </c>
      <c r="Q1015" s="489">
        <f>LN((1+M1015)/(1+H1015))</f>
        <v>0.0120935682192554</v>
      </c>
      <c r="R1015" s="489">
        <f>LN((1+N1015)/(1+H1015))</f>
        <v>0.0174766020076173</v>
      </c>
      <c r="S1015" s="542">
        <f>LN((1+O1015)/(1+H1015))</f>
        <v>-0.00271100526299923</v>
      </c>
    </row>
    <row r="1016">
      <c r="A1016" s="320" t="n">
        <v>915</v>
      </c>
      <c r="B1016" s="174" t="n">
        <v>3</v>
      </c>
      <c r="C1016" s="174" t="n">
        <v>39</v>
      </c>
      <c r="D1016" s="174" t="n">
        <v>61</v>
      </c>
      <c r="E1016" s="174" t="n">
        <v>57</v>
      </c>
      <c r="F1016" s="174" t="n">
        <v>14</v>
      </c>
      <c r="G1016" s="68">
        <f>(1+INDEX($Z$21:$Z$97,B1016))*(1+INDEX($Z$21:$Z$97,C1016))*(1+INDEX($Z$21:$Z$97,D1016))*(1+INDEX($Z$21:$Z$97,E1016))*(1+INDEX($Z$21:$Z$97,F1016))-1</f>
        <v>0.810804047601984</v>
      </c>
      <c r="H1016" s="68">
        <f>(1+INDEX($AA$21:$AA$97,B1016))*(1+INDEX($AA$21:$AA$97,C1016))*(1+INDEX($AA$21:$AA$97,D1016))*(1+INDEX($AA$21:$AA$97,E1016))*(1+INDEX($AA$21:$AA$97,F1016))-1</f>
        <v>0.642612231147906</v>
      </c>
      <c r="I1016" s="68">
        <f>(1+INDEX($AB$21:$AB$97,B1016))*(1+INDEX($AB$21:$AB$97,C1016))*(1+INDEX($AB$21:$AB$97,D1016))*(1+INDEX($AB$21:$AB$97,E1016))*(1+INDEX($AB$21:$AB$97,F1016))-1</f>
        <v>0.683703828283981</v>
      </c>
      <c r="J1016" s="489">
        <f>LN((1+G1016)/(1+H1016))</f>
        <v>0.0974831733251223</v>
      </c>
      <c r="K1016" s="489">
        <f>LN((1+I1016)/(1+H1016))</f>
        <v>0.0247082279035934</v>
      </c>
      <c r="L1016" s="489">
        <f>(1+INDEX($AC$21:$AC$97,B1016))*(1+INDEX($AC$21:$AC$97,C1016))*(1+INDEX($AC$21:$AC$97,D1016))*(1+INDEX($AC$21:$AC$97,E1016))*(1+INDEX($AC$21:$AC$97,F1016))-1</f>
        <v>0.713079496230264</v>
      </c>
      <c r="M1016" s="489">
        <f>(1+INDEX($AD$21:$AD$97,B1016))*(1+INDEX($AD$21:$AD$97,C1016))*(1+INDEX($AD$21:$AD$97,D1016))*(1+INDEX($AD$21:$AD$97,E1016))*(1+INDEX($AD$21:$AD$97,F1016))-1</f>
        <v>0.660349707381853</v>
      </c>
      <c r="N1016" s="489">
        <f>(1+INDEX($AE$21:$AE$97,B1016))*(1+INDEX($AE$21:$AE$97,C1016))*(1+INDEX($AE$21:$AE$97,D1016))*(1+INDEX($AE$21:$AE$97,E1016))*(1+INDEX($AE$21:$AE$97,F1016))-1</f>
        <v>0.703956461451968</v>
      </c>
      <c r="O1016" s="489">
        <f>(1+INDEX($AF$21:$AF$97,B1016))*(1+INDEX($AF$21:$AF$97,C1016))*(1+INDEX($AF$21:$AF$97,D1016))*(1+INDEX($AF$21:$AF$97,E1016))*(1+INDEX($AF$21:$AF$97,F1016))-1</f>
        <v>0.63300776198189</v>
      </c>
      <c r="P1016" s="489">
        <f>LN((1+L1016)/(1+H1016))</f>
        <v>0.0420048273635979</v>
      </c>
      <c r="Q1016" s="489">
        <f>LN((1+M1016)/(1+H1016))</f>
        <v>0.0107404487704797</v>
      </c>
      <c r="R1016" s="489">
        <f>LN((1+N1016)/(1+H1016))</f>
        <v>0.0366650787813211</v>
      </c>
      <c r="S1016" s="542">
        <f>LN((1+O1016)/(1+H1016))</f>
        <v>-0.00586423132739375</v>
      </c>
    </row>
    <row r="1017">
      <c r="A1017" s="320" t="n">
        <v>916</v>
      </c>
      <c r="B1017" s="174" t="n">
        <v>61</v>
      </c>
      <c r="C1017" s="174" t="n">
        <v>19</v>
      </c>
      <c r="D1017" s="174" t="n">
        <v>28</v>
      </c>
      <c r="E1017" s="174" t="n">
        <v>7</v>
      </c>
      <c r="F1017" s="174" t="n">
        <v>64</v>
      </c>
      <c r="G1017" s="68">
        <f>(1+INDEX($Z$21:$Z$97,B1017))*(1+INDEX($Z$21:$Z$97,C1017))*(1+INDEX($Z$21:$Z$97,D1017))*(1+INDEX($Z$21:$Z$97,E1017))*(1+INDEX($Z$21:$Z$97,F1017))-1</f>
        <v>0.0328290211521136</v>
      </c>
      <c r="H1017" s="68">
        <f>(1+INDEX($AA$21:$AA$97,B1017))*(1+INDEX($AA$21:$AA$97,C1017))*(1+INDEX($AA$21:$AA$97,D1017))*(1+INDEX($AA$21:$AA$97,E1017))*(1+INDEX($AA$21:$AA$97,F1017))-1</f>
        <v>0.0719179740194116</v>
      </c>
      <c r="I1017" s="68">
        <f>(1+INDEX($AB$21:$AB$97,B1017))*(1+INDEX($AB$21:$AB$97,C1017))*(1+INDEX($AB$21:$AB$97,D1017))*(1+INDEX($AB$21:$AB$97,E1017))*(1+INDEX($AB$21:$AB$97,F1017))-1</f>
        <v>0.0549250330837574</v>
      </c>
      <c r="J1017" s="489">
        <f>LN((1+G1017)/(1+H1017))</f>
        <v>-0.0371478833037248</v>
      </c>
      <c r="K1017" s="489">
        <f>LN((1+I1017)/(1+H1017))</f>
        <v>-0.0159798372332556</v>
      </c>
      <c r="L1017" s="489">
        <f>(1+INDEX($AC$21:$AC$97,B1017))*(1+INDEX($AC$21:$AC$97,C1017))*(1+INDEX($AC$21:$AC$97,D1017))*(1+INDEX($AC$21:$AC$97,E1017))*(1+INDEX($AC$21:$AC$97,F1017))-1</f>
        <v>0.0652245503684599</v>
      </c>
      <c r="M1017" s="489">
        <f>(1+INDEX($AD$21:$AD$97,B1017))*(1+INDEX($AD$21:$AD$97,C1017))*(1+INDEX($AD$21:$AD$97,D1017))*(1+INDEX($AD$21:$AD$97,E1017))*(1+INDEX($AD$21:$AD$97,F1017))-1</f>
        <v>0.0112206620037656</v>
      </c>
      <c r="N1017" s="489">
        <f>(1+INDEX($AE$21:$AE$97,B1017))*(1+INDEX($AE$21:$AE$97,C1017))*(1+INDEX($AE$21:$AE$97,D1017))*(1+INDEX($AE$21:$AE$97,E1017))*(1+INDEX($AE$21:$AE$97,F1017))-1</f>
        <v>0.0704547095131896</v>
      </c>
      <c r="O1017" s="489">
        <f>(1+INDEX($AF$21:$AF$97,B1017))*(1+INDEX($AF$21:$AF$97,C1017))*(1+INDEX($AF$21:$AF$97,D1017))*(1+INDEX($AF$21:$AF$97,E1017))*(1+INDEX($AF$21:$AF$97,F1017))-1</f>
        <v>0.0356209720235596</v>
      </c>
      <c r="P1017" s="489">
        <f>LN((1+L1017)/(1+H1017))</f>
        <v>-0.00626392059510388</v>
      </c>
      <c r="Q1017" s="489">
        <f>LN((1+M1017)/(1+H1017))</f>
        <v>-0.0582913655939557</v>
      </c>
      <c r="R1017" s="489">
        <f>LN((1+N1017)/(1+H1017))</f>
        <v>-0.00136602258328745</v>
      </c>
      <c r="S1017" s="542">
        <f>LN((1+O1017)/(1+H1017))</f>
        <v>-0.0344483231729847</v>
      </c>
    </row>
    <row r="1018">
      <c r="A1018" s="320" t="n">
        <v>917</v>
      </c>
      <c r="B1018" s="174" t="n">
        <v>26</v>
      </c>
      <c r="C1018" s="174" t="n">
        <v>71</v>
      </c>
      <c r="D1018" s="174" t="n">
        <v>14</v>
      </c>
      <c r="E1018" s="174" t="n">
        <v>61</v>
      </c>
      <c r="F1018" s="174" t="n">
        <v>47</v>
      </c>
      <c r="G1018" s="68">
        <f>(1+INDEX($Z$21:$Z$97,B1018))*(1+INDEX($Z$21:$Z$97,C1018))*(1+INDEX($Z$21:$Z$97,D1018))*(1+INDEX($Z$21:$Z$97,E1018))*(1+INDEX($Z$21:$Z$97,F1018))-1</f>
        <v>0.918970554078803</v>
      </c>
      <c r="H1018" s="68">
        <f>(1+INDEX($AA$21:$AA$97,B1018))*(1+INDEX($AA$21:$AA$97,C1018))*(1+INDEX($AA$21:$AA$97,D1018))*(1+INDEX($AA$21:$AA$97,E1018))*(1+INDEX($AA$21:$AA$97,F1018))-1</f>
        <v>0.820413426530328</v>
      </c>
      <c r="I1018" s="68">
        <f>(1+INDEX($AB$21:$AB$97,B1018))*(1+INDEX($AB$21:$AB$97,C1018))*(1+INDEX($AB$21:$AB$97,D1018))*(1+INDEX($AB$21:$AB$97,E1018))*(1+INDEX($AB$21:$AB$97,F1018))-1</f>
        <v>0.919912347595972</v>
      </c>
      <c r="J1018" s="489">
        <f>LN((1+G1018)/(1+H1018))</f>
        <v>0.0527252397720596</v>
      </c>
      <c r="K1018" s="489">
        <f>LN((1+I1018)/(1+H1018))</f>
        <v>0.0532158999772214</v>
      </c>
      <c r="L1018" s="489">
        <f>(1+INDEX($AC$21:$AC$97,B1018))*(1+INDEX($AC$21:$AC$97,C1018))*(1+INDEX($AC$21:$AC$97,D1018))*(1+INDEX($AC$21:$AC$97,E1018))*(1+INDEX($AC$21:$AC$97,F1018))-1</f>
        <v>0.935083544404499</v>
      </c>
      <c r="M1018" s="489">
        <f>(1+INDEX($AD$21:$AD$97,B1018))*(1+INDEX($AD$21:$AD$97,C1018))*(1+INDEX($AD$21:$AD$97,D1018))*(1+INDEX($AD$21:$AD$97,E1018))*(1+INDEX($AD$21:$AD$97,F1018))-1</f>
        <v>0.870294195662574</v>
      </c>
      <c r="N1018" s="489">
        <f>(1+INDEX($AE$21:$AE$97,B1018))*(1+INDEX($AE$21:$AE$97,C1018))*(1+INDEX($AE$21:$AE$97,D1018))*(1+INDEX($AE$21:$AE$97,E1018))*(1+INDEX($AE$21:$AE$97,F1018))-1</f>
        <v>0.936712525322131</v>
      </c>
      <c r="O1018" s="489">
        <f>(1+INDEX($AF$21:$AF$97,B1018))*(1+INDEX($AF$21:$AF$97,C1018))*(1+INDEX($AF$21:$AF$97,D1018))*(1+INDEX($AF$21:$AF$97,E1018))*(1+INDEX($AF$21:$AF$97,F1018))-1</f>
        <v>0.783322406291329</v>
      </c>
      <c r="P1018" s="489">
        <f>LN((1+L1018)/(1+H1018))</f>
        <v>0.0610868682259494</v>
      </c>
      <c r="Q1018" s="489">
        <f>LN((1+M1018)/(1+H1018))</f>
        <v>0.0270321096495138</v>
      </c>
      <c r="R1018" s="489">
        <f>LN((1+N1018)/(1+H1018))</f>
        <v>0.0619283283568103</v>
      </c>
      <c r="S1018" s="542">
        <f>LN((1+O1018)/(1+H1018))</f>
        <v>-0.0205854878188464</v>
      </c>
    </row>
    <row r="1019">
      <c r="A1019" s="320" t="n">
        <v>918</v>
      </c>
      <c r="B1019" s="174" t="n">
        <v>26</v>
      </c>
      <c r="C1019" s="174" t="n">
        <v>6</v>
      </c>
      <c r="D1019" s="174" t="n">
        <v>2</v>
      </c>
      <c r="E1019" s="174" t="n">
        <v>5</v>
      </c>
      <c r="F1019" s="174" t="n">
        <v>10</v>
      </c>
      <c r="G1019" s="68">
        <f>(1+INDEX($Z$21:$Z$97,B1019))*(1+INDEX($Z$21:$Z$97,C1019))*(1+INDEX($Z$21:$Z$97,D1019))*(1+INDEX($Z$21:$Z$97,E1019))*(1+INDEX($Z$21:$Z$97,F1019))-1</f>
        <v>-0.0143994445381974</v>
      </c>
      <c r="H1019" s="68">
        <f>(1+INDEX($AA$21:$AA$97,B1019))*(1+INDEX($AA$21:$AA$97,C1019))*(1+INDEX($AA$21:$AA$97,D1019))*(1+INDEX($AA$21:$AA$97,E1019))*(1+INDEX($AA$21:$AA$97,F1019))-1</f>
        <v>0.0230887128985064</v>
      </c>
      <c r="I1019" s="68">
        <f>(1+INDEX($AB$21:$AB$97,B1019))*(1+INDEX($AB$21:$AB$97,C1019))*(1+INDEX($AB$21:$AB$97,D1019))*(1+INDEX($AB$21:$AB$97,E1019))*(1+INDEX($AB$21:$AB$97,F1019))-1</f>
        <v>-0.0209501218660348</v>
      </c>
      <c r="J1019" s="489">
        <f>LN((1+G1019)/(1+H1019))</f>
        <v>-0.0373303242112547</v>
      </c>
      <c r="K1019" s="489">
        <f>LN((1+I1019)/(1+H1019))</f>
        <v>-0.0439988912920989</v>
      </c>
      <c r="L1019" s="489">
        <f>(1+INDEX($AC$21:$AC$97,B1019))*(1+INDEX($AC$21:$AC$97,C1019))*(1+INDEX($AC$21:$AC$97,D1019))*(1+INDEX($AC$21:$AC$97,E1019))*(1+INDEX($AC$21:$AC$97,F1019))-1</f>
        <v>-0.026498970514015</v>
      </c>
      <c r="M1019" s="489">
        <f>(1+INDEX($AD$21:$AD$97,B1019))*(1+INDEX($AD$21:$AD$97,C1019))*(1+INDEX($AD$21:$AD$97,D1019))*(1+INDEX($AD$21:$AD$97,E1019))*(1+INDEX($AD$21:$AD$97,F1019))-1</f>
        <v>-0.0155449002884469</v>
      </c>
      <c r="N1019" s="489">
        <f>(1+INDEX($AE$21:$AE$97,B1019))*(1+INDEX($AE$21:$AE$97,C1019))*(1+INDEX($AE$21:$AE$97,D1019))*(1+INDEX($AE$21:$AE$97,E1019))*(1+INDEX($AE$21:$AE$97,F1019))-1</f>
        <v>-0.0477342924702923</v>
      </c>
      <c r="O1019" s="489">
        <f>(1+INDEX($AF$21:$AF$97,B1019))*(1+INDEX($AF$21:$AF$97,C1019))*(1+INDEX($AF$21:$AF$97,D1019))*(1+INDEX($AF$21:$AF$97,E1019))*(1+INDEX($AF$21:$AF$97,F1019))-1</f>
        <v>0.0483156874952808</v>
      </c>
      <c r="P1019" s="489">
        <f>LN((1+L1019)/(1+H1019))</f>
        <v>-0.0496825982459718</v>
      </c>
      <c r="Q1019" s="489">
        <f>LN((1+M1019)/(1+H1019))</f>
        <v>-0.0384931907285745</v>
      </c>
      <c r="R1019" s="489">
        <f>LN((1+N1019)/(1+H1019))</f>
        <v>-0.071737380170718</v>
      </c>
      <c r="S1019" s="542">
        <f>LN((1+O1019)/(1+H1019))</f>
        <v>0.0243585674791482</v>
      </c>
    </row>
    <row r="1020">
      <c r="A1020" s="320" t="n">
        <v>919</v>
      </c>
      <c r="B1020" s="174" t="n">
        <v>68</v>
      </c>
      <c r="C1020" s="174" t="n">
        <v>35</v>
      </c>
      <c r="D1020" s="174" t="n">
        <v>57</v>
      </c>
      <c r="E1020" s="174" t="n">
        <v>57</v>
      </c>
      <c r="F1020" s="174" t="n">
        <v>59</v>
      </c>
      <c r="G1020" s="68">
        <f>(1+INDEX($Z$21:$Z$97,B1020))*(1+INDEX($Z$21:$Z$97,C1020))*(1+INDEX($Z$21:$Z$97,D1020))*(1+INDEX($Z$21:$Z$97,E1020))*(1+INDEX($Z$21:$Z$97,F1020))-1</f>
        <v>1.16286908884628</v>
      </c>
      <c r="H1020" s="68">
        <f>(1+INDEX($AA$21:$AA$97,B1020))*(1+INDEX($AA$21:$AA$97,C1020))*(1+INDEX($AA$21:$AA$97,D1020))*(1+INDEX($AA$21:$AA$97,E1020))*(1+INDEX($AA$21:$AA$97,F1020))-1</f>
        <v>1.04668903847075</v>
      </c>
      <c r="I1020" s="68">
        <f>(1+INDEX($AB$21:$AB$97,B1020))*(1+INDEX($AB$21:$AB$97,C1020))*(1+INDEX($AB$21:$AB$97,D1020))*(1+INDEX($AB$21:$AB$97,E1020))*(1+INDEX($AB$21:$AB$97,F1020))-1</f>
        <v>1.13587263985058</v>
      </c>
      <c r="J1020" s="489">
        <f>LN((1+G1020)/(1+H1020))</f>
        <v>0.0552122379032801</v>
      </c>
      <c r="K1020" s="489">
        <f>LN((1+I1020)/(1+H1020))</f>
        <v>0.0426519095020531</v>
      </c>
      <c r="L1020" s="489">
        <f>(1+INDEX($AC$21:$AC$97,B1020))*(1+INDEX($AC$21:$AC$97,C1020))*(1+INDEX($AC$21:$AC$97,D1020))*(1+INDEX($AC$21:$AC$97,E1020))*(1+INDEX($AC$21:$AC$97,F1020))-1</f>
        <v>1.19974115121747</v>
      </c>
      <c r="M1020" s="489">
        <f>(1+INDEX($AD$21:$AD$97,B1020))*(1+INDEX($AD$21:$AD$97,C1020))*(1+INDEX($AD$21:$AD$97,D1020))*(1+INDEX($AD$21:$AD$97,E1020))*(1+INDEX($AD$21:$AD$97,F1020))-1</f>
        <v>1.0917301972585</v>
      </c>
      <c r="N1020" s="489">
        <f>(1+INDEX($AE$21:$AE$97,B1020))*(1+INDEX($AE$21:$AE$97,C1020))*(1+INDEX($AE$21:$AE$97,D1020))*(1+INDEX($AE$21:$AE$97,E1020))*(1+INDEX($AE$21:$AE$97,F1020))-1</f>
        <v>1.21357091937646</v>
      </c>
      <c r="O1020" s="489">
        <f>(1+INDEX($AF$21:$AF$97,B1020))*(1+INDEX($AF$21:$AF$97,C1020))*(1+INDEX($AF$21:$AF$97,D1020))*(1+INDEX($AF$21:$AF$97,E1020))*(1+INDEX($AF$21:$AF$97,F1020))-1</f>
        <v>1.00581144048438</v>
      </c>
      <c r="P1020" s="489">
        <f>LN((1+L1020)/(1+H1020))</f>
        <v>0.0721163106243475</v>
      </c>
      <c r="Q1020" s="489">
        <f>LN((1+M1020)/(1+H1020))</f>
        <v>0.0217681847996919</v>
      </c>
      <c r="R1020" s="489">
        <f>LN((1+N1020)/(1+H1020))</f>
        <v>0.078383627871049</v>
      </c>
      <c r="S1020" s="542">
        <f>LN((1+O1020)/(1+H1020))</f>
        <v>-0.0201746969229427</v>
      </c>
    </row>
    <row r="1021">
      <c r="A1021" s="320" t="n">
        <v>920</v>
      </c>
      <c r="B1021" s="174" t="n">
        <v>5</v>
      </c>
      <c r="C1021" s="174" t="n">
        <v>60</v>
      </c>
      <c r="D1021" s="174" t="n">
        <v>24</v>
      </c>
      <c r="E1021" s="174" t="n">
        <v>57</v>
      </c>
      <c r="F1021" s="174" t="n">
        <v>73</v>
      </c>
      <c r="G1021" s="68">
        <f>(1+INDEX($Z$21:$Z$97,B1021))*(1+INDEX($Z$21:$Z$97,C1021))*(1+INDEX($Z$21:$Z$97,D1021))*(1+INDEX($Z$21:$Z$97,E1021))*(1+INDEX($Z$21:$Z$97,F1021))-1</f>
        <v>0.562662361482232</v>
      </c>
      <c r="H1021" s="68">
        <f>(1+INDEX($AA$21:$AA$97,B1021))*(1+INDEX($AA$21:$AA$97,C1021))*(1+INDEX($AA$21:$AA$97,D1021))*(1+INDEX($AA$21:$AA$97,E1021))*(1+INDEX($AA$21:$AA$97,F1021))-1</f>
        <v>0.537750830931124</v>
      </c>
      <c r="I1021" s="68">
        <f>(1+INDEX($AB$21:$AB$97,B1021))*(1+INDEX($AB$21:$AB$97,C1021))*(1+INDEX($AB$21:$AB$97,D1021))*(1+INDEX($AB$21:$AB$97,E1021))*(1+INDEX($AB$21:$AB$97,F1021))-1</f>
        <v>0.568624487994274</v>
      </c>
      <c r="J1021" s="489">
        <f>LN((1+G1021)/(1+H1021))</f>
        <v>0.0160701591172983</v>
      </c>
      <c r="K1021" s="489">
        <f>LN((1+I1021)/(1+H1021))</f>
        <v>0.0198782635827824</v>
      </c>
      <c r="L1021" s="489">
        <f>(1+INDEX($AC$21:$AC$97,B1021))*(1+INDEX($AC$21:$AC$97,C1021))*(1+INDEX($AC$21:$AC$97,D1021))*(1+INDEX($AC$21:$AC$97,E1021))*(1+INDEX($AC$21:$AC$97,F1021))-1</f>
        <v>0.597744305210512</v>
      </c>
      <c r="M1021" s="489">
        <f>(1+INDEX($AD$21:$AD$97,B1021))*(1+INDEX($AD$21:$AD$97,C1021))*(1+INDEX($AD$21:$AD$97,D1021))*(1+INDEX($AD$21:$AD$97,E1021))*(1+INDEX($AD$21:$AD$97,F1021))-1</f>
        <v>0.531194081767085</v>
      </c>
      <c r="N1021" s="489">
        <f>(1+INDEX($AE$21:$AE$97,B1021))*(1+INDEX($AE$21:$AE$97,C1021))*(1+INDEX($AE$21:$AE$97,D1021))*(1+INDEX($AE$21:$AE$97,E1021))*(1+INDEX($AE$21:$AE$97,F1021))-1</f>
        <v>0.574820130043842</v>
      </c>
      <c r="O1021" s="489">
        <f>(1+INDEX($AF$21:$AF$97,B1021))*(1+INDEX($AF$21:$AF$97,C1021))*(1+INDEX($AF$21:$AF$97,D1021))*(1+INDEX($AF$21:$AF$97,E1021))*(1+INDEX($AF$21:$AF$97,F1021))-1</f>
        <v>0.497085380201575</v>
      </c>
      <c r="P1021" s="489">
        <f>LN((1+L1021)/(1+H1021))</f>
        <v>0.0382719758248982</v>
      </c>
      <c r="Q1021" s="489">
        <f>LN((1+M1021)/(1+H1021))</f>
        <v>-0.00427297284689737</v>
      </c>
      <c r="R1021" s="489">
        <f>LN((1+N1021)/(1+H1021))</f>
        <v>0.0238202131478144</v>
      </c>
      <c r="S1021" s="542">
        <f>LN((1+O1021)/(1+H1021))</f>
        <v>-0.0268007114474471</v>
      </c>
    </row>
    <row r="1022">
      <c r="A1022" s="320" t="n">
        <v>921</v>
      </c>
      <c r="B1022" s="174" t="n">
        <v>45</v>
      </c>
      <c r="C1022" s="174" t="n">
        <v>74</v>
      </c>
      <c r="D1022" s="174" t="n">
        <v>8</v>
      </c>
      <c r="E1022" s="174" t="n">
        <v>35</v>
      </c>
      <c r="F1022" s="174" t="n">
        <v>41</v>
      </c>
      <c r="G1022" s="68">
        <f>(1+INDEX($Z$21:$Z$97,B1022))*(1+INDEX($Z$21:$Z$97,C1022))*(1+INDEX($Z$21:$Z$97,D1022))*(1+INDEX($Z$21:$Z$97,E1022))*(1+INDEX($Z$21:$Z$97,F1022))-1</f>
        <v>0.13120616570809</v>
      </c>
      <c r="H1022" s="68">
        <f>(1+INDEX($AA$21:$AA$97,B1022))*(1+INDEX($AA$21:$AA$97,C1022))*(1+INDEX($AA$21:$AA$97,D1022))*(1+INDEX($AA$21:$AA$97,E1022))*(1+INDEX($AA$21:$AA$97,F1022))-1</f>
        <v>0.175349131858403</v>
      </c>
      <c r="I1022" s="68">
        <f>(1+INDEX($AB$21:$AB$97,B1022))*(1+INDEX($AB$21:$AB$97,C1022))*(1+INDEX($AB$21:$AB$97,D1022))*(1+INDEX($AB$21:$AB$97,E1022))*(1+INDEX($AB$21:$AB$97,F1022))-1</f>
        <v>0.172206679567031</v>
      </c>
      <c r="J1022" s="489">
        <f>LN((1+G1022)/(1+H1022))</f>
        <v>-0.0382807702213009</v>
      </c>
      <c r="K1022" s="489">
        <f>LN((1+I1022)/(1+H1022))</f>
        <v>-0.00267721359639748</v>
      </c>
      <c r="L1022" s="489">
        <f>(1+INDEX($AC$21:$AC$97,B1022))*(1+INDEX($AC$21:$AC$97,C1022))*(1+INDEX($AC$21:$AC$97,D1022))*(1+INDEX($AC$21:$AC$97,E1022))*(1+INDEX($AC$21:$AC$97,F1022))-1</f>
        <v>0.153287082628041</v>
      </c>
      <c r="M1022" s="489">
        <f>(1+INDEX($AD$21:$AD$97,B1022))*(1+INDEX($AD$21:$AD$97,C1022))*(1+INDEX($AD$21:$AD$97,D1022))*(1+INDEX($AD$21:$AD$97,E1022))*(1+INDEX($AD$21:$AD$97,F1022))-1</f>
        <v>0.185744098369423</v>
      </c>
      <c r="N1022" s="489">
        <f>(1+INDEX($AE$21:$AE$97,B1022))*(1+INDEX($AE$21:$AE$97,C1022))*(1+INDEX($AE$21:$AE$97,D1022))*(1+INDEX($AE$21:$AE$97,E1022))*(1+INDEX($AE$21:$AE$97,F1022))-1</f>
        <v>0.14959937244074</v>
      </c>
      <c r="O1022" s="489">
        <f>(1+INDEX($AF$21:$AF$97,B1022))*(1+INDEX($AF$21:$AF$97,C1022))*(1+INDEX($AF$21:$AF$97,D1022))*(1+INDEX($AF$21:$AF$97,E1022))*(1+INDEX($AF$21:$AF$97,F1022))-1</f>
        <v>0.187746707563881</v>
      </c>
      <c r="P1022" s="489">
        <f>LN((1+L1022)/(1+H1022))</f>
        <v>-0.0189490391273891</v>
      </c>
      <c r="Q1022" s="489">
        <f>LN((1+M1022)/(1+H1022))</f>
        <v>0.0088052716770613</v>
      </c>
      <c r="R1022" s="489">
        <f>LN((1+N1022)/(1+H1022))</f>
        <v>-0.0221517270682717</v>
      </c>
      <c r="S1022" s="542">
        <f>LN((1+O1022)/(1+H1022))</f>
        <v>0.0104927521296246</v>
      </c>
    </row>
    <row r="1023">
      <c r="A1023" s="320" t="n">
        <v>922</v>
      </c>
      <c r="B1023" s="174" t="n">
        <v>16</v>
      </c>
      <c r="C1023" s="174" t="n">
        <v>34</v>
      </c>
      <c r="D1023" s="174" t="n">
        <v>59</v>
      </c>
      <c r="E1023" s="174" t="n">
        <v>51</v>
      </c>
      <c r="F1023" s="174" t="n">
        <v>75</v>
      </c>
      <c r="G1023" s="68">
        <f>(1+INDEX($Z$21:$Z$97,B1023))*(1+INDEX($Z$21:$Z$97,C1023))*(1+INDEX($Z$21:$Z$97,D1023))*(1+INDEX($Z$21:$Z$97,E1023))*(1+INDEX($Z$21:$Z$97,F1023))-1</f>
        <v>0.727108820011553</v>
      </c>
      <c r="H1023" s="68">
        <f>(1+INDEX($AA$21:$AA$97,B1023))*(1+INDEX($AA$21:$AA$97,C1023))*(1+INDEX($AA$21:$AA$97,D1023))*(1+INDEX($AA$21:$AA$97,E1023))*(1+INDEX($AA$21:$AA$97,F1023))-1</f>
        <v>0.698128145476337</v>
      </c>
      <c r="I1023" s="68">
        <f>(1+INDEX($AB$21:$AB$97,B1023))*(1+INDEX($AB$21:$AB$97,C1023))*(1+INDEX($AB$21:$AB$97,D1023))*(1+INDEX($AB$21:$AB$97,E1023))*(1+INDEX($AB$21:$AB$97,F1023))-1</f>
        <v>0.770810555040382</v>
      </c>
      <c r="J1023" s="489">
        <f>LN((1+G1023)/(1+H1023))</f>
        <v>0.0169222546678964</v>
      </c>
      <c r="K1023" s="489">
        <f>LN((1+I1023)/(1+H1023))</f>
        <v>0.0419108289437151</v>
      </c>
      <c r="L1023" s="489">
        <f>(1+INDEX($AC$21:$AC$97,B1023))*(1+INDEX($AC$21:$AC$97,C1023))*(1+INDEX($AC$21:$AC$97,D1023))*(1+INDEX($AC$21:$AC$97,E1023))*(1+INDEX($AC$21:$AC$97,F1023))-1</f>
        <v>0.777411686062703</v>
      </c>
      <c r="M1023" s="489">
        <f>(1+INDEX($AD$21:$AD$97,B1023))*(1+INDEX($AD$21:$AD$97,C1023))*(1+INDEX($AD$21:$AD$97,D1023))*(1+INDEX($AD$21:$AD$97,E1023))*(1+INDEX($AD$21:$AD$97,F1023))-1</f>
        <v>0.753356549498001</v>
      </c>
      <c r="N1023" s="489">
        <f>(1+INDEX($AE$21:$AE$97,B1023))*(1+INDEX($AE$21:$AE$97,C1023))*(1+INDEX($AE$21:$AE$97,D1023))*(1+INDEX($AE$21:$AE$97,E1023))*(1+INDEX($AE$21:$AE$97,F1023))-1</f>
        <v>0.768220559605191</v>
      </c>
      <c r="O1023" s="489">
        <f>(1+INDEX($AF$21:$AF$97,B1023))*(1+INDEX($AF$21:$AF$97,C1023))*(1+INDEX($AF$21:$AF$97,D1023))*(1+INDEX($AF$21:$AF$97,E1023))*(1+INDEX($AF$21:$AF$97,F1023))-1</f>
        <v>0.658367991444968</v>
      </c>
      <c r="P1023" s="489">
        <f>LN((1+L1023)/(1+H1023))</f>
        <v>0.0456316435880794</v>
      </c>
      <c r="Q1023" s="489">
        <f>LN((1+M1023)/(1+H1023))</f>
        <v>0.0320054256324394</v>
      </c>
      <c r="R1023" s="489">
        <f>LN((1+N1023)/(1+H1023))</f>
        <v>0.040447153822656</v>
      </c>
      <c r="S1023" s="542">
        <f>LN((1+O1023)/(1+H1023))</f>
        <v>-0.0236925724321039</v>
      </c>
    </row>
    <row r="1024">
      <c r="A1024" s="320" t="n">
        <v>923</v>
      </c>
      <c r="B1024" s="174" t="n">
        <v>4</v>
      </c>
      <c r="C1024" s="174" t="n">
        <v>61</v>
      </c>
      <c r="D1024" s="174" t="n">
        <v>18</v>
      </c>
      <c r="E1024" s="174" t="n">
        <v>13</v>
      </c>
      <c r="F1024" s="174" t="n">
        <v>48</v>
      </c>
      <c r="G1024" s="68">
        <f>(1+INDEX($Z$21:$Z$97,B1024))*(1+INDEX($Z$21:$Z$97,C1024))*(1+INDEX($Z$21:$Z$97,D1024))*(1+INDEX($Z$21:$Z$97,E1024))*(1+INDEX($Z$21:$Z$97,F1024))-1</f>
        <v>0.521811878242439</v>
      </c>
      <c r="H1024" s="68">
        <f>(1+INDEX($AA$21:$AA$97,B1024))*(1+INDEX($AA$21:$AA$97,C1024))*(1+INDEX($AA$21:$AA$97,D1024))*(1+INDEX($AA$21:$AA$97,E1024))*(1+INDEX($AA$21:$AA$97,F1024))-1</f>
        <v>0.419548122418452</v>
      </c>
      <c r="I1024" s="68">
        <f>(1+INDEX($AB$21:$AB$97,B1024))*(1+INDEX($AB$21:$AB$97,C1024))*(1+INDEX($AB$21:$AB$97,D1024))*(1+INDEX($AB$21:$AB$97,E1024))*(1+INDEX($AB$21:$AB$97,F1024))-1</f>
        <v>0.422614274423209</v>
      </c>
      <c r="J1024" s="489">
        <f>LN((1+G1024)/(1+H1024))</f>
        <v>0.0695630527994801</v>
      </c>
      <c r="K1024" s="489">
        <f>LN((1+I1024)/(1+H1024))</f>
        <v>0.00215761998516244</v>
      </c>
      <c r="L1024" s="489">
        <f>(1+INDEX($AC$21:$AC$97,B1024))*(1+INDEX($AC$21:$AC$97,C1024))*(1+INDEX($AC$21:$AC$97,D1024))*(1+INDEX($AC$21:$AC$97,E1024))*(1+INDEX($AC$21:$AC$97,F1024))-1</f>
        <v>0.43816100465067</v>
      </c>
      <c r="M1024" s="489">
        <f>(1+INDEX($AD$21:$AD$97,B1024))*(1+INDEX($AD$21:$AD$97,C1024))*(1+INDEX($AD$21:$AD$97,D1024))*(1+INDEX($AD$21:$AD$97,E1024))*(1+INDEX($AD$21:$AD$97,F1024))-1</f>
        <v>0.397060470037692</v>
      </c>
      <c r="N1024" s="489">
        <f>(1+INDEX($AE$21:$AE$97,B1024))*(1+INDEX($AE$21:$AE$97,C1024))*(1+INDEX($AE$21:$AE$97,D1024))*(1+INDEX($AE$21:$AE$97,E1024))*(1+INDEX($AE$21:$AE$97,F1024))-1</f>
        <v>0.439945847398653</v>
      </c>
      <c r="O1024" s="489">
        <f>(1+INDEX($AF$21:$AF$97,B1024))*(1+INDEX($AF$21:$AF$97,C1024))*(1+INDEX($AF$21:$AF$97,D1024))*(1+INDEX($AF$21:$AF$97,E1024))*(1+INDEX($AF$21:$AF$97,F1024))-1</f>
        <v>0.403006117487511</v>
      </c>
      <c r="P1024" s="489">
        <f>LN((1+L1024)/(1+H1024))</f>
        <v>0.0130266200021666</v>
      </c>
      <c r="Q1024" s="489">
        <f>LN((1+M1024)/(1+H1024))</f>
        <v>-0.0159682323432671</v>
      </c>
      <c r="R1024" s="489">
        <f>LN((1+N1024)/(1+H1024))</f>
        <v>0.0142669095873272</v>
      </c>
      <c r="S1024" s="542">
        <f>LN((1+O1024)/(1+H1024))</f>
        <v>-0.0117214359190274</v>
      </c>
    </row>
    <row r="1025">
      <c r="A1025" s="320" t="n">
        <v>924</v>
      </c>
      <c r="B1025" s="174" t="n">
        <v>70</v>
      </c>
      <c r="C1025" s="174" t="n">
        <v>30</v>
      </c>
      <c r="D1025" s="174" t="n">
        <v>26</v>
      </c>
      <c r="E1025" s="174" t="n">
        <v>60</v>
      </c>
      <c r="F1025" s="174" t="n">
        <v>21</v>
      </c>
      <c r="G1025" s="68">
        <f>(1+INDEX($Z$21:$Z$97,B1025))*(1+INDEX($Z$21:$Z$97,C1025))*(1+INDEX($Z$21:$Z$97,D1025))*(1+INDEX($Z$21:$Z$97,E1025))*(1+INDEX($Z$21:$Z$97,F1025))-1</f>
        <v>0.759742846332409</v>
      </c>
      <c r="H1025" s="68">
        <f>(1+INDEX($AA$21:$AA$97,B1025))*(1+INDEX($AA$21:$AA$97,C1025))*(1+INDEX($AA$21:$AA$97,D1025))*(1+INDEX($AA$21:$AA$97,E1025))*(1+INDEX($AA$21:$AA$97,F1025))-1</f>
        <v>0.758425349988417</v>
      </c>
      <c r="I1025" s="68">
        <f>(1+INDEX($AB$21:$AB$97,B1025))*(1+INDEX($AB$21:$AB$97,C1025))*(1+INDEX($AB$21:$AB$97,D1025))*(1+INDEX($AB$21:$AB$97,E1025))*(1+INDEX($AB$21:$AB$97,F1025))-1</f>
        <v>0.812469998181844</v>
      </c>
      <c r="J1025" s="489">
        <f>LN((1+G1025)/(1+H1025))</f>
        <v>0.000748967264815637</v>
      </c>
      <c r="K1025" s="489">
        <f>LN((1+I1025)/(1+H1025))</f>
        <v>0.0302718338107071</v>
      </c>
      <c r="L1025" s="489">
        <f>(1+INDEX($AC$21:$AC$97,B1025))*(1+INDEX($AC$21:$AC$97,C1025))*(1+INDEX($AC$21:$AC$97,D1025))*(1+INDEX($AC$21:$AC$97,E1025))*(1+INDEX($AC$21:$AC$97,F1025))-1</f>
        <v>0.830950387730049</v>
      </c>
      <c r="M1025" s="489">
        <f>(1+INDEX($AD$21:$AD$97,B1025))*(1+INDEX($AD$21:$AD$97,C1025))*(1+INDEX($AD$21:$AD$97,D1025))*(1+INDEX($AD$21:$AD$97,E1025))*(1+INDEX($AD$21:$AD$97,F1025))-1</f>
        <v>0.776374342483984</v>
      </c>
      <c r="N1025" s="489">
        <f>(1+INDEX($AE$21:$AE$97,B1025))*(1+INDEX($AE$21:$AE$97,C1025))*(1+INDEX($AE$21:$AE$97,D1025))*(1+INDEX($AE$21:$AE$97,E1025))*(1+INDEX($AE$21:$AE$97,F1025))-1</f>
        <v>0.846450283020297</v>
      </c>
      <c r="O1025" s="489">
        <f>(1+INDEX($AF$21:$AF$97,B1025))*(1+INDEX($AF$21:$AF$97,C1025))*(1+INDEX($AF$21:$AF$97,D1025))*(1+INDEX($AF$21:$AF$97,E1025))*(1+INDEX($AF$21:$AF$97,F1025))-1</f>
        <v>0.723395406510885</v>
      </c>
      <c r="P1025" s="489">
        <f>LN((1+L1025)/(1+H1025))</f>
        <v>0.0404164485299271</v>
      </c>
      <c r="Q1025" s="489">
        <f>LN((1+M1025)/(1+H1025))</f>
        <v>0.0101556797132644</v>
      </c>
      <c r="R1025" s="489">
        <f>LN((1+N1025)/(1+H1025))</f>
        <v>0.0488463088940295</v>
      </c>
      <c r="S1025" s="542">
        <f>LN((1+O1025)/(1+H1025))</f>
        <v>-0.0201223026162149</v>
      </c>
    </row>
    <row r="1026">
      <c r="A1026" s="320" t="n">
        <v>925</v>
      </c>
      <c r="B1026" s="174" t="n">
        <v>54</v>
      </c>
      <c r="C1026" s="174" t="n">
        <v>30</v>
      </c>
      <c r="D1026" s="174" t="n">
        <v>50</v>
      </c>
      <c r="E1026" s="174" t="n">
        <v>76</v>
      </c>
      <c r="F1026" s="174" t="n">
        <v>6</v>
      </c>
      <c r="G1026" s="68">
        <f>(1+INDEX($Z$21:$Z$97,B1026))*(1+INDEX($Z$21:$Z$97,C1026))*(1+INDEX($Z$21:$Z$97,D1026))*(1+INDEX($Z$21:$Z$97,E1026))*(1+INDEX($Z$21:$Z$97,F1026))-1</f>
        <v>0.153927748365644</v>
      </c>
      <c r="H1026" s="68">
        <f>(1+INDEX($AA$21:$AA$97,B1026))*(1+INDEX($AA$21:$AA$97,C1026))*(1+INDEX($AA$21:$AA$97,D1026))*(1+INDEX($AA$21:$AA$97,E1026))*(1+INDEX($AA$21:$AA$97,F1026))-1</f>
        <v>0.165200372055856</v>
      </c>
      <c r="I1026" s="68">
        <f>(1+INDEX($AB$21:$AB$97,B1026))*(1+INDEX($AB$21:$AB$97,C1026))*(1+INDEX($AB$21:$AB$97,D1026))*(1+INDEX($AB$21:$AB$97,E1026))*(1+INDEX($AB$21:$AB$97,F1026))-1</f>
        <v>0.168094473164082</v>
      </c>
      <c r="J1026" s="489">
        <f>LN((1+G1026)/(1+H1026))</f>
        <v>-0.00972150901883247</v>
      </c>
      <c r="K1026" s="489">
        <f>LN((1+I1026)/(1+H1026))</f>
        <v>0.00248070028382068</v>
      </c>
      <c r="L1026" s="489">
        <f>(1+INDEX($AC$21:$AC$97,B1026))*(1+INDEX($AC$21:$AC$97,C1026))*(1+INDEX($AC$21:$AC$97,D1026))*(1+INDEX($AC$21:$AC$97,E1026))*(1+INDEX($AC$21:$AC$97,F1026))-1</f>
        <v>0.149700327792169</v>
      </c>
      <c r="M1026" s="489">
        <f>(1+INDEX($AD$21:$AD$97,B1026))*(1+INDEX($AD$21:$AD$97,C1026))*(1+INDEX($AD$21:$AD$97,D1026))*(1+INDEX($AD$21:$AD$97,E1026))*(1+INDEX($AD$21:$AD$97,F1026))-1</f>
        <v>0.165841979348177</v>
      </c>
      <c r="N1026" s="489">
        <f>(1+INDEX($AE$21:$AE$97,B1026))*(1+INDEX($AE$21:$AE$97,C1026))*(1+INDEX($AE$21:$AE$97,D1026))*(1+INDEX($AE$21:$AE$97,E1026))*(1+INDEX($AE$21:$AE$97,F1026))-1</f>
        <v>0.128353753986569</v>
      </c>
      <c r="O1026" s="489">
        <f>(1+INDEX($AF$21:$AF$97,B1026))*(1+INDEX($AF$21:$AF$97,C1026))*(1+INDEX($AF$21:$AF$97,D1026))*(1+INDEX($AF$21:$AF$97,E1026))*(1+INDEX($AF$21:$AF$97,F1026))-1</f>
        <v>0.207720573788668</v>
      </c>
      <c r="P1026" s="489">
        <f>LN((1+L1026)/(1+H1026))</f>
        <v>-0.0133917415209628</v>
      </c>
      <c r="Q1026" s="489">
        <f>LN((1+M1026)/(1+H1026))</f>
        <v>0.00055048961949363</v>
      </c>
      <c r="R1026" s="489">
        <f>LN((1+N1026)/(1+H1026))</f>
        <v>-0.0321333498093039</v>
      </c>
      <c r="S1026" s="542">
        <f>LN((1+O1026)/(1+H1026))</f>
        <v>0.0358416942572491</v>
      </c>
    </row>
    <row r="1027">
      <c r="A1027" s="320" t="n">
        <v>926</v>
      </c>
      <c r="B1027" s="174" t="n">
        <v>7</v>
      </c>
      <c r="C1027" s="174" t="n">
        <v>65</v>
      </c>
      <c r="D1027" s="174" t="n">
        <v>28</v>
      </c>
      <c r="E1027" s="174" t="n">
        <v>33</v>
      </c>
      <c r="F1027" s="174" t="n">
        <v>76</v>
      </c>
      <c r="G1027" s="68">
        <f>(1+INDEX($Z$21:$Z$97,B1027))*(1+INDEX($Z$21:$Z$97,C1027))*(1+INDEX($Z$21:$Z$97,D1027))*(1+INDEX($Z$21:$Z$97,E1027))*(1+INDEX($Z$21:$Z$97,F1027))-1</f>
        <v>0.341308654368357</v>
      </c>
      <c r="H1027" s="68">
        <f>(1+INDEX($AA$21:$AA$97,B1027))*(1+INDEX($AA$21:$AA$97,C1027))*(1+INDEX($AA$21:$AA$97,D1027))*(1+INDEX($AA$21:$AA$97,E1027))*(1+INDEX($AA$21:$AA$97,F1027))-1</f>
        <v>0.385147544640991</v>
      </c>
      <c r="I1027" s="68">
        <f>(1+INDEX($AB$21:$AB$97,B1027))*(1+INDEX($AB$21:$AB$97,C1027))*(1+INDEX($AB$21:$AB$97,D1027))*(1+INDEX($AB$21:$AB$97,E1027))*(1+INDEX($AB$21:$AB$97,F1027))-1</f>
        <v>0.428597398794272</v>
      </c>
      <c r="J1027" s="489">
        <f>LN((1+G1027)/(1+H1027))</f>
        <v>-0.0321609192627267</v>
      </c>
      <c r="K1027" s="489">
        <f>LN((1+I1027)/(1+H1027))</f>
        <v>0.0308864585374369</v>
      </c>
      <c r="L1027" s="489">
        <f>(1+INDEX($AC$21:$AC$97,B1027))*(1+INDEX($AC$21:$AC$97,C1027))*(1+INDEX($AC$21:$AC$97,D1027))*(1+INDEX($AC$21:$AC$97,E1027))*(1+INDEX($AC$21:$AC$97,F1027))-1</f>
        <v>0.411551678117758</v>
      </c>
      <c r="M1027" s="489">
        <f>(1+INDEX($AD$21:$AD$97,B1027))*(1+INDEX($AD$21:$AD$97,C1027))*(1+INDEX($AD$21:$AD$97,D1027))*(1+INDEX($AD$21:$AD$97,E1027))*(1+INDEX($AD$21:$AD$97,F1027))-1</f>
        <v>0.41714990690472</v>
      </c>
      <c r="N1027" s="489">
        <f>(1+INDEX($AE$21:$AE$97,B1027))*(1+INDEX($AE$21:$AE$97,C1027))*(1+INDEX($AE$21:$AE$97,D1027))*(1+INDEX($AE$21:$AE$97,E1027))*(1+INDEX($AE$21:$AE$97,F1027))-1</f>
        <v>0.40476744879762</v>
      </c>
      <c r="O1027" s="489">
        <f>(1+INDEX($AF$21:$AF$97,B1027))*(1+INDEX($AF$21:$AF$97,C1027))*(1+INDEX($AF$21:$AF$97,D1027))*(1+INDEX($AF$21:$AF$97,E1027))*(1+INDEX($AF$21:$AF$97,F1027))-1</f>
        <v>0.381384697856146</v>
      </c>
      <c r="P1027" s="489">
        <f>LN((1+L1027)/(1+H1027))</f>
        <v>0.018882915847349</v>
      </c>
      <c r="Q1027" s="489">
        <f>LN((1+M1027)/(1+H1027))</f>
        <v>0.0228410824673942</v>
      </c>
      <c r="R1027" s="489">
        <f>LN((1+N1027)/(1+H1027))</f>
        <v>0.0140651078242116</v>
      </c>
      <c r="S1027" s="542">
        <f>LN((1+O1027)/(1+H1027))</f>
        <v>-0.0027202640528914</v>
      </c>
    </row>
    <row r="1028">
      <c r="A1028" s="320" t="n">
        <v>927</v>
      </c>
      <c r="B1028" s="174" t="n">
        <v>74</v>
      </c>
      <c r="C1028" s="174" t="n">
        <v>76</v>
      </c>
      <c r="D1028" s="174" t="n">
        <v>19</v>
      </c>
      <c r="E1028" s="174" t="n">
        <v>18</v>
      </c>
      <c r="F1028" s="174" t="n">
        <v>8</v>
      </c>
      <c r="G1028" s="68">
        <f>(1+INDEX($Z$21:$Z$97,B1028))*(1+INDEX($Z$21:$Z$97,C1028))*(1+INDEX($Z$21:$Z$97,D1028))*(1+INDEX($Z$21:$Z$97,E1028))*(1+INDEX($Z$21:$Z$97,F1028))-1</f>
        <v>-0.0237885335495518</v>
      </c>
      <c r="H1028" s="68">
        <f>(1+INDEX($AA$21:$AA$97,B1028))*(1+INDEX($AA$21:$AA$97,C1028))*(1+INDEX($AA$21:$AA$97,D1028))*(1+INDEX($AA$21:$AA$97,E1028))*(1+INDEX($AA$21:$AA$97,F1028))-1</f>
        <v>-0.0100463871461247</v>
      </c>
      <c r="I1028" s="68">
        <f>(1+INDEX($AB$21:$AB$97,B1028))*(1+INDEX($AB$21:$AB$97,C1028))*(1+INDEX($AB$21:$AB$97,D1028))*(1+INDEX($AB$21:$AB$97,E1028))*(1+INDEX($AB$21:$AB$97,F1028))-1</f>
        <v>-0.0435012859641994</v>
      </c>
      <c r="J1028" s="489">
        <f>LN((1+G1028)/(1+H1028))</f>
        <v>-0.0139788569382771</v>
      </c>
      <c r="K1028" s="489">
        <f>LN((1+I1028)/(1+H1028))</f>
        <v>-0.034378641895986</v>
      </c>
      <c r="L1028" s="489">
        <f>(1+INDEX($AC$21:$AC$97,B1028))*(1+INDEX($AC$21:$AC$97,C1028))*(1+INDEX($AC$21:$AC$97,D1028))*(1+INDEX($AC$21:$AC$97,E1028))*(1+INDEX($AC$21:$AC$97,F1028))-1</f>
        <v>-0.0698462247325653</v>
      </c>
      <c r="M1028" s="489">
        <f>(1+INDEX($AD$21:$AD$97,B1028))*(1+INDEX($AD$21:$AD$97,C1028))*(1+INDEX($AD$21:$AD$97,D1028))*(1+INDEX($AD$21:$AD$97,E1028))*(1+INDEX($AD$21:$AD$97,F1028))-1</f>
        <v>-0.0299336183417833</v>
      </c>
      <c r="N1028" s="489">
        <f>(1+INDEX($AE$21:$AE$97,B1028))*(1+INDEX($AE$21:$AE$97,C1028))*(1+INDEX($AE$21:$AE$97,D1028))*(1+INDEX($AE$21:$AE$97,E1028))*(1+INDEX($AE$21:$AE$97,F1028))-1</f>
        <v>-0.0641022422995394</v>
      </c>
      <c r="O1028" s="489">
        <f>(1+INDEX($AF$21:$AF$97,B1028))*(1+INDEX($AF$21:$AF$97,C1028))*(1+INDEX($AF$21:$AF$97,D1028))*(1+INDEX($AF$21:$AF$97,E1028))*(1+INDEX($AF$21:$AF$97,F1028))-1</f>
        <v>0.0229588537144585</v>
      </c>
      <c r="P1028" s="489">
        <f>LN((1+L1028)/(1+H1028))</f>
        <v>-0.0623081640992483</v>
      </c>
      <c r="Q1028" s="489">
        <f>LN((1+M1028)/(1+H1028))</f>
        <v>-0.0202935824726429</v>
      </c>
      <c r="R1028" s="489">
        <f>LN((1+N1028)/(1+H1028))</f>
        <v>-0.0561518490425115</v>
      </c>
      <c r="S1028" s="542">
        <f>LN((1+O1028)/(1+H1028))</f>
        <v>0.032796457617028</v>
      </c>
    </row>
    <row r="1029">
      <c r="A1029" s="320" t="n">
        <v>928</v>
      </c>
      <c r="B1029" s="174" t="n">
        <v>59</v>
      </c>
      <c r="C1029" s="174" t="n">
        <v>4</v>
      </c>
      <c r="D1029" s="174" t="n">
        <v>9</v>
      </c>
      <c r="E1029" s="174" t="n">
        <v>65</v>
      </c>
      <c r="F1029" s="174" t="n">
        <v>40</v>
      </c>
      <c r="G1029" s="68">
        <f>(1+INDEX($Z$21:$Z$97,B1029))*(1+INDEX($Z$21:$Z$97,C1029))*(1+INDEX($Z$21:$Z$97,D1029))*(1+INDEX($Z$21:$Z$97,E1029))*(1+INDEX($Z$21:$Z$97,F1029))-1</f>
        <v>0.123425294363449</v>
      </c>
      <c r="H1029" s="68">
        <f>(1+INDEX($AA$21:$AA$97,B1029))*(1+INDEX($AA$21:$AA$97,C1029))*(1+INDEX($AA$21:$AA$97,D1029))*(1+INDEX($AA$21:$AA$97,E1029))*(1+INDEX($AA$21:$AA$97,F1029))-1</f>
        <v>0.153667004130789</v>
      </c>
      <c r="I1029" s="68">
        <f>(1+INDEX($AB$21:$AB$97,B1029))*(1+INDEX($AB$21:$AB$97,C1029))*(1+INDEX($AB$21:$AB$97,D1029))*(1+INDEX($AB$21:$AB$97,E1029))*(1+INDEX($AB$21:$AB$97,F1029))-1</f>
        <v>0.125400615699897</v>
      </c>
      <c r="J1029" s="489">
        <f>LN((1+G1029)/(1+H1029))</f>
        <v>-0.0265632517355099</v>
      </c>
      <c r="K1029" s="489">
        <f>LN((1+I1029)/(1+H1029))</f>
        <v>-0.0248064933882956</v>
      </c>
      <c r="L1029" s="489">
        <f>(1+INDEX($AC$21:$AC$97,B1029))*(1+INDEX($AC$21:$AC$97,C1029))*(1+INDEX($AC$21:$AC$97,D1029))*(1+INDEX($AC$21:$AC$97,E1029))*(1+INDEX($AC$21:$AC$97,F1029))-1</f>
        <v>0.132690320927793</v>
      </c>
      <c r="M1029" s="489">
        <f>(1+INDEX($AD$21:$AD$97,B1029))*(1+INDEX($AD$21:$AD$97,C1029))*(1+INDEX($AD$21:$AD$97,D1029))*(1+INDEX($AD$21:$AD$97,E1029))*(1+INDEX($AD$21:$AD$97,F1029))-1</f>
        <v>0.118834246400986</v>
      </c>
      <c r="N1029" s="489">
        <f>(1+INDEX($AE$21:$AE$97,B1029))*(1+INDEX($AE$21:$AE$97,C1029))*(1+INDEX($AE$21:$AE$97,D1029))*(1+INDEX($AE$21:$AE$97,E1029))*(1+INDEX($AE$21:$AE$97,F1029))-1</f>
        <v>0.124944866761885</v>
      </c>
      <c r="O1029" s="489">
        <f>(1+INDEX($AF$21:$AF$97,B1029))*(1+INDEX($AF$21:$AF$97,C1029))*(1+INDEX($AF$21:$AF$97,D1029))*(1+INDEX($AF$21:$AF$97,E1029))*(1+INDEX($AF$21:$AF$97,F1029))-1</f>
        <v>0.164014584188161</v>
      </c>
      <c r="P1029" s="489">
        <f>LN((1+L1029)/(1+H1029))</f>
        <v>-0.0183499504444929</v>
      </c>
      <c r="Q1029" s="489">
        <f>LN((1+M1029)/(1+H1029))</f>
        <v>-0.0306582766821681</v>
      </c>
      <c r="R1029" s="489">
        <f>LN((1+N1029)/(1+H1029))</f>
        <v>-0.025211541366746</v>
      </c>
      <c r="S1029" s="542">
        <f>LN((1+O1029)/(1+H1029))</f>
        <v>0.00892931010256344</v>
      </c>
    </row>
    <row r="1030">
      <c r="A1030" s="320" t="n">
        <v>929</v>
      </c>
      <c r="B1030" s="174" t="n">
        <v>76</v>
      </c>
      <c r="C1030" s="174" t="n">
        <v>1</v>
      </c>
      <c r="D1030" s="174" t="n">
        <v>43</v>
      </c>
      <c r="E1030" s="174" t="n">
        <v>19</v>
      </c>
      <c r="F1030" s="174" t="n">
        <v>23</v>
      </c>
      <c r="G1030" s="68">
        <f>(1+INDEX($Z$21:$Z$97,B1030))*(1+INDEX($Z$21:$Z$97,C1030))*(1+INDEX($Z$21:$Z$97,D1030))*(1+INDEX($Z$21:$Z$97,E1030))*(1+INDEX($Z$21:$Z$97,F1030))-1</f>
        <v>0.375661895434284</v>
      </c>
      <c r="H1030" s="68">
        <f>(1+INDEX($AA$21:$AA$97,B1030))*(1+INDEX($AA$21:$AA$97,C1030))*(1+INDEX($AA$21:$AA$97,D1030))*(1+INDEX($AA$21:$AA$97,E1030))*(1+INDEX($AA$21:$AA$97,F1030))-1</f>
        <v>0.330400329810743</v>
      </c>
      <c r="I1030" s="68">
        <f>(1+INDEX($AB$21:$AB$97,B1030))*(1+INDEX($AB$21:$AB$97,C1030))*(1+INDEX($AB$21:$AB$97,D1030))*(1+INDEX($AB$21:$AB$97,E1030))*(1+INDEX($AB$21:$AB$97,F1030))-1</f>
        <v>0.344983614480364</v>
      </c>
      <c r="J1030" s="489">
        <f>LN((1+G1030)/(1+H1030))</f>
        <v>0.0334550969907411</v>
      </c>
      <c r="K1030" s="489">
        <f>LN((1+I1030)/(1+H1030))</f>
        <v>0.0109019336371197</v>
      </c>
      <c r="L1030" s="489">
        <f>(1+INDEX($AC$21:$AC$97,B1030))*(1+INDEX($AC$21:$AC$97,C1030))*(1+INDEX($AC$21:$AC$97,D1030))*(1+INDEX($AC$21:$AC$97,E1030))*(1+INDEX($AC$21:$AC$97,F1030))-1</f>
        <v>0.332388106249615</v>
      </c>
      <c r="M1030" s="489">
        <f>(1+INDEX($AD$21:$AD$97,B1030))*(1+INDEX($AD$21:$AD$97,C1030))*(1+INDEX($AD$21:$AD$97,D1030))*(1+INDEX($AD$21:$AD$97,E1030))*(1+INDEX($AD$21:$AD$97,F1030))-1</f>
        <v>0.351196480364898</v>
      </c>
      <c r="N1030" s="489">
        <f>(1+INDEX($AE$21:$AE$97,B1030))*(1+INDEX($AE$21:$AE$97,C1030))*(1+INDEX($AE$21:$AE$97,D1030))*(1+INDEX($AE$21:$AE$97,E1030))*(1+INDEX($AE$21:$AE$97,F1030))-1</f>
        <v>0.327972047408541</v>
      </c>
      <c r="O1030" s="489">
        <f>(1+INDEX($AF$21:$AF$97,B1030))*(1+INDEX($AF$21:$AF$97,C1030))*(1+INDEX($AF$21:$AF$97,D1030))*(1+INDEX($AF$21:$AF$97,E1030))*(1+INDEX($AF$21:$AF$97,F1030))-1</f>
        <v>0.349064990250932</v>
      </c>
      <c r="P1030" s="489">
        <f>LN((1+L1030)/(1+H1030))</f>
        <v>0.00149300393616873</v>
      </c>
      <c r="Q1030" s="489">
        <f>LN((1+M1030)/(1+H1030))</f>
        <v>0.0155105848863507</v>
      </c>
      <c r="R1030" s="489">
        <f>LN((1+N1030)/(1+H1030))</f>
        <v>-0.00182689460542539</v>
      </c>
      <c r="S1030" s="542">
        <f>LN((1+O1030)/(1+H1030))</f>
        <v>0.0139318558781645</v>
      </c>
    </row>
    <row r="1031">
      <c r="A1031" s="320" t="n">
        <v>930</v>
      </c>
      <c r="B1031" s="174" t="n">
        <v>2</v>
      </c>
      <c r="C1031" s="174" t="n">
        <v>55</v>
      </c>
      <c r="D1031" s="174" t="n">
        <v>39</v>
      </c>
      <c r="E1031" s="174" t="n">
        <v>76</v>
      </c>
      <c r="F1031" s="174" t="n">
        <v>5</v>
      </c>
      <c r="G1031" s="68">
        <f>(1+INDEX($Z$21:$Z$97,B1031))*(1+INDEX($Z$21:$Z$97,C1031))*(1+INDEX($Z$21:$Z$97,D1031))*(1+INDEX($Z$21:$Z$97,E1031))*(1+INDEX($Z$21:$Z$97,F1031))-1</f>
        <v>0.161366911953263</v>
      </c>
      <c r="H1031" s="68">
        <f>(1+INDEX($AA$21:$AA$97,B1031))*(1+INDEX($AA$21:$AA$97,C1031))*(1+INDEX($AA$21:$AA$97,D1031))*(1+INDEX($AA$21:$AA$97,E1031))*(1+INDEX($AA$21:$AA$97,F1031))-1</f>
        <v>0.152999711902728</v>
      </c>
      <c r="I1031" s="68">
        <f>(1+INDEX($AB$21:$AB$97,B1031))*(1+INDEX($AB$21:$AB$97,C1031))*(1+INDEX($AB$21:$AB$97,D1031))*(1+INDEX($AB$21:$AB$97,E1031))*(1+INDEX($AB$21:$AB$97,F1031))-1</f>
        <v>0.131493424344999</v>
      </c>
      <c r="J1031" s="489">
        <f>LN((1+G1031)/(1+H1031))</f>
        <v>0.00723069233663072</v>
      </c>
      <c r="K1031" s="489">
        <f>LN((1+I1031)/(1+H1031))</f>
        <v>-0.0188286167941884</v>
      </c>
      <c r="L1031" s="489">
        <f>(1+INDEX($AC$21:$AC$97,B1031))*(1+INDEX($AC$21:$AC$97,C1031))*(1+INDEX($AC$21:$AC$97,D1031))*(1+INDEX($AC$21:$AC$97,E1031))*(1+INDEX($AC$21:$AC$97,F1031))-1</f>
        <v>0.12286939391881</v>
      </c>
      <c r="M1031" s="489">
        <f>(1+INDEX($AD$21:$AD$97,B1031))*(1+INDEX($AD$21:$AD$97,C1031))*(1+INDEX($AD$21:$AD$97,D1031))*(1+INDEX($AD$21:$AD$97,E1031))*(1+INDEX($AD$21:$AD$97,F1031))-1</f>
        <v>0.152763467918586</v>
      </c>
      <c r="N1031" s="489">
        <f>(1+INDEX($AE$21:$AE$97,B1031))*(1+INDEX($AE$21:$AE$97,C1031))*(1+INDEX($AE$21:$AE$97,D1031))*(1+INDEX($AE$21:$AE$97,E1031))*(1+INDEX($AE$21:$AE$97,F1031))-1</f>
        <v>0.109296650159844</v>
      </c>
      <c r="O1031" s="489">
        <f>(1+INDEX($AF$21:$AF$97,B1031))*(1+INDEX($AF$21:$AF$97,C1031))*(1+INDEX($AF$21:$AF$97,D1031))*(1+INDEX($AF$21:$AF$97,E1031))*(1+INDEX($AF$21:$AF$97,F1031))-1</f>
        <v>0.195498997817563</v>
      </c>
      <c r="P1031" s="489">
        <f>LN((1+L1031)/(1+H1031))</f>
        <v>-0.0264796234783544</v>
      </c>
      <c r="Q1031" s="489">
        <f>LN((1+M1031)/(1+H1031))</f>
        <v>-0.000204916087685414</v>
      </c>
      <c r="R1031" s="489">
        <f>LN((1+N1031)/(1+H1031))</f>
        <v>-0.0386408254398142</v>
      </c>
      <c r="S1031" s="542">
        <f>LN((1+O1031)/(1+H1031))</f>
        <v>0.0361966782008998</v>
      </c>
    </row>
    <row r="1032">
      <c r="A1032" s="320" t="n">
        <v>931</v>
      </c>
      <c r="B1032" s="174" t="n">
        <v>10</v>
      </c>
      <c r="C1032" s="174" t="n">
        <v>24</v>
      </c>
      <c r="D1032" s="174" t="n">
        <v>66</v>
      </c>
      <c r="E1032" s="174" t="n">
        <v>31</v>
      </c>
      <c r="F1032" s="174" t="n">
        <v>23</v>
      </c>
      <c r="G1032" s="68">
        <f>(1+INDEX($Z$21:$Z$97,B1032))*(1+INDEX($Z$21:$Z$97,C1032))*(1+INDEX($Z$21:$Z$97,D1032))*(1+INDEX($Z$21:$Z$97,E1032))*(1+INDEX($Z$21:$Z$97,F1032))-1</f>
        <v>0.392115515337468</v>
      </c>
      <c r="H1032" s="68">
        <f>(1+INDEX($AA$21:$AA$97,B1032))*(1+INDEX($AA$21:$AA$97,C1032))*(1+INDEX($AA$21:$AA$97,D1032))*(1+INDEX($AA$21:$AA$97,E1032))*(1+INDEX($AA$21:$AA$97,F1032))-1</f>
        <v>0.378768798937671</v>
      </c>
      <c r="I1032" s="68">
        <f>(1+INDEX($AB$21:$AB$97,B1032))*(1+INDEX($AB$21:$AB$97,C1032))*(1+INDEX($AB$21:$AB$97,D1032))*(1+INDEX($AB$21:$AB$97,E1032))*(1+INDEX($AB$21:$AB$97,F1032))-1</f>
        <v>0.401880929560923</v>
      </c>
      <c r="J1032" s="489">
        <f>LN((1+G1032)/(1+H1032))</f>
        <v>0.00963361736381823</v>
      </c>
      <c r="K1032" s="489">
        <f>LN((1+I1032)/(1+H1032))</f>
        <v>0.016623929757666</v>
      </c>
      <c r="L1032" s="489">
        <f>(1+INDEX($AC$21:$AC$97,B1032))*(1+INDEX($AC$21:$AC$97,C1032))*(1+INDEX($AC$21:$AC$97,D1032))*(1+INDEX($AC$21:$AC$97,E1032))*(1+INDEX($AC$21:$AC$97,F1032))-1</f>
        <v>0.381690199076336</v>
      </c>
      <c r="M1032" s="489">
        <f>(1+INDEX($AD$21:$AD$97,B1032))*(1+INDEX($AD$21:$AD$97,C1032))*(1+INDEX($AD$21:$AD$97,D1032))*(1+INDEX($AD$21:$AD$97,E1032))*(1+INDEX($AD$21:$AD$97,F1032))-1</f>
        <v>0.429226559735616</v>
      </c>
      <c r="N1032" s="489">
        <f>(1+INDEX($AE$21:$AE$97,B1032))*(1+INDEX($AE$21:$AE$97,C1032))*(1+INDEX($AE$21:$AE$97,D1032))*(1+INDEX($AE$21:$AE$97,E1032))*(1+INDEX($AE$21:$AE$97,F1032))-1</f>
        <v>0.373842778055487</v>
      </c>
      <c r="O1032" s="489">
        <f>(1+INDEX($AF$21:$AF$97,B1032))*(1+INDEX($AF$21:$AF$97,C1032))*(1+INDEX($AF$21:$AF$97,D1032))*(1+INDEX($AF$21:$AF$97,E1032))*(1+INDEX($AF$21:$AF$97,F1032))-1</f>
        <v>0.434711826537428</v>
      </c>
      <c r="P1032" s="489">
        <f>LN((1+L1032)/(1+H1032))</f>
        <v>0.00211660541339502</v>
      </c>
      <c r="Q1032" s="489">
        <f>LN((1+M1032)/(1+H1032))</f>
        <v>0.0359425043710156</v>
      </c>
      <c r="R1032" s="489">
        <f>LN((1+N1032)/(1+H1032))</f>
        <v>-0.00357916546021811</v>
      </c>
      <c r="S1032" s="542">
        <f>LN((1+O1032)/(1+H1032))</f>
        <v>0.0397730850394897</v>
      </c>
    </row>
    <row r="1033">
      <c r="A1033" s="320" t="n">
        <v>932</v>
      </c>
      <c r="B1033" s="174" t="n">
        <v>7</v>
      </c>
      <c r="C1033" s="174" t="n">
        <v>55</v>
      </c>
      <c r="D1033" s="174" t="n">
        <v>13</v>
      </c>
      <c r="E1033" s="174" t="n">
        <v>31</v>
      </c>
      <c r="F1033" s="174" t="n">
        <v>27</v>
      </c>
      <c r="G1033" s="68">
        <f>(1+INDEX($Z$21:$Z$97,B1033))*(1+INDEX($Z$21:$Z$97,C1033))*(1+INDEX($Z$21:$Z$97,D1033))*(1+INDEX($Z$21:$Z$97,E1033))*(1+INDEX($Z$21:$Z$97,F1033))-1</f>
        <v>0.358918113788653</v>
      </c>
      <c r="H1033" s="68">
        <f>(1+INDEX($AA$21:$AA$97,B1033))*(1+INDEX($AA$21:$AA$97,C1033))*(1+INDEX($AA$21:$AA$97,D1033))*(1+INDEX($AA$21:$AA$97,E1033))*(1+INDEX($AA$21:$AA$97,F1033))-1</f>
        <v>0.363434106561682</v>
      </c>
      <c r="I1033" s="68">
        <f>(1+INDEX($AB$21:$AB$97,B1033))*(1+INDEX($AB$21:$AB$97,C1033))*(1+INDEX($AB$21:$AB$97,D1033))*(1+INDEX($AB$21:$AB$97,E1033))*(1+INDEX($AB$21:$AB$97,F1033))-1</f>
        <v>0.378589332238237</v>
      </c>
      <c r="J1033" s="489">
        <f>LN((1+G1033)/(1+H1033))</f>
        <v>-0.00331771684916953</v>
      </c>
      <c r="K1033" s="489">
        <f>LN((1+I1033)/(1+H1033))</f>
        <v>0.0110541578787701</v>
      </c>
      <c r="L1033" s="489">
        <f>(1+INDEX($AC$21:$AC$97,B1033))*(1+INDEX($AC$21:$AC$97,C1033))*(1+INDEX($AC$21:$AC$97,D1033))*(1+INDEX($AC$21:$AC$97,E1033))*(1+INDEX($AC$21:$AC$97,F1033))-1</f>
        <v>0.371333826046891</v>
      </c>
      <c r="M1033" s="489">
        <f>(1+INDEX($AD$21:$AD$97,B1033))*(1+INDEX($AD$21:$AD$97,C1033))*(1+INDEX($AD$21:$AD$97,D1033))*(1+INDEX($AD$21:$AD$97,E1033))*(1+INDEX($AD$21:$AD$97,F1033))-1</f>
        <v>0.382378597199528</v>
      </c>
      <c r="N1033" s="489">
        <f>(1+INDEX($AE$21:$AE$97,B1033))*(1+INDEX($AE$21:$AE$97,C1033))*(1+INDEX($AE$21:$AE$97,D1033))*(1+INDEX($AE$21:$AE$97,E1033))*(1+INDEX($AE$21:$AE$97,F1033))-1</f>
        <v>0.36136981831564</v>
      </c>
      <c r="O1033" s="489">
        <f>(1+INDEX($AF$21:$AF$97,B1033))*(1+INDEX($AF$21:$AF$97,C1033))*(1+INDEX($AF$21:$AF$97,D1033))*(1+INDEX($AF$21:$AF$97,E1033))*(1+INDEX($AF$21:$AF$97,F1033))-1</f>
        <v>0.38561157833278</v>
      </c>
      <c r="P1033" s="489">
        <f>LN((1+L1033)/(1+H1033))</f>
        <v>0.00577726640954569</v>
      </c>
      <c r="Q1033" s="489">
        <f>LN((1+M1033)/(1+H1033))</f>
        <v>0.013799041149624</v>
      </c>
      <c r="R1033" s="489">
        <f>LN((1+N1033)/(1+H1033))</f>
        <v>-0.00151518325566464</v>
      </c>
      <c r="S1033" s="542">
        <f>LN((1+O1033)/(1+H1033))</f>
        <v>0.0161350195298744</v>
      </c>
    </row>
    <row r="1034">
      <c r="A1034" s="320" t="n">
        <v>933</v>
      </c>
      <c r="B1034" s="174" t="n">
        <v>44</v>
      </c>
      <c r="C1034" s="174" t="n">
        <v>7</v>
      </c>
      <c r="D1034" s="174" t="n">
        <v>74</v>
      </c>
      <c r="E1034" s="174" t="n">
        <v>28</v>
      </c>
      <c r="F1034" s="174" t="n">
        <v>64</v>
      </c>
      <c r="G1034" s="68">
        <f>(1+INDEX($Z$21:$Z$97,B1034))*(1+INDEX($Z$21:$Z$97,C1034))*(1+INDEX($Z$21:$Z$97,D1034))*(1+INDEX($Z$21:$Z$97,E1034))*(1+INDEX($Z$21:$Z$97,F1034))-1</f>
        <v>0.152563583828582</v>
      </c>
      <c r="H1034" s="68">
        <f>(1+INDEX($AA$21:$AA$97,B1034))*(1+INDEX($AA$21:$AA$97,C1034))*(1+INDEX($AA$21:$AA$97,D1034))*(1+INDEX($AA$21:$AA$97,E1034))*(1+INDEX($AA$21:$AA$97,F1034))-1</f>
        <v>0.175010325716683</v>
      </c>
      <c r="I1034" s="68">
        <f>(1+INDEX($AB$21:$AB$97,B1034))*(1+INDEX($AB$21:$AB$97,C1034))*(1+INDEX($AB$21:$AB$97,D1034))*(1+INDEX($AB$21:$AB$97,E1034))*(1+INDEX($AB$21:$AB$97,F1034))-1</f>
        <v>0.192079165438552</v>
      </c>
      <c r="J1034" s="489">
        <f>LN((1+G1034)/(1+H1034))</f>
        <v>-0.0192882706844763</v>
      </c>
      <c r="K1034" s="489">
        <f>LN((1+I1034)/(1+H1034))</f>
        <v>0.0144220449948705</v>
      </c>
      <c r="L1034" s="489">
        <f>(1+INDEX($AC$21:$AC$97,B1034))*(1+INDEX($AC$21:$AC$97,C1034))*(1+INDEX($AC$21:$AC$97,D1034))*(1+INDEX($AC$21:$AC$97,E1034))*(1+INDEX($AC$21:$AC$97,F1034))-1</f>
        <v>0.181675514470182</v>
      </c>
      <c r="M1034" s="489">
        <f>(1+INDEX($AD$21:$AD$97,B1034))*(1+INDEX($AD$21:$AD$97,C1034))*(1+INDEX($AD$21:$AD$97,D1034))*(1+INDEX($AD$21:$AD$97,E1034))*(1+INDEX($AD$21:$AD$97,F1034))-1</f>
        <v>0.163608186793889</v>
      </c>
      <c r="N1034" s="489">
        <f>(1+INDEX($AE$21:$AE$97,B1034))*(1+INDEX($AE$21:$AE$97,C1034))*(1+INDEX($AE$21:$AE$97,D1034))*(1+INDEX($AE$21:$AE$97,E1034))*(1+INDEX($AE$21:$AE$97,F1034))-1</f>
        <v>0.175793259269993</v>
      </c>
      <c r="O1034" s="489">
        <f>(1+INDEX($AF$21:$AF$97,B1034))*(1+INDEX($AF$21:$AF$97,C1034))*(1+INDEX($AF$21:$AF$97,D1034))*(1+INDEX($AF$21:$AF$97,E1034))*(1+INDEX($AF$21:$AF$97,F1034))-1</f>
        <v>0.177285677560572</v>
      </c>
      <c r="P1034" s="489">
        <f>LN((1+L1034)/(1+H1034))</f>
        <v>0.0056564234493726</v>
      </c>
      <c r="Q1034" s="489">
        <f>LN((1+M1034)/(1+H1034))</f>
        <v>-0.00975125204147099</v>
      </c>
      <c r="R1034" s="489">
        <f>LN((1+N1034)/(1+H1034))</f>
        <v>0.000666098679837224</v>
      </c>
      <c r="S1034" s="542">
        <f>LN((1+O1034)/(1+H1034))</f>
        <v>0.0019345801296801</v>
      </c>
    </row>
    <row r="1035">
      <c r="A1035" s="320" t="n">
        <v>934</v>
      </c>
      <c r="B1035" s="174" t="n">
        <v>77</v>
      </c>
      <c r="C1035" s="174" t="n">
        <v>24</v>
      </c>
      <c r="D1035" s="174" t="n">
        <v>34</v>
      </c>
      <c r="E1035" s="174" t="n">
        <v>19</v>
      </c>
      <c r="F1035" s="174" t="n">
        <v>13</v>
      </c>
      <c r="G1035" s="68">
        <f>(1+INDEX($Z$21:$Z$97,B1035))*(1+INDEX($Z$21:$Z$97,C1035))*(1+INDEX($Z$21:$Z$97,D1035))*(1+INDEX($Z$21:$Z$97,E1035))*(1+INDEX($Z$21:$Z$97,F1035))-1</f>
        <v>0.668064413323263</v>
      </c>
      <c r="H1035" s="68">
        <f>(1+INDEX($AA$21:$AA$97,B1035))*(1+INDEX($AA$21:$AA$97,C1035))*(1+INDEX($AA$21:$AA$97,D1035))*(1+INDEX($AA$21:$AA$97,E1035))*(1+INDEX($AA$21:$AA$97,F1035))-1</f>
        <v>0.582669314848956</v>
      </c>
      <c r="I1035" s="68">
        <f>(1+INDEX($AB$21:$AB$97,B1035))*(1+INDEX($AB$21:$AB$97,C1035))*(1+INDEX($AB$21:$AB$97,D1035))*(1+INDEX($AB$21:$AB$97,E1035))*(1+INDEX($AB$21:$AB$97,F1035))-1</f>
        <v>0.653518770891881</v>
      </c>
      <c r="J1035" s="489">
        <f>LN((1+G1035)/(1+H1035))</f>
        <v>0.0525510589725943</v>
      </c>
      <c r="K1035" s="489">
        <f>LN((1+I1035)/(1+H1035))</f>
        <v>0.0437927442743052</v>
      </c>
      <c r="L1035" s="489">
        <f>(1+INDEX($AC$21:$AC$97,B1035))*(1+INDEX($AC$21:$AC$97,C1035))*(1+INDEX($AC$21:$AC$97,D1035))*(1+INDEX($AC$21:$AC$97,E1035))*(1+INDEX($AC$21:$AC$97,F1035))-1</f>
        <v>0.650907500274313</v>
      </c>
      <c r="M1035" s="489">
        <f>(1+INDEX($AD$21:$AD$97,B1035))*(1+INDEX($AD$21:$AD$97,C1035))*(1+INDEX($AD$21:$AD$97,D1035))*(1+INDEX($AD$21:$AD$97,E1035))*(1+INDEX($AD$21:$AD$97,F1035))-1</f>
        <v>0.652572997363673</v>
      </c>
      <c r="N1035" s="489">
        <f>(1+INDEX($AE$21:$AE$97,B1035))*(1+INDEX($AE$21:$AE$97,C1035))*(1+INDEX($AE$21:$AE$97,D1035))*(1+INDEX($AE$21:$AE$97,E1035))*(1+INDEX($AE$21:$AE$97,F1035))-1</f>
        <v>0.616642255892531</v>
      </c>
      <c r="O1035" s="489">
        <f>(1+INDEX($AF$21:$AF$97,B1035))*(1+INDEX($AF$21:$AF$97,C1035))*(1+INDEX($AF$21:$AF$97,D1035))*(1+INDEX($AF$21:$AF$97,E1035))*(1+INDEX($AF$21:$AF$97,F1035))-1</f>
        <v>0.58947420675875</v>
      </c>
      <c r="P1035" s="489">
        <f>LN((1+L1035)/(1+H1035))</f>
        <v>0.0422122755654664</v>
      </c>
      <c r="Q1035" s="489">
        <f>LN((1+M1035)/(1+H1035))</f>
        <v>0.0432206043457717</v>
      </c>
      <c r="R1035" s="489">
        <f>LN((1+N1035)/(1+H1035))</f>
        <v>0.0212384554007484</v>
      </c>
      <c r="S1035" s="542">
        <f>LN((1+O1035)/(1+H1035))</f>
        <v>0.00429041265121719</v>
      </c>
    </row>
    <row r="1036">
      <c r="A1036" s="320" t="n">
        <v>935</v>
      </c>
      <c r="B1036" s="174" t="n">
        <v>9</v>
      </c>
      <c r="C1036" s="174" t="n">
        <v>49</v>
      </c>
      <c r="D1036" s="174" t="n">
        <v>23</v>
      </c>
      <c r="E1036" s="174" t="n">
        <v>46</v>
      </c>
      <c r="F1036" s="174" t="n">
        <v>48</v>
      </c>
      <c r="G1036" s="68">
        <f>(1+INDEX($Z$21:$Z$97,B1036))*(1+INDEX($Z$21:$Z$97,C1036))*(1+INDEX($Z$21:$Z$97,D1036))*(1+INDEX($Z$21:$Z$97,E1036))*(1+INDEX($Z$21:$Z$97,F1036))-1</f>
        <v>0.1450808095553</v>
      </c>
      <c r="H1036" s="68">
        <f>(1+INDEX($AA$21:$AA$97,B1036))*(1+INDEX($AA$21:$AA$97,C1036))*(1+INDEX($AA$21:$AA$97,D1036))*(1+INDEX($AA$21:$AA$97,E1036))*(1+INDEX($AA$21:$AA$97,F1036))-1</f>
        <v>0.136551417478428</v>
      </c>
      <c r="I1036" s="68">
        <f>(1+INDEX($AB$21:$AB$97,B1036))*(1+INDEX($AB$21:$AB$97,C1036))*(1+INDEX($AB$21:$AB$97,D1036))*(1+INDEX($AB$21:$AB$97,E1036))*(1+INDEX($AB$21:$AB$97,F1036))-1</f>
        <v>0.154575624957987</v>
      </c>
      <c r="J1036" s="489">
        <f>LN((1+G1036)/(1+H1036))</f>
        <v>0.00747660530760492</v>
      </c>
      <c r="K1036" s="489">
        <f>LN((1+I1036)/(1+H1036))</f>
        <v>0.0157342469390618</v>
      </c>
      <c r="L1036" s="489">
        <f>(1+INDEX($AC$21:$AC$97,B1036))*(1+INDEX($AC$21:$AC$97,C1036))*(1+INDEX($AC$21:$AC$97,D1036))*(1+INDEX($AC$21:$AC$97,E1036))*(1+INDEX($AC$21:$AC$97,F1036))-1</f>
        <v>0.117220240452064</v>
      </c>
      <c r="M1036" s="489">
        <f>(1+INDEX($AD$21:$AD$97,B1036))*(1+INDEX($AD$21:$AD$97,C1036))*(1+INDEX($AD$21:$AD$97,D1036))*(1+INDEX($AD$21:$AD$97,E1036))*(1+INDEX($AD$21:$AD$97,F1036))-1</f>
        <v>0.159997595533945</v>
      </c>
      <c r="N1036" s="489">
        <f>(1+INDEX($AE$21:$AE$97,B1036))*(1+INDEX($AE$21:$AE$97,C1036))*(1+INDEX($AE$21:$AE$97,D1036))*(1+INDEX($AE$21:$AE$97,E1036))*(1+INDEX($AE$21:$AE$97,F1036))-1</f>
        <v>0.111559967445257</v>
      </c>
      <c r="O1036" s="489">
        <f>(1+INDEX($AF$21:$AF$97,B1036))*(1+INDEX($AF$21:$AF$97,C1036))*(1+INDEX($AF$21:$AF$97,D1036))*(1+INDEX($AF$21:$AF$97,E1036))*(1+INDEX($AF$21:$AF$97,F1036))-1</f>
        <v>0.177644856755276</v>
      </c>
      <c r="P1036" s="489">
        <f>LN((1+L1036)/(1+H1036))</f>
        <v>-0.0171549331892732</v>
      </c>
      <c r="Q1036" s="489">
        <f>LN((1+M1036)/(1+H1036))</f>
        <v>0.0204193270615033</v>
      </c>
      <c r="R1036" s="489">
        <f>LN((1+N1036)/(1+H1036))</f>
        <v>-0.0222342004546948</v>
      </c>
      <c r="S1036" s="542">
        <f>LN((1+O1036)/(1+H1036))</f>
        <v>0.035517954701926</v>
      </c>
    </row>
    <row r="1037">
      <c r="A1037" s="320" t="n">
        <v>936</v>
      </c>
      <c r="B1037" s="174" t="n">
        <v>64</v>
      </c>
      <c r="C1037" s="174" t="n">
        <v>1</v>
      </c>
      <c r="D1037" s="174" t="n">
        <v>21</v>
      </c>
      <c r="E1037" s="174" t="n">
        <v>51</v>
      </c>
      <c r="F1037" s="174" t="n">
        <v>37</v>
      </c>
      <c r="G1037" s="68">
        <f>(1+INDEX($Z$21:$Z$97,B1037))*(1+INDEX($Z$21:$Z$97,C1037))*(1+INDEX($Z$21:$Z$97,D1037))*(1+INDEX($Z$21:$Z$97,E1037))*(1+INDEX($Z$21:$Z$97,F1037))-1</f>
        <v>0.117514446908432</v>
      </c>
      <c r="H1037" s="68">
        <f>(1+INDEX($AA$21:$AA$97,B1037))*(1+INDEX($AA$21:$AA$97,C1037))*(1+INDEX($AA$21:$AA$97,D1037))*(1+INDEX($AA$21:$AA$97,E1037))*(1+INDEX($AA$21:$AA$97,F1037))-1</f>
        <v>0.0731049378995745</v>
      </c>
      <c r="I1037" s="68">
        <f>(1+INDEX($AB$21:$AB$97,B1037))*(1+INDEX($AB$21:$AB$97,C1037))*(1+INDEX($AB$21:$AB$97,D1037))*(1+INDEX($AB$21:$AB$97,E1037))*(1+INDEX($AB$21:$AB$97,F1037))-1</f>
        <v>0.0611606842750434</v>
      </c>
      <c r="J1037" s="489">
        <f>LN((1+G1037)/(1+H1037))</f>
        <v>0.0405507178360443</v>
      </c>
      <c r="K1037" s="489">
        <f>LN((1+I1037)/(1+H1037))</f>
        <v>-0.0111929632381213</v>
      </c>
      <c r="L1037" s="489">
        <f>(1+INDEX($AC$21:$AC$97,B1037))*(1+INDEX($AC$21:$AC$97,C1037))*(1+INDEX($AC$21:$AC$97,D1037))*(1+INDEX($AC$21:$AC$97,E1037))*(1+INDEX($AC$21:$AC$97,F1037))-1</f>
        <v>0.050633572304936</v>
      </c>
      <c r="M1037" s="489">
        <f>(1+INDEX($AD$21:$AD$97,B1037))*(1+INDEX($AD$21:$AD$97,C1037))*(1+INDEX($AD$21:$AD$97,D1037))*(1+INDEX($AD$21:$AD$97,E1037))*(1+INDEX($AD$21:$AD$97,F1037))-1</f>
        <v>0.0662622157423598</v>
      </c>
      <c r="N1037" s="489">
        <f>(1+INDEX($AE$21:$AE$97,B1037))*(1+INDEX($AE$21:$AE$97,C1037))*(1+INDEX($AE$21:$AE$97,D1037))*(1+INDEX($AE$21:$AE$97,E1037))*(1+INDEX($AE$21:$AE$97,F1037))-1</f>
        <v>0.0591688615850303</v>
      </c>
      <c r="O1037" s="489">
        <f>(1+INDEX($AF$21:$AF$97,B1037))*(1+INDEX($AF$21:$AF$97,C1037))*(1+INDEX($AF$21:$AF$97,D1037))*(1+INDEX($AF$21:$AF$97,E1037))*(1+INDEX($AF$21:$AF$97,F1037))-1</f>
        <v>0.0693639169953402</v>
      </c>
      <c r="P1037" s="489">
        <f>LN((1+L1037)/(1+H1037))</f>
        <v>-0.0211628730775405</v>
      </c>
      <c r="Q1037" s="489">
        <f>LN((1+M1037)/(1+H1037))</f>
        <v>-0.00639698097637087</v>
      </c>
      <c r="R1037" s="489">
        <f>LN((1+N1037)/(1+H1037))</f>
        <v>-0.013071749750155</v>
      </c>
      <c r="S1037" s="542">
        <f>LN((1+O1037)/(1+H1037))</f>
        <v>-0.00349225585964922</v>
      </c>
    </row>
    <row r="1038">
      <c r="A1038" s="320" t="n">
        <v>937</v>
      </c>
      <c r="B1038" s="174" t="n">
        <v>69</v>
      </c>
      <c r="C1038" s="174" t="n">
        <v>22</v>
      </c>
      <c r="D1038" s="174" t="n">
        <v>56</v>
      </c>
      <c r="E1038" s="174" t="n">
        <v>51</v>
      </c>
      <c r="F1038" s="174" t="n">
        <v>1</v>
      </c>
      <c r="G1038" s="68">
        <f>(1+INDEX($Z$21:$Z$97,B1038))*(1+INDEX($Z$21:$Z$97,C1038))*(1+INDEX($Z$21:$Z$97,D1038))*(1+INDEX($Z$21:$Z$97,E1038))*(1+INDEX($Z$21:$Z$97,F1038))-1</f>
        <v>0.450840608247404</v>
      </c>
      <c r="H1038" s="68">
        <f>(1+INDEX($AA$21:$AA$97,B1038))*(1+INDEX($AA$21:$AA$97,C1038))*(1+INDEX($AA$21:$AA$97,D1038))*(1+INDEX($AA$21:$AA$97,E1038))*(1+INDEX($AA$21:$AA$97,F1038))-1</f>
        <v>0.402138758972871</v>
      </c>
      <c r="I1038" s="68">
        <f>(1+INDEX($AB$21:$AB$97,B1038))*(1+INDEX($AB$21:$AB$97,C1038))*(1+INDEX($AB$21:$AB$97,D1038))*(1+INDEX($AB$21:$AB$97,E1038))*(1+INDEX($AB$21:$AB$97,F1038))-1</f>
        <v>0.40996992701847</v>
      </c>
      <c r="J1038" s="489">
        <f>LN((1+G1038)/(1+H1038))</f>
        <v>0.0341443624016387</v>
      </c>
      <c r="K1038" s="489">
        <f>LN((1+I1038)/(1+H1038))</f>
        <v>0.00556961992870618</v>
      </c>
      <c r="L1038" s="489">
        <f>(1+INDEX($AC$21:$AC$97,B1038))*(1+INDEX($AC$21:$AC$97,C1038))*(1+INDEX($AC$21:$AC$97,D1038))*(1+INDEX($AC$21:$AC$97,E1038))*(1+INDEX($AC$21:$AC$97,F1038))-1</f>
        <v>0.39377612007285</v>
      </c>
      <c r="M1038" s="489">
        <f>(1+INDEX($AD$21:$AD$97,B1038))*(1+INDEX($AD$21:$AD$97,C1038))*(1+INDEX($AD$21:$AD$97,D1038))*(1+INDEX($AD$21:$AD$97,E1038))*(1+INDEX($AD$21:$AD$97,F1038))-1</f>
        <v>0.431040611763261</v>
      </c>
      <c r="N1038" s="489">
        <f>(1+INDEX($AE$21:$AE$97,B1038))*(1+INDEX($AE$21:$AE$97,C1038))*(1+INDEX($AE$21:$AE$97,D1038))*(1+INDEX($AE$21:$AE$97,E1038))*(1+INDEX($AE$21:$AE$97,F1038))-1</f>
        <v>0.406137771518917</v>
      </c>
      <c r="O1038" s="489">
        <f>(1+INDEX($AF$21:$AF$97,B1038))*(1+INDEX($AF$21:$AF$97,C1038))*(1+INDEX($AF$21:$AF$97,D1038))*(1+INDEX($AF$21:$AF$97,E1038))*(1+INDEX($AF$21:$AF$97,F1038))-1</f>
        <v>0.431910075551466</v>
      </c>
      <c r="P1038" s="489">
        <f>LN((1+L1038)/(1+H1038))</f>
        <v>-0.00598205896809515</v>
      </c>
      <c r="Q1038" s="489">
        <f>LN((1+M1038)/(1+H1038))</f>
        <v>0.0204031242816889</v>
      </c>
      <c r="R1038" s="489">
        <f>LN((1+N1038)/(1+H1038))</f>
        <v>0.00284802098774699</v>
      </c>
      <c r="S1038" s="542">
        <f>LN((1+O1038)/(1+H1038))</f>
        <v>0.0210105142858468</v>
      </c>
    </row>
    <row r="1039">
      <c r="A1039" s="320" t="n">
        <v>938</v>
      </c>
      <c r="B1039" s="174" t="n">
        <v>46</v>
      </c>
      <c r="C1039" s="174" t="n">
        <v>59</v>
      </c>
      <c r="D1039" s="174" t="n">
        <v>10</v>
      </c>
      <c r="E1039" s="174" t="n">
        <v>6</v>
      </c>
      <c r="F1039" s="174" t="n">
        <v>50</v>
      </c>
      <c r="G1039" s="68">
        <f>(1+INDEX($Z$21:$Z$97,B1039))*(1+INDEX($Z$21:$Z$97,C1039))*(1+INDEX($Z$21:$Z$97,D1039))*(1+INDEX($Z$21:$Z$97,E1039))*(1+INDEX($Z$21:$Z$97,F1039))-1</f>
        <v>0.145480979306633</v>
      </c>
      <c r="H1039" s="68">
        <f>(1+INDEX($AA$21:$AA$97,B1039))*(1+INDEX($AA$21:$AA$97,C1039))*(1+INDEX($AA$21:$AA$97,D1039))*(1+INDEX($AA$21:$AA$97,E1039))*(1+INDEX($AA$21:$AA$97,F1039))-1</f>
        <v>0.173260246228392</v>
      </c>
      <c r="I1039" s="68">
        <f>(1+INDEX($AB$21:$AB$97,B1039))*(1+INDEX($AB$21:$AB$97,C1039))*(1+INDEX($AB$21:$AB$97,D1039))*(1+INDEX($AB$21:$AB$97,E1039))*(1+INDEX($AB$21:$AB$97,F1039))-1</f>
        <v>0.158338652123192</v>
      </c>
      <c r="J1039" s="489">
        <f>LN((1+G1039)/(1+H1039))</f>
        <v>-0.0239617907902827</v>
      </c>
      <c r="K1039" s="489">
        <f>LN((1+I1039)/(1+H1039))</f>
        <v>-0.0127996267563947</v>
      </c>
      <c r="L1039" s="489">
        <f>(1+INDEX($AC$21:$AC$97,B1039))*(1+INDEX($AC$21:$AC$97,C1039))*(1+INDEX($AC$21:$AC$97,D1039))*(1+INDEX($AC$21:$AC$97,E1039))*(1+INDEX($AC$21:$AC$97,F1039))-1</f>
        <v>0.154575836253571</v>
      </c>
      <c r="M1039" s="489">
        <f>(1+INDEX($AD$21:$AD$97,B1039))*(1+INDEX($AD$21:$AD$97,C1039))*(1+INDEX($AD$21:$AD$97,D1039))*(1+INDEX($AD$21:$AD$97,E1039))*(1+INDEX($AD$21:$AD$97,F1039))-1</f>
        <v>0.140476779022926</v>
      </c>
      <c r="N1039" s="489">
        <f>(1+INDEX($AE$21:$AE$97,B1039))*(1+INDEX($AE$21:$AE$97,C1039))*(1+INDEX($AE$21:$AE$97,D1039))*(1+INDEX($AE$21:$AE$97,E1039))*(1+INDEX($AE$21:$AE$97,F1039))-1</f>
        <v>0.137517236058309</v>
      </c>
      <c r="O1039" s="489">
        <f>(1+INDEX($AF$21:$AF$97,B1039))*(1+INDEX($AF$21:$AF$97,C1039))*(1+INDEX($AF$21:$AF$97,D1039))*(1+INDEX($AF$21:$AF$97,E1039))*(1+INDEX($AF$21:$AF$97,F1039))-1</f>
        <v>0.175034931727541</v>
      </c>
      <c r="P1039" s="489">
        <f>LN((1+L1039)/(1+H1039))</f>
        <v>-0.016053373670285</v>
      </c>
      <c r="Q1039" s="489">
        <f>LN((1+M1039)/(1+H1039))</f>
        <v>-0.0283400066686551</v>
      </c>
      <c r="R1039" s="489">
        <f>LN((1+N1039)/(1+H1039))</f>
        <v>-0.0309383845486255</v>
      </c>
      <c r="S1039" s="542">
        <f>LN((1+O1039)/(1+H1039))</f>
        <v>0.00151146742851482</v>
      </c>
    </row>
    <row r="1040">
      <c r="A1040" s="320" t="n">
        <v>939</v>
      </c>
      <c r="B1040" s="174" t="n">
        <v>19</v>
      </c>
      <c r="C1040" s="174" t="n">
        <v>3</v>
      </c>
      <c r="D1040" s="174" t="n">
        <v>36</v>
      </c>
      <c r="E1040" s="174" t="n">
        <v>25</v>
      </c>
      <c r="F1040" s="174" t="n">
        <v>28</v>
      </c>
      <c r="G1040" s="68">
        <f>(1+INDEX($Z$21:$Z$97,B1040))*(1+INDEX($Z$21:$Z$97,C1040))*(1+INDEX($Z$21:$Z$97,D1040))*(1+INDEX($Z$21:$Z$97,E1040))*(1+INDEX($Z$21:$Z$97,F1040))-1</f>
        <v>0.611707120518132</v>
      </c>
      <c r="H1040" s="68">
        <f>(1+INDEX($AA$21:$AA$97,B1040))*(1+INDEX($AA$21:$AA$97,C1040))*(1+INDEX($AA$21:$AA$97,D1040))*(1+INDEX($AA$21:$AA$97,E1040))*(1+INDEX($AA$21:$AA$97,F1040))-1</f>
        <v>0.542309643735895</v>
      </c>
      <c r="I1040" s="68">
        <f>(1+INDEX($AB$21:$AB$97,B1040))*(1+INDEX($AB$21:$AB$97,C1040))*(1+INDEX($AB$21:$AB$97,D1040))*(1+INDEX($AB$21:$AB$97,E1040))*(1+INDEX($AB$21:$AB$97,F1040))-1</f>
        <v>0.576539533361781</v>
      </c>
      <c r="J1040" s="489">
        <f>LN((1+G1040)/(1+H1040))</f>
        <v>0.0440128789984488</v>
      </c>
      <c r="K1040" s="489">
        <f>LN((1+I1040)/(1+H1040))</f>
        <v>0.0219512147977793</v>
      </c>
      <c r="L1040" s="489">
        <f>(1+INDEX($AC$21:$AC$97,B1040))*(1+INDEX($AC$21:$AC$97,C1040))*(1+INDEX($AC$21:$AC$97,D1040))*(1+INDEX($AC$21:$AC$97,E1040))*(1+INDEX($AC$21:$AC$97,F1040))-1</f>
        <v>0.569601244601769</v>
      </c>
      <c r="M1040" s="489">
        <f>(1+INDEX($AD$21:$AD$97,B1040))*(1+INDEX($AD$21:$AD$97,C1040))*(1+INDEX($AD$21:$AD$97,D1040))*(1+INDEX($AD$21:$AD$97,E1040))*(1+INDEX($AD$21:$AD$97,F1040))-1</f>
        <v>0.5830096221867</v>
      </c>
      <c r="N1040" s="489">
        <f>(1+INDEX($AE$21:$AE$97,B1040))*(1+INDEX($AE$21:$AE$97,C1040))*(1+INDEX($AE$21:$AE$97,D1040))*(1+INDEX($AE$21:$AE$97,E1040))*(1+INDEX($AE$21:$AE$97,F1040))-1</f>
        <v>0.576353847378734</v>
      </c>
      <c r="O1040" s="489">
        <f>(1+INDEX($AF$21:$AF$97,B1040))*(1+INDEX($AF$21:$AF$97,C1040))*(1+INDEX($AF$21:$AF$97,D1040))*(1+INDEX($AF$21:$AF$97,E1040))*(1+INDEX($AF$21:$AF$97,F1040))-1</f>
        <v>0.582866246813982</v>
      </c>
      <c r="P1040" s="489">
        <f>LN((1+L1040)/(1+H1040))</f>
        <v>0.0175405412152411</v>
      </c>
      <c r="Q1040" s="489">
        <f>LN((1+M1040)/(1+H1040))</f>
        <v>0.0260467977752128</v>
      </c>
      <c r="R1040" s="489">
        <f>LN((1+N1040)/(1+H1040))</f>
        <v>0.0218334271273198</v>
      </c>
      <c r="S1040" s="542">
        <f>LN((1+O1040)/(1+H1040))</f>
        <v>0.0259562222891554</v>
      </c>
    </row>
    <row r="1041">
      <c r="A1041" s="320" t="n">
        <v>940</v>
      </c>
      <c r="B1041" s="174" t="n">
        <v>33</v>
      </c>
      <c r="C1041" s="174" t="n">
        <v>59</v>
      </c>
      <c r="D1041" s="174" t="n">
        <v>31</v>
      </c>
      <c r="E1041" s="174" t="n">
        <v>30</v>
      </c>
      <c r="F1041" s="174" t="n">
        <v>64</v>
      </c>
      <c r="G1041" s="68">
        <f>(1+INDEX($Z$21:$Z$97,B1041))*(1+INDEX($Z$21:$Z$97,C1041))*(1+INDEX($Z$21:$Z$97,D1041))*(1+INDEX($Z$21:$Z$97,E1041))*(1+INDEX($Z$21:$Z$97,F1041))-1</f>
        <v>0.683126751551032</v>
      </c>
      <c r="H1041" s="68">
        <f>(1+INDEX($AA$21:$AA$97,B1041))*(1+INDEX($AA$21:$AA$97,C1041))*(1+INDEX($AA$21:$AA$97,D1041))*(1+INDEX($AA$21:$AA$97,E1041))*(1+INDEX($AA$21:$AA$97,F1041))-1</f>
        <v>0.665518962972851</v>
      </c>
      <c r="I1041" s="68">
        <f>(1+INDEX($AB$21:$AB$97,B1041))*(1+INDEX($AB$21:$AB$97,C1041))*(1+INDEX($AB$21:$AB$97,D1041))*(1+INDEX($AB$21:$AB$97,E1041))*(1+INDEX($AB$21:$AB$97,F1041))-1</f>
        <v>0.730331182572422</v>
      </c>
      <c r="J1041" s="489">
        <f>LN((1+G1041)/(1+H1041))</f>
        <v>0.0105164608968255</v>
      </c>
      <c r="K1041" s="489">
        <f>LN((1+I1041)/(1+H1041))</f>
        <v>0.0381760608607862</v>
      </c>
      <c r="L1041" s="489">
        <f>(1+INDEX($AC$21:$AC$97,B1041))*(1+INDEX($AC$21:$AC$97,C1041))*(1+INDEX($AC$21:$AC$97,D1041))*(1+INDEX($AC$21:$AC$97,E1041))*(1+INDEX($AC$21:$AC$97,F1041))-1</f>
        <v>0.749977992254059</v>
      </c>
      <c r="M1041" s="489">
        <f>(1+INDEX($AD$21:$AD$97,B1041))*(1+INDEX($AD$21:$AD$97,C1041))*(1+INDEX($AD$21:$AD$97,D1041))*(1+INDEX($AD$21:$AD$97,E1041))*(1+INDEX($AD$21:$AD$97,F1041))-1</f>
        <v>0.68910064233582</v>
      </c>
      <c r="N1041" s="489">
        <f>(1+INDEX($AE$21:$AE$97,B1041))*(1+INDEX($AE$21:$AE$97,C1041))*(1+INDEX($AE$21:$AE$97,D1041))*(1+INDEX($AE$21:$AE$97,E1041))*(1+INDEX($AE$21:$AE$97,F1041))-1</f>
        <v>0.757118016895049</v>
      </c>
      <c r="O1041" s="489">
        <f>(1+INDEX($AF$21:$AF$97,B1041))*(1+INDEX($AF$21:$AF$97,C1041))*(1+INDEX($AF$21:$AF$97,D1041))*(1+INDEX($AF$21:$AF$97,E1041))*(1+INDEX($AF$21:$AF$97,F1041))-1</f>
        <v>0.603076343497554</v>
      </c>
      <c r="P1041" s="489">
        <f>LN((1+L1041)/(1+H1041))</f>
        <v>0.0494664476610038</v>
      </c>
      <c r="Q1041" s="489">
        <f>LN((1+M1041)/(1+H1041))</f>
        <v>0.0140594586464555</v>
      </c>
      <c r="R1041" s="489">
        <f>LN((1+N1041)/(1+H1041))</f>
        <v>0.0535382121562207</v>
      </c>
      <c r="S1041" s="542">
        <f>LN((1+O1041)/(1+H1041))</f>
        <v>-0.0382122664587875</v>
      </c>
    </row>
    <row r="1042">
      <c r="A1042" s="320" t="n">
        <v>941</v>
      </c>
      <c r="B1042" s="174" t="n">
        <v>68</v>
      </c>
      <c r="C1042" s="174" t="n">
        <v>37</v>
      </c>
      <c r="D1042" s="174" t="n">
        <v>31</v>
      </c>
      <c r="E1042" s="174" t="n">
        <v>8</v>
      </c>
      <c r="F1042" s="174" t="n">
        <v>36</v>
      </c>
      <c r="G1042" s="68">
        <f>(1+INDEX($Z$21:$Z$97,B1042))*(1+INDEX($Z$21:$Z$97,C1042))*(1+INDEX($Z$21:$Z$97,D1042))*(1+INDEX($Z$21:$Z$97,E1042))*(1+INDEX($Z$21:$Z$97,F1042))-1</f>
        <v>0.0179466323682276</v>
      </c>
      <c r="H1042" s="68">
        <f>(1+INDEX($AA$21:$AA$97,B1042))*(1+INDEX($AA$21:$AA$97,C1042))*(1+INDEX($AA$21:$AA$97,D1042))*(1+INDEX($AA$21:$AA$97,E1042))*(1+INDEX($AA$21:$AA$97,F1042))-1</f>
        <v>0.0651260262257907</v>
      </c>
      <c r="I1042" s="68">
        <f>(1+INDEX($AB$21:$AB$97,B1042))*(1+INDEX($AB$21:$AB$97,C1042))*(1+INDEX($AB$21:$AB$97,D1042))*(1+INDEX($AB$21:$AB$97,E1042))*(1+INDEX($AB$21:$AB$97,F1042))-1</f>
        <v>0.0304335186276672</v>
      </c>
      <c r="J1042" s="489">
        <f>LN((1+G1042)/(1+H1042))</f>
        <v>-0.0453056338903574</v>
      </c>
      <c r="K1042" s="489">
        <f>LN((1+I1042)/(1+H1042))</f>
        <v>-0.0331135210817982</v>
      </c>
      <c r="L1042" s="489">
        <f>(1+INDEX($AC$21:$AC$97,B1042))*(1+INDEX($AC$21:$AC$97,C1042))*(1+INDEX($AC$21:$AC$97,D1042))*(1+INDEX($AC$21:$AC$97,E1042))*(1+INDEX($AC$21:$AC$97,F1042))-1</f>
        <v>0.0149800001838774</v>
      </c>
      <c r="M1042" s="489">
        <f>(1+INDEX($AD$21:$AD$97,B1042))*(1+INDEX($AD$21:$AD$97,C1042))*(1+INDEX($AD$21:$AD$97,D1042))*(1+INDEX($AD$21:$AD$97,E1042))*(1+INDEX($AD$21:$AD$97,F1042))-1</f>
        <v>0.0577072286406131</v>
      </c>
      <c r="N1042" s="489">
        <f>(1+INDEX($AE$21:$AE$97,B1042))*(1+INDEX($AE$21:$AE$97,C1042))*(1+INDEX($AE$21:$AE$97,D1042))*(1+INDEX($AE$21:$AE$97,E1042))*(1+INDEX($AE$21:$AE$97,F1042))-1</f>
        <v>0.0315064329539723</v>
      </c>
      <c r="O1042" s="489">
        <f>(1+INDEX($AF$21:$AF$97,B1042))*(1+INDEX($AF$21:$AF$97,C1042))*(1+INDEX($AF$21:$AF$97,D1042))*(1+INDEX($AF$21:$AF$97,E1042))*(1+INDEX($AF$21:$AF$97,F1042))-1</f>
        <v>0.0794432743529052</v>
      </c>
      <c r="P1042" s="489">
        <f>LN((1+L1042)/(1+H1042))</f>
        <v>-0.0482242185974444</v>
      </c>
      <c r="Q1042" s="489">
        <f>LN((1+M1042)/(1+H1042))</f>
        <v>-0.00698955301478863</v>
      </c>
      <c r="R1042" s="489">
        <f>LN((1+N1042)/(1+H1042))</f>
        <v>-0.0320728366309103</v>
      </c>
      <c r="S1042" s="542">
        <f>LN((1+O1042)/(1+H1042))</f>
        <v>0.0133522948721778</v>
      </c>
    </row>
    <row r="1043">
      <c r="A1043" s="320" t="n">
        <v>942</v>
      </c>
      <c r="B1043" s="174" t="n">
        <v>33</v>
      </c>
      <c r="C1043" s="174" t="n">
        <v>36</v>
      </c>
      <c r="D1043" s="174" t="n">
        <v>11</v>
      </c>
      <c r="E1043" s="174" t="n">
        <v>17</v>
      </c>
      <c r="F1043" s="174" t="n">
        <v>8</v>
      </c>
      <c r="G1043" s="68">
        <f>(1+INDEX($Z$21:$Z$97,B1043))*(1+INDEX($Z$21:$Z$97,C1043))*(1+INDEX($Z$21:$Z$97,D1043))*(1+INDEX($Z$21:$Z$97,E1043))*(1+INDEX($Z$21:$Z$97,F1043))-1</f>
        <v>0.0558312790160809</v>
      </c>
      <c r="H1043" s="68">
        <f>(1+INDEX($AA$21:$AA$97,B1043))*(1+INDEX($AA$21:$AA$97,C1043))*(1+INDEX($AA$21:$AA$97,D1043))*(1+INDEX($AA$21:$AA$97,E1043))*(1+INDEX($AA$21:$AA$97,F1043))-1</f>
        <v>0.0718487507079011</v>
      </c>
      <c r="I1043" s="68">
        <f>(1+INDEX($AB$21:$AB$97,B1043))*(1+INDEX($AB$21:$AB$97,C1043))*(1+INDEX($AB$21:$AB$97,D1043))*(1+INDEX($AB$21:$AB$97,E1043))*(1+INDEX($AB$21:$AB$97,F1043))-1</f>
        <v>0.0407522360195747</v>
      </c>
      <c r="J1043" s="489">
        <f>LN((1+G1043)/(1+H1043))</f>
        <v>-0.0150565630769335</v>
      </c>
      <c r="K1043" s="489">
        <f>LN((1+I1043)/(1+H1043))</f>
        <v>-0.0294412063767334</v>
      </c>
      <c r="L1043" s="489">
        <f>(1+INDEX($AC$21:$AC$97,B1043))*(1+INDEX($AC$21:$AC$97,C1043))*(1+INDEX($AC$21:$AC$97,D1043))*(1+INDEX($AC$21:$AC$97,E1043))*(1+INDEX($AC$21:$AC$97,F1043))-1</f>
        <v>0.0128164311392474</v>
      </c>
      <c r="M1043" s="489">
        <f>(1+INDEX($AD$21:$AD$97,B1043))*(1+INDEX($AD$21:$AD$97,C1043))*(1+INDEX($AD$21:$AD$97,D1043))*(1+INDEX($AD$21:$AD$97,E1043))*(1+INDEX($AD$21:$AD$97,F1043))-1</f>
        <v>0.0815046756692957</v>
      </c>
      <c r="N1043" s="489">
        <f>(1+INDEX($AE$21:$AE$97,B1043))*(1+INDEX($AE$21:$AE$97,C1043))*(1+INDEX($AE$21:$AE$97,D1043))*(1+INDEX($AE$21:$AE$97,E1043))*(1+INDEX($AE$21:$AE$97,F1043))-1</f>
        <v>0.0181944134056713</v>
      </c>
      <c r="O1043" s="489">
        <f>(1+INDEX($AF$21:$AF$97,B1043))*(1+INDEX($AF$21:$AF$97,C1043))*(1+INDEX($AF$21:$AF$97,D1043))*(1+INDEX($AF$21:$AF$97,E1043))*(1+INDEX($AF$21:$AF$97,F1043))-1</f>
        <v>0.106571939132186</v>
      </c>
      <c r="P1043" s="489">
        <f>LN((1+L1043)/(1+H1043))</f>
        <v>-0.0566499661819228</v>
      </c>
      <c r="Q1043" s="489">
        <f>LN((1+M1043)/(1+H1043))</f>
        <v>0.0089683277836253</v>
      </c>
      <c r="R1043" s="489">
        <f>LN((1+N1043)/(1+H1043))</f>
        <v>-0.0513540862015099</v>
      </c>
      <c r="S1043" s="542">
        <f>LN((1+O1043)/(1+H1043))</f>
        <v>0.0318819314901114</v>
      </c>
    </row>
    <row r="1044">
      <c r="A1044" s="320" t="n">
        <v>943</v>
      </c>
      <c r="B1044" s="174" t="n">
        <v>41</v>
      </c>
      <c r="C1044" s="174" t="n">
        <v>49</v>
      </c>
      <c r="D1044" s="174" t="n">
        <v>14</v>
      </c>
      <c r="E1044" s="174" t="n">
        <v>61</v>
      </c>
      <c r="F1044" s="174" t="n">
        <v>1</v>
      </c>
      <c r="G1044" s="68">
        <f>(1+INDEX($Z$21:$Z$97,B1044))*(1+INDEX($Z$21:$Z$97,C1044))*(1+INDEX($Z$21:$Z$97,D1044))*(1+INDEX($Z$21:$Z$97,E1044))*(1+INDEX($Z$21:$Z$97,F1044))-1</f>
        <v>0.705885323939008</v>
      </c>
      <c r="H1044" s="68">
        <f>(1+INDEX($AA$21:$AA$97,B1044))*(1+INDEX($AA$21:$AA$97,C1044))*(1+INDEX($AA$21:$AA$97,D1044))*(1+INDEX($AA$21:$AA$97,E1044))*(1+INDEX($AA$21:$AA$97,F1044))-1</f>
        <v>0.584941715948418</v>
      </c>
      <c r="I1044" s="68">
        <f>(1+INDEX($AB$21:$AB$97,B1044))*(1+INDEX($AB$21:$AB$97,C1044))*(1+INDEX($AB$21:$AB$97,D1044))*(1+INDEX($AB$21:$AB$97,E1044))*(1+INDEX($AB$21:$AB$97,F1044))-1</f>
        <v>0.628822849930528</v>
      </c>
      <c r="J1044" s="489">
        <f>LN((1+G1044)/(1+H1044))</f>
        <v>0.0735365931673237</v>
      </c>
      <c r="K1044" s="489">
        <f>LN((1+I1044)/(1+H1044))</f>
        <v>0.0273099415849866</v>
      </c>
      <c r="L1044" s="489">
        <f>(1+INDEX($AC$21:$AC$97,B1044))*(1+INDEX($AC$21:$AC$97,C1044))*(1+INDEX($AC$21:$AC$97,D1044))*(1+INDEX($AC$21:$AC$97,E1044))*(1+INDEX($AC$21:$AC$97,F1044))-1</f>
        <v>0.64837202267231</v>
      </c>
      <c r="M1044" s="489">
        <f>(1+INDEX($AD$21:$AD$97,B1044))*(1+INDEX($AD$21:$AD$97,C1044))*(1+INDEX($AD$21:$AD$97,D1044))*(1+INDEX($AD$21:$AD$97,E1044))*(1+INDEX($AD$21:$AD$97,F1044))-1</f>
        <v>0.603181680156224</v>
      </c>
      <c r="N1044" s="489">
        <f>(1+INDEX($AE$21:$AE$97,B1044))*(1+INDEX($AE$21:$AE$97,C1044))*(1+INDEX($AE$21:$AE$97,D1044))*(1+INDEX($AE$21:$AE$97,E1044))*(1+INDEX($AE$21:$AE$97,F1044))-1</f>
        <v>0.652203739831877</v>
      </c>
      <c r="O1044" s="489">
        <f>(1+INDEX($AF$21:$AF$97,B1044))*(1+INDEX($AF$21:$AF$97,C1044))*(1+INDEX($AF$21:$AF$97,D1044))*(1+INDEX($AF$21:$AF$97,E1044))*(1+INDEX($AF$21:$AF$97,F1044))-1</f>
        <v>0.545562677851754</v>
      </c>
      <c r="P1044" s="489">
        <f>LN((1+L1044)/(1+H1044))</f>
        <v>0.0392405135433818</v>
      </c>
      <c r="Q1044" s="489">
        <f>LN((1+M1044)/(1+H1044))</f>
        <v>0.0114425704140198</v>
      </c>
      <c r="R1044" s="489">
        <f>LN((1+N1044)/(1+H1044))</f>
        <v>0.0415623623095816</v>
      </c>
      <c r="S1044" s="542">
        <f>LN((1+O1044)/(1+H1044))</f>
        <v>-0.0251595975489152</v>
      </c>
    </row>
    <row r="1045">
      <c r="A1045" s="320" t="n">
        <v>944</v>
      </c>
      <c r="B1045" s="174" t="n">
        <v>12</v>
      </c>
      <c r="C1045" s="174" t="n">
        <v>10</v>
      </c>
      <c r="D1045" s="174" t="n">
        <v>48</v>
      </c>
      <c r="E1045" s="174" t="n">
        <v>15</v>
      </c>
      <c r="F1045" s="174" t="n">
        <v>26</v>
      </c>
      <c r="G1045" s="68">
        <f>(1+INDEX($Z$21:$Z$97,B1045))*(1+INDEX($Z$21:$Z$97,C1045))*(1+INDEX($Z$21:$Z$97,D1045))*(1+INDEX($Z$21:$Z$97,E1045))*(1+INDEX($Z$21:$Z$97,F1045))-1</f>
        <v>0.266817731953128</v>
      </c>
      <c r="H1045" s="68">
        <f>(1+INDEX($AA$21:$AA$97,B1045))*(1+INDEX($AA$21:$AA$97,C1045))*(1+INDEX($AA$21:$AA$97,D1045))*(1+INDEX($AA$21:$AA$97,E1045))*(1+INDEX($AA$21:$AA$97,F1045))-1</f>
        <v>0.233087777101348</v>
      </c>
      <c r="I1045" s="68">
        <f>(1+INDEX($AB$21:$AB$97,B1045))*(1+INDEX($AB$21:$AB$97,C1045))*(1+INDEX($AB$21:$AB$97,D1045))*(1+INDEX($AB$21:$AB$97,E1045))*(1+INDEX($AB$21:$AB$97,F1045))-1</f>
        <v>0.240359970804209</v>
      </c>
      <c r="J1045" s="489">
        <f>LN((1+G1045)/(1+H1045))</f>
        <v>0.0269866215097877</v>
      </c>
      <c r="K1045" s="489">
        <f>LN((1+I1045)/(1+H1045))</f>
        <v>0.00588022501243902</v>
      </c>
      <c r="L1045" s="489">
        <f>(1+INDEX($AC$21:$AC$97,B1045))*(1+INDEX($AC$21:$AC$97,C1045))*(1+INDEX($AC$21:$AC$97,D1045))*(1+INDEX($AC$21:$AC$97,E1045))*(1+INDEX($AC$21:$AC$97,F1045))-1</f>
        <v>0.225607834907374</v>
      </c>
      <c r="M1045" s="489">
        <f>(1+INDEX($AD$21:$AD$97,B1045))*(1+INDEX($AD$21:$AD$97,C1045))*(1+INDEX($AD$21:$AD$97,D1045))*(1+INDEX($AD$21:$AD$97,E1045))*(1+INDEX($AD$21:$AD$97,F1045))-1</f>
        <v>0.26694840741452</v>
      </c>
      <c r="N1045" s="489">
        <f>(1+INDEX($AE$21:$AE$97,B1045))*(1+INDEX($AE$21:$AE$97,C1045))*(1+INDEX($AE$21:$AE$97,D1045))*(1+INDEX($AE$21:$AE$97,E1045))*(1+INDEX($AE$21:$AE$97,F1045))-1</f>
        <v>0.205224623799601</v>
      </c>
      <c r="O1045" s="489">
        <f>(1+INDEX($AF$21:$AF$97,B1045))*(1+INDEX($AF$21:$AF$97,C1045))*(1+INDEX($AF$21:$AF$97,D1045))*(1+INDEX($AF$21:$AF$97,E1045))*(1+INDEX($AF$21:$AF$97,F1045))-1</f>
        <v>0.274859247436916</v>
      </c>
      <c r="P1045" s="489">
        <f>LN((1+L1045)/(1+H1045))</f>
        <v>-0.00608449881616045</v>
      </c>
      <c r="Q1045" s="489">
        <f>LN((1+M1045)/(1+H1045))</f>
        <v>0.0270897687256866</v>
      </c>
      <c r="R1045" s="489">
        <f>LN((1+N1045)/(1+H1045))</f>
        <v>-0.0228554521488752</v>
      </c>
      <c r="S1045" s="542">
        <f>LN((1+O1045)/(1+H1045))</f>
        <v>0.0333143668378335</v>
      </c>
    </row>
    <row r="1046">
      <c r="A1046" s="320" t="n">
        <v>945</v>
      </c>
      <c r="B1046" s="174" t="n">
        <v>52</v>
      </c>
      <c r="C1046" s="174" t="n">
        <v>22</v>
      </c>
      <c r="D1046" s="174" t="n">
        <v>54</v>
      </c>
      <c r="E1046" s="174" t="n">
        <v>1</v>
      </c>
      <c r="F1046" s="174" t="n">
        <v>75</v>
      </c>
      <c r="G1046" s="68">
        <f>(1+INDEX($Z$21:$Z$97,B1046))*(1+INDEX($Z$21:$Z$97,C1046))*(1+INDEX($Z$21:$Z$97,D1046))*(1+INDEX($Z$21:$Z$97,E1046))*(1+INDEX($Z$21:$Z$97,F1046))-1</f>
        <v>0.444116954199606</v>
      </c>
      <c r="H1046" s="68">
        <f>(1+INDEX($AA$21:$AA$97,B1046))*(1+INDEX($AA$21:$AA$97,C1046))*(1+INDEX($AA$21:$AA$97,D1046))*(1+INDEX($AA$21:$AA$97,E1046))*(1+INDEX($AA$21:$AA$97,F1046))-1</f>
        <v>0.417528930499074</v>
      </c>
      <c r="I1046" s="68">
        <f>(1+INDEX($AB$21:$AB$97,B1046))*(1+INDEX($AB$21:$AB$97,C1046))*(1+INDEX($AB$21:$AB$97,D1046))*(1+INDEX($AB$21:$AB$97,E1046))*(1+INDEX($AB$21:$AB$97,F1046))-1</f>
        <v>0.446301907305538</v>
      </c>
      <c r="J1046" s="489">
        <f>LN((1+G1046)/(1+H1046))</f>
        <v>0.01858286446923</v>
      </c>
      <c r="K1046" s="489">
        <f>LN((1+I1046)/(1+H1046))</f>
        <v>0.0200947239102359</v>
      </c>
      <c r="L1046" s="489">
        <f>(1+INDEX($AC$21:$AC$97,B1046))*(1+INDEX($AC$21:$AC$97,C1046))*(1+INDEX($AC$21:$AC$97,D1046))*(1+INDEX($AC$21:$AC$97,E1046))*(1+INDEX($AC$21:$AC$97,F1046))-1</f>
        <v>0.432172085882438</v>
      </c>
      <c r="M1046" s="489">
        <f>(1+INDEX($AD$21:$AD$97,B1046))*(1+INDEX($AD$21:$AD$97,C1046))*(1+INDEX($AD$21:$AD$97,D1046))*(1+INDEX($AD$21:$AD$97,E1046))*(1+INDEX($AD$21:$AD$97,F1046))-1</f>
        <v>0.459513874523961</v>
      </c>
      <c r="N1046" s="489">
        <f>(1+INDEX($AE$21:$AE$97,B1046))*(1+INDEX($AE$21:$AE$97,C1046))*(1+INDEX($AE$21:$AE$97,D1046))*(1+INDEX($AE$21:$AE$97,E1046))*(1+INDEX($AE$21:$AE$97,F1046))-1</f>
        <v>0.423777440866759</v>
      </c>
      <c r="O1046" s="489">
        <f>(1+INDEX($AF$21:$AF$97,B1046))*(1+INDEX($AF$21:$AF$97,C1046))*(1+INDEX($AF$21:$AF$97,D1046))*(1+INDEX($AF$21:$AF$97,E1046))*(1+INDEX($AF$21:$AF$97,F1046))-1</f>
        <v>0.450878865401327</v>
      </c>
      <c r="P1046" s="489">
        <f>LN((1+L1046)/(1+H1046))</f>
        <v>0.0102770670893708</v>
      </c>
      <c r="Q1046" s="489">
        <f>LN((1+M1046)/(1+H1046))</f>
        <v>0.029188251686396</v>
      </c>
      <c r="R1046" s="489">
        <f>LN((1+N1046)/(1+H1046))</f>
        <v>0.00439834331418316</v>
      </c>
      <c r="S1046" s="542">
        <f>LN((1+O1046)/(1+H1046))</f>
        <v>0.0232543209547659</v>
      </c>
    </row>
    <row r="1047">
      <c r="A1047" s="320" t="n">
        <v>946</v>
      </c>
      <c r="B1047" s="174" t="n">
        <v>62</v>
      </c>
      <c r="C1047" s="174" t="n">
        <v>38</v>
      </c>
      <c r="D1047" s="174" t="n">
        <v>60</v>
      </c>
      <c r="E1047" s="174" t="n">
        <v>59</v>
      </c>
      <c r="F1047" s="174" t="n">
        <v>69</v>
      </c>
      <c r="G1047" s="68">
        <f>(1+INDEX($Z$21:$Z$97,B1047))*(1+INDEX($Z$21:$Z$97,C1047))*(1+INDEX($Z$21:$Z$97,D1047))*(1+INDEX($Z$21:$Z$97,E1047))*(1+INDEX($Z$21:$Z$97,F1047))-1</f>
        <v>0.573616959720353</v>
      </c>
      <c r="H1047" s="68">
        <f>(1+INDEX($AA$21:$AA$97,B1047))*(1+INDEX($AA$21:$AA$97,C1047))*(1+INDEX($AA$21:$AA$97,D1047))*(1+INDEX($AA$21:$AA$97,E1047))*(1+INDEX($AA$21:$AA$97,F1047))-1</f>
        <v>0.588904423665851</v>
      </c>
      <c r="I1047" s="68">
        <f>(1+INDEX($AB$21:$AB$97,B1047))*(1+INDEX($AB$21:$AB$97,C1047))*(1+INDEX($AB$21:$AB$97,D1047))*(1+INDEX($AB$21:$AB$97,E1047))*(1+INDEX($AB$21:$AB$97,F1047))-1</f>
        <v>0.600538300636896</v>
      </c>
      <c r="J1047" s="489">
        <f>LN((1+G1047)/(1+H1047))</f>
        <v>-0.00966797132301298</v>
      </c>
      <c r="K1047" s="489">
        <f>LN((1+I1047)/(1+H1047))</f>
        <v>0.00729527354705628</v>
      </c>
      <c r="L1047" s="489">
        <f>(1+INDEX($AC$21:$AC$97,B1047))*(1+INDEX($AC$21:$AC$97,C1047))*(1+INDEX($AC$21:$AC$97,D1047))*(1+INDEX($AC$21:$AC$97,E1047))*(1+INDEX($AC$21:$AC$97,F1047))-1</f>
        <v>0.668228765989991</v>
      </c>
      <c r="M1047" s="489">
        <f>(1+INDEX($AD$21:$AD$97,B1047))*(1+INDEX($AD$21:$AD$97,C1047))*(1+INDEX($AD$21:$AD$97,D1047))*(1+INDEX($AD$21:$AD$97,E1047))*(1+INDEX($AD$21:$AD$97,F1047))-1</f>
        <v>0.527701928084912</v>
      </c>
      <c r="N1047" s="489">
        <f>(1+INDEX($AE$21:$AE$97,B1047))*(1+INDEX($AE$21:$AE$97,C1047))*(1+INDEX($AE$21:$AE$97,D1047))*(1+INDEX($AE$21:$AE$97,E1047))*(1+INDEX($AE$21:$AE$97,F1047))-1</f>
        <v>0.696935089936804</v>
      </c>
      <c r="O1047" s="489">
        <f>(1+INDEX($AF$21:$AF$97,B1047))*(1+INDEX($AF$21:$AF$97,C1047))*(1+INDEX($AF$21:$AF$97,D1047))*(1+INDEX($AF$21:$AF$97,E1047))*(1+INDEX($AF$21:$AF$97,F1047))-1</f>
        <v>0.450459172908736</v>
      </c>
      <c r="P1047" s="489">
        <f>LN((1+L1047)/(1+H1047))</f>
        <v>0.0487177073922659</v>
      </c>
      <c r="Q1047" s="489">
        <f>LN((1+M1047)/(1+H1047))</f>
        <v>-0.0392801385419901</v>
      </c>
      <c r="R1047" s="489">
        <f>LN((1+N1047)/(1+H1047))</f>
        <v>0.0657789986164219</v>
      </c>
      <c r="S1047" s="542">
        <f>LN((1+O1047)/(1+H1047))</f>
        <v>-0.0911645597398443</v>
      </c>
    </row>
    <row r="1048">
      <c r="A1048" s="320" t="n">
        <v>947</v>
      </c>
      <c r="B1048" s="174" t="n">
        <v>11</v>
      </c>
      <c r="C1048" s="174" t="n">
        <v>36</v>
      </c>
      <c r="D1048" s="174" t="n">
        <v>10</v>
      </c>
      <c r="E1048" s="174" t="n">
        <v>6</v>
      </c>
      <c r="F1048" s="174" t="n">
        <v>5</v>
      </c>
      <c r="G1048" s="68">
        <f>(1+INDEX($Z$21:$Z$97,B1048))*(1+INDEX($Z$21:$Z$97,C1048))*(1+INDEX($Z$21:$Z$97,D1048))*(1+INDEX($Z$21:$Z$97,E1048))*(1+INDEX($Z$21:$Z$97,F1048))-1</f>
        <v>-0.238165772970666</v>
      </c>
      <c r="H1048" s="68">
        <f>(1+INDEX($AA$21:$AA$97,B1048))*(1+INDEX($AA$21:$AA$97,C1048))*(1+INDEX($AA$21:$AA$97,D1048))*(1+INDEX($AA$21:$AA$97,E1048))*(1+INDEX($AA$21:$AA$97,F1048))-1</f>
        <v>-0.187843414845308</v>
      </c>
      <c r="I1048" s="68">
        <f>(1+INDEX($AB$21:$AB$97,B1048))*(1+INDEX($AB$21:$AB$97,C1048))*(1+INDEX($AB$21:$AB$97,D1048))*(1+INDEX($AB$21:$AB$97,E1048))*(1+INDEX($AB$21:$AB$97,F1048))-1</f>
        <v>-0.251756324741232</v>
      </c>
      <c r="J1048" s="489">
        <f>LN((1+G1048)/(1+H1048))</f>
        <v>-0.0639641782421352</v>
      </c>
      <c r="K1048" s="489">
        <f>LN((1+I1048)/(1+H1048))</f>
        <v>-0.0819644664453317</v>
      </c>
      <c r="L1048" s="489">
        <f>(1+INDEX($AC$21:$AC$97,B1048))*(1+INDEX($AC$21:$AC$97,C1048))*(1+INDEX($AC$21:$AC$97,D1048))*(1+INDEX($AC$21:$AC$97,E1048))*(1+INDEX($AC$21:$AC$97,F1048))-1</f>
        <v>-0.257632266967343</v>
      </c>
      <c r="M1048" s="489">
        <f>(1+INDEX($AD$21:$AD$97,B1048))*(1+INDEX($AD$21:$AD$97,C1048))*(1+INDEX($AD$21:$AD$97,D1048))*(1+INDEX($AD$21:$AD$97,E1048))*(1+INDEX($AD$21:$AD$97,F1048))-1</f>
        <v>-0.232685864296944</v>
      </c>
      <c r="N1048" s="489">
        <f>(1+INDEX($AE$21:$AE$97,B1048))*(1+INDEX($AE$21:$AE$97,C1048))*(1+INDEX($AE$21:$AE$97,D1048))*(1+INDEX($AE$21:$AE$97,E1048))*(1+INDEX($AE$21:$AE$97,F1048))-1</f>
        <v>-0.27323700676142</v>
      </c>
      <c r="O1048" s="489">
        <f>(1+INDEX($AF$21:$AF$97,B1048))*(1+INDEX($AF$21:$AF$97,C1048))*(1+INDEX($AF$21:$AF$97,D1048))*(1+INDEX($AF$21:$AF$97,E1048))*(1+INDEX($AF$21:$AF$97,F1048))-1</f>
        <v>-0.158301228171467</v>
      </c>
      <c r="P1048" s="489">
        <f>LN((1+L1048)/(1+H1048))</f>
        <v>-0.0898484429523519</v>
      </c>
      <c r="Q1048" s="489">
        <f>LN((1+M1048)/(1+H1048))</f>
        <v>-0.056796878762353</v>
      </c>
      <c r="R1048" s="489">
        <f>LN((1+N1048)/(1+H1048))</f>
        <v>-0.11109274259869</v>
      </c>
      <c r="S1048" s="542">
        <f>LN((1+O1048)/(1+H1048))</f>
        <v>0.0357290366295164</v>
      </c>
    </row>
    <row r="1049">
      <c r="A1049" s="320" t="n">
        <v>948</v>
      </c>
      <c r="B1049" s="174" t="n">
        <v>70</v>
      </c>
      <c r="C1049" s="174" t="n">
        <v>49</v>
      </c>
      <c r="D1049" s="174" t="n">
        <v>70</v>
      </c>
      <c r="E1049" s="174" t="n">
        <v>1</v>
      </c>
      <c r="F1049" s="174" t="n">
        <v>63</v>
      </c>
      <c r="G1049" s="68">
        <f>(1+INDEX($Z$21:$Z$97,B1049))*(1+INDEX($Z$21:$Z$97,C1049))*(1+INDEX($Z$21:$Z$97,D1049))*(1+INDEX($Z$21:$Z$97,E1049))*(1+INDEX($Z$21:$Z$97,F1049))-1</f>
        <v>0.390544519358648</v>
      </c>
      <c r="H1049" s="68">
        <f>(1+INDEX($AA$21:$AA$97,B1049))*(1+INDEX($AA$21:$AA$97,C1049))*(1+INDEX($AA$21:$AA$97,D1049))*(1+INDEX($AA$21:$AA$97,E1049))*(1+INDEX($AA$21:$AA$97,F1049))-1</f>
        <v>0.332689624796743</v>
      </c>
      <c r="I1049" s="68">
        <f>(1+INDEX($AB$21:$AB$97,B1049))*(1+INDEX($AB$21:$AB$97,C1049))*(1+INDEX($AB$21:$AB$97,D1049))*(1+INDEX($AB$21:$AB$97,E1049))*(1+INDEX($AB$21:$AB$97,F1049))-1</f>
        <v>0.372851879363011</v>
      </c>
      <c r="J1049" s="489">
        <f>LN((1+G1049)/(1+H1049))</f>
        <v>0.0424962365052208</v>
      </c>
      <c r="K1049" s="489">
        <f>LN((1+I1049)/(1+H1049))</f>
        <v>0.029691065475912</v>
      </c>
      <c r="L1049" s="489">
        <f>(1+INDEX($AC$21:$AC$97,B1049))*(1+INDEX($AC$21:$AC$97,C1049))*(1+INDEX($AC$21:$AC$97,D1049))*(1+INDEX($AC$21:$AC$97,E1049))*(1+INDEX($AC$21:$AC$97,F1049))-1</f>
        <v>0.364333200529467</v>
      </c>
      <c r="M1049" s="489">
        <f>(1+INDEX($AD$21:$AD$97,B1049))*(1+INDEX($AD$21:$AD$97,C1049))*(1+INDEX($AD$21:$AD$97,D1049))*(1+INDEX($AD$21:$AD$97,E1049))*(1+INDEX($AD$21:$AD$97,F1049))-1</f>
        <v>0.344006272690578</v>
      </c>
      <c r="N1049" s="489">
        <f>(1+INDEX($AE$21:$AE$97,B1049))*(1+INDEX($AE$21:$AE$97,C1049))*(1+INDEX($AE$21:$AE$97,D1049))*(1+INDEX($AE$21:$AE$97,E1049))*(1+INDEX($AE$21:$AE$97,F1049))-1</f>
        <v>0.376484905449743</v>
      </c>
      <c r="O1049" s="489">
        <f>(1+INDEX($AF$21:$AF$97,B1049))*(1+INDEX($AF$21:$AF$97,C1049))*(1+INDEX($AF$21:$AF$97,D1049))*(1+INDEX($AF$21:$AF$97,E1049))*(1+INDEX($AF$21:$AF$97,F1049))-1</f>
        <v>0.317145810654909</v>
      </c>
      <c r="P1049" s="489">
        <f>LN((1+L1049)/(1+H1049))</f>
        <v>0.0234666370295259</v>
      </c>
      <c r="Q1049" s="489">
        <f>LN((1+M1049)/(1+H1049))</f>
        <v>0.00845573479768151</v>
      </c>
      <c r="R1049" s="489">
        <f>LN((1+N1049)/(1+H1049))</f>
        <v>0.0323339051755829</v>
      </c>
      <c r="S1049" s="542">
        <f>LN((1+O1049)/(1+H1049))</f>
        <v>-0.0117320435994706</v>
      </c>
    </row>
    <row r="1050">
      <c r="A1050" s="320" t="n">
        <v>949</v>
      </c>
      <c r="B1050" s="174" t="n">
        <v>34</v>
      </c>
      <c r="C1050" s="174" t="n">
        <v>18</v>
      </c>
      <c r="D1050" s="174" t="n">
        <v>53</v>
      </c>
      <c r="E1050" s="174" t="n">
        <v>26</v>
      </c>
      <c r="F1050" s="174" t="n">
        <v>67</v>
      </c>
      <c r="G1050" s="68">
        <f>(1+INDEX($Z$21:$Z$97,B1050))*(1+INDEX($Z$21:$Z$97,C1050))*(1+INDEX($Z$21:$Z$97,D1050))*(1+INDEX($Z$21:$Z$97,E1050))*(1+INDEX($Z$21:$Z$97,F1050))-1</f>
        <v>0.495728842216691</v>
      </c>
      <c r="H1050" s="68">
        <f>(1+INDEX($AA$21:$AA$97,B1050))*(1+INDEX($AA$21:$AA$97,C1050))*(1+INDEX($AA$21:$AA$97,D1050))*(1+INDEX($AA$21:$AA$97,E1050))*(1+INDEX($AA$21:$AA$97,F1050))-1</f>
        <v>0.524886381383413</v>
      </c>
      <c r="I1050" s="68">
        <f>(1+INDEX($AB$21:$AB$97,B1050))*(1+INDEX($AB$21:$AB$97,C1050))*(1+INDEX($AB$21:$AB$97,D1050))*(1+INDEX($AB$21:$AB$97,E1050))*(1+INDEX($AB$21:$AB$97,F1050))-1</f>
        <v>0.5435702190701</v>
      </c>
      <c r="J1050" s="489">
        <f>LN((1+G1050)/(1+H1050))</f>
        <v>-0.0193062953521077</v>
      </c>
      <c r="K1050" s="489">
        <f>LN((1+I1050)/(1+H1050))</f>
        <v>0.0121781540570113</v>
      </c>
      <c r="L1050" s="489">
        <f>(1+INDEX($AC$21:$AC$97,B1050))*(1+INDEX($AC$21:$AC$97,C1050))*(1+INDEX($AC$21:$AC$97,D1050))*(1+INDEX($AC$21:$AC$97,E1050))*(1+INDEX($AC$21:$AC$97,F1050))-1</f>
        <v>0.548388270761723</v>
      </c>
      <c r="M1050" s="489">
        <f>(1+INDEX($AD$21:$AD$97,B1050))*(1+INDEX($AD$21:$AD$97,C1050))*(1+INDEX($AD$21:$AD$97,D1050))*(1+INDEX($AD$21:$AD$97,E1050))*(1+INDEX($AD$21:$AD$97,F1050))-1</f>
        <v>0.553206933236487</v>
      </c>
      <c r="N1050" s="489">
        <f>(1+INDEX($AE$21:$AE$97,B1050))*(1+INDEX($AE$21:$AE$97,C1050))*(1+INDEX($AE$21:$AE$97,D1050))*(1+INDEX($AE$21:$AE$97,E1050))*(1+INDEX($AE$21:$AE$97,F1050))-1</f>
        <v>0.56166251731622</v>
      </c>
      <c r="O1050" s="489">
        <f>(1+INDEX($AF$21:$AF$97,B1050))*(1+INDEX($AF$21:$AF$97,C1050))*(1+INDEX($AF$21:$AF$97,D1050))*(1+INDEX($AF$21:$AF$97,E1050))*(1+INDEX($AF$21:$AF$97,F1050))-1</f>
        <v>0.529671418154156</v>
      </c>
      <c r="P1050" s="489">
        <f>LN((1+L1050)/(1+H1050))</f>
        <v>0.0152946613497999</v>
      </c>
      <c r="Q1050" s="489">
        <f>LN((1+M1050)/(1+H1050))</f>
        <v>0.018401879432604</v>
      </c>
      <c r="R1050" s="489">
        <f>LN((1+N1050)/(1+H1050))</f>
        <v>0.023831066744456</v>
      </c>
      <c r="S1050" s="542">
        <f>LN((1+O1050)/(1+H1050))</f>
        <v>0.00313304969094155</v>
      </c>
    </row>
    <row r="1051">
      <c r="A1051" s="320" t="n">
        <v>950</v>
      </c>
      <c r="B1051" s="174" t="n">
        <v>19</v>
      </c>
      <c r="C1051" s="174" t="n">
        <v>20</v>
      </c>
      <c r="D1051" s="174" t="n">
        <v>18</v>
      </c>
      <c r="E1051" s="174" t="n">
        <v>59</v>
      </c>
      <c r="F1051" s="174" t="n">
        <v>63</v>
      </c>
      <c r="G1051" s="68">
        <f>(1+INDEX($Z$21:$Z$97,B1051))*(1+INDEX($Z$21:$Z$97,C1051))*(1+INDEX($Z$21:$Z$97,D1051))*(1+INDEX($Z$21:$Z$97,E1051))*(1+INDEX($Z$21:$Z$97,F1051))-1</f>
        <v>0.110078434078062</v>
      </c>
      <c r="H1051" s="68">
        <f>(1+INDEX($AA$21:$AA$97,B1051))*(1+INDEX($AA$21:$AA$97,C1051))*(1+INDEX($AA$21:$AA$97,D1051))*(1+INDEX($AA$21:$AA$97,E1051))*(1+INDEX($AA$21:$AA$97,F1051))-1</f>
        <v>0.102792019215809</v>
      </c>
      <c r="I1051" s="68">
        <f>(1+INDEX($AB$21:$AB$97,B1051))*(1+INDEX($AB$21:$AB$97,C1051))*(1+INDEX($AB$21:$AB$97,D1051))*(1+INDEX($AB$21:$AB$97,E1051))*(1+INDEX($AB$21:$AB$97,F1051))-1</f>
        <v>0.0826131257247231</v>
      </c>
      <c r="J1051" s="489">
        <f>LN((1+G1051)/(1+H1051))</f>
        <v>0.00658551085543209</v>
      </c>
      <c r="K1051" s="489">
        <f>LN((1+I1051)/(1+H1051))</f>
        <v>-0.0184674837359793</v>
      </c>
      <c r="L1051" s="489">
        <f>(1+INDEX($AC$21:$AC$97,B1051))*(1+INDEX($AC$21:$AC$97,C1051))*(1+INDEX($AC$21:$AC$97,D1051))*(1+INDEX($AC$21:$AC$97,E1051))*(1+INDEX($AC$21:$AC$97,F1051))-1</f>
        <v>0.084516389474997</v>
      </c>
      <c r="M1051" s="489">
        <f>(1+INDEX($AD$21:$AD$97,B1051))*(1+INDEX($AD$21:$AD$97,C1051))*(1+INDEX($AD$21:$AD$97,D1051))*(1+INDEX($AD$21:$AD$97,E1051))*(1+INDEX($AD$21:$AD$97,F1051))-1</f>
        <v>0.0545365679678114</v>
      </c>
      <c r="N1051" s="489">
        <f>(1+INDEX($AE$21:$AE$97,B1051))*(1+INDEX($AE$21:$AE$97,C1051))*(1+INDEX($AE$21:$AE$97,D1051))*(1+INDEX($AE$21:$AE$97,E1051))*(1+INDEX($AE$21:$AE$97,F1051))-1</f>
        <v>0.0967220647096001</v>
      </c>
      <c r="O1051" s="489">
        <f>(1+INDEX($AF$21:$AF$97,B1051))*(1+INDEX($AF$21:$AF$97,C1051))*(1+INDEX($AF$21:$AF$97,D1051))*(1+INDEX($AF$21:$AF$97,E1051))*(1+INDEX($AF$21:$AF$97,F1051))-1</f>
        <v>0.0735448908905716</v>
      </c>
      <c r="P1051" s="489">
        <f>LN((1+L1051)/(1+H1051))</f>
        <v>-0.0167109996622221</v>
      </c>
      <c r="Q1051" s="489">
        <f>LN((1+M1051)/(1+H1051))</f>
        <v>-0.0447437649526377</v>
      </c>
      <c r="R1051" s="489">
        <f>LN((1+N1051)/(1+H1051))</f>
        <v>-0.00551937353790326</v>
      </c>
      <c r="S1051" s="542">
        <f>LN((1+O1051)/(1+H1051))</f>
        <v>-0.0268790085239056</v>
      </c>
    </row>
    <row r="1052">
      <c r="A1052" s="320" t="n">
        <v>951</v>
      </c>
      <c r="B1052" s="174" t="n">
        <v>44</v>
      </c>
      <c r="C1052" s="174" t="n">
        <v>17</v>
      </c>
      <c r="D1052" s="174" t="n">
        <v>35</v>
      </c>
      <c r="E1052" s="174" t="n">
        <v>3</v>
      </c>
      <c r="F1052" s="174" t="n">
        <v>60</v>
      </c>
      <c r="G1052" s="68">
        <f>(1+INDEX($Z$21:$Z$97,B1052))*(1+INDEX($Z$21:$Z$97,C1052))*(1+INDEX($Z$21:$Z$97,D1052))*(1+INDEX($Z$21:$Z$97,E1052))*(1+INDEX($Z$21:$Z$97,F1052))-1</f>
        <v>0.614110565912458</v>
      </c>
      <c r="H1052" s="68">
        <f>(1+INDEX($AA$21:$AA$97,B1052))*(1+INDEX($AA$21:$AA$97,C1052))*(1+INDEX($AA$21:$AA$97,D1052))*(1+INDEX($AA$21:$AA$97,E1052))*(1+INDEX($AA$21:$AA$97,F1052))-1</f>
        <v>0.570308662858973</v>
      </c>
      <c r="I1052" s="68">
        <f>(1+INDEX($AB$21:$AB$97,B1052))*(1+INDEX($AB$21:$AB$97,C1052))*(1+INDEX($AB$21:$AB$97,D1052))*(1+INDEX($AB$21:$AB$97,E1052))*(1+INDEX($AB$21:$AB$97,F1052))-1</f>
        <v>0.599021506155719</v>
      </c>
      <c r="J1052" s="489">
        <f>LN((1+G1052)/(1+H1052))</f>
        <v>0.0275118712002789</v>
      </c>
      <c r="K1052" s="489">
        <f>LN((1+I1052)/(1+H1052))</f>
        <v>0.0181196829308121</v>
      </c>
      <c r="L1052" s="489">
        <f>(1+INDEX($AC$21:$AC$97,B1052))*(1+INDEX($AC$21:$AC$97,C1052))*(1+INDEX($AC$21:$AC$97,D1052))*(1+INDEX($AC$21:$AC$97,E1052))*(1+INDEX($AC$21:$AC$97,F1052))-1</f>
        <v>0.610172599896554</v>
      </c>
      <c r="M1052" s="489">
        <f>(1+INDEX($AD$21:$AD$97,B1052))*(1+INDEX($AD$21:$AD$97,C1052))*(1+INDEX($AD$21:$AD$97,D1052))*(1+INDEX($AD$21:$AD$97,E1052))*(1+INDEX($AD$21:$AD$97,F1052))-1</f>
        <v>0.587318164839138</v>
      </c>
      <c r="N1052" s="489">
        <f>(1+INDEX($AE$21:$AE$97,B1052))*(1+INDEX($AE$21:$AE$97,C1052))*(1+INDEX($AE$21:$AE$97,D1052))*(1+INDEX($AE$21:$AE$97,E1052))*(1+INDEX($AE$21:$AE$97,F1052))-1</f>
        <v>0.616817016083772</v>
      </c>
      <c r="O1052" s="489">
        <f>(1+INDEX($AF$21:$AF$97,B1052))*(1+INDEX($AF$21:$AF$97,C1052))*(1+INDEX($AF$21:$AF$97,D1052))*(1+INDEX($AF$21:$AF$97,E1052))*(1+INDEX($AF$21:$AF$97,F1052))-1</f>
        <v>0.521140243051468</v>
      </c>
      <c r="P1052" s="489">
        <f>LN((1+L1052)/(1+H1052))</f>
        <v>0.0250691775710499</v>
      </c>
      <c r="Q1052" s="489">
        <f>LN((1+M1052)/(1+H1052))</f>
        <v>0.0107737028067002</v>
      </c>
      <c r="R1052" s="489">
        <f>LN((1+N1052)/(1+H1052))</f>
        <v>0.0291872110125517</v>
      </c>
      <c r="S1052" s="542">
        <f>LN((1+O1052)/(1+H1052))</f>
        <v>-0.0318119870528156</v>
      </c>
    </row>
    <row r="1053">
      <c r="A1053" s="320" t="n">
        <v>952</v>
      </c>
      <c r="B1053" s="174" t="n">
        <v>27</v>
      </c>
      <c r="C1053" s="174" t="n">
        <v>34</v>
      </c>
      <c r="D1053" s="174" t="n">
        <v>27</v>
      </c>
      <c r="E1053" s="174" t="n">
        <v>25</v>
      </c>
      <c r="F1053" s="174" t="n">
        <v>31</v>
      </c>
      <c r="G1053" s="68">
        <f>(1+INDEX($Z$21:$Z$97,B1053))*(1+INDEX($Z$21:$Z$97,C1053))*(1+INDEX($Z$21:$Z$97,D1053))*(1+INDEX($Z$21:$Z$97,E1053))*(1+INDEX($Z$21:$Z$97,F1053))-1</f>
        <v>1.03282333919539</v>
      </c>
      <c r="H1053" s="68">
        <f>(1+INDEX($AA$21:$AA$97,B1053))*(1+INDEX($AA$21:$AA$97,C1053))*(1+INDEX($AA$21:$AA$97,D1053))*(1+INDEX($AA$21:$AA$97,E1053))*(1+INDEX($AA$21:$AA$97,F1053))-1</f>
        <v>0.978324507996646</v>
      </c>
      <c r="I1053" s="68">
        <f>(1+INDEX($AB$21:$AB$97,B1053))*(1+INDEX($AB$21:$AB$97,C1053))*(1+INDEX($AB$21:$AB$97,D1053))*(1+INDEX($AB$21:$AB$97,E1053))*(1+INDEX($AB$21:$AB$97,F1053))-1</f>
        <v>1.11608129383569</v>
      </c>
      <c r="J1053" s="489">
        <f>LN((1+G1053)/(1+H1053))</f>
        <v>0.0271753558744377</v>
      </c>
      <c r="K1053" s="489">
        <f>LN((1+I1053)/(1+H1053))</f>
        <v>0.067315653507205</v>
      </c>
      <c r="L1053" s="489">
        <f>(1+INDEX($AC$21:$AC$97,B1053))*(1+INDEX($AC$21:$AC$97,C1053))*(1+INDEX($AC$21:$AC$97,D1053))*(1+INDEX($AC$21:$AC$97,E1053))*(1+INDEX($AC$21:$AC$97,F1053))-1</f>
        <v>1.11579998644685</v>
      </c>
      <c r="M1053" s="489">
        <f>(1+INDEX($AD$21:$AD$97,B1053))*(1+INDEX($AD$21:$AD$97,C1053))*(1+INDEX($AD$21:$AD$97,D1053))*(1+INDEX($AD$21:$AD$97,E1053))*(1+INDEX($AD$21:$AD$97,F1053))-1</f>
        <v>1.11617455721562</v>
      </c>
      <c r="N1053" s="489">
        <f>(1+INDEX($AE$21:$AE$97,B1053))*(1+INDEX($AE$21:$AE$97,C1053))*(1+INDEX($AE$21:$AE$97,D1053))*(1+INDEX($AE$21:$AE$97,E1053))*(1+INDEX($AE$21:$AE$97,F1053))-1</f>
        <v>1.11206902889566</v>
      </c>
      <c r="O1053" s="489">
        <f>(1+INDEX($AF$21:$AF$97,B1053))*(1+INDEX($AF$21:$AF$97,C1053))*(1+INDEX($AF$21:$AF$97,D1053))*(1+INDEX($AF$21:$AF$97,E1053))*(1+INDEX($AF$21:$AF$97,F1053))-1</f>
        <v>1.00211547541862</v>
      </c>
      <c r="P1053" s="489">
        <f>LN((1+L1053)/(1+H1053))</f>
        <v>0.0671827067770762</v>
      </c>
      <c r="Q1053" s="489">
        <f>LN((1+M1053)/(1+H1053))</f>
        <v>0.0673597261640733</v>
      </c>
      <c r="R1053" s="489">
        <f>LN((1+N1053)/(1+H1053))</f>
        <v>0.0654177710583296</v>
      </c>
      <c r="S1053" s="542">
        <f>LN((1+O1053)/(1+H1053))</f>
        <v>0.0119540808711057</v>
      </c>
    </row>
    <row r="1054">
      <c r="A1054" s="320" t="n">
        <v>953</v>
      </c>
      <c r="B1054" s="174" t="n">
        <v>51</v>
      </c>
      <c r="C1054" s="174" t="n">
        <v>27</v>
      </c>
      <c r="D1054" s="174" t="n">
        <v>33</v>
      </c>
      <c r="E1054" s="174" t="n">
        <v>73</v>
      </c>
      <c r="F1054" s="174" t="n">
        <v>24</v>
      </c>
      <c r="G1054" s="68">
        <f>(1+INDEX($Z$21:$Z$97,B1054))*(1+INDEX($Z$21:$Z$97,C1054))*(1+INDEX($Z$21:$Z$97,D1054))*(1+INDEX($Z$21:$Z$97,E1054))*(1+INDEX($Z$21:$Z$97,F1054))-1</f>
        <v>0.941162420697256</v>
      </c>
      <c r="H1054" s="68">
        <f>(1+INDEX($AA$21:$AA$97,B1054))*(1+INDEX($AA$21:$AA$97,C1054))*(1+INDEX($AA$21:$AA$97,D1054))*(1+INDEX($AA$21:$AA$97,E1054))*(1+INDEX($AA$21:$AA$97,F1054))-1</f>
        <v>0.843765767169853</v>
      </c>
      <c r="I1054" s="68">
        <f>(1+INDEX($AB$21:$AB$97,B1054))*(1+INDEX($AB$21:$AB$97,C1054))*(1+INDEX($AB$21:$AB$97,D1054))*(1+INDEX($AB$21:$AB$97,E1054))*(1+INDEX($AB$21:$AB$97,F1054))-1</f>
        <v>0.989023637038313</v>
      </c>
      <c r="J1054" s="489">
        <f>LN((1+G1054)/(1+H1054))</f>
        <v>0.0514768868066736</v>
      </c>
      <c r="K1054" s="489">
        <f>LN((1+I1054)/(1+H1054))</f>
        <v>0.0758337909269503</v>
      </c>
      <c r="L1054" s="489">
        <f>(1+INDEX($AC$21:$AC$97,B1054))*(1+INDEX($AC$21:$AC$97,C1054))*(1+INDEX($AC$21:$AC$97,D1054))*(1+INDEX($AC$21:$AC$97,E1054))*(1+INDEX($AC$21:$AC$97,F1054))-1</f>
        <v>0.964023434854667</v>
      </c>
      <c r="M1054" s="489">
        <f>(1+INDEX($AD$21:$AD$97,B1054))*(1+INDEX($AD$21:$AD$97,C1054))*(1+INDEX($AD$21:$AD$97,D1054))*(1+INDEX($AD$21:$AD$97,E1054))*(1+INDEX($AD$21:$AD$97,F1054))-1</f>
        <v>0.994676752082473</v>
      </c>
      <c r="N1054" s="489">
        <f>(1+INDEX($AE$21:$AE$97,B1054))*(1+INDEX($AE$21:$AE$97,C1054))*(1+INDEX($AE$21:$AE$97,D1054))*(1+INDEX($AE$21:$AE$97,E1054))*(1+INDEX($AE$21:$AE$97,F1054))-1</f>
        <v>0.937704240792255</v>
      </c>
      <c r="O1054" s="489">
        <f>(1+INDEX($AF$21:$AF$97,B1054))*(1+INDEX($AF$21:$AF$97,C1054))*(1+INDEX($AF$21:$AF$97,D1054))*(1+INDEX($AF$21:$AF$97,E1054))*(1+INDEX($AF$21:$AF$97,F1054))-1</f>
        <v>0.855056582858952</v>
      </c>
      <c r="P1054" s="489">
        <f>LN((1+L1054)/(1+H1054))</f>
        <v>0.0631850493133749</v>
      </c>
      <c r="Q1054" s="489">
        <f>LN((1+M1054)/(1+H1054))</f>
        <v>0.0786719154275916</v>
      </c>
      <c r="R1054" s="489">
        <f>LN((1+N1054)/(1+H1054))</f>
        <v>0.0496937985373191</v>
      </c>
      <c r="S1054" s="542">
        <f>LN((1+O1054)/(1+H1054))</f>
        <v>0.00610510572834606</v>
      </c>
    </row>
    <row r="1055">
      <c r="A1055" s="320" t="n">
        <v>954</v>
      </c>
      <c r="B1055" s="174" t="n">
        <v>72</v>
      </c>
      <c r="C1055" s="174" t="n">
        <v>46</v>
      </c>
      <c r="D1055" s="174" t="n">
        <v>25</v>
      </c>
      <c r="E1055" s="174" t="n">
        <v>38</v>
      </c>
      <c r="F1055" s="174" t="n">
        <v>7</v>
      </c>
      <c r="G1055" s="68">
        <f>(1+INDEX($Z$21:$Z$97,B1055))*(1+INDEX($Z$21:$Z$97,C1055))*(1+INDEX($Z$21:$Z$97,D1055))*(1+INDEX($Z$21:$Z$97,E1055))*(1+INDEX($Z$21:$Z$97,F1055))-1</f>
        <v>0.289986469410245</v>
      </c>
      <c r="H1055" s="68">
        <f>(1+INDEX($AA$21:$AA$97,B1055))*(1+INDEX($AA$21:$AA$97,C1055))*(1+INDEX($AA$21:$AA$97,D1055))*(1+INDEX($AA$21:$AA$97,E1055))*(1+INDEX($AA$21:$AA$97,F1055))-1</f>
        <v>0.286140934681862</v>
      </c>
      <c r="I1055" s="68">
        <f>(1+INDEX($AB$21:$AB$97,B1055))*(1+INDEX($AB$21:$AB$97,C1055))*(1+INDEX($AB$21:$AB$97,D1055))*(1+INDEX($AB$21:$AB$97,E1055))*(1+INDEX($AB$21:$AB$97,F1055))-1</f>
        <v>0.314391006613251</v>
      </c>
      <c r="J1055" s="489">
        <f>LN((1+G1055)/(1+H1055))</f>
        <v>0.00298551816858738</v>
      </c>
      <c r="K1055" s="489">
        <f>LN((1+I1055)/(1+H1055))</f>
        <v>0.0217272341975036</v>
      </c>
      <c r="L1055" s="489">
        <f>(1+INDEX($AC$21:$AC$97,B1055))*(1+INDEX($AC$21:$AC$97,C1055))*(1+INDEX($AC$21:$AC$97,D1055))*(1+INDEX($AC$21:$AC$97,E1055))*(1+INDEX($AC$21:$AC$97,F1055))-1</f>
        <v>0.290437755765187</v>
      </c>
      <c r="M1055" s="489">
        <f>(1+INDEX($AD$21:$AD$97,B1055))*(1+INDEX($AD$21:$AD$97,C1055))*(1+INDEX($AD$21:$AD$97,D1055))*(1+INDEX($AD$21:$AD$97,E1055))*(1+INDEX($AD$21:$AD$97,F1055))-1</f>
        <v>0.297787574812572</v>
      </c>
      <c r="N1055" s="489">
        <f>(1+INDEX($AE$21:$AE$97,B1055))*(1+INDEX($AE$21:$AE$97,C1055))*(1+INDEX($AE$21:$AE$97,D1055))*(1+INDEX($AE$21:$AE$97,E1055))*(1+INDEX($AE$21:$AE$97,F1055))-1</f>
        <v>0.285237141769924</v>
      </c>
      <c r="O1055" s="489">
        <f>(1+INDEX($AF$21:$AF$97,B1055))*(1+INDEX($AF$21:$AF$97,C1055))*(1+INDEX($AF$21:$AF$97,D1055))*(1+INDEX($AF$21:$AF$97,E1055))*(1+INDEX($AF$21:$AF$97,F1055))-1</f>
        <v>0.286533338307742</v>
      </c>
      <c r="P1055" s="489">
        <f>LN((1+L1055)/(1+H1055))</f>
        <v>0.0033352950425914</v>
      </c>
      <c r="Q1055" s="489">
        <f>LN((1+M1055)/(1+H1055))</f>
        <v>0.00901473779967903</v>
      </c>
      <c r="R1055" s="489">
        <f>LN((1+N1055)/(1+H1055))</f>
        <v>-0.000702963875621645</v>
      </c>
      <c r="S1055" s="542">
        <f>LN((1+O1055)/(1+H1055))</f>
        <v>0.000305055041785037</v>
      </c>
    </row>
    <row r="1056">
      <c r="A1056" s="320" t="n">
        <v>955</v>
      </c>
      <c r="B1056" s="174" t="n">
        <v>35</v>
      </c>
      <c r="C1056" s="174" t="n">
        <v>32</v>
      </c>
      <c r="D1056" s="174" t="n">
        <v>35</v>
      </c>
      <c r="E1056" s="174" t="n">
        <v>45</v>
      </c>
      <c r="F1056" s="174" t="n">
        <v>65</v>
      </c>
      <c r="G1056" s="68">
        <f>(1+INDEX($Z$21:$Z$97,B1056))*(1+INDEX($Z$21:$Z$97,C1056))*(1+INDEX($Z$21:$Z$97,D1056))*(1+INDEX($Z$21:$Z$97,E1056))*(1+INDEX($Z$21:$Z$97,F1056))-1</f>
        <v>0.393265581186522</v>
      </c>
      <c r="H1056" s="68">
        <f>(1+INDEX($AA$21:$AA$97,B1056))*(1+INDEX($AA$21:$AA$97,C1056))*(1+INDEX($AA$21:$AA$97,D1056))*(1+INDEX($AA$21:$AA$97,E1056))*(1+INDEX($AA$21:$AA$97,F1056))-1</f>
        <v>0.418282973294752</v>
      </c>
      <c r="I1056" s="68">
        <f>(1+INDEX($AB$21:$AB$97,B1056))*(1+INDEX($AB$21:$AB$97,C1056))*(1+INDEX($AB$21:$AB$97,D1056))*(1+INDEX($AB$21:$AB$97,E1056))*(1+INDEX($AB$21:$AB$97,F1056))-1</f>
        <v>0.476244272255989</v>
      </c>
      <c r="J1056" s="489">
        <f>LN((1+G1056)/(1+H1056))</f>
        <v>-0.0177966354930832</v>
      </c>
      <c r="K1056" s="489">
        <f>LN((1+I1056)/(1+H1056))</f>
        <v>0.040054242357033</v>
      </c>
      <c r="L1056" s="489">
        <f>(1+INDEX($AC$21:$AC$97,B1056))*(1+INDEX($AC$21:$AC$97,C1056))*(1+INDEX($AC$21:$AC$97,D1056))*(1+INDEX($AC$21:$AC$97,E1056))*(1+INDEX($AC$21:$AC$97,F1056))-1</f>
        <v>0.457267230691902</v>
      </c>
      <c r="M1056" s="489">
        <f>(1+INDEX($AD$21:$AD$97,B1056))*(1+INDEX($AD$21:$AD$97,C1056))*(1+INDEX($AD$21:$AD$97,D1056))*(1+INDEX($AD$21:$AD$97,E1056))*(1+INDEX($AD$21:$AD$97,F1056))-1</f>
        <v>0.49047833692748</v>
      </c>
      <c r="N1056" s="489">
        <f>(1+INDEX($AE$21:$AE$97,B1056))*(1+INDEX($AE$21:$AE$97,C1056))*(1+INDEX($AE$21:$AE$97,D1056))*(1+INDEX($AE$21:$AE$97,E1056))*(1+INDEX($AE$21:$AE$97,F1056))-1</f>
        <v>0.460044684696276</v>
      </c>
      <c r="O1056" s="489">
        <f>(1+INDEX($AF$21:$AF$97,B1056))*(1+INDEX($AF$21:$AF$97,C1056))*(1+INDEX($AF$21:$AF$97,D1056))*(1+INDEX($AF$21:$AF$97,E1056))*(1+INDEX($AF$21:$AF$97,F1056))-1</f>
        <v>0.375860022790203</v>
      </c>
      <c r="P1056" s="489">
        <f>LN((1+L1056)/(1+H1056))</f>
        <v>0.0271159557521653</v>
      </c>
      <c r="Q1056" s="489">
        <f>LN((1+M1056)/(1+H1056))</f>
        <v>0.049650133696065</v>
      </c>
      <c r="R1056" s="489">
        <f>LN((1+N1056)/(1+H1056))</f>
        <v>0.0290200749715746</v>
      </c>
      <c r="S1056" s="542">
        <f>LN((1+O1056)/(1+H1056))</f>
        <v>-0.0303679595235237</v>
      </c>
    </row>
    <row r="1057">
      <c r="A1057" s="320" t="n">
        <v>956</v>
      </c>
      <c r="B1057" s="174" t="n">
        <v>69</v>
      </c>
      <c r="C1057" s="174" t="n">
        <v>52</v>
      </c>
      <c r="D1057" s="174" t="n">
        <v>55</v>
      </c>
      <c r="E1057" s="174" t="n">
        <v>31</v>
      </c>
      <c r="F1057" s="174" t="n">
        <v>63</v>
      </c>
      <c r="G1057" s="68">
        <f>(1+INDEX($Z$21:$Z$97,B1057))*(1+INDEX($Z$21:$Z$97,C1057))*(1+INDEX($Z$21:$Z$97,D1057))*(1+INDEX($Z$21:$Z$97,E1057))*(1+INDEX($Z$21:$Z$97,F1057))-1</f>
        <v>0.307264288356178</v>
      </c>
      <c r="H1057" s="68">
        <f>(1+INDEX($AA$21:$AA$97,B1057))*(1+INDEX($AA$21:$AA$97,C1057))*(1+INDEX($AA$21:$AA$97,D1057))*(1+INDEX($AA$21:$AA$97,E1057))*(1+INDEX($AA$21:$AA$97,F1057))-1</f>
        <v>0.337159621340167</v>
      </c>
      <c r="I1057" s="68">
        <f>(1+INDEX($AB$21:$AB$97,B1057))*(1+INDEX($AB$21:$AB$97,C1057))*(1+INDEX($AB$21:$AB$97,D1057))*(1+INDEX($AB$21:$AB$97,E1057))*(1+INDEX($AB$21:$AB$97,F1057))-1</f>
        <v>0.368968288109213</v>
      </c>
      <c r="J1057" s="489">
        <f>LN((1+G1057)/(1+H1057))</f>
        <v>-0.0226110545693145</v>
      </c>
      <c r="K1057" s="489">
        <f>LN((1+I1057)/(1+H1057))</f>
        <v>0.0235097030816053</v>
      </c>
      <c r="L1057" s="489">
        <f>(1+INDEX($AC$21:$AC$97,B1057))*(1+INDEX($AC$21:$AC$97,C1057))*(1+INDEX($AC$21:$AC$97,D1057))*(1+INDEX($AC$21:$AC$97,E1057))*(1+INDEX($AC$21:$AC$97,F1057))-1</f>
        <v>0.371171336194321</v>
      </c>
      <c r="M1057" s="489">
        <f>(1+INDEX($AD$21:$AD$97,B1057))*(1+INDEX($AD$21:$AD$97,C1057))*(1+INDEX($AD$21:$AD$97,D1057))*(1+INDEX($AD$21:$AD$97,E1057))*(1+INDEX($AD$21:$AD$97,F1057))-1</f>
        <v>0.34974154012959</v>
      </c>
      <c r="N1057" s="489">
        <f>(1+INDEX($AE$21:$AE$97,B1057))*(1+INDEX($AE$21:$AE$97,C1057))*(1+INDEX($AE$21:$AE$97,D1057))*(1+INDEX($AE$21:$AE$97,E1057))*(1+INDEX($AE$21:$AE$97,F1057))-1</f>
        <v>0.370675088261196</v>
      </c>
      <c r="O1057" s="489">
        <f>(1+INDEX($AF$21:$AF$97,B1057))*(1+INDEX($AF$21:$AF$97,C1057))*(1+INDEX($AF$21:$AF$97,D1057))*(1+INDEX($AF$21:$AF$97,E1057))*(1+INDEX($AF$21:$AF$97,F1057))-1</f>
        <v>0.337177302719466</v>
      </c>
      <c r="P1057" s="489">
        <f>LN((1+L1057)/(1+H1057))</f>
        <v>0.0251176857845687</v>
      </c>
      <c r="Q1057" s="489">
        <f>LN((1+M1057)/(1+H1057))</f>
        <v>0.00936544368260795</v>
      </c>
      <c r="R1057" s="489">
        <f>LN((1+N1057)/(1+H1057))</f>
        <v>0.0247557049426684</v>
      </c>
      <c r="S1057" s="542">
        <f>LN((1+O1057)/(1+H1057))</f>
        <v>1.32230005427722e-05</v>
      </c>
    </row>
    <row r="1058">
      <c r="A1058" s="320" t="n">
        <v>957</v>
      </c>
      <c r="B1058" s="174" t="n">
        <v>23</v>
      </c>
      <c r="C1058" s="174" t="n">
        <v>35</v>
      </c>
      <c r="D1058" s="174" t="n">
        <v>63</v>
      </c>
      <c r="E1058" s="174" t="n">
        <v>26</v>
      </c>
      <c r="F1058" s="174" t="n">
        <v>32</v>
      </c>
      <c r="G1058" s="68">
        <f>(1+INDEX($Z$21:$Z$97,B1058))*(1+INDEX($Z$21:$Z$97,C1058))*(1+INDEX($Z$21:$Z$97,D1058))*(1+INDEX($Z$21:$Z$97,E1058))*(1+INDEX($Z$21:$Z$97,F1058))-1</f>
        <v>0.513086915884386</v>
      </c>
      <c r="H1058" s="68">
        <f>(1+INDEX($AA$21:$AA$97,B1058))*(1+INDEX($AA$21:$AA$97,C1058))*(1+INDEX($AA$21:$AA$97,D1058))*(1+INDEX($AA$21:$AA$97,E1058))*(1+INDEX($AA$21:$AA$97,F1058))-1</f>
        <v>0.484241350115962</v>
      </c>
      <c r="I1058" s="68">
        <f>(1+INDEX($AB$21:$AB$97,B1058))*(1+INDEX($AB$21:$AB$97,C1058))*(1+INDEX($AB$21:$AB$97,D1058))*(1+INDEX($AB$21:$AB$97,E1058))*(1+INDEX($AB$21:$AB$97,F1058))-1</f>
        <v>0.564977756861958</v>
      </c>
      <c r="J1058" s="489">
        <f>LN((1+G1058)/(1+H1058))</f>
        <v>0.0192481128427471</v>
      </c>
      <c r="K1058" s="489">
        <f>LN((1+I1058)/(1+H1058))</f>
        <v>0.052967844652748</v>
      </c>
      <c r="L1058" s="489">
        <f>(1+INDEX($AC$21:$AC$97,B1058))*(1+INDEX($AC$21:$AC$97,C1058))*(1+INDEX($AC$21:$AC$97,D1058))*(1+INDEX($AC$21:$AC$97,E1058))*(1+INDEX($AC$21:$AC$97,F1058))-1</f>
        <v>0.558175264865571</v>
      </c>
      <c r="M1058" s="489">
        <f>(1+INDEX($AD$21:$AD$97,B1058))*(1+INDEX($AD$21:$AD$97,C1058))*(1+INDEX($AD$21:$AD$97,D1058))*(1+INDEX($AD$21:$AD$97,E1058))*(1+INDEX($AD$21:$AD$97,F1058))-1</f>
        <v>0.549981321653217</v>
      </c>
      <c r="N1058" s="489">
        <f>(1+INDEX($AE$21:$AE$97,B1058))*(1+INDEX($AE$21:$AE$97,C1058))*(1+INDEX($AE$21:$AE$97,D1058))*(1+INDEX($AE$21:$AE$97,E1058))*(1+INDEX($AE$21:$AE$97,F1058))-1</f>
        <v>0.552010592999793</v>
      </c>
      <c r="O1058" s="489">
        <f>(1+INDEX($AF$21:$AF$97,B1058))*(1+INDEX($AF$21:$AF$97,C1058))*(1+INDEX($AF$21:$AF$97,D1058))*(1+INDEX($AF$21:$AF$97,E1058))*(1+INDEX($AF$21:$AF$97,F1058))-1</f>
        <v>0.44665182867532</v>
      </c>
      <c r="P1058" s="489">
        <f>LN((1+L1058)/(1+H1058))</f>
        <v>0.048611668246263</v>
      </c>
      <c r="Q1058" s="489">
        <f>LN((1+M1058)/(1+H1058))</f>
        <v>0.0433391139416292</v>
      </c>
      <c r="R1058" s="489">
        <f>LN((1+N1058)/(1+H1058))</f>
        <v>0.0446474807535922</v>
      </c>
      <c r="S1058" s="542">
        <f>LN((1+O1058)/(1+H1058))</f>
        <v>-0.0256519636550484</v>
      </c>
    </row>
    <row r="1059">
      <c r="A1059" s="320" t="n">
        <v>958</v>
      </c>
      <c r="B1059" s="174" t="n">
        <v>10</v>
      </c>
      <c r="C1059" s="174" t="n">
        <v>12</v>
      </c>
      <c r="D1059" s="174" t="n">
        <v>1</v>
      </c>
      <c r="E1059" s="174" t="n">
        <v>27</v>
      </c>
      <c r="F1059" s="174" t="n">
        <v>5</v>
      </c>
      <c r="G1059" s="68">
        <f>(1+INDEX($Z$21:$Z$97,B1059))*(1+INDEX($Z$21:$Z$97,C1059))*(1+INDEX($Z$21:$Z$97,D1059))*(1+INDEX($Z$21:$Z$97,E1059))*(1+INDEX($Z$21:$Z$97,F1059))-1</f>
        <v>0.252694232142687</v>
      </c>
      <c r="H1059" s="68">
        <f>(1+INDEX($AA$21:$AA$97,B1059))*(1+INDEX($AA$21:$AA$97,C1059))*(1+INDEX($AA$21:$AA$97,D1059))*(1+INDEX($AA$21:$AA$97,E1059))*(1+INDEX($AA$21:$AA$97,F1059))-1</f>
        <v>0.224555753549057</v>
      </c>
      <c r="I1059" s="68">
        <f>(1+INDEX($AB$21:$AB$97,B1059))*(1+INDEX($AB$21:$AB$97,C1059))*(1+INDEX($AB$21:$AB$97,D1059))*(1+INDEX($AB$21:$AB$97,E1059))*(1+INDEX($AB$21:$AB$97,F1059))-1</f>
        <v>0.185868002974849</v>
      </c>
      <c r="J1059" s="489">
        <f>LN((1+G1059)/(1+H1059))</f>
        <v>0.0227184894577516</v>
      </c>
      <c r="K1059" s="489">
        <f>LN((1+I1059)/(1+H1059))</f>
        <v>-0.0321031296514947</v>
      </c>
      <c r="L1059" s="489">
        <f>(1+INDEX($AC$21:$AC$97,B1059))*(1+INDEX($AC$21:$AC$97,C1059))*(1+INDEX($AC$21:$AC$97,D1059))*(1+INDEX($AC$21:$AC$97,E1059))*(1+INDEX($AC$21:$AC$97,F1059))-1</f>
        <v>0.192264851208646</v>
      </c>
      <c r="M1059" s="489">
        <f>(1+INDEX($AD$21:$AD$97,B1059))*(1+INDEX($AD$21:$AD$97,C1059))*(1+INDEX($AD$21:$AD$97,D1059))*(1+INDEX($AD$21:$AD$97,E1059))*(1+INDEX($AD$21:$AD$97,F1059))-1</f>
        <v>0.212296080521416</v>
      </c>
      <c r="N1059" s="489">
        <f>(1+INDEX($AE$21:$AE$97,B1059))*(1+INDEX($AE$21:$AE$97,C1059))*(1+INDEX($AE$21:$AE$97,D1059))*(1+INDEX($AE$21:$AE$97,E1059))*(1+INDEX($AE$21:$AE$97,F1059))-1</f>
        <v>0.178004683486878</v>
      </c>
      <c r="O1059" s="489">
        <f>(1+INDEX($AF$21:$AF$97,B1059))*(1+INDEX($AF$21:$AF$97,C1059))*(1+INDEX($AF$21:$AF$97,D1059))*(1+INDEX($AF$21:$AF$97,E1059))*(1+INDEX($AF$21:$AF$97,F1059))-1</f>
        <v>0.260619562149978</v>
      </c>
      <c r="P1059" s="489">
        <f>LN((1+L1059)/(1+H1059))</f>
        <v>-0.0267233934854228</v>
      </c>
      <c r="Q1059" s="489">
        <f>LN((1+M1059)/(1+H1059))</f>
        <v>-0.0100619793869591</v>
      </c>
      <c r="R1059" s="489">
        <f>LN((1+N1059)/(1+H1059))</f>
        <v>-0.0387560670423786</v>
      </c>
      <c r="S1059" s="542">
        <f>LN((1+O1059)/(1+H1059))</f>
        <v>0.0290251880435567</v>
      </c>
    </row>
    <row r="1060">
      <c r="A1060" s="320" t="n">
        <v>959</v>
      </c>
      <c r="B1060" s="174" t="n">
        <v>12</v>
      </c>
      <c r="C1060" s="174" t="n">
        <v>30</v>
      </c>
      <c r="D1060" s="174" t="n">
        <v>75</v>
      </c>
      <c r="E1060" s="174" t="n">
        <v>48</v>
      </c>
      <c r="F1060" s="174" t="n">
        <v>3</v>
      </c>
      <c r="G1060" s="68">
        <f>(1+INDEX($Z$21:$Z$97,B1060))*(1+INDEX($Z$21:$Z$97,C1060))*(1+INDEX($Z$21:$Z$97,D1060))*(1+INDEX($Z$21:$Z$97,E1060))*(1+INDEX($Z$21:$Z$97,F1060))-1</f>
        <v>0.640647532917568</v>
      </c>
      <c r="H1060" s="68">
        <f>(1+INDEX($AA$21:$AA$97,B1060))*(1+INDEX($AA$21:$AA$97,C1060))*(1+INDEX($AA$21:$AA$97,D1060))*(1+INDEX($AA$21:$AA$97,E1060))*(1+INDEX($AA$21:$AA$97,F1060))-1</f>
        <v>0.533165951360443</v>
      </c>
      <c r="I1060" s="68">
        <f>(1+INDEX($AB$21:$AB$97,B1060))*(1+INDEX($AB$21:$AB$97,C1060))*(1+INDEX($AB$21:$AB$97,D1060))*(1+INDEX($AB$21:$AB$97,E1060))*(1+INDEX($AB$21:$AB$97,F1060))-1</f>
        <v>0.572524332067074</v>
      </c>
      <c r="J1060" s="489">
        <f>LN((1+G1060)/(1+H1060))</f>
        <v>0.0677561543412075</v>
      </c>
      <c r="K1060" s="489">
        <f>LN((1+I1060)/(1+H1060))</f>
        <v>0.0253473362532354</v>
      </c>
      <c r="L1060" s="489">
        <f>(1+INDEX($AC$21:$AC$97,B1060))*(1+INDEX($AC$21:$AC$97,C1060))*(1+INDEX($AC$21:$AC$97,D1060))*(1+INDEX($AC$21:$AC$97,E1060))*(1+INDEX($AC$21:$AC$97,F1060))-1</f>
        <v>0.57163417670386</v>
      </c>
      <c r="M1060" s="489">
        <f>(1+INDEX($AD$21:$AD$97,B1060))*(1+INDEX($AD$21:$AD$97,C1060))*(1+INDEX($AD$21:$AD$97,D1060))*(1+INDEX($AD$21:$AD$97,E1060))*(1+INDEX($AD$21:$AD$97,F1060))-1</f>
        <v>0.574897859181373</v>
      </c>
      <c r="N1060" s="489">
        <f>(1+INDEX($AE$21:$AE$97,B1060))*(1+INDEX($AE$21:$AE$97,C1060))*(1+INDEX($AE$21:$AE$97,D1060))*(1+INDEX($AE$21:$AE$97,E1060))*(1+INDEX($AE$21:$AE$97,F1060))-1</f>
        <v>0.551998141115932</v>
      </c>
      <c r="O1060" s="489">
        <f>(1+INDEX($AF$21:$AF$97,B1060))*(1+INDEX($AF$21:$AF$97,C1060))*(1+INDEX($AF$21:$AF$97,D1060))*(1+INDEX($AF$21:$AF$97,E1060))*(1+INDEX($AF$21:$AF$97,F1060))-1</f>
        <v>0.572641658043733</v>
      </c>
      <c r="P1060" s="489">
        <f>LN((1+L1060)/(1+H1060))</f>
        <v>0.024781108192841</v>
      </c>
      <c r="Q1060" s="489">
        <f>LN((1+M1060)/(1+H1060))</f>
        <v>0.0268555721491602</v>
      </c>
      <c r="R1060" s="489">
        <f>LN((1+N1060)/(1+H1060))</f>
        <v>0.0122083773136449</v>
      </c>
      <c r="S1060" s="542">
        <f>LN((1+O1060)/(1+H1060))</f>
        <v>0.0254219434295066</v>
      </c>
    </row>
    <row r="1061">
      <c r="A1061" s="320" t="n">
        <v>960</v>
      </c>
      <c r="B1061" s="174" t="n">
        <v>1</v>
      </c>
      <c r="C1061" s="174" t="n">
        <v>7</v>
      </c>
      <c r="D1061" s="174" t="n">
        <v>24</v>
      </c>
      <c r="E1061" s="174" t="n">
        <v>15</v>
      </c>
      <c r="F1061" s="174" t="n">
        <v>61</v>
      </c>
      <c r="G1061" s="68">
        <f>(1+INDEX($Z$21:$Z$97,B1061))*(1+INDEX($Z$21:$Z$97,C1061))*(1+INDEX($Z$21:$Z$97,D1061))*(1+INDEX($Z$21:$Z$97,E1061))*(1+INDEX($Z$21:$Z$97,F1061))-1</f>
        <v>0.245942835678204</v>
      </c>
      <c r="H1061" s="68">
        <f>(1+INDEX($AA$21:$AA$97,B1061))*(1+INDEX($AA$21:$AA$97,C1061))*(1+INDEX($AA$21:$AA$97,D1061))*(1+INDEX($AA$21:$AA$97,E1061))*(1+INDEX($AA$21:$AA$97,F1061))-1</f>
        <v>0.220607334231471</v>
      </c>
      <c r="I1061" s="68">
        <f>(1+INDEX($AB$21:$AB$97,B1061))*(1+INDEX($AB$21:$AB$97,C1061))*(1+INDEX($AB$21:$AB$97,D1061))*(1+INDEX($AB$21:$AB$97,E1061))*(1+INDEX($AB$21:$AB$97,F1061))-1</f>
        <v>0.206501324331446</v>
      </c>
      <c r="J1061" s="489">
        <f>LN((1+G1061)/(1+H1061))</f>
        <v>0.0205439912246854</v>
      </c>
      <c r="K1061" s="489">
        <f>LN((1+I1061)/(1+H1061))</f>
        <v>-0.0116238460740356</v>
      </c>
      <c r="L1061" s="489">
        <f>(1+INDEX($AC$21:$AC$97,B1061))*(1+INDEX($AC$21:$AC$97,C1061))*(1+INDEX($AC$21:$AC$97,D1061))*(1+INDEX($AC$21:$AC$97,E1061))*(1+INDEX($AC$21:$AC$97,F1061))-1</f>
        <v>0.209224136076395</v>
      </c>
      <c r="M1061" s="489">
        <f>(1+INDEX($AD$21:$AD$97,B1061))*(1+INDEX($AD$21:$AD$97,C1061))*(1+INDEX($AD$21:$AD$97,D1061))*(1+INDEX($AD$21:$AD$97,E1061))*(1+INDEX($AD$21:$AD$97,F1061))-1</f>
        <v>0.18798808963789</v>
      </c>
      <c r="N1061" s="489">
        <f>(1+INDEX($AE$21:$AE$97,B1061))*(1+INDEX($AE$21:$AE$97,C1061))*(1+INDEX($AE$21:$AE$97,D1061))*(1+INDEX($AE$21:$AE$97,E1061))*(1+INDEX($AE$21:$AE$97,F1061))-1</f>
        <v>0.206847254937947</v>
      </c>
      <c r="O1061" s="489">
        <f>(1+INDEX($AF$21:$AF$97,B1061))*(1+INDEX($AF$21:$AF$97,C1061))*(1+INDEX($AF$21:$AF$97,D1061))*(1+INDEX($AF$21:$AF$97,E1061))*(1+INDEX($AF$21:$AF$97,F1061))-1</f>
        <v>0.186714976869295</v>
      </c>
      <c r="P1061" s="489">
        <f>LN((1+L1061)/(1+H1061))</f>
        <v>-0.00936960572876967</v>
      </c>
      <c r="Q1061" s="489">
        <f>LN((1+M1061)/(1+H1061))</f>
        <v>-0.0270873544873764</v>
      </c>
      <c r="R1061" s="489">
        <f>LN((1+N1061)/(1+H1061))</f>
        <v>-0.0113371650600775</v>
      </c>
      <c r="S1061" s="542">
        <f>LN((1+O1061)/(1+H1061))</f>
        <v>-0.0281595836081653</v>
      </c>
    </row>
    <row r="1062">
      <c r="A1062" s="320" t="n">
        <v>961</v>
      </c>
      <c r="B1062" s="174" t="n">
        <v>41</v>
      </c>
      <c r="C1062" s="174" t="n">
        <v>58</v>
      </c>
      <c r="D1062" s="174" t="n">
        <v>45</v>
      </c>
      <c r="E1062" s="174" t="n">
        <v>28</v>
      </c>
      <c r="F1062" s="174" t="n">
        <v>20</v>
      </c>
      <c r="G1062" s="68">
        <f>(1+INDEX($Z$21:$Z$97,B1062))*(1+INDEX($Z$21:$Z$97,C1062))*(1+INDEX($Z$21:$Z$97,D1062))*(1+INDEX($Z$21:$Z$97,E1062))*(1+INDEX($Z$21:$Z$97,F1062))-1</f>
        <v>0.618515701801568</v>
      </c>
      <c r="H1062" s="68">
        <f>(1+INDEX($AA$21:$AA$97,B1062))*(1+INDEX($AA$21:$AA$97,C1062))*(1+INDEX($AA$21:$AA$97,D1062))*(1+INDEX($AA$21:$AA$97,E1062))*(1+INDEX($AA$21:$AA$97,F1062))-1</f>
        <v>0.645416058192123</v>
      </c>
      <c r="I1062" s="68">
        <f>(1+INDEX($AB$21:$AB$97,B1062))*(1+INDEX($AB$21:$AB$97,C1062))*(1+INDEX($AB$21:$AB$97,D1062))*(1+INDEX($AB$21:$AB$97,E1062))*(1+INDEX($AB$21:$AB$97,F1062))-1</f>
        <v>0.686983243416122</v>
      </c>
      <c r="J1062" s="489">
        <f>LN((1+G1062)/(1+H1062))</f>
        <v>-0.0164837793608387</v>
      </c>
      <c r="K1062" s="489">
        <f>LN((1+I1062)/(1+H1062))</f>
        <v>0.0249485955931022</v>
      </c>
      <c r="L1062" s="489">
        <f>(1+INDEX($AC$21:$AC$97,B1062))*(1+INDEX($AC$21:$AC$97,C1062))*(1+INDEX($AC$21:$AC$97,D1062))*(1+INDEX($AC$21:$AC$97,E1062))*(1+INDEX($AC$21:$AC$97,F1062))-1</f>
        <v>0.706953577760985</v>
      </c>
      <c r="M1062" s="489">
        <f>(1+INDEX($AD$21:$AD$97,B1062))*(1+INDEX($AD$21:$AD$97,C1062))*(1+INDEX($AD$21:$AD$97,D1062))*(1+INDEX($AD$21:$AD$97,E1062))*(1+INDEX($AD$21:$AD$97,F1062))-1</f>
        <v>0.654179665417717</v>
      </c>
      <c r="N1062" s="489">
        <f>(1+INDEX($AE$21:$AE$97,B1062))*(1+INDEX($AE$21:$AE$97,C1062))*(1+INDEX($AE$21:$AE$97,D1062))*(1+INDEX($AE$21:$AE$97,E1062))*(1+INDEX($AE$21:$AE$97,F1062))-1</f>
        <v>0.70228093171683</v>
      </c>
      <c r="O1062" s="489">
        <f>(1+INDEX($AF$21:$AF$97,B1062))*(1+INDEX($AF$21:$AF$97,C1062))*(1+INDEX($AF$21:$AF$97,D1062))*(1+INDEX($AF$21:$AF$97,E1062))*(1+INDEX($AF$21:$AF$97,F1062))-1</f>
        <v>0.628314054244086</v>
      </c>
      <c r="P1062" s="489">
        <f>LN((1+L1062)/(1+H1062))</f>
        <v>0.0367169730725278</v>
      </c>
      <c r="Q1062" s="489">
        <f>LN((1+M1062)/(1+H1062))</f>
        <v>0.00531194035048437</v>
      </c>
      <c r="R1062" s="489">
        <f>LN((1+N1062)/(1+H1062))</f>
        <v>0.0339758011425659</v>
      </c>
      <c r="S1062" s="542">
        <f>LN((1+O1062)/(1+H1062))</f>
        <v>-0.0104481181625439</v>
      </c>
    </row>
    <row r="1063">
      <c r="A1063" s="320" t="n">
        <v>962</v>
      </c>
      <c r="B1063" s="174" t="n">
        <v>72</v>
      </c>
      <c r="C1063" s="174" t="n">
        <v>50</v>
      </c>
      <c r="D1063" s="174" t="n">
        <v>52</v>
      </c>
      <c r="E1063" s="174" t="n">
        <v>52</v>
      </c>
      <c r="F1063" s="174" t="n">
        <v>60</v>
      </c>
      <c r="G1063" s="68">
        <f>(1+INDEX($Z$21:$Z$97,B1063))*(1+INDEX($Z$21:$Z$97,C1063))*(1+INDEX($Z$21:$Z$97,D1063))*(1+INDEX($Z$21:$Z$97,E1063))*(1+INDEX($Z$21:$Z$97,F1063))-1</f>
        <v>1.07476810050031</v>
      </c>
      <c r="H1063" s="68">
        <f>(1+INDEX($AA$21:$AA$97,B1063))*(1+INDEX($AA$21:$AA$97,C1063))*(1+INDEX($AA$21:$AA$97,D1063))*(1+INDEX($AA$21:$AA$97,E1063))*(1+INDEX($AA$21:$AA$97,F1063))-1</f>
        <v>1.01781980095715</v>
      </c>
      <c r="I1063" s="68">
        <f>(1+INDEX($AB$21:$AB$97,B1063))*(1+INDEX($AB$21:$AB$97,C1063))*(1+INDEX($AB$21:$AB$97,D1063))*(1+INDEX($AB$21:$AB$97,E1063))*(1+INDEX($AB$21:$AB$97,F1063))-1</f>
        <v>1.149539786183</v>
      </c>
      <c r="J1063" s="489">
        <f>LN((1+G1063)/(1+H1063))</f>
        <v>0.0278317665565434</v>
      </c>
      <c r="K1063" s="489">
        <f>LN((1+I1063)/(1+H1063))</f>
        <v>0.0632361442032248</v>
      </c>
      <c r="L1063" s="489">
        <f>(1+INDEX($AC$21:$AC$97,B1063))*(1+INDEX($AC$21:$AC$97,C1063))*(1+INDEX($AC$21:$AC$97,D1063))*(1+INDEX($AC$21:$AC$97,E1063))*(1+INDEX($AC$21:$AC$97,F1063))-1</f>
        <v>1.17109764856938</v>
      </c>
      <c r="M1063" s="489">
        <f>(1+INDEX($AD$21:$AD$97,B1063))*(1+INDEX($AD$21:$AD$97,C1063))*(1+INDEX($AD$21:$AD$97,D1063))*(1+INDEX($AD$21:$AD$97,E1063))*(1+INDEX($AD$21:$AD$97,F1063))-1</f>
        <v>1.09403915160619</v>
      </c>
      <c r="N1063" s="489">
        <f>(1+INDEX($AE$21:$AE$97,B1063))*(1+INDEX($AE$21:$AE$97,C1063))*(1+INDEX($AE$21:$AE$97,D1063))*(1+INDEX($AE$21:$AE$97,E1063))*(1+INDEX($AE$21:$AE$97,F1063))-1</f>
        <v>1.16657888182618</v>
      </c>
      <c r="O1063" s="489">
        <f>(1+INDEX($AF$21:$AF$97,B1063))*(1+INDEX($AF$21:$AF$97,C1063))*(1+INDEX($AF$21:$AF$97,D1063))*(1+INDEX($AF$21:$AF$97,E1063))*(1+INDEX($AF$21:$AF$97,F1063))-1</f>
        <v>0.987322106821726</v>
      </c>
      <c r="P1063" s="489">
        <f>LN((1+L1063)/(1+H1063))</f>
        <v>0.0732152464122983</v>
      </c>
      <c r="Q1063" s="489">
        <f>LN((1+M1063)/(1+H1063))</f>
        <v>0.0370771872300669</v>
      </c>
      <c r="R1063" s="489">
        <f>LN((1+N1063)/(1+H1063))</f>
        <v>0.0711317492468508</v>
      </c>
      <c r="S1063" s="542">
        <f>LN((1+O1063)/(1+H1063))</f>
        <v>-0.0152295645468062</v>
      </c>
    </row>
    <row r="1064">
      <c r="A1064" s="320" t="n">
        <v>963</v>
      </c>
      <c r="B1064" s="174" t="n">
        <v>55</v>
      </c>
      <c r="C1064" s="174" t="n">
        <v>69</v>
      </c>
      <c r="D1064" s="174" t="n">
        <v>71</v>
      </c>
      <c r="E1064" s="174" t="n">
        <v>8</v>
      </c>
      <c r="F1064" s="174" t="n">
        <v>32</v>
      </c>
      <c r="G1064" s="68">
        <f>(1+INDEX($Z$21:$Z$97,B1064))*(1+INDEX($Z$21:$Z$97,C1064))*(1+INDEX($Z$21:$Z$97,D1064))*(1+INDEX($Z$21:$Z$97,E1064))*(1+INDEX($Z$21:$Z$97,F1064))-1</f>
        <v>0.131857327276919</v>
      </c>
      <c r="H1064" s="68">
        <f>(1+INDEX($AA$21:$AA$97,B1064))*(1+INDEX($AA$21:$AA$97,C1064))*(1+INDEX($AA$21:$AA$97,D1064))*(1+INDEX($AA$21:$AA$97,E1064))*(1+INDEX($AA$21:$AA$97,F1064))-1</f>
        <v>0.176700115327845</v>
      </c>
      <c r="I1064" s="68">
        <f>(1+INDEX($AB$21:$AB$97,B1064))*(1+INDEX($AB$21:$AB$97,C1064))*(1+INDEX($AB$21:$AB$97,D1064))*(1+INDEX($AB$21:$AB$97,E1064))*(1+INDEX($AB$21:$AB$97,F1064))-1</f>
        <v>0.158492482757756</v>
      </c>
      <c r="J1064" s="489">
        <f>LN((1+G1064)/(1+H1064))</f>
        <v>-0.0388540726339611</v>
      </c>
      <c r="K1064" s="489">
        <f>LN((1+I1064)/(1+H1064))</f>
        <v>-0.0155944323999541</v>
      </c>
      <c r="L1064" s="489">
        <f>(1+INDEX($AC$21:$AC$97,B1064))*(1+INDEX($AC$21:$AC$97,C1064))*(1+INDEX($AC$21:$AC$97,D1064))*(1+INDEX($AC$21:$AC$97,E1064))*(1+INDEX($AC$21:$AC$97,F1064))-1</f>
        <v>0.1275699974391</v>
      </c>
      <c r="M1064" s="489">
        <f>(1+INDEX($AD$21:$AD$97,B1064))*(1+INDEX($AD$21:$AD$97,C1064))*(1+INDEX($AD$21:$AD$97,D1064))*(1+INDEX($AD$21:$AD$97,E1064))*(1+INDEX($AD$21:$AD$97,F1064))-1</f>
        <v>0.189693815484326</v>
      </c>
      <c r="N1064" s="489">
        <f>(1+INDEX($AE$21:$AE$97,B1064))*(1+INDEX($AE$21:$AE$97,C1064))*(1+INDEX($AE$21:$AE$97,D1064))*(1+INDEX($AE$21:$AE$97,E1064))*(1+INDEX($AE$21:$AE$97,F1064))-1</f>
        <v>0.144823063143865</v>
      </c>
      <c r="O1064" s="489">
        <f>(1+INDEX($AF$21:$AF$97,B1064))*(1+INDEX($AF$21:$AF$97,C1064))*(1+INDEX($AF$21:$AF$97,D1064))*(1+INDEX($AF$21:$AF$97,E1064))*(1+INDEX($AF$21:$AF$97,F1064))-1</f>
        <v>0.21557572752524</v>
      </c>
      <c r="P1064" s="489">
        <f>LN((1+L1064)/(1+H1064))</f>
        <v>-0.0426491360437099</v>
      </c>
      <c r="Q1064" s="489">
        <f>LN((1+M1064)/(1+H1064))</f>
        <v>0.0109819676070223</v>
      </c>
      <c r="R1064" s="489">
        <f>LN((1+N1064)/(1+H1064))</f>
        <v>-0.0274639134374446</v>
      </c>
      <c r="S1064" s="542">
        <f>LN((1+O1064)/(1+H1064))</f>
        <v>0.0325038058788551</v>
      </c>
    </row>
    <row r="1065">
      <c r="A1065" s="320" t="n">
        <v>964</v>
      </c>
      <c r="B1065" s="174" t="n">
        <v>29</v>
      </c>
      <c r="C1065" s="174" t="n">
        <v>33</v>
      </c>
      <c r="D1065" s="174" t="n">
        <v>8</v>
      </c>
      <c r="E1065" s="174" t="n">
        <v>30</v>
      </c>
      <c r="F1065" s="174" t="n">
        <v>73</v>
      </c>
      <c r="G1065" s="68">
        <f>(1+INDEX($Z$21:$Z$97,B1065))*(1+INDEX($Z$21:$Z$97,C1065))*(1+INDEX($Z$21:$Z$97,D1065))*(1+INDEX($Z$21:$Z$97,E1065))*(1+INDEX($Z$21:$Z$97,F1065))-1</f>
        <v>0.31078645388252</v>
      </c>
      <c r="H1065" s="68">
        <f>(1+INDEX($AA$21:$AA$97,B1065))*(1+INDEX($AA$21:$AA$97,C1065))*(1+INDEX($AA$21:$AA$97,D1065))*(1+INDEX($AA$21:$AA$97,E1065))*(1+INDEX($AA$21:$AA$97,F1065))-1</f>
        <v>0.35573643016612</v>
      </c>
      <c r="I1065" s="68">
        <f>(1+INDEX($AB$21:$AB$97,B1065))*(1+INDEX($AB$21:$AB$97,C1065))*(1+INDEX($AB$21:$AB$97,D1065))*(1+INDEX($AB$21:$AB$97,E1065))*(1+INDEX($AB$21:$AB$97,F1065))-1</f>
        <v>0.377714188811469</v>
      </c>
      <c r="J1065" s="489">
        <f>LN((1+G1065)/(1+H1065))</f>
        <v>-0.0337174940390698</v>
      </c>
      <c r="K1065" s="489">
        <f>LN((1+I1065)/(1+H1065))</f>
        <v>0.0160809433361951</v>
      </c>
      <c r="L1065" s="489">
        <f>(1+INDEX($AC$21:$AC$97,B1065))*(1+INDEX($AC$21:$AC$97,C1065))*(1+INDEX($AC$21:$AC$97,D1065))*(1+INDEX($AC$21:$AC$97,E1065))*(1+INDEX($AC$21:$AC$97,F1065))-1</f>
        <v>0.352325438532846</v>
      </c>
      <c r="M1065" s="489">
        <f>(1+INDEX($AD$21:$AD$97,B1065))*(1+INDEX($AD$21:$AD$97,C1065))*(1+INDEX($AD$21:$AD$97,D1065))*(1+INDEX($AD$21:$AD$97,E1065))*(1+INDEX($AD$21:$AD$97,F1065))-1</f>
        <v>0.391860833659613</v>
      </c>
      <c r="N1065" s="489">
        <f>(1+INDEX($AE$21:$AE$97,B1065))*(1+INDEX($AE$21:$AE$97,C1065))*(1+INDEX($AE$21:$AE$97,D1065))*(1+INDEX($AE$21:$AE$97,E1065))*(1+INDEX($AE$21:$AE$97,F1065))-1</f>
        <v>0.348985703502548</v>
      </c>
      <c r="O1065" s="489">
        <f>(1+INDEX($AF$21:$AF$97,B1065))*(1+INDEX($AF$21:$AF$97,C1065))*(1+INDEX($AF$21:$AF$97,D1065))*(1+INDEX($AF$21:$AF$97,E1065))*(1+INDEX($AF$21:$AF$97,F1065))-1</f>
        <v>0.373009900510348</v>
      </c>
      <c r="P1065" s="489">
        <f>LN((1+L1065)/(1+H1065))</f>
        <v>-0.00251913996246912</v>
      </c>
      <c r="Q1065" s="489">
        <f>LN((1+M1065)/(1+H1065))</f>
        <v>0.0262967835035859</v>
      </c>
      <c r="R1065" s="489">
        <f>LN((1+N1065)/(1+H1065))</f>
        <v>-0.00499181827039259</v>
      </c>
      <c r="S1065" s="542">
        <f>LN((1+O1065)/(1+H1065))</f>
        <v>0.0126605400280382</v>
      </c>
    </row>
    <row r="1066">
      <c r="A1066" s="320" t="n">
        <v>965</v>
      </c>
      <c r="B1066" s="174" t="n">
        <v>19</v>
      </c>
      <c r="C1066" s="174" t="n">
        <v>72</v>
      </c>
      <c r="D1066" s="174" t="n">
        <v>50</v>
      </c>
      <c r="E1066" s="174" t="n">
        <v>49</v>
      </c>
      <c r="F1066" s="174" t="n">
        <v>26</v>
      </c>
      <c r="G1066" s="68">
        <f>(1+INDEX($Z$21:$Z$97,B1066))*(1+INDEX($Z$21:$Z$97,C1066))*(1+INDEX($Z$21:$Z$97,D1066))*(1+INDEX($Z$21:$Z$97,E1066))*(1+INDEX($Z$21:$Z$97,F1066))-1</f>
        <v>0.622492768321927</v>
      </c>
      <c r="H1066" s="68">
        <f>(1+INDEX($AA$21:$AA$97,B1066))*(1+INDEX($AA$21:$AA$97,C1066))*(1+INDEX($AA$21:$AA$97,D1066))*(1+INDEX($AA$21:$AA$97,E1066))*(1+INDEX($AA$21:$AA$97,F1066))-1</f>
        <v>0.564837653495594</v>
      </c>
      <c r="I1066" s="68">
        <f>(1+INDEX($AB$21:$AB$97,B1066))*(1+INDEX($AB$21:$AB$97,C1066))*(1+INDEX($AB$21:$AB$97,D1066))*(1+INDEX($AB$21:$AB$97,E1066))*(1+INDEX($AB$21:$AB$97,F1066))-1</f>
        <v>0.660333296904561</v>
      </c>
      <c r="J1066" s="489">
        <f>LN((1+G1066)/(1+H1066))</f>
        <v>0.0361816296400126</v>
      </c>
      <c r="K1066" s="489">
        <f>LN((1+I1066)/(1+H1066))</f>
        <v>0.0592362806567739</v>
      </c>
      <c r="L1066" s="489">
        <f>(1+INDEX($AC$21:$AC$97,B1066))*(1+INDEX($AC$21:$AC$97,C1066))*(1+INDEX($AC$21:$AC$97,D1066))*(1+INDEX($AC$21:$AC$97,E1066))*(1+INDEX($AC$21:$AC$97,F1066))-1</f>
        <v>0.625018457965365</v>
      </c>
      <c r="M1066" s="489">
        <f>(1+INDEX($AD$21:$AD$97,B1066))*(1+INDEX($AD$21:$AD$97,C1066))*(1+INDEX($AD$21:$AD$97,D1066))*(1+INDEX($AD$21:$AD$97,E1066))*(1+INDEX($AD$21:$AD$97,F1066))-1</f>
        <v>0.643636506470485</v>
      </c>
      <c r="N1066" s="489">
        <f>(1+INDEX($AE$21:$AE$97,B1066))*(1+INDEX($AE$21:$AE$97,C1066))*(1+INDEX($AE$21:$AE$97,D1066))*(1+INDEX($AE$21:$AE$97,E1066))*(1+INDEX($AE$21:$AE$97,F1066))-1</f>
        <v>0.618514149598028</v>
      </c>
      <c r="O1066" s="489">
        <f>(1+INDEX($AF$21:$AF$97,B1066))*(1+INDEX($AF$21:$AF$97,C1066))*(1+INDEX($AF$21:$AF$97,D1066))*(1+INDEX($AF$21:$AF$97,E1066))*(1+INDEX($AF$21:$AF$97,F1066))-1</f>
        <v>0.599325197911572</v>
      </c>
      <c r="P1066" s="489">
        <f>LN((1+L1066)/(1+H1066))</f>
        <v>0.0377370916394831</v>
      </c>
      <c r="Q1066" s="489">
        <f>LN((1+M1066)/(1+H1066))</f>
        <v>0.0491290862413222</v>
      </c>
      <c r="R1066" s="489">
        <f>LN((1+N1066)/(1+H1066))</f>
        <v>0.0337264539349211</v>
      </c>
      <c r="S1066" s="542">
        <f>LN((1+O1066)/(1+H1066))</f>
        <v>0.0217997061527473</v>
      </c>
    </row>
    <row r="1067">
      <c r="A1067" s="320" t="n">
        <v>966</v>
      </c>
      <c r="B1067" s="174" t="n">
        <v>32</v>
      </c>
      <c r="C1067" s="174" t="n">
        <v>25</v>
      </c>
      <c r="D1067" s="174" t="n">
        <v>74</v>
      </c>
      <c r="E1067" s="174" t="n">
        <v>45</v>
      </c>
      <c r="F1067" s="174" t="n">
        <v>47</v>
      </c>
      <c r="G1067" s="68">
        <f>(1+INDEX($Z$21:$Z$97,B1067))*(1+INDEX($Z$21:$Z$97,C1067))*(1+INDEX($Z$21:$Z$97,D1067))*(1+INDEX($Z$21:$Z$97,E1067))*(1+INDEX($Z$21:$Z$97,F1067))-1</f>
        <v>0.645250737185257</v>
      </c>
      <c r="H1067" s="68">
        <f>(1+INDEX($AA$21:$AA$97,B1067))*(1+INDEX($AA$21:$AA$97,C1067))*(1+INDEX($AA$21:$AA$97,D1067))*(1+INDEX($AA$21:$AA$97,E1067))*(1+INDEX($AA$21:$AA$97,F1067))-1</f>
        <v>0.592192759917074</v>
      </c>
      <c r="I1067" s="68">
        <f>(1+INDEX($AB$21:$AB$97,B1067))*(1+INDEX($AB$21:$AB$97,C1067))*(1+INDEX($AB$21:$AB$97,D1067))*(1+INDEX($AB$21:$AB$97,E1067))*(1+INDEX($AB$21:$AB$97,F1067))-1</f>
        <v>0.68022235723435</v>
      </c>
      <c r="J1067" s="489">
        <f>LN((1+G1067)/(1+H1067))</f>
        <v>0.0327806359803513</v>
      </c>
      <c r="K1067" s="489">
        <f>LN((1+I1067)/(1+H1067))</f>
        <v>0.0538139797111104</v>
      </c>
      <c r="L1067" s="489">
        <f>(1+INDEX($AC$21:$AC$97,B1067))*(1+INDEX($AC$21:$AC$97,C1067))*(1+INDEX($AC$21:$AC$97,D1067))*(1+INDEX($AC$21:$AC$97,E1067))*(1+INDEX($AC$21:$AC$97,F1067))-1</f>
        <v>0.651420882279691</v>
      </c>
      <c r="M1067" s="489">
        <f>(1+INDEX($AD$21:$AD$97,B1067))*(1+INDEX($AD$21:$AD$97,C1067))*(1+INDEX($AD$21:$AD$97,D1067))*(1+INDEX($AD$21:$AD$97,E1067))*(1+INDEX($AD$21:$AD$97,F1067))-1</f>
        <v>0.671117674621569</v>
      </c>
      <c r="N1067" s="489">
        <f>(1+INDEX($AE$21:$AE$97,B1067))*(1+INDEX($AE$21:$AE$97,C1067))*(1+INDEX($AE$21:$AE$97,D1067))*(1+INDEX($AE$21:$AE$97,E1067))*(1+INDEX($AE$21:$AE$97,F1067))-1</f>
        <v>0.642937434783174</v>
      </c>
      <c r="O1067" s="489">
        <f>(1+INDEX($AF$21:$AF$97,B1067))*(1+INDEX($AF$21:$AF$97,C1067))*(1+INDEX($AF$21:$AF$97,D1067))*(1+INDEX($AF$21:$AF$97,E1067))*(1+INDEX($AF$21:$AF$97,F1067))-1</f>
        <v>0.603875236154279</v>
      </c>
      <c r="P1067" s="489">
        <f>LN((1+L1067)/(1+H1067))</f>
        <v>0.0365238976765897</v>
      </c>
      <c r="Q1067" s="489">
        <f>LN((1+M1067)/(1+H1067))</f>
        <v>0.0483805083678705</v>
      </c>
      <c r="R1067" s="489">
        <f>LN((1+N1067)/(1+H1067))</f>
        <v>0.0313735980234293</v>
      </c>
      <c r="S1067" s="542">
        <f>LN((1+O1067)/(1+H1067))</f>
        <v>0.00731056303038422</v>
      </c>
    </row>
    <row r="1068">
      <c r="A1068" s="320" t="n">
        <v>967</v>
      </c>
      <c r="B1068" s="174" t="n">
        <v>27</v>
      </c>
      <c r="C1068" s="174" t="n">
        <v>50</v>
      </c>
      <c r="D1068" s="174" t="n">
        <v>64</v>
      </c>
      <c r="E1068" s="174" t="n">
        <v>16</v>
      </c>
      <c r="F1068" s="174" t="n">
        <v>62</v>
      </c>
      <c r="G1068" s="68">
        <f>(1+INDEX($Z$21:$Z$97,B1068))*(1+INDEX($Z$21:$Z$97,C1068))*(1+INDEX($Z$21:$Z$97,D1068))*(1+INDEX($Z$21:$Z$97,E1068))*(1+INDEX($Z$21:$Z$97,F1068))-1</f>
        <v>0.17553832173333</v>
      </c>
      <c r="H1068" s="68">
        <f>(1+INDEX($AA$21:$AA$97,B1068))*(1+INDEX($AA$21:$AA$97,C1068))*(1+INDEX($AA$21:$AA$97,D1068))*(1+INDEX($AA$21:$AA$97,E1068))*(1+INDEX($AA$21:$AA$97,F1068))-1</f>
        <v>0.138782047689831</v>
      </c>
      <c r="I1068" s="68">
        <f>(1+INDEX($AB$21:$AB$97,B1068))*(1+INDEX($AB$21:$AB$97,C1068))*(1+INDEX($AB$21:$AB$97,D1068))*(1+INDEX($AB$21:$AB$97,E1068))*(1+INDEX($AB$21:$AB$97,F1068))-1</f>
        <v>0.171766624361754</v>
      </c>
      <c r="J1068" s="489">
        <f>LN((1+G1068)/(1+H1068))</f>
        <v>0.0317668767721824</v>
      </c>
      <c r="K1068" s="489">
        <f>LN((1+I1068)/(1+H1068))</f>
        <v>0.0285532332923541</v>
      </c>
      <c r="L1068" s="489">
        <f>(1+INDEX($AC$21:$AC$97,B1068))*(1+INDEX($AC$21:$AC$97,C1068))*(1+INDEX($AC$21:$AC$97,D1068))*(1+INDEX($AC$21:$AC$97,E1068))*(1+INDEX($AC$21:$AC$97,F1068))-1</f>
        <v>0.169301337147383</v>
      </c>
      <c r="M1068" s="489">
        <f>(1+INDEX($AD$21:$AD$97,B1068))*(1+INDEX($AD$21:$AD$97,C1068))*(1+INDEX($AD$21:$AD$97,D1068))*(1+INDEX($AD$21:$AD$97,E1068))*(1+INDEX($AD$21:$AD$97,F1068))-1</f>
        <v>0.134964007824171</v>
      </c>
      <c r="N1068" s="489">
        <f>(1+INDEX($AE$21:$AE$97,B1068))*(1+INDEX($AE$21:$AE$97,C1068))*(1+INDEX($AE$21:$AE$97,D1068))*(1+INDEX($AE$21:$AE$97,E1068))*(1+INDEX($AE$21:$AE$97,F1068))-1</f>
        <v>0.161361096122021</v>
      </c>
      <c r="O1068" s="489">
        <f>(1+INDEX($AF$21:$AF$97,B1068))*(1+INDEX($AF$21:$AF$97,C1068))*(1+INDEX($AF$21:$AF$97,D1068))*(1+INDEX($AF$21:$AF$97,E1068))*(1+INDEX($AF$21:$AF$97,F1068))-1</f>
        <v>0.12700268587003</v>
      </c>
      <c r="P1068" s="489">
        <f>LN((1+L1068)/(1+H1068))</f>
        <v>0.0264471106456064</v>
      </c>
      <c r="Q1068" s="489">
        <f>LN((1+M1068)/(1+H1068))</f>
        <v>-0.00335837280063389</v>
      </c>
      <c r="R1068" s="489">
        <f>LN((1+N1068)/(1+H1068))</f>
        <v>0.0196333639337537</v>
      </c>
      <c r="S1068" s="542">
        <f>LN((1+O1068)/(1+H1068))</f>
        <v>-0.0103976938050381</v>
      </c>
    </row>
    <row r="1069">
      <c r="A1069" s="320" t="n">
        <v>968</v>
      </c>
      <c r="B1069" s="174" t="n">
        <v>25</v>
      </c>
      <c r="C1069" s="174" t="n">
        <v>33</v>
      </c>
      <c r="D1069" s="174" t="n">
        <v>29</v>
      </c>
      <c r="E1069" s="174" t="n">
        <v>17</v>
      </c>
      <c r="F1069" s="174" t="n">
        <v>38</v>
      </c>
      <c r="G1069" s="68">
        <f>(1+INDEX($Z$21:$Z$97,B1069))*(1+INDEX($Z$21:$Z$97,C1069))*(1+INDEX($Z$21:$Z$97,D1069))*(1+INDEX($Z$21:$Z$97,E1069))*(1+INDEX($Z$21:$Z$97,F1069))-1</f>
        <v>0.701270168474013</v>
      </c>
      <c r="H1069" s="68">
        <f>(1+INDEX($AA$21:$AA$97,B1069))*(1+INDEX($AA$21:$AA$97,C1069))*(1+INDEX($AA$21:$AA$97,D1069))*(1+INDEX($AA$21:$AA$97,E1069))*(1+INDEX($AA$21:$AA$97,F1069))-1</f>
        <v>0.628481802949843</v>
      </c>
      <c r="I1069" s="68">
        <f>(1+INDEX($AB$21:$AB$97,B1069))*(1+INDEX($AB$21:$AB$97,C1069))*(1+INDEX($AB$21:$AB$97,D1069))*(1+INDEX($AB$21:$AB$97,E1069))*(1+INDEX($AB$21:$AB$97,F1069))-1</f>
        <v>0.701196286476943</v>
      </c>
      <c r="J1069" s="489">
        <f>LN((1+G1069)/(1+H1069))</f>
        <v>0.0437269584501943</v>
      </c>
      <c r="K1069" s="489">
        <f>LN((1+I1069)/(1+H1069))</f>
        <v>0.0436835299561534</v>
      </c>
      <c r="L1069" s="489">
        <f>(1+INDEX($AC$21:$AC$97,B1069))*(1+INDEX($AC$21:$AC$97,C1069))*(1+INDEX($AC$21:$AC$97,D1069))*(1+INDEX($AC$21:$AC$97,E1069))*(1+INDEX($AC$21:$AC$97,F1069))-1</f>
        <v>0.672793889707201</v>
      </c>
      <c r="M1069" s="489">
        <f>(1+INDEX($AD$21:$AD$97,B1069))*(1+INDEX($AD$21:$AD$97,C1069))*(1+INDEX($AD$21:$AD$97,D1069))*(1+INDEX($AD$21:$AD$97,E1069))*(1+INDEX($AD$21:$AD$97,F1069))-1</f>
        <v>0.713445304429123</v>
      </c>
      <c r="N1069" s="489">
        <f>(1+INDEX($AE$21:$AE$97,B1069))*(1+INDEX($AE$21:$AE$97,C1069))*(1+INDEX($AE$21:$AE$97,D1069))*(1+INDEX($AE$21:$AE$97,E1069))*(1+INDEX($AE$21:$AE$97,F1069))-1</f>
        <v>0.678807901861125</v>
      </c>
      <c r="O1069" s="489">
        <f>(1+INDEX($AF$21:$AF$97,B1069))*(1+INDEX($AF$21:$AF$97,C1069))*(1+INDEX($AF$21:$AF$97,D1069))*(1+INDEX($AF$21:$AF$97,E1069))*(1+INDEX($AF$21:$AF$97,F1069))-1</f>
        <v>0.634442239787112</v>
      </c>
      <c r="P1069" s="489">
        <f>LN((1+L1069)/(1+H1069))</f>
        <v>0.0268470448376584</v>
      </c>
      <c r="Q1069" s="489">
        <f>LN((1+M1069)/(1+H1069))</f>
        <v>0.0508579698888703</v>
      </c>
      <c r="R1069" s="489">
        <f>LN((1+N1069)/(1+H1069))</f>
        <v>0.0304357877626848</v>
      </c>
      <c r="S1069" s="542">
        <f>LN((1+O1069)/(1+H1069))</f>
        <v>0.00365343684927601</v>
      </c>
    </row>
    <row r="1070">
      <c r="A1070" s="320" t="n">
        <v>969</v>
      </c>
      <c r="B1070" s="174" t="n">
        <v>11</v>
      </c>
      <c r="C1070" s="174" t="n">
        <v>69</v>
      </c>
      <c r="D1070" s="174" t="n">
        <v>53</v>
      </c>
      <c r="E1070" s="174" t="n">
        <v>36</v>
      </c>
      <c r="F1070" s="174" t="n">
        <v>53</v>
      </c>
      <c r="G1070" s="68">
        <f>(1+INDEX($Z$21:$Z$97,B1070))*(1+INDEX($Z$21:$Z$97,C1070))*(1+INDEX($Z$21:$Z$97,D1070))*(1+INDEX($Z$21:$Z$97,E1070))*(1+INDEX($Z$21:$Z$97,F1070))-1</f>
        <v>0.0984327328949539</v>
      </c>
      <c r="H1070" s="68">
        <f>(1+INDEX($AA$21:$AA$97,B1070))*(1+INDEX($AA$21:$AA$97,C1070))*(1+INDEX($AA$21:$AA$97,D1070))*(1+INDEX($AA$21:$AA$97,E1070))*(1+INDEX($AA$21:$AA$97,F1070))-1</f>
        <v>0.165388064488594</v>
      </c>
      <c r="I1070" s="68">
        <f>(1+INDEX($AB$21:$AB$97,B1070))*(1+INDEX($AB$21:$AB$97,C1070))*(1+INDEX($AB$21:$AB$97,D1070))*(1+INDEX($AB$21:$AB$97,E1070))*(1+INDEX($AB$21:$AB$97,F1070))-1</f>
        <v>0.11948064476795</v>
      </c>
      <c r="J1070" s="489">
        <f>LN((1+G1070)/(1+H1070))</f>
        <v>-0.059169758565594</v>
      </c>
      <c r="K1070" s="489">
        <f>LN((1+I1070)/(1+H1070))</f>
        <v>-0.040189266384995</v>
      </c>
      <c r="L1070" s="489">
        <f>(1+INDEX($AC$21:$AC$97,B1070))*(1+INDEX($AC$21:$AC$97,C1070))*(1+INDEX($AC$21:$AC$97,D1070))*(1+INDEX($AC$21:$AC$97,E1070))*(1+INDEX($AC$21:$AC$97,F1070))-1</f>
        <v>0.123590690302175</v>
      </c>
      <c r="M1070" s="489">
        <f>(1+INDEX($AD$21:$AD$97,B1070))*(1+INDEX($AD$21:$AD$97,C1070))*(1+INDEX($AD$21:$AD$97,D1070))*(1+INDEX($AD$21:$AD$97,E1070))*(1+INDEX($AD$21:$AD$97,F1070))-1</f>
        <v>0.160161930546154</v>
      </c>
      <c r="N1070" s="489">
        <f>(1+INDEX($AE$21:$AE$97,B1070))*(1+INDEX($AE$21:$AE$97,C1070))*(1+INDEX($AE$21:$AE$97,D1070))*(1+INDEX($AE$21:$AE$97,E1070))*(1+INDEX($AE$21:$AE$97,F1070))-1</f>
        <v>0.133072048995808</v>
      </c>
      <c r="O1070" s="489">
        <f>(1+INDEX($AF$21:$AF$97,B1070))*(1+INDEX($AF$21:$AF$97,C1070))*(1+INDEX($AF$21:$AF$97,D1070))*(1+INDEX($AF$21:$AF$97,E1070))*(1+INDEX($AF$21:$AF$97,F1070))-1</f>
        <v>0.195746600333049</v>
      </c>
      <c r="P1070" s="489">
        <f>LN((1+L1070)/(1+H1070))</f>
        <v>-0.0365246035009344</v>
      </c>
      <c r="Q1070" s="489">
        <f>LN((1+M1070)/(1+H1070))</f>
        <v>-0.00449454344247336</v>
      </c>
      <c r="R1070" s="489">
        <f>LN((1+N1070)/(1+H1070))</f>
        <v>-0.0281215627459157</v>
      </c>
      <c r="S1070" s="542">
        <f>LN((1+O1070)/(1+H1070))</f>
        <v>0.0257166263323952</v>
      </c>
    </row>
    <row r="1071">
      <c r="A1071" s="320" t="n">
        <v>970</v>
      </c>
      <c r="B1071" s="174" t="n">
        <v>10</v>
      </c>
      <c r="C1071" s="174" t="n">
        <v>39</v>
      </c>
      <c r="D1071" s="174" t="n">
        <v>15</v>
      </c>
      <c r="E1071" s="174" t="n">
        <v>23</v>
      </c>
      <c r="F1071" s="174" t="n">
        <v>26</v>
      </c>
      <c r="G1071" s="68">
        <f>(1+INDEX($Z$21:$Z$97,B1071))*(1+INDEX($Z$21:$Z$97,C1071))*(1+INDEX($Z$21:$Z$97,D1071))*(1+INDEX($Z$21:$Z$97,E1071))*(1+INDEX($Z$21:$Z$97,F1071))-1</f>
        <v>0.316072797152809</v>
      </c>
      <c r="H1071" s="68">
        <f>(1+INDEX($AA$21:$AA$97,B1071))*(1+INDEX($AA$21:$AA$97,C1071))*(1+INDEX($AA$21:$AA$97,D1071))*(1+INDEX($AA$21:$AA$97,E1071))*(1+INDEX($AA$21:$AA$97,F1071))-1</f>
        <v>0.282372678262181</v>
      </c>
      <c r="I1071" s="68">
        <f>(1+INDEX($AB$21:$AB$97,B1071))*(1+INDEX($AB$21:$AB$97,C1071))*(1+INDEX($AB$21:$AB$97,D1071))*(1+INDEX($AB$21:$AB$97,E1071))*(1+INDEX($AB$21:$AB$97,F1071))-1</f>
        <v>0.30057227428154</v>
      </c>
      <c r="J1071" s="489">
        <f>LN((1+G1071)/(1+H1071))</f>
        <v>0.0259401314328613</v>
      </c>
      <c r="K1071" s="489">
        <f>LN((1+I1071)/(1+H1071))</f>
        <v>0.0140923616631076</v>
      </c>
      <c r="L1071" s="489">
        <f>(1+INDEX($AC$21:$AC$97,B1071))*(1+INDEX($AC$21:$AC$97,C1071))*(1+INDEX($AC$21:$AC$97,D1071))*(1+INDEX($AC$21:$AC$97,E1071))*(1+INDEX($AC$21:$AC$97,F1071))-1</f>
        <v>0.275229654017604</v>
      </c>
      <c r="M1071" s="489">
        <f>(1+INDEX($AD$21:$AD$97,B1071))*(1+INDEX($AD$21:$AD$97,C1071))*(1+INDEX($AD$21:$AD$97,D1071))*(1+INDEX($AD$21:$AD$97,E1071))*(1+INDEX($AD$21:$AD$97,F1071))-1</f>
        <v>0.329181507234702</v>
      </c>
      <c r="N1071" s="489">
        <f>(1+INDEX($AE$21:$AE$97,B1071))*(1+INDEX($AE$21:$AE$97,C1071))*(1+INDEX($AE$21:$AE$97,D1071))*(1+INDEX($AE$21:$AE$97,E1071))*(1+INDEX($AE$21:$AE$97,F1071))-1</f>
        <v>0.257022573502293</v>
      </c>
      <c r="O1071" s="489">
        <f>(1+INDEX($AF$21:$AF$97,B1071))*(1+INDEX($AF$21:$AF$97,C1071))*(1+INDEX($AF$21:$AF$97,D1071))*(1+INDEX($AF$21:$AF$97,E1071))*(1+INDEX($AF$21:$AF$97,F1071))-1</f>
        <v>0.338144223645539</v>
      </c>
      <c r="P1071" s="489">
        <f>LN((1+L1071)/(1+H1071))</f>
        <v>-0.00558573373704648</v>
      </c>
      <c r="Q1071" s="489">
        <f>LN((1+M1071)/(1+H1071))</f>
        <v>0.0358513277724126</v>
      </c>
      <c r="R1071" s="489">
        <f>LN((1+N1071)/(1+H1071))</f>
        <v>-0.0199661292431757</v>
      </c>
      <c r="S1071" s="542">
        <f>LN((1+O1071)/(1+H1071))</f>
        <v>0.0425717294388262</v>
      </c>
    </row>
    <row r="1072">
      <c r="A1072" s="320" t="n">
        <v>971</v>
      </c>
      <c r="B1072" s="174" t="n">
        <v>4</v>
      </c>
      <c r="C1072" s="174" t="n">
        <v>28</v>
      </c>
      <c r="D1072" s="174" t="n">
        <v>11</v>
      </c>
      <c r="E1072" s="174" t="n">
        <v>11</v>
      </c>
      <c r="F1072" s="174" t="n">
        <v>28</v>
      </c>
      <c r="G1072" s="68">
        <f>(1+INDEX($Z$21:$Z$97,B1072))*(1+INDEX($Z$21:$Z$97,C1072))*(1+INDEX($Z$21:$Z$97,D1072))*(1+INDEX($Z$21:$Z$97,E1072))*(1+INDEX($Z$21:$Z$97,F1072))-1</f>
        <v>0.500522819004179</v>
      </c>
      <c r="H1072" s="68">
        <f>(1+INDEX($AA$21:$AA$97,B1072))*(1+INDEX($AA$21:$AA$97,C1072))*(1+INDEX($AA$21:$AA$97,D1072))*(1+INDEX($AA$21:$AA$97,E1072))*(1+INDEX($AA$21:$AA$97,F1072))-1</f>
        <v>0.48588654221021</v>
      </c>
      <c r="I1072" s="68">
        <f>(1+INDEX($AB$21:$AB$97,B1072))*(1+INDEX($AB$21:$AB$97,C1072))*(1+INDEX($AB$21:$AB$97,D1072))*(1+INDEX($AB$21:$AB$97,E1072))*(1+INDEX($AB$21:$AB$97,F1072))-1</f>
        <v>0.472882998811309</v>
      </c>
      <c r="J1072" s="489">
        <f>LN((1+G1072)/(1+H1072))</f>
        <v>0.00980200113937146</v>
      </c>
      <c r="K1072" s="489">
        <f>LN((1+I1072)/(1+H1072))</f>
        <v>-0.00878988846003125</v>
      </c>
      <c r="L1072" s="489">
        <f>(1+INDEX($AC$21:$AC$97,B1072))*(1+INDEX($AC$21:$AC$97,C1072))*(1+INDEX($AC$21:$AC$97,D1072))*(1+INDEX($AC$21:$AC$97,E1072))*(1+INDEX($AC$21:$AC$97,F1072))-1</f>
        <v>0.482907002295998</v>
      </c>
      <c r="M1072" s="489">
        <f>(1+INDEX($AD$21:$AD$97,B1072))*(1+INDEX($AD$21:$AD$97,C1072))*(1+INDEX($AD$21:$AD$97,D1072))*(1+INDEX($AD$21:$AD$97,E1072))*(1+INDEX($AD$21:$AD$97,F1072))-1</f>
        <v>0.506575741820924</v>
      </c>
      <c r="N1072" s="489">
        <f>(1+INDEX($AE$21:$AE$97,B1072))*(1+INDEX($AE$21:$AE$97,C1072))*(1+INDEX($AE$21:$AE$97,D1072))*(1+INDEX($AE$21:$AE$97,E1072))*(1+INDEX($AE$21:$AE$97,F1072))-1</f>
        <v>0.467314936527101</v>
      </c>
      <c r="O1072" s="489">
        <f>(1+INDEX($AF$21:$AF$97,B1072))*(1+INDEX($AF$21:$AF$97,C1072))*(1+INDEX($AF$21:$AF$97,D1072))*(1+INDEX($AF$21:$AF$97,E1072))*(1+INDEX($AF$21:$AF$97,F1072))-1</f>
        <v>0.589033402307579</v>
      </c>
      <c r="P1072" s="489">
        <f>LN((1+L1072)/(1+H1072))</f>
        <v>-0.00200724022733728</v>
      </c>
      <c r="Q1072" s="489">
        <f>LN((1+M1072)/(1+H1072))</f>
        <v>0.0138277627625195</v>
      </c>
      <c r="R1072" s="489">
        <f>LN((1+N1072)/(1+H1072))</f>
        <v>-0.0125774354640446</v>
      </c>
      <c r="S1072" s="542">
        <f>LN((1+O1072)/(1+H1072))</f>
        <v>0.0671143160514567</v>
      </c>
    </row>
    <row r="1073">
      <c r="A1073" s="320" t="n">
        <v>972</v>
      </c>
      <c r="B1073" s="174" t="n">
        <v>69</v>
      </c>
      <c r="C1073" s="174" t="n">
        <v>37</v>
      </c>
      <c r="D1073" s="174" t="n">
        <v>15</v>
      </c>
      <c r="E1073" s="174" t="n">
        <v>34</v>
      </c>
      <c r="F1073" s="174" t="n">
        <v>22</v>
      </c>
      <c r="G1073" s="68">
        <f>(1+INDEX($Z$21:$Z$97,B1073))*(1+INDEX($Z$21:$Z$97,C1073))*(1+INDEX($Z$21:$Z$97,D1073))*(1+INDEX($Z$21:$Z$97,E1073))*(1+INDEX($Z$21:$Z$97,F1073))-1</f>
        <v>0.30077316285859</v>
      </c>
      <c r="H1073" s="68">
        <f>(1+INDEX($AA$21:$AA$97,B1073))*(1+INDEX($AA$21:$AA$97,C1073))*(1+INDEX($AA$21:$AA$97,D1073))*(1+INDEX($AA$21:$AA$97,E1073))*(1+INDEX($AA$21:$AA$97,F1073))-1</f>
        <v>0.324016005721633</v>
      </c>
      <c r="I1073" s="68">
        <f>(1+INDEX($AB$21:$AB$97,B1073))*(1+INDEX($AB$21:$AB$97,C1073))*(1+INDEX($AB$21:$AB$97,D1073))*(1+INDEX($AB$21:$AB$97,E1073))*(1+INDEX($AB$21:$AB$97,F1073))-1</f>
        <v>0.334973069922364</v>
      </c>
      <c r="J1073" s="489">
        <f>LN((1+G1073)/(1+H1073))</f>
        <v>-0.0177107180155561</v>
      </c>
      <c r="K1073" s="489">
        <f>LN((1+I1073)/(1+H1073))</f>
        <v>0.00824157295058295</v>
      </c>
      <c r="L1073" s="489">
        <f>(1+INDEX($AC$21:$AC$97,B1073))*(1+INDEX($AC$21:$AC$97,C1073))*(1+INDEX($AC$21:$AC$97,D1073))*(1+INDEX($AC$21:$AC$97,E1073))*(1+INDEX($AC$21:$AC$97,F1073))-1</f>
        <v>0.322369373619287</v>
      </c>
      <c r="M1073" s="489">
        <f>(1+INDEX($AD$21:$AD$97,B1073))*(1+INDEX($AD$21:$AD$97,C1073))*(1+INDEX($AD$21:$AD$97,D1073))*(1+INDEX($AD$21:$AD$97,E1073))*(1+INDEX($AD$21:$AD$97,F1073))-1</f>
        <v>0.352372830212367</v>
      </c>
      <c r="N1073" s="489">
        <f>(1+INDEX($AE$21:$AE$97,B1073))*(1+INDEX($AE$21:$AE$97,C1073))*(1+INDEX($AE$21:$AE$97,D1073))*(1+INDEX($AE$21:$AE$97,E1073))*(1+INDEX($AE$21:$AE$97,F1073))-1</f>
        <v>0.325204345058773</v>
      </c>
      <c r="O1073" s="489">
        <f>(1+INDEX($AF$21:$AF$97,B1073))*(1+INDEX($AF$21:$AF$97,C1073))*(1+INDEX($AF$21:$AF$97,D1073))*(1+INDEX($AF$21:$AF$97,E1073))*(1+INDEX($AF$21:$AF$97,F1073))-1</f>
        <v>0.308906731776121</v>
      </c>
      <c r="P1073" s="489">
        <f>LN((1+L1073)/(1+H1073))</f>
        <v>-0.001244438793913</v>
      </c>
      <c r="Q1073" s="489">
        <f>LN((1+M1073)/(1+H1073))</f>
        <v>0.0211911552414523</v>
      </c>
      <c r="R1073" s="489">
        <f>LN((1+N1073)/(1+H1073))</f>
        <v>0.000897123877589786</v>
      </c>
      <c r="S1073" s="542">
        <f>LN((1+O1073)/(1+H1073))</f>
        <v>-0.0114773134740416</v>
      </c>
    </row>
    <row r="1074">
      <c r="A1074" s="320" t="n">
        <v>973</v>
      </c>
      <c r="B1074" s="174" t="n">
        <v>38</v>
      </c>
      <c r="C1074" s="174" t="n">
        <v>26</v>
      </c>
      <c r="D1074" s="174" t="n">
        <v>24</v>
      </c>
      <c r="E1074" s="174" t="n">
        <v>59</v>
      </c>
      <c r="F1074" s="174" t="n">
        <v>18</v>
      </c>
      <c r="G1074" s="68">
        <f>(1+INDEX($Z$21:$Z$97,B1074))*(1+INDEX($Z$21:$Z$97,C1074))*(1+INDEX($Z$21:$Z$97,D1074))*(1+INDEX($Z$21:$Z$97,E1074))*(1+INDEX($Z$21:$Z$97,F1074))-1</f>
        <v>0.824506947972894</v>
      </c>
      <c r="H1074" s="68">
        <f>(1+INDEX($AA$21:$AA$97,B1074))*(1+INDEX($AA$21:$AA$97,C1074))*(1+INDEX($AA$21:$AA$97,D1074))*(1+INDEX($AA$21:$AA$97,E1074))*(1+INDEX($AA$21:$AA$97,F1074))-1</f>
        <v>0.706050912484494</v>
      </c>
      <c r="I1074" s="68">
        <f>(1+INDEX($AB$21:$AB$97,B1074))*(1+INDEX($AB$21:$AB$97,C1074))*(1+INDEX($AB$21:$AB$97,D1074))*(1+INDEX($AB$21:$AB$97,E1074))*(1+INDEX($AB$21:$AB$97,F1074))-1</f>
        <v>0.765897649255308</v>
      </c>
      <c r="J1074" s="489">
        <f>LN((1+G1074)/(1+H1074))</f>
        <v>0.0671284932233107</v>
      </c>
      <c r="K1074" s="489">
        <f>LN((1+I1074)/(1+H1074))</f>
        <v>0.0344778524325992</v>
      </c>
      <c r="L1074" s="489">
        <f>(1+INDEX($AC$21:$AC$97,B1074))*(1+INDEX($AC$21:$AC$97,C1074))*(1+INDEX($AC$21:$AC$97,D1074))*(1+INDEX($AC$21:$AC$97,E1074))*(1+INDEX($AC$21:$AC$97,F1074))-1</f>
        <v>0.770593132701712</v>
      </c>
      <c r="M1074" s="489">
        <f>(1+INDEX($AD$21:$AD$97,B1074))*(1+INDEX($AD$21:$AD$97,C1074))*(1+INDEX($AD$21:$AD$97,D1074))*(1+INDEX($AD$21:$AD$97,E1074))*(1+INDEX($AD$21:$AD$97,F1074))-1</f>
        <v>0.747230467682787</v>
      </c>
      <c r="N1074" s="489">
        <f>(1+INDEX($AE$21:$AE$97,B1074))*(1+INDEX($AE$21:$AE$97,C1074))*(1+INDEX($AE$21:$AE$97,D1074))*(1+INDEX($AE$21:$AE$97,E1074))*(1+INDEX($AE$21:$AE$97,F1074))-1</f>
        <v>0.779425843475102</v>
      </c>
      <c r="O1074" s="489">
        <f>(1+INDEX($AF$21:$AF$97,B1074))*(1+INDEX($AF$21:$AF$97,C1074))*(1+INDEX($AF$21:$AF$97,D1074))*(1+INDEX($AF$21:$AF$97,E1074))*(1+INDEX($AF$21:$AF$97,F1074))-1</f>
        <v>0.697322497036628</v>
      </c>
      <c r="P1074" s="489">
        <f>LN((1+L1074)/(1+H1074))</f>
        <v>0.0371333018569317</v>
      </c>
      <c r="Q1074" s="489">
        <f>LN((1+M1074)/(1+H1074))</f>
        <v>0.0238506526060988</v>
      </c>
      <c r="R1074" s="489">
        <f>LN((1+N1074)/(1+H1074))</f>
        <v>0.0421094606093613</v>
      </c>
      <c r="S1074" s="542">
        <f>LN((1+O1074)/(1+H1074))</f>
        <v>-0.00512928411567543</v>
      </c>
    </row>
    <row r="1075">
      <c r="A1075" s="320" t="n">
        <v>974</v>
      </c>
      <c r="B1075" s="174" t="n">
        <v>11</v>
      </c>
      <c r="C1075" s="174" t="n">
        <v>61</v>
      </c>
      <c r="D1075" s="174" t="n">
        <v>12</v>
      </c>
      <c r="E1075" s="174" t="n">
        <v>77</v>
      </c>
      <c r="F1075" s="174" t="n">
        <v>66</v>
      </c>
      <c r="G1075" s="68">
        <f>(1+INDEX($Z$21:$Z$97,B1075))*(1+INDEX($Z$21:$Z$97,C1075))*(1+INDEX($Z$21:$Z$97,D1075))*(1+INDEX($Z$21:$Z$97,E1075))*(1+INDEX($Z$21:$Z$97,F1075))-1</f>
        <v>0.478456967477706</v>
      </c>
      <c r="H1075" s="68">
        <f>(1+INDEX($AA$21:$AA$97,B1075))*(1+INDEX($AA$21:$AA$97,C1075))*(1+INDEX($AA$21:$AA$97,D1075))*(1+INDEX($AA$21:$AA$97,E1075))*(1+INDEX($AA$21:$AA$97,F1075))-1</f>
        <v>0.396379112856714</v>
      </c>
      <c r="I1075" s="68">
        <f>(1+INDEX($AB$21:$AB$97,B1075))*(1+INDEX($AB$21:$AB$97,C1075))*(1+INDEX($AB$21:$AB$97,D1075))*(1+INDEX($AB$21:$AB$97,E1075))*(1+INDEX($AB$21:$AB$97,F1075))-1</f>
        <v>0.396082512626226</v>
      </c>
      <c r="J1075" s="489">
        <f>LN((1+G1075)/(1+H1075))</f>
        <v>0.0571164160736315</v>
      </c>
      <c r="K1075" s="489">
        <f>LN((1+I1075)/(1+H1075))</f>
        <v>-0.000212429226526398</v>
      </c>
      <c r="L1075" s="489">
        <f>(1+INDEX($AC$21:$AC$97,B1075))*(1+INDEX($AC$21:$AC$97,C1075))*(1+INDEX($AC$21:$AC$97,D1075))*(1+INDEX($AC$21:$AC$97,E1075))*(1+INDEX($AC$21:$AC$97,F1075))-1</f>
        <v>0.424053243903138</v>
      </c>
      <c r="M1075" s="489">
        <f>(1+INDEX($AD$21:$AD$97,B1075))*(1+INDEX($AD$21:$AD$97,C1075))*(1+INDEX($AD$21:$AD$97,D1075))*(1+INDEX($AD$21:$AD$97,E1075))*(1+INDEX($AD$21:$AD$97,F1075))-1</f>
        <v>0.390884316429104</v>
      </c>
      <c r="N1075" s="489">
        <f>(1+INDEX($AE$21:$AE$97,B1075))*(1+INDEX($AE$21:$AE$97,C1075))*(1+INDEX($AE$21:$AE$97,D1075))*(1+INDEX($AE$21:$AE$97,E1075))*(1+INDEX($AE$21:$AE$97,F1075))-1</f>
        <v>0.407788394248063</v>
      </c>
      <c r="O1075" s="489">
        <f>(1+INDEX($AF$21:$AF$97,B1075))*(1+INDEX($AF$21:$AF$97,C1075))*(1+INDEX($AF$21:$AF$97,D1075))*(1+INDEX($AF$21:$AF$97,E1075))*(1+INDEX($AF$21:$AF$97,F1075))-1</f>
        <v>0.425453407997004</v>
      </c>
      <c r="P1075" s="489">
        <f>LN((1+L1075)/(1+H1075))</f>
        <v>0.0196246643864313</v>
      </c>
      <c r="Q1075" s="489">
        <f>LN((1+M1075)/(1+H1075))</f>
        <v>-0.00394279456201579</v>
      </c>
      <c r="R1075" s="489">
        <f>LN((1+N1075)/(1+H1075))</f>
        <v>0.00813741997959224</v>
      </c>
      <c r="S1075" s="542">
        <f>LN((1+O1075)/(1+H1075))</f>
        <v>0.0206074058765206</v>
      </c>
    </row>
    <row r="1076">
      <c r="A1076" s="320" t="n">
        <v>975</v>
      </c>
      <c r="B1076" s="174" t="n">
        <v>30</v>
      </c>
      <c r="C1076" s="174" t="n">
        <v>16</v>
      </c>
      <c r="D1076" s="174" t="n">
        <v>63</v>
      </c>
      <c r="E1076" s="174" t="n">
        <v>7</v>
      </c>
      <c r="F1076" s="174" t="n">
        <v>52</v>
      </c>
      <c r="G1076" s="68">
        <f>(1+INDEX($Z$21:$Z$97,B1076))*(1+INDEX($Z$21:$Z$97,C1076))*(1+INDEX($Z$21:$Z$97,D1076))*(1+INDEX($Z$21:$Z$97,E1076))*(1+INDEX($Z$21:$Z$97,F1076))-1</f>
        <v>0.106583973858702</v>
      </c>
      <c r="H1076" s="68">
        <f>(1+INDEX($AA$21:$AA$97,B1076))*(1+INDEX($AA$21:$AA$97,C1076))*(1+INDEX($AA$21:$AA$97,D1076))*(1+INDEX($AA$21:$AA$97,E1076))*(1+INDEX($AA$21:$AA$97,F1076))-1</f>
        <v>0.111954195412547</v>
      </c>
      <c r="I1076" s="68">
        <f>(1+INDEX($AB$21:$AB$97,B1076))*(1+INDEX($AB$21:$AB$97,C1076))*(1+INDEX($AB$21:$AB$97,D1076))*(1+INDEX($AB$21:$AB$97,E1076))*(1+INDEX($AB$21:$AB$97,F1076))-1</f>
        <v>0.117753980924604</v>
      </c>
      <c r="J1076" s="489">
        <f>LN((1+G1076)/(1+H1076))</f>
        <v>-0.00484123475265107</v>
      </c>
      <c r="K1076" s="489">
        <f>LN((1+I1076)/(1+H1076))</f>
        <v>0.00520229387323817</v>
      </c>
      <c r="L1076" s="489">
        <f>(1+INDEX($AC$21:$AC$97,B1076))*(1+INDEX($AC$21:$AC$97,C1076))*(1+INDEX($AC$21:$AC$97,D1076))*(1+INDEX($AC$21:$AC$97,E1076))*(1+INDEX($AC$21:$AC$97,F1076))-1</f>
        <v>0.109444043393649</v>
      </c>
      <c r="M1076" s="489">
        <f>(1+INDEX($AD$21:$AD$97,B1076))*(1+INDEX($AD$21:$AD$97,C1076))*(1+INDEX($AD$21:$AD$97,D1076))*(1+INDEX($AD$21:$AD$97,E1076))*(1+INDEX($AD$21:$AD$97,F1076))-1</f>
        <v>0.0916347504630981</v>
      </c>
      <c r="N1076" s="489">
        <f>(1+INDEX($AE$21:$AE$97,B1076))*(1+INDEX($AE$21:$AE$97,C1076))*(1+INDEX($AE$21:$AE$97,D1076))*(1+INDEX($AE$21:$AE$97,E1076))*(1+INDEX($AE$21:$AE$97,F1076))-1</f>
        <v>0.0987641247460249</v>
      </c>
      <c r="O1076" s="489">
        <f>(1+INDEX($AF$21:$AF$97,B1076))*(1+INDEX($AF$21:$AF$97,C1076))*(1+INDEX($AF$21:$AF$97,D1076))*(1+INDEX($AF$21:$AF$97,E1076))*(1+INDEX($AF$21:$AF$97,F1076))-1</f>
        <v>0.105276479051076</v>
      </c>
      <c r="P1076" s="489">
        <f>LN((1+L1076)/(1+H1076))</f>
        <v>-0.0022599757606981</v>
      </c>
      <c r="Q1076" s="489">
        <f>LN((1+M1076)/(1+H1076))</f>
        <v>-0.0184426600295341</v>
      </c>
      <c r="R1076" s="489">
        <f>LN((1+N1076)/(1+H1076))</f>
        <v>-0.0119329785831379</v>
      </c>
      <c r="S1076" s="542">
        <f>LN((1+O1076)/(1+H1076))</f>
        <v>-0.00602349284510895</v>
      </c>
    </row>
    <row r="1077">
      <c r="A1077" s="320" t="n">
        <v>976</v>
      </c>
      <c r="B1077" s="174" t="n">
        <v>43</v>
      </c>
      <c r="C1077" s="174" t="n">
        <v>54</v>
      </c>
      <c r="D1077" s="174" t="n">
        <v>73</v>
      </c>
      <c r="E1077" s="174" t="n">
        <v>66</v>
      </c>
      <c r="F1077" s="174" t="n">
        <v>26</v>
      </c>
      <c r="G1077" s="68">
        <f>(1+INDEX($Z$21:$Z$97,B1077))*(1+INDEX($Z$21:$Z$97,C1077))*(1+INDEX($Z$21:$Z$97,D1077))*(1+INDEX($Z$21:$Z$97,E1077))*(1+INDEX($Z$21:$Z$97,F1077))-1</f>
        <v>0.434126842419026</v>
      </c>
      <c r="H1077" s="68">
        <f>(1+INDEX($AA$21:$AA$97,B1077))*(1+INDEX($AA$21:$AA$97,C1077))*(1+INDEX($AA$21:$AA$97,D1077))*(1+INDEX($AA$21:$AA$97,E1077))*(1+INDEX($AA$21:$AA$97,F1077))-1</f>
        <v>0.427864006362607</v>
      </c>
      <c r="I1077" s="68">
        <f>(1+INDEX($AB$21:$AB$97,B1077))*(1+INDEX($AB$21:$AB$97,C1077))*(1+INDEX($AB$21:$AB$97,D1077))*(1+INDEX($AB$21:$AB$97,E1077))*(1+INDEX($AB$21:$AB$97,F1077))-1</f>
        <v>0.494964318346819</v>
      </c>
      <c r="J1077" s="489">
        <f>LN((1+G1077)/(1+H1077))</f>
        <v>0.00437656609264475</v>
      </c>
      <c r="K1077" s="489">
        <f>LN((1+I1077)/(1+H1077))</f>
        <v>0.0459227134885275</v>
      </c>
      <c r="L1077" s="489">
        <f>(1+INDEX($AC$21:$AC$97,B1077))*(1+INDEX($AC$21:$AC$97,C1077))*(1+INDEX($AC$21:$AC$97,D1077))*(1+INDEX($AC$21:$AC$97,E1077))*(1+INDEX($AC$21:$AC$97,F1077))-1</f>
        <v>0.481138037367113</v>
      </c>
      <c r="M1077" s="489">
        <f>(1+INDEX($AD$21:$AD$97,B1077))*(1+INDEX($AD$21:$AD$97,C1077))*(1+INDEX($AD$21:$AD$97,D1077))*(1+INDEX($AD$21:$AD$97,E1077))*(1+INDEX($AD$21:$AD$97,F1077))-1</f>
        <v>0.498496050130455</v>
      </c>
      <c r="N1077" s="489">
        <f>(1+INDEX($AE$21:$AE$97,B1077))*(1+INDEX($AE$21:$AE$97,C1077))*(1+INDEX($AE$21:$AE$97,D1077))*(1+INDEX($AE$21:$AE$97,E1077))*(1+INDEX($AE$21:$AE$97,F1077))-1</f>
        <v>0.468238325851706</v>
      </c>
      <c r="O1077" s="489">
        <f>(1+INDEX($AF$21:$AF$97,B1077))*(1+INDEX($AF$21:$AF$97,C1077))*(1+INDEX($AF$21:$AF$97,D1077))*(1+INDEX($AF$21:$AF$97,E1077))*(1+INDEX($AF$21:$AF$97,F1077))-1</f>
        <v>0.480896205847833</v>
      </c>
      <c r="P1077" s="489">
        <f>LN((1+L1077)/(1+H1077))</f>
        <v>0.0366311107141409</v>
      </c>
      <c r="Q1077" s="489">
        <f>LN((1+M1077)/(1+H1077))</f>
        <v>0.0482823461461108</v>
      </c>
      <c r="R1077" s="489">
        <f>LN((1+N1077)/(1+H1077))</f>
        <v>0.0278836385831014</v>
      </c>
      <c r="S1077" s="542">
        <f>LN((1+O1077)/(1+H1077))</f>
        <v>0.0364678232569671</v>
      </c>
    </row>
    <row r="1078">
      <c r="A1078" s="320" t="n">
        <v>977</v>
      </c>
      <c r="B1078" s="174" t="n">
        <v>28</v>
      </c>
      <c r="C1078" s="174" t="n">
        <v>31</v>
      </c>
      <c r="D1078" s="174" t="n">
        <v>23</v>
      </c>
      <c r="E1078" s="174" t="n">
        <v>24</v>
      </c>
      <c r="F1078" s="174" t="n">
        <v>40</v>
      </c>
      <c r="G1078" s="68">
        <f>(1+INDEX($Z$21:$Z$97,B1078))*(1+INDEX($Z$21:$Z$97,C1078))*(1+INDEX($Z$21:$Z$97,D1078))*(1+INDEX($Z$21:$Z$97,E1078))*(1+INDEX($Z$21:$Z$97,F1078))-1</f>
        <v>0.854264161422671</v>
      </c>
      <c r="H1078" s="68">
        <f>(1+INDEX($AA$21:$AA$97,B1078))*(1+INDEX($AA$21:$AA$97,C1078))*(1+INDEX($AA$21:$AA$97,D1078))*(1+INDEX($AA$21:$AA$97,E1078))*(1+INDEX($AA$21:$AA$97,F1078))-1</f>
        <v>0.809043595537184</v>
      </c>
      <c r="I1078" s="68">
        <f>(1+INDEX($AB$21:$AB$97,B1078))*(1+INDEX($AB$21:$AB$97,C1078))*(1+INDEX($AB$21:$AB$97,D1078))*(1+INDEX($AB$21:$AB$97,E1078))*(1+INDEX($AB$21:$AB$97,F1078))-1</f>
        <v>0.909396524998571</v>
      </c>
      <c r="J1078" s="489">
        <f>LN((1+G1078)/(1+H1078))</f>
        <v>0.0246896335139114</v>
      </c>
      <c r="K1078" s="489">
        <f>LN((1+I1078)/(1+H1078))</f>
        <v>0.0539889312665311</v>
      </c>
      <c r="L1078" s="489">
        <f>(1+INDEX($AC$21:$AC$97,B1078))*(1+INDEX($AC$21:$AC$97,C1078))*(1+INDEX($AC$21:$AC$97,D1078))*(1+INDEX($AC$21:$AC$97,E1078))*(1+INDEX($AC$21:$AC$97,F1078))-1</f>
        <v>0.907274639560088</v>
      </c>
      <c r="M1078" s="489">
        <f>(1+INDEX($AD$21:$AD$97,B1078))*(1+INDEX($AD$21:$AD$97,C1078))*(1+INDEX($AD$21:$AD$97,D1078))*(1+INDEX($AD$21:$AD$97,E1078))*(1+INDEX($AD$21:$AD$97,F1078))-1</f>
        <v>0.896976960712507</v>
      </c>
      <c r="N1078" s="489">
        <f>(1+INDEX($AE$21:$AE$97,B1078))*(1+INDEX($AE$21:$AE$97,C1078))*(1+INDEX($AE$21:$AE$97,D1078))*(1+INDEX($AE$21:$AE$97,E1078))*(1+INDEX($AE$21:$AE$97,F1078))-1</f>
        <v>0.887970464625778</v>
      </c>
      <c r="O1078" s="489">
        <f>(1+INDEX($AF$21:$AF$97,B1078))*(1+INDEX($AF$21:$AF$97,C1078))*(1+INDEX($AF$21:$AF$97,D1078))*(1+INDEX($AF$21:$AF$97,E1078))*(1+INDEX($AF$21:$AF$97,F1078))-1</f>
        <v>0.833144717937338</v>
      </c>
      <c r="P1078" s="489">
        <f>LN((1+L1078)/(1+H1078))</f>
        <v>0.0528770274290725</v>
      </c>
      <c r="Q1078" s="489">
        <f>LN((1+M1078)/(1+H1078))</f>
        <v>0.0474632403924153</v>
      </c>
      <c r="R1078" s="489">
        <f>LN((1+N1078)/(1+H1078))</f>
        <v>0.0427041184951756</v>
      </c>
      <c r="S1078" s="542">
        <f>LN((1+O1078)/(1+H1078))</f>
        <v>0.0132346117831785</v>
      </c>
    </row>
    <row r="1079">
      <c r="A1079" s="320" t="n">
        <v>978</v>
      </c>
      <c r="B1079" s="174" t="n">
        <v>36</v>
      </c>
      <c r="C1079" s="174" t="n">
        <v>57</v>
      </c>
      <c r="D1079" s="174" t="n">
        <v>69</v>
      </c>
      <c r="E1079" s="174" t="n">
        <v>5</v>
      </c>
      <c r="F1079" s="174" t="n">
        <v>44</v>
      </c>
      <c r="G1079" s="68">
        <f>(1+INDEX($Z$21:$Z$97,B1079))*(1+INDEX($Z$21:$Z$97,C1079))*(1+INDEX($Z$21:$Z$97,D1079))*(1+INDEX($Z$21:$Z$97,E1079))*(1+INDEX($Z$21:$Z$97,F1079))-1</f>
        <v>0.44466548609242</v>
      </c>
      <c r="H1079" s="68">
        <f>(1+INDEX($AA$21:$AA$97,B1079))*(1+INDEX($AA$21:$AA$97,C1079))*(1+INDEX($AA$21:$AA$97,D1079))*(1+INDEX($AA$21:$AA$97,E1079))*(1+INDEX($AA$21:$AA$97,F1079))-1</f>
        <v>0.435134801080278</v>
      </c>
      <c r="I1079" s="68">
        <f>(1+INDEX($AB$21:$AB$97,B1079))*(1+INDEX($AB$21:$AB$97,C1079))*(1+INDEX($AB$21:$AB$97,D1079))*(1+INDEX($AB$21:$AB$97,E1079))*(1+INDEX($AB$21:$AB$97,F1079))-1</f>
        <v>0.446242318776892</v>
      </c>
      <c r="J1079" s="489">
        <f>LN((1+G1079)/(1+H1079))</f>
        <v>0.00661901441609343</v>
      </c>
      <c r="K1079" s="489">
        <f>LN((1+I1079)/(1+H1079))</f>
        <v>0.00770990554599434</v>
      </c>
      <c r="L1079" s="489">
        <f>(1+INDEX($AC$21:$AC$97,B1079))*(1+INDEX($AC$21:$AC$97,C1079))*(1+INDEX($AC$21:$AC$97,D1079))*(1+INDEX($AC$21:$AC$97,E1079))*(1+INDEX($AC$21:$AC$97,F1079))-1</f>
        <v>0.454452454655671</v>
      </c>
      <c r="M1079" s="489">
        <f>(1+INDEX($AD$21:$AD$97,B1079))*(1+INDEX($AD$21:$AD$97,C1079))*(1+INDEX($AD$21:$AD$97,D1079))*(1+INDEX($AD$21:$AD$97,E1079))*(1+INDEX($AD$21:$AD$97,F1079))-1</f>
        <v>0.435658216343878</v>
      </c>
      <c r="N1079" s="489">
        <f>(1+INDEX($AE$21:$AE$97,B1079))*(1+INDEX($AE$21:$AE$97,C1079))*(1+INDEX($AE$21:$AE$97,D1079))*(1+INDEX($AE$21:$AE$97,E1079))*(1+INDEX($AE$21:$AE$97,F1079))-1</f>
        <v>0.450149157252092</v>
      </c>
      <c r="O1079" s="489">
        <f>(1+INDEX($AF$21:$AF$97,B1079))*(1+INDEX($AF$21:$AF$97,C1079))*(1+INDEX($AF$21:$AF$97,D1079))*(1+INDEX($AF$21:$AF$97,E1079))*(1+INDEX($AF$21:$AF$97,F1079))-1</f>
        <v>0.446879454555225</v>
      </c>
      <c r="P1079" s="489">
        <f>LN((1+L1079)/(1+H1079))</f>
        <v>0.0133707271383803</v>
      </c>
      <c r="Q1079" s="489">
        <f>LN((1+M1079)/(1+H1079))</f>
        <v>0.000364648559630642</v>
      </c>
      <c r="R1079" s="489">
        <f>LN((1+N1079)/(1+H1079))</f>
        <v>0.0104076353777171</v>
      </c>
      <c r="S1079" s="542">
        <f>LN((1+O1079)/(1+H1079))</f>
        <v>0.00815035419527469</v>
      </c>
    </row>
    <row r="1080">
      <c r="A1080" s="320" t="n">
        <v>979</v>
      </c>
      <c r="B1080" s="174" t="n">
        <v>75</v>
      </c>
      <c r="C1080" s="174" t="n">
        <v>26</v>
      </c>
      <c r="D1080" s="174" t="n">
        <v>74</v>
      </c>
      <c r="E1080" s="174" t="n">
        <v>32</v>
      </c>
      <c r="F1080" s="174" t="n">
        <v>31</v>
      </c>
      <c r="G1080" s="68">
        <f>(1+INDEX($Z$21:$Z$97,B1080))*(1+INDEX($Z$21:$Z$97,C1080))*(1+INDEX($Z$21:$Z$97,D1080))*(1+INDEX($Z$21:$Z$97,E1080))*(1+INDEX($Z$21:$Z$97,F1080))-1</f>
        <v>0.800344914325334</v>
      </c>
      <c r="H1080" s="68">
        <f>(1+INDEX($AA$21:$AA$97,B1080))*(1+INDEX($AA$21:$AA$97,C1080))*(1+INDEX($AA$21:$AA$97,D1080))*(1+INDEX($AA$21:$AA$97,E1080))*(1+INDEX($AA$21:$AA$97,F1080))-1</f>
        <v>0.78370750436803</v>
      </c>
      <c r="I1080" s="68">
        <f>(1+INDEX($AB$21:$AB$97,B1080))*(1+INDEX($AB$21:$AB$97,C1080))*(1+INDEX($AB$21:$AB$97,D1080))*(1+INDEX($AB$21:$AB$97,E1080))*(1+INDEX($AB$21:$AB$97,F1080))-1</f>
        <v>0.896625824680879</v>
      </c>
      <c r="J1080" s="489">
        <f>LN((1+G1080)/(1+H1080))</f>
        <v>0.00928419985008</v>
      </c>
      <c r="K1080" s="489">
        <f>LN((1+I1080)/(1+H1080))</f>
        <v>0.0613823599130301</v>
      </c>
      <c r="L1080" s="489">
        <f>(1+INDEX($AC$21:$AC$97,B1080))*(1+INDEX($AC$21:$AC$97,C1080))*(1+INDEX($AC$21:$AC$97,D1080))*(1+INDEX($AC$21:$AC$97,E1080))*(1+INDEX($AC$21:$AC$97,F1080))-1</f>
        <v>0.878247837012157</v>
      </c>
      <c r="M1080" s="489">
        <f>(1+INDEX($AD$21:$AD$97,B1080))*(1+INDEX($AD$21:$AD$97,C1080))*(1+INDEX($AD$21:$AD$97,D1080))*(1+INDEX($AD$21:$AD$97,E1080))*(1+INDEX($AD$21:$AD$97,F1080))-1</f>
        <v>0.890538971294326</v>
      </c>
      <c r="N1080" s="489">
        <f>(1+INDEX($AE$21:$AE$97,B1080))*(1+INDEX($AE$21:$AE$97,C1080))*(1+INDEX($AE$21:$AE$97,D1080))*(1+INDEX($AE$21:$AE$97,E1080))*(1+INDEX($AE$21:$AE$97,F1080))-1</f>
        <v>0.869737624609732</v>
      </c>
      <c r="O1080" s="489">
        <f>(1+INDEX($AF$21:$AF$97,B1080))*(1+INDEX($AF$21:$AF$97,C1080))*(1+INDEX($AF$21:$AF$97,D1080))*(1+INDEX($AF$21:$AF$97,E1080))*(1+INDEX($AF$21:$AF$97,F1080))-1</f>
        <v>0.781329745047505</v>
      </c>
      <c r="P1080" s="489">
        <f>LN((1+L1080)/(1+H1080))</f>
        <v>0.0516452749039761</v>
      </c>
      <c r="Q1080" s="489">
        <f>LN((1+M1080)/(1+H1080))</f>
        <v>0.0581678926502342</v>
      </c>
      <c r="R1080" s="489">
        <f>LN((1+N1080)/(1+H1080))</f>
        <v>0.0471040475620395</v>
      </c>
      <c r="S1080" s="542">
        <f>LN((1+O1080)/(1+H1080))</f>
        <v>-0.00133393258288815</v>
      </c>
    </row>
    <row r="1081">
      <c r="A1081" s="320" t="n">
        <v>980</v>
      </c>
      <c r="B1081" s="174" t="n">
        <v>61</v>
      </c>
      <c r="C1081" s="174" t="n">
        <v>7</v>
      </c>
      <c r="D1081" s="174" t="n">
        <v>57</v>
      </c>
      <c r="E1081" s="174" t="n">
        <v>60</v>
      </c>
      <c r="F1081" s="174" t="n">
        <v>26</v>
      </c>
      <c r="G1081" s="68">
        <f>(1+INDEX($Z$21:$Z$97,B1081))*(1+INDEX($Z$21:$Z$97,C1081))*(1+INDEX($Z$21:$Z$97,D1081))*(1+INDEX($Z$21:$Z$97,E1081))*(1+INDEX($Z$21:$Z$97,F1081))-1</f>
        <v>0.600320379536281</v>
      </c>
      <c r="H1081" s="68">
        <f>(1+INDEX($AA$21:$AA$97,B1081))*(1+INDEX($AA$21:$AA$97,C1081))*(1+INDEX($AA$21:$AA$97,D1081))*(1+INDEX($AA$21:$AA$97,E1081))*(1+INDEX($AA$21:$AA$97,F1081))-1</f>
        <v>0.602287281076638</v>
      </c>
      <c r="I1081" s="68">
        <f>(1+INDEX($AB$21:$AB$97,B1081))*(1+INDEX($AB$21:$AB$97,C1081))*(1+INDEX($AB$21:$AB$97,D1081))*(1+INDEX($AB$21:$AB$97,E1081))*(1+INDEX($AB$21:$AB$97,F1081))-1</f>
        <v>0.624757843593643</v>
      </c>
      <c r="J1081" s="489">
        <f>LN((1+G1081)/(1+H1081))</f>
        <v>-0.00122831267272867</v>
      </c>
      <c r="K1081" s="489">
        <f>LN((1+I1081)/(1+H1081))</f>
        <v>0.0139266262663828</v>
      </c>
      <c r="L1081" s="489">
        <f>(1+INDEX($AC$21:$AC$97,B1081))*(1+INDEX($AC$21:$AC$97,C1081))*(1+INDEX($AC$21:$AC$97,D1081))*(1+INDEX($AC$21:$AC$97,E1081))*(1+INDEX($AC$21:$AC$97,F1081))-1</f>
        <v>0.678427844097275</v>
      </c>
      <c r="M1081" s="489">
        <f>(1+INDEX($AD$21:$AD$97,B1081))*(1+INDEX($AD$21:$AD$97,C1081))*(1+INDEX($AD$21:$AD$97,D1081))*(1+INDEX($AD$21:$AD$97,E1081))*(1+INDEX($AD$21:$AD$97,F1081))-1</f>
        <v>0.548074799480827</v>
      </c>
      <c r="N1081" s="489">
        <f>(1+INDEX($AE$21:$AE$97,B1081))*(1+INDEX($AE$21:$AE$97,C1081))*(1+INDEX($AE$21:$AE$97,D1081))*(1+INDEX($AE$21:$AE$97,E1081))*(1+INDEX($AE$21:$AE$97,F1081))-1</f>
        <v>0.686834074042373</v>
      </c>
      <c r="O1081" s="489">
        <f>(1+INDEX($AF$21:$AF$97,B1081))*(1+INDEX($AF$21:$AF$97,C1081))*(1+INDEX($AF$21:$AF$97,D1081))*(1+INDEX($AF$21:$AF$97,E1081))*(1+INDEX($AF$21:$AF$97,F1081))-1</f>
        <v>0.513538197490242</v>
      </c>
      <c r="P1081" s="489">
        <f>LN((1+L1081)/(1+H1081))</f>
        <v>0.0464253891055517</v>
      </c>
      <c r="Q1081" s="489">
        <f>LN((1+M1081)/(1+H1081))</f>
        <v>-0.0344200650056339</v>
      </c>
      <c r="R1081" s="489">
        <f>LN((1+N1081)/(1+H1081))</f>
        <v>0.0514212840069334</v>
      </c>
      <c r="S1081" s="542">
        <f>LN((1+O1081)/(1+H1081))</f>
        <v>-0.0569820720698593</v>
      </c>
    </row>
    <row r="1082">
      <c r="A1082" s="320" t="n">
        <v>981</v>
      </c>
      <c r="B1082" s="174" t="n">
        <v>4</v>
      </c>
      <c r="C1082" s="174" t="n">
        <v>24</v>
      </c>
      <c r="D1082" s="174" t="n">
        <v>35</v>
      </c>
      <c r="E1082" s="174" t="n">
        <v>23</v>
      </c>
      <c r="F1082" s="174" t="n">
        <v>12</v>
      </c>
      <c r="G1082" s="68">
        <f>(1+INDEX($Z$21:$Z$97,B1082))*(1+INDEX($Z$21:$Z$97,C1082))*(1+INDEX($Z$21:$Z$97,D1082))*(1+INDEX($Z$21:$Z$97,E1082))*(1+INDEX($Z$21:$Z$97,F1082))-1</f>
        <v>0.719990161458346</v>
      </c>
      <c r="H1082" s="68">
        <f>(1+INDEX($AA$21:$AA$97,B1082))*(1+INDEX($AA$21:$AA$97,C1082))*(1+INDEX($AA$21:$AA$97,D1082))*(1+INDEX($AA$21:$AA$97,E1082))*(1+INDEX($AA$21:$AA$97,F1082))-1</f>
        <v>0.616826035269798</v>
      </c>
      <c r="I1082" s="68">
        <f>(1+INDEX($AB$21:$AB$97,B1082))*(1+INDEX($AB$21:$AB$97,C1082))*(1+INDEX($AB$21:$AB$97,D1082))*(1+INDEX($AB$21:$AB$97,E1082))*(1+INDEX($AB$21:$AB$97,F1082))-1</f>
        <v>0.659469533516357</v>
      </c>
      <c r="J1082" s="489">
        <f>LN((1+G1082)/(1+H1082))</f>
        <v>0.0618535807865048</v>
      </c>
      <c r="K1082" s="489">
        <f>LN((1+I1082)/(1+H1082))</f>
        <v>0.0260330032360583</v>
      </c>
      <c r="L1082" s="489">
        <f>(1+INDEX($AC$21:$AC$97,B1082))*(1+INDEX($AC$21:$AC$97,C1082))*(1+INDEX($AC$21:$AC$97,D1082))*(1+INDEX($AC$21:$AC$97,E1082))*(1+INDEX($AC$21:$AC$97,F1082))-1</f>
        <v>0.664464476148931</v>
      </c>
      <c r="M1082" s="489">
        <f>(1+INDEX($AD$21:$AD$97,B1082))*(1+INDEX($AD$21:$AD$97,C1082))*(1+INDEX($AD$21:$AD$97,D1082))*(1+INDEX($AD$21:$AD$97,E1082))*(1+INDEX($AD$21:$AD$97,F1082))-1</f>
        <v>0.672197029235066</v>
      </c>
      <c r="N1082" s="489">
        <f>(1+INDEX($AE$21:$AE$97,B1082))*(1+INDEX($AE$21:$AE$97,C1082))*(1+INDEX($AE$21:$AE$97,D1082))*(1+INDEX($AE$21:$AE$97,E1082))*(1+INDEX($AE$21:$AE$97,F1082))-1</f>
        <v>0.633765830203981</v>
      </c>
      <c r="O1082" s="489">
        <f>(1+INDEX($AF$21:$AF$97,B1082))*(1+INDEX($AF$21:$AF$97,C1082))*(1+INDEX($AF$21:$AF$97,D1082))*(1+INDEX($AF$21:$AF$97,E1082))*(1+INDEX($AF$21:$AF$97,F1082))-1</f>
        <v>0.63426684240309</v>
      </c>
      <c r="P1082" s="489">
        <f>LN((1+L1082)/(1+H1082))</f>
        <v>0.0290384458097441</v>
      </c>
      <c r="Q1082" s="489">
        <f>LN((1+M1082)/(1+H1082))</f>
        <v>0.0336733582313233</v>
      </c>
      <c r="R1082" s="489">
        <f>LN((1+N1082)/(1+H1082))</f>
        <v>0.0104226854590239</v>
      </c>
      <c r="S1082" s="542">
        <f>LN((1+O1082)/(1+H1082))</f>
        <v>0.0107292994088991</v>
      </c>
    </row>
    <row r="1083">
      <c r="A1083" s="320" t="n">
        <v>982</v>
      </c>
      <c r="B1083" s="174" t="n">
        <v>68</v>
      </c>
      <c r="C1083" s="174" t="n">
        <v>77</v>
      </c>
      <c r="D1083" s="174" t="n">
        <v>75</v>
      </c>
      <c r="E1083" s="174" t="n">
        <v>39</v>
      </c>
      <c r="F1083" s="174" t="n">
        <v>33</v>
      </c>
      <c r="G1083" s="68">
        <f>(1+INDEX($Z$21:$Z$97,B1083))*(1+INDEX($Z$21:$Z$97,C1083))*(1+INDEX($Z$21:$Z$97,D1083))*(1+INDEX($Z$21:$Z$97,E1083))*(1+INDEX($Z$21:$Z$97,F1083))-1</f>
        <v>0.697364906101064</v>
      </c>
      <c r="H1083" s="68">
        <f>(1+INDEX($AA$21:$AA$97,B1083))*(1+INDEX($AA$21:$AA$97,C1083))*(1+INDEX($AA$21:$AA$97,D1083))*(1+INDEX($AA$21:$AA$97,E1083))*(1+INDEX($AA$21:$AA$97,F1083))-1</f>
        <v>0.652813828649332</v>
      </c>
      <c r="I1083" s="68">
        <f>(1+INDEX($AB$21:$AB$97,B1083))*(1+INDEX($AB$21:$AB$97,C1083))*(1+INDEX($AB$21:$AB$97,D1083))*(1+INDEX($AB$21:$AB$97,E1083))*(1+INDEX($AB$21:$AB$97,F1083))-1</f>
        <v>0.743902936203924</v>
      </c>
      <c r="J1083" s="489">
        <f>LN((1+G1083)/(1+H1083))</f>
        <v>0.0265978070993954</v>
      </c>
      <c r="K1083" s="489">
        <f>LN((1+I1083)/(1+H1083))</f>
        <v>0.0536464819419477</v>
      </c>
      <c r="L1083" s="489">
        <f>(1+INDEX($AC$21:$AC$97,B1083))*(1+INDEX($AC$21:$AC$97,C1083))*(1+INDEX($AC$21:$AC$97,D1083))*(1+INDEX($AC$21:$AC$97,E1083))*(1+INDEX($AC$21:$AC$97,F1083))-1</f>
        <v>0.730950294315915</v>
      </c>
      <c r="M1083" s="489">
        <f>(1+INDEX($AD$21:$AD$97,B1083))*(1+INDEX($AD$21:$AD$97,C1083))*(1+INDEX($AD$21:$AD$97,D1083))*(1+INDEX($AD$21:$AD$97,E1083))*(1+INDEX($AD$21:$AD$97,F1083))-1</f>
        <v>0.742997721575745</v>
      </c>
      <c r="N1083" s="489">
        <f>(1+INDEX($AE$21:$AE$97,B1083))*(1+INDEX($AE$21:$AE$97,C1083))*(1+INDEX($AE$21:$AE$97,D1083))*(1+INDEX($AE$21:$AE$97,E1083))*(1+INDEX($AE$21:$AE$97,F1083))-1</f>
        <v>0.707960297985594</v>
      </c>
      <c r="O1083" s="489">
        <f>(1+INDEX($AF$21:$AF$97,B1083))*(1+INDEX($AF$21:$AF$97,C1083))*(1+INDEX($AF$21:$AF$97,D1083))*(1+INDEX($AF$21:$AF$97,E1083))*(1+INDEX($AF$21:$AF$97,F1083))-1</f>
        <v>0.67322574192789</v>
      </c>
      <c r="P1083" s="489">
        <f>LN((1+L1083)/(1+H1083))</f>
        <v>0.0461913746211407</v>
      </c>
      <c r="Q1083" s="489">
        <f>LN((1+M1083)/(1+H1083))</f>
        <v>0.0531272732019483</v>
      </c>
      <c r="R1083" s="489">
        <f>LN((1+N1083)/(1+H1083))</f>
        <v>0.032820664207479</v>
      </c>
      <c r="S1083" s="542">
        <f>LN((1+O1083)/(1+H1083))</f>
        <v>0.0122741591660676</v>
      </c>
    </row>
    <row r="1084">
      <c r="A1084" s="320" t="n">
        <v>983</v>
      </c>
      <c r="B1084" s="174" t="n">
        <v>48</v>
      </c>
      <c r="C1084" s="174" t="n">
        <v>3</v>
      </c>
      <c r="D1084" s="174" t="n">
        <v>58</v>
      </c>
      <c r="E1084" s="174" t="n">
        <v>64</v>
      </c>
      <c r="F1084" s="174" t="n">
        <v>52</v>
      </c>
      <c r="G1084" s="68">
        <f>(1+INDEX($Z$21:$Z$97,B1084))*(1+INDEX($Z$21:$Z$97,C1084))*(1+INDEX($Z$21:$Z$97,D1084))*(1+INDEX($Z$21:$Z$97,E1084))*(1+INDEX($Z$21:$Z$97,F1084))-1</f>
        <v>0.487330959037109</v>
      </c>
      <c r="H1084" s="68">
        <f>(1+INDEX($AA$21:$AA$97,B1084))*(1+INDEX($AA$21:$AA$97,C1084))*(1+INDEX($AA$21:$AA$97,D1084))*(1+INDEX($AA$21:$AA$97,E1084))*(1+INDEX($AA$21:$AA$97,F1084))-1</f>
        <v>0.419640530932509</v>
      </c>
      <c r="I1084" s="68">
        <f>(1+INDEX($AB$21:$AB$97,B1084))*(1+INDEX($AB$21:$AB$97,C1084))*(1+INDEX($AB$21:$AB$97,D1084))*(1+INDEX($AB$21:$AB$97,E1084))*(1+INDEX($AB$21:$AB$97,F1084))-1</f>
        <v>0.45107173690077</v>
      </c>
      <c r="J1084" s="489">
        <f>LN((1+G1084)/(1+H1084))</f>
        <v>0.0465795186611924</v>
      </c>
      <c r="K1084" s="489">
        <f>LN((1+I1084)/(1+H1084))</f>
        <v>0.0218987199729529</v>
      </c>
      <c r="L1084" s="489">
        <f>(1+INDEX($AC$21:$AC$97,B1084))*(1+INDEX($AC$21:$AC$97,C1084))*(1+INDEX($AC$21:$AC$97,D1084))*(1+INDEX($AC$21:$AC$97,E1084))*(1+INDEX($AC$21:$AC$97,F1084))-1</f>
        <v>0.470229918124238</v>
      </c>
      <c r="M1084" s="489">
        <f>(1+INDEX($AD$21:$AD$97,B1084))*(1+INDEX($AD$21:$AD$97,C1084))*(1+INDEX($AD$21:$AD$97,D1084))*(1+INDEX($AD$21:$AD$97,E1084))*(1+INDEX($AD$21:$AD$97,F1084))-1</f>
        <v>0.41281812018643</v>
      </c>
      <c r="N1084" s="489">
        <f>(1+INDEX($AE$21:$AE$97,B1084))*(1+INDEX($AE$21:$AE$97,C1084))*(1+INDEX($AE$21:$AE$97,D1084))*(1+INDEX($AE$21:$AE$97,E1084))*(1+INDEX($AE$21:$AE$97,F1084))-1</f>
        <v>0.462931555372931</v>
      </c>
      <c r="O1084" s="489">
        <f>(1+INDEX($AF$21:$AF$97,B1084))*(1+INDEX($AF$21:$AF$97,C1084))*(1+INDEX($AF$21:$AF$97,D1084))*(1+INDEX($AF$21:$AF$97,E1084))*(1+INDEX($AF$21:$AF$97,F1084))-1</f>
        <v>0.393723277597279</v>
      </c>
      <c r="P1084" s="489">
        <f>LN((1+L1084)/(1+H1084))</f>
        <v>0.0350151031122263</v>
      </c>
      <c r="Q1084" s="489">
        <f>LN((1+M1084)/(1+H1084))</f>
        <v>-0.004817315823542</v>
      </c>
      <c r="R1084" s="489">
        <f>LN((1+N1084)/(1+H1084))</f>
        <v>0.0300386448576603</v>
      </c>
      <c r="S1084" s="542">
        <f>LN((1+O1084)/(1+H1084))</f>
        <v>-0.0184249093172598</v>
      </c>
    </row>
    <row r="1085">
      <c r="A1085" s="320" t="n">
        <v>984</v>
      </c>
      <c r="B1085" s="174" t="n">
        <v>59</v>
      </c>
      <c r="C1085" s="174" t="n">
        <v>33</v>
      </c>
      <c r="D1085" s="174" t="n">
        <v>72</v>
      </c>
      <c r="E1085" s="174" t="n">
        <v>1</v>
      </c>
      <c r="F1085" s="174" t="n">
        <v>25</v>
      </c>
      <c r="G1085" s="68">
        <f>(1+INDEX($Z$21:$Z$97,B1085))*(1+INDEX($Z$21:$Z$97,C1085))*(1+INDEX($Z$21:$Z$97,D1085))*(1+INDEX($Z$21:$Z$97,E1085))*(1+INDEX($Z$21:$Z$97,F1085))-1</f>
        <v>1.08424292064666</v>
      </c>
      <c r="H1085" s="68">
        <f>(1+INDEX($AA$21:$AA$97,B1085))*(1+INDEX($AA$21:$AA$97,C1085))*(1+INDEX($AA$21:$AA$97,D1085))*(1+INDEX($AA$21:$AA$97,E1085))*(1+INDEX($AA$21:$AA$97,F1085))-1</f>
        <v>0.980734014990867</v>
      </c>
      <c r="I1085" s="68">
        <f>(1+INDEX($AB$21:$AB$97,B1085))*(1+INDEX($AB$21:$AB$97,C1085))*(1+INDEX($AB$21:$AB$97,D1085))*(1+INDEX($AB$21:$AB$97,E1085))*(1+INDEX($AB$21:$AB$97,F1085))-1</f>
        <v>1.07979503944441</v>
      </c>
      <c r="J1085" s="489">
        <f>LN((1+G1085)/(1+H1085))</f>
        <v>0.0509381910571161</v>
      </c>
      <c r="K1085" s="489">
        <f>LN((1+I1085)/(1+H1085))</f>
        <v>0.0488018594787181</v>
      </c>
      <c r="L1085" s="489">
        <f>(1+INDEX($AC$21:$AC$97,B1085))*(1+INDEX($AC$21:$AC$97,C1085))*(1+INDEX($AC$21:$AC$97,D1085))*(1+INDEX($AC$21:$AC$97,E1085))*(1+INDEX($AC$21:$AC$97,F1085))-1</f>
        <v>1.09474365698175</v>
      </c>
      <c r="M1085" s="489">
        <f>(1+INDEX($AD$21:$AD$97,B1085))*(1+INDEX($AD$21:$AD$97,C1085))*(1+INDEX($AD$21:$AD$97,D1085))*(1+INDEX($AD$21:$AD$97,E1085))*(1+INDEX($AD$21:$AD$97,F1085))-1</f>
        <v>1.06060409588096</v>
      </c>
      <c r="N1085" s="489">
        <f>(1+INDEX($AE$21:$AE$97,B1085))*(1+INDEX($AE$21:$AE$97,C1085))*(1+INDEX($AE$21:$AE$97,D1085))*(1+INDEX($AE$21:$AE$97,E1085))*(1+INDEX($AE$21:$AE$97,F1085))-1</f>
        <v>1.11169156325941</v>
      </c>
      <c r="O1085" s="489">
        <f>(1+INDEX($AF$21:$AF$97,B1085))*(1+INDEX($AF$21:$AF$97,C1085))*(1+INDEX($AF$21:$AF$97,D1085))*(1+INDEX($AF$21:$AF$97,E1085))*(1+INDEX($AF$21:$AF$97,F1085))-1</f>
        <v>0.929234206931434</v>
      </c>
      <c r="P1085" s="489">
        <f>LN((1+L1085)/(1+H1085))</f>
        <v>0.0559636958010571</v>
      </c>
      <c r="Q1085" s="489">
        <f>LN((1+M1085)/(1+H1085))</f>
        <v>0.0395316995890385</v>
      </c>
      <c r="R1085" s="489">
        <f>LN((1+N1085)/(1+H1085))</f>
        <v>0.0640218244051305</v>
      </c>
      <c r="S1085" s="542">
        <f>LN((1+O1085)/(1+H1085))</f>
        <v>-0.0263443504467464</v>
      </c>
    </row>
    <row r="1086">
      <c r="A1086" s="320" t="n">
        <v>985</v>
      </c>
      <c r="B1086" s="174" t="n">
        <v>34</v>
      </c>
      <c r="C1086" s="174" t="n">
        <v>46</v>
      </c>
      <c r="D1086" s="174" t="n">
        <v>24</v>
      </c>
      <c r="E1086" s="174" t="n">
        <v>29</v>
      </c>
      <c r="F1086" s="174" t="n">
        <v>45</v>
      </c>
      <c r="G1086" s="68">
        <f>(1+INDEX($Z$21:$Z$97,B1086))*(1+INDEX($Z$21:$Z$97,C1086))*(1+INDEX($Z$21:$Z$97,D1086))*(1+INDEX($Z$21:$Z$97,E1086))*(1+INDEX($Z$21:$Z$97,F1086))-1</f>
        <v>0.69145551172484</v>
      </c>
      <c r="H1086" s="68">
        <f>(1+INDEX($AA$21:$AA$97,B1086))*(1+INDEX($AA$21:$AA$97,C1086))*(1+INDEX($AA$21:$AA$97,D1086))*(1+INDEX($AA$21:$AA$97,E1086))*(1+INDEX($AA$21:$AA$97,F1086))-1</f>
        <v>0.694311057361343</v>
      </c>
      <c r="I1086" s="68">
        <f>(1+INDEX($AB$21:$AB$97,B1086))*(1+INDEX($AB$21:$AB$97,C1086))*(1+INDEX($AB$21:$AB$97,D1086))*(1+INDEX($AB$21:$AB$97,E1086))*(1+INDEX($AB$21:$AB$97,F1086))-1</f>
        <v>0.800191187779001</v>
      </c>
      <c r="J1086" s="489">
        <f>LN((1+G1086)/(1+H1086))</f>
        <v>-0.0016867945591072</v>
      </c>
      <c r="K1086" s="489">
        <f>LN((1+I1086)/(1+H1086))</f>
        <v>0.0606166723216023</v>
      </c>
      <c r="L1086" s="489">
        <f>(1+INDEX($AC$21:$AC$97,B1086))*(1+INDEX($AC$21:$AC$97,C1086))*(1+INDEX($AC$21:$AC$97,D1086))*(1+INDEX($AC$21:$AC$97,E1086))*(1+INDEX($AC$21:$AC$97,F1086))-1</f>
        <v>0.788250354951906</v>
      </c>
      <c r="M1086" s="489">
        <f>(1+INDEX($AD$21:$AD$97,B1086))*(1+INDEX($AD$21:$AD$97,C1086))*(1+INDEX($AD$21:$AD$97,D1086))*(1+INDEX($AD$21:$AD$97,E1086))*(1+INDEX($AD$21:$AD$97,F1086))-1</f>
        <v>0.780807736820565</v>
      </c>
      <c r="N1086" s="489">
        <f>(1+INDEX($AE$21:$AE$97,B1086))*(1+INDEX($AE$21:$AE$97,C1086))*(1+INDEX($AE$21:$AE$97,D1086))*(1+INDEX($AE$21:$AE$97,E1086))*(1+INDEX($AE$21:$AE$97,F1086))-1</f>
        <v>0.762138275082629</v>
      </c>
      <c r="O1086" s="489">
        <f>(1+INDEX($AF$21:$AF$97,B1086))*(1+INDEX($AF$21:$AF$97,C1086))*(1+INDEX($AF$21:$AF$97,D1086))*(1+INDEX($AF$21:$AF$97,E1086))*(1+INDEX($AF$21:$AF$97,F1086))-1</f>
        <v>0.690243894080455</v>
      </c>
      <c r="P1086" s="489">
        <f>LN((1+L1086)/(1+H1086))</f>
        <v>0.0539614841247107</v>
      </c>
      <c r="Q1086" s="489">
        <f>LN((1+M1086)/(1+H1086))</f>
        <v>0.049790843732659</v>
      </c>
      <c r="R1086" s="489">
        <f>LN((1+N1086)/(1+H1086))</f>
        <v>0.0392517982724011</v>
      </c>
      <c r="S1086" s="542">
        <f>LN((1+O1086)/(1+H1086))</f>
        <v>-0.00240336782647126</v>
      </c>
    </row>
    <row r="1087">
      <c r="A1087" s="320" t="n">
        <v>986</v>
      </c>
      <c r="B1087" s="174" t="n">
        <v>10</v>
      </c>
      <c r="C1087" s="174" t="n">
        <v>46</v>
      </c>
      <c r="D1087" s="174" t="n">
        <v>70</v>
      </c>
      <c r="E1087" s="174" t="n">
        <v>67</v>
      </c>
      <c r="F1087" s="174" t="n">
        <v>2</v>
      </c>
      <c r="G1087" s="68">
        <f>(1+INDEX($Z$21:$Z$97,B1087))*(1+INDEX($Z$21:$Z$97,C1087))*(1+INDEX($Z$21:$Z$97,D1087))*(1+INDEX($Z$21:$Z$97,E1087))*(1+INDEX($Z$21:$Z$97,F1087))-1</f>
        <v>0.356479706491535</v>
      </c>
      <c r="H1087" s="68">
        <f>(1+INDEX($AA$21:$AA$97,B1087))*(1+INDEX($AA$21:$AA$97,C1087))*(1+INDEX($AA$21:$AA$97,D1087))*(1+INDEX($AA$21:$AA$97,E1087))*(1+INDEX($AA$21:$AA$97,F1087))-1</f>
        <v>0.358774698066703</v>
      </c>
      <c r="I1087" s="68">
        <f>(1+INDEX($AB$21:$AB$97,B1087))*(1+INDEX($AB$21:$AB$97,C1087))*(1+INDEX($AB$21:$AB$97,D1087))*(1+INDEX($AB$21:$AB$97,E1087))*(1+INDEX($AB$21:$AB$97,F1087))-1</f>
        <v>0.355168353524542</v>
      </c>
      <c r="J1087" s="489">
        <f>LN((1+G1087)/(1+H1087))</f>
        <v>-0.00169044353105856</v>
      </c>
      <c r="K1087" s="489">
        <f>LN((1+I1087)/(1+H1087))</f>
        <v>-0.00265764358076756</v>
      </c>
      <c r="L1087" s="489">
        <f>(1+INDEX($AC$21:$AC$97,B1087))*(1+INDEX($AC$21:$AC$97,C1087))*(1+INDEX($AC$21:$AC$97,D1087))*(1+INDEX($AC$21:$AC$97,E1087))*(1+INDEX($AC$21:$AC$97,F1087))-1</f>
        <v>0.350866063379593</v>
      </c>
      <c r="M1087" s="489">
        <f>(1+INDEX($AD$21:$AD$97,B1087))*(1+INDEX($AD$21:$AD$97,C1087))*(1+INDEX($AD$21:$AD$97,D1087))*(1+INDEX($AD$21:$AD$97,E1087))*(1+INDEX($AD$21:$AD$97,F1087))-1</f>
        <v>0.364860538747492</v>
      </c>
      <c r="N1087" s="489">
        <f>(1+INDEX($AE$21:$AE$97,B1087))*(1+INDEX($AE$21:$AE$97,C1087))*(1+INDEX($AE$21:$AE$97,D1087))*(1+INDEX($AE$21:$AE$97,E1087))*(1+INDEX($AE$21:$AE$97,F1087))-1</f>
        <v>0.355302928710102</v>
      </c>
      <c r="O1087" s="489">
        <f>(1+INDEX($AF$21:$AF$97,B1087))*(1+INDEX($AF$21:$AF$97,C1087))*(1+INDEX($AF$21:$AF$97,D1087))*(1+INDEX($AF$21:$AF$97,E1087))*(1+INDEX($AF$21:$AF$97,F1087))-1</f>
        <v>0.388632734668572</v>
      </c>
      <c r="P1087" s="489">
        <f>LN((1+L1087)/(1+H1087))</f>
        <v>-0.00583742114982252</v>
      </c>
      <c r="Q1087" s="489">
        <f>LN((1+M1087)/(1+H1087))</f>
        <v>0.00446891766342304</v>
      </c>
      <c r="R1087" s="489">
        <f>LN((1+N1087)/(1+H1087))</f>
        <v>-0.00255834336935955</v>
      </c>
      <c r="S1087" s="542">
        <f>LN((1+O1087)/(1+H1087))</f>
        <v>0.0217362825858196</v>
      </c>
    </row>
    <row r="1088">
      <c r="A1088" s="320" t="n">
        <v>987</v>
      </c>
      <c r="B1088" s="174" t="n">
        <v>15</v>
      </c>
      <c r="C1088" s="174" t="n">
        <v>63</v>
      </c>
      <c r="D1088" s="174" t="n">
        <v>8</v>
      </c>
      <c r="E1088" s="174" t="n">
        <v>10</v>
      </c>
      <c r="F1088" s="174" t="n">
        <v>77</v>
      </c>
      <c r="G1088" s="68">
        <f>(1+INDEX($Z$21:$Z$97,B1088))*(1+INDEX($Z$21:$Z$97,C1088))*(1+INDEX($Z$21:$Z$97,D1088))*(1+INDEX($Z$21:$Z$97,E1088))*(1+INDEX($Z$21:$Z$97,F1088))-1</f>
        <v>-0.292064802405045</v>
      </c>
      <c r="H1088" s="68">
        <f>(1+INDEX($AA$21:$AA$97,B1088))*(1+INDEX($AA$21:$AA$97,C1088))*(1+INDEX($AA$21:$AA$97,D1088))*(1+INDEX($AA$21:$AA$97,E1088))*(1+INDEX($AA$21:$AA$97,F1088))-1</f>
        <v>-0.251967475839193</v>
      </c>
      <c r="I1088" s="68">
        <f>(1+INDEX($AB$21:$AB$97,B1088))*(1+INDEX($AB$21:$AB$97,C1088))*(1+INDEX($AB$21:$AB$97,D1088))*(1+INDEX($AB$21:$AB$97,E1088))*(1+INDEX($AB$21:$AB$97,F1088))-1</f>
        <v>-0.281700284798757</v>
      </c>
      <c r="J1088" s="489">
        <f>LN((1+G1088)/(1+H1088))</f>
        <v>-0.0550938978435731</v>
      </c>
      <c r="K1088" s="489">
        <f>LN((1+I1088)/(1+H1088))</f>
        <v>-0.0405595459368981</v>
      </c>
      <c r="L1088" s="489">
        <f>(1+INDEX($AC$21:$AC$97,B1088))*(1+INDEX($AC$21:$AC$97,C1088))*(1+INDEX($AC$21:$AC$97,D1088))*(1+INDEX($AC$21:$AC$97,E1088))*(1+INDEX($AC$21:$AC$97,F1088))-1</f>
        <v>-0.297065586365016</v>
      </c>
      <c r="M1088" s="489">
        <f>(1+INDEX($AD$21:$AD$97,B1088))*(1+INDEX($AD$21:$AD$97,C1088))*(1+INDEX($AD$21:$AD$97,D1088))*(1+INDEX($AD$21:$AD$97,E1088))*(1+INDEX($AD$21:$AD$97,F1088))-1</f>
        <v>-0.273388369964133</v>
      </c>
      <c r="N1088" s="489">
        <f>(1+INDEX($AE$21:$AE$97,B1088))*(1+INDEX($AE$21:$AE$97,C1088))*(1+INDEX($AE$21:$AE$97,D1088))*(1+INDEX($AE$21:$AE$97,E1088))*(1+INDEX($AE$21:$AE$97,F1088))-1</f>
        <v>-0.311072467256285</v>
      </c>
      <c r="O1088" s="489">
        <f>(1+INDEX($AF$21:$AF$97,B1088))*(1+INDEX($AF$21:$AF$97,C1088))*(1+INDEX($AF$21:$AF$97,D1088))*(1+INDEX($AF$21:$AF$97,E1088))*(1+INDEX($AF$21:$AF$97,F1088))-1</f>
        <v>-0.234486734903826</v>
      </c>
      <c r="P1088" s="489">
        <f>LN((1+L1088)/(1+H1088))</f>
        <v>-0.0621828660407441</v>
      </c>
      <c r="Q1088" s="489">
        <f>LN((1+M1088)/(1+H1088))</f>
        <v>-0.0290543327636203</v>
      </c>
      <c r="R1088" s="489">
        <f>LN((1+N1088)/(1+H1088))</f>
        <v>-0.0823103704856479</v>
      </c>
      <c r="S1088" s="542">
        <f>LN((1+O1088)/(1+H1088))</f>
        <v>0.0231000850890801</v>
      </c>
    </row>
    <row r="1089">
      <c r="A1089" s="320" t="n">
        <v>988</v>
      </c>
      <c r="B1089" s="174" t="n">
        <v>52</v>
      </c>
      <c r="C1089" s="174" t="n">
        <v>5</v>
      </c>
      <c r="D1089" s="174" t="n">
        <v>42</v>
      </c>
      <c r="E1089" s="174" t="n">
        <v>47</v>
      </c>
      <c r="F1089" s="174" t="n">
        <v>67</v>
      </c>
      <c r="G1089" s="68">
        <f>(1+INDEX($Z$21:$Z$97,B1089))*(1+INDEX($Z$21:$Z$97,C1089))*(1+INDEX($Z$21:$Z$97,D1089))*(1+INDEX($Z$21:$Z$97,E1089))*(1+INDEX($Z$21:$Z$97,F1089))-1</f>
        <v>0.451291706688413</v>
      </c>
      <c r="H1089" s="68">
        <f>(1+INDEX($AA$21:$AA$97,B1089))*(1+INDEX($AA$21:$AA$97,C1089))*(1+INDEX($AA$21:$AA$97,D1089))*(1+INDEX($AA$21:$AA$97,E1089))*(1+INDEX($AA$21:$AA$97,F1089))-1</f>
        <v>0.46355153777797</v>
      </c>
      <c r="I1089" s="68">
        <f>(1+INDEX($AB$21:$AB$97,B1089))*(1+INDEX($AB$21:$AB$97,C1089))*(1+INDEX($AB$21:$AB$97,D1089))*(1+INDEX($AB$21:$AB$97,E1089))*(1+INDEX($AB$21:$AB$97,F1089))-1</f>
        <v>0.47955975264359</v>
      </c>
      <c r="J1089" s="489">
        <f>LN((1+G1089)/(1+H1089))</f>
        <v>-0.00841204988125639</v>
      </c>
      <c r="K1089" s="489">
        <f>LN((1+I1089)/(1+H1089))</f>
        <v>0.0108785371375638</v>
      </c>
      <c r="L1089" s="489">
        <f>(1+INDEX($AC$21:$AC$97,B1089))*(1+INDEX($AC$21:$AC$97,C1089))*(1+INDEX($AC$21:$AC$97,D1089))*(1+INDEX($AC$21:$AC$97,E1089))*(1+INDEX($AC$21:$AC$97,F1089))-1</f>
        <v>0.495680279065714</v>
      </c>
      <c r="M1089" s="489">
        <f>(1+INDEX($AD$21:$AD$97,B1089))*(1+INDEX($AD$21:$AD$97,C1089))*(1+INDEX($AD$21:$AD$97,D1089))*(1+INDEX($AD$21:$AD$97,E1089))*(1+INDEX($AD$21:$AD$97,F1089))-1</f>
        <v>0.454673689444018</v>
      </c>
      <c r="N1089" s="489">
        <f>(1+INDEX($AE$21:$AE$97,B1089))*(1+INDEX($AE$21:$AE$97,C1089))*(1+INDEX($AE$21:$AE$97,D1089))*(1+INDEX($AE$21:$AE$97,E1089))*(1+INDEX($AE$21:$AE$97,F1089))-1</f>
        <v>0.480542532403352</v>
      </c>
      <c r="O1089" s="489">
        <f>(1+INDEX($AF$21:$AF$97,B1089))*(1+INDEX($AF$21:$AF$97,C1089))*(1+INDEX($AF$21:$AF$97,D1089))*(1+INDEX($AF$21:$AF$97,E1089))*(1+INDEX($AF$21:$AF$97,F1089))-1</f>
        <v>0.474195180704623</v>
      </c>
      <c r="P1089" s="489">
        <f>LN((1+L1089)/(1+H1089))</f>
        <v>0.0217150975523129</v>
      </c>
      <c r="Q1089" s="489">
        <f>LN((1+M1089)/(1+H1089))</f>
        <v>-0.00608443490895723</v>
      </c>
      <c r="R1089" s="489">
        <f>LN((1+N1089)/(1+H1089))</f>
        <v>0.0115425545945528</v>
      </c>
      <c r="S1089" s="542">
        <f>LN((1+O1089)/(1+H1089))</f>
        <v>0.00724615871860729</v>
      </c>
    </row>
    <row r="1090">
      <c r="A1090" s="320" t="n">
        <v>989</v>
      </c>
      <c r="B1090" s="174" t="n">
        <v>70</v>
      </c>
      <c r="C1090" s="174" t="n">
        <v>50</v>
      </c>
      <c r="D1090" s="174" t="n">
        <v>9</v>
      </c>
      <c r="E1090" s="174" t="n">
        <v>61</v>
      </c>
      <c r="F1090" s="174" t="n">
        <v>18</v>
      </c>
      <c r="G1090" s="68">
        <f>(1+INDEX($Z$21:$Z$97,B1090))*(1+INDEX($Z$21:$Z$97,C1090))*(1+INDEX($Z$21:$Z$97,D1090))*(1+INDEX($Z$21:$Z$97,E1090))*(1+INDEX($Z$21:$Z$97,F1090))-1</f>
        <v>0.169764620918058</v>
      </c>
      <c r="H1090" s="68">
        <f>(1+INDEX($AA$21:$AA$97,B1090))*(1+INDEX($AA$21:$AA$97,C1090))*(1+INDEX($AA$21:$AA$97,D1090))*(1+INDEX($AA$21:$AA$97,E1090))*(1+INDEX($AA$21:$AA$97,F1090))-1</f>
        <v>0.166954453772703</v>
      </c>
      <c r="I1090" s="68">
        <f>(1+INDEX($AB$21:$AB$97,B1090))*(1+INDEX($AB$21:$AB$97,C1090))*(1+INDEX($AB$21:$AB$97,D1090))*(1+INDEX($AB$21:$AB$97,E1090))*(1+INDEX($AB$21:$AB$97,F1090))-1</f>
        <v>0.14656488890438</v>
      </c>
      <c r="J1090" s="489">
        <f>LN((1+G1090)/(1+H1090))</f>
        <v>0.00240522579761736</v>
      </c>
      <c r="K1090" s="489">
        <f>LN((1+I1090)/(1+H1090))</f>
        <v>-0.0176269049689719</v>
      </c>
      <c r="L1090" s="489">
        <f>(1+INDEX($AC$21:$AC$97,B1090))*(1+INDEX($AC$21:$AC$97,C1090))*(1+INDEX($AC$21:$AC$97,D1090))*(1+INDEX($AC$21:$AC$97,E1090))*(1+INDEX($AC$21:$AC$97,F1090))-1</f>
        <v>0.133008163203607</v>
      </c>
      <c r="M1090" s="489">
        <f>(1+INDEX($AD$21:$AD$97,B1090))*(1+INDEX($AD$21:$AD$97,C1090))*(1+INDEX($AD$21:$AD$97,D1090))*(1+INDEX($AD$21:$AD$97,E1090))*(1+INDEX($AD$21:$AD$97,F1090))-1</f>
        <v>0.14165669232404</v>
      </c>
      <c r="N1090" s="489">
        <f>(1+INDEX($AE$21:$AE$97,B1090))*(1+INDEX($AE$21:$AE$97,C1090))*(1+INDEX($AE$21:$AE$97,D1090))*(1+INDEX($AE$21:$AE$97,E1090))*(1+INDEX($AE$21:$AE$97,F1090))-1</f>
        <v>0.148369297666358</v>
      </c>
      <c r="O1090" s="489">
        <f>(1+INDEX($AF$21:$AF$97,B1090))*(1+INDEX($AF$21:$AF$97,C1090))*(1+INDEX($AF$21:$AF$97,D1090))*(1+INDEX($AF$21:$AF$97,E1090))*(1+INDEX($AF$21:$AF$97,F1090))-1</f>
        <v>0.18978903523331</v>
      </c>
      <c r="P1090" s="489">
        <f>LN((1+L1090)/(1+H1090))</f>
        <v>-0.0295211371046559</v>
      </c>
      <c r="Q1090" s="489">
        <f>LN((1+M1090)/(1+H1090))</f>
        <v>-0.0219168777129452</v>
      </c>
      <c r="R1090" s="489">
        <f>LN((1+N1090)/(1+H1090))</f>
        <v>-0.0160543900407741</v>
      </c>
      <c r="S1090" s="542">
        <f>LN((1+O1090)/(1+H1090))</f>
        <v>0.0193786860203179</v>
      </c>
    </row>
    <row r="1091">
      <c r="A1091" s="320" t="n">
        <v>990</v>
      </c>
      <c r="B1091" s="174" t="n">
        <v>30</v>
      </c>
      <c r="C1091" s="174" t="n">
        <v>24</v>
      </c>
      <c r="D1091" s="174" t="n">
        <v>43</v>
      </c>
      <c r="E1091" s="174" t="n">
        <v>38</v>
      </c>
      <c r="F1091" s="174" t="n">
        <v>67</v>
      </c>
      <c r="G1091" s="68">
        <f>(1+INDEX($Z$21:$Z$97,B1091))*(1+INDEX($Z$21:$Z$97,C1091))*(1+INDEX($Z$21:$Z$97,D1091))*(1+INDEX($Z$21:$Z$97,E1091))*(1+INDEX($Z$21:$Z$97,F1091))-1</f>
        <v>0.577099424690675</v>
      </c>
      <c r="H1091" s="68">
        <f>(1+INDEX($AA$21:$AA$97,B1091))*(1+INDEX($AA$21:$AA$97,C1091))*(1+INDEX($AA$21:$AA$97,D1091))*(1+INDEX($AA$21:$AA$97,E1091))*(1+INDEX($AA$21:$AA$97,F1091))-1</f>
        <v>0.527755284437348</v>
      </c>
      <c r="I1091" s="68">
        <f>(1+INDEX($AB$21:$AB$97,B1091))*(1+INDEX($AB$21:$AB$97,C1091))*(1+INDEX($AB$21:$AB$97,D1091))*(1+INDEX($AB$21:$AB$97,E1091))*(1+INDEX($AB$21:$AB$97,F1091))-1</f>
        <v>0.568655100966766</v>
      </c>
      <c r="J1091" s="489">
        <f>LN((1+G1091)/(1+H1091))</f>
        <v>0.0317878289676904</v>
      </c>
      <c r="K1091" s="489">
        <f>LN((1+I1091)/(1+H1091))</f>
        <v>0.0264191049062754</v>
      </c>
      <c r="L1091" s="489">
        <f>(1+INDEX($AC$21:$AC$97,B1091))*(1+INDEX($AC$21:$AC$97,C1091))*(1+INDEX($AC$21:$AC$97,D1091))*(1+INDEX($AC$21:$AC$97,E1091))*(1+INDEX($AC$21:$AC$97,F1091))-1</f>
        <v>0.566972561904079</v>
      </c>
      <c r="M1091" s="489">
        <f>(1+INDEX($AD$21:$AD$97,B1091))*(1+INDEX($AD$21:$AD$97,C1091))*(1+INDEX($AD$21:$AD$97,D1091))*(1+INDEX($AD$21:$AD$97,E1091))*(1+INDEX($AD$21:$AD$97,F1091))-1</f>
        <v>0.571048066451354</v>
      </c>
      <c r="N1091" s="489">
        <f>(1+INDEX($AE$21:$AE$97,B1091))*(1+INDEX($AE$21:$AE$97,C1091))*(1+INDEX($AE$21:$AE$97,D1091))*(1+INDEX($AE$21:$AE$97,E1091))*(1+INDEX($AE$21:$AE$97,F1091))-1</f>
        <v>0.565680751310841</v>
      </c>
      <c r="O1091" s="489">
        <f>(1+INDEX($AF$21:$AF$97,B1091))*(1+INDEX($AF$21:$AF$97,C1091))*(1+INDEX($AF$21:$AF$97,D1091))*(1+INDEX($AF$21:$AF$97,E1091))*(1+INDEX($AF$21:$AF$97,F1091))-1</f>
        <v>0.550159742948442</v>
      </c>
      <c r="P1091" s="489">
        <f>LN((1+L1091)/(1+H1091))</f>
        <v>0.0253459295136152</v>
      </c>
      <c r="Q1091" s="489">
        <f>LN((1+M1091)/(1+H1091))</f>
        <v>0.0279434311373493</v>
      </c>
      <c r="R1091" s="489">
        <f>LN((1+N1091)/(1+H1091))</f>
        <v>0.0245211905225417</v>
      </c>
      <c r="S1091" s="542">
        <f>LN((1+O1091)/(1+H1091))</f>
        <v>0.0145584618333362</v>
      </c>
    </row>
    <row r="1092">
      <c r="A1092" s="320" t="n">
        <v>991</v>
      </c>
      <c r="B1092" s="174" t="n">
        <v>27</v>
      </c>
      <c r="C1092" s="174" t="n">
        <v>34</v>
      </c>
      <c r="D1092" s="174" t="n">
        <v>22</v>
      </c>
      <c r="E1092" s="174" t="n">
        <v>54</v>
      </c>
      <c r="F1092" s="174" t="n">
        <v>63</v>
      </c>
      <c r="G1092" s="68">
        <f>(1+INDEX($Z$21:$Z$97,B1092))*(1+INDEX($Z$21:$Z$97,C1092))*(1+INDEX($Z$21:$Z$97,D1092))*(1+INDEX($Z$21:$Z$97,E1092))*(1+INDEX($Z$21:$Z$97,F1092))-1</f>
        <v>0.237378270998656</v>
      </c>
      <c r="H1092" s="68">
        <f>(1+INDEX($AA$21:$AA$97,B1092))*(1+INDEX($AA$21:$AA$97,C1092))*(1+INDEX($AA$21:$AA$97,D1092))*(1+INDEX($AA$21:$AA$97,E1092))*(1+INDEX($AA$21:$AA$97,F1092))-1</f>
        <v>0.260667741962291</v>
      </c>
      <c r="I1092" s="68">
        <f>(1+INDEX($AB$21:$AB$97,B1092))*(1+INDEX($AB$21:$AB$97,C1092))*(1+INDEX($AB$21:$AB$97,D1092))*(1+INDEX($AB$21:$AB$97,E1092))*(1+INDEX($AB$21:$AB$97,F1092))-1</f>
        <v>0.298474512314685</v>
      </c>
      <c r="J1092" s="489">
        <f>LN((1+G1092)/(1+H1092))</f>
        <v>-0.0186466907731198</v>
      </c>
      <c r="K1092" s="489">
        <f>LN((1+I1092)/(1+H1092))</f>
        <v>0.0295485888421866</v>
      </c>
      <c r="L1092" s="489">
        <f>(1+INDEX($AC$21:$AC$97,B1092))*(1+INDEX($AC$21:$AC$97,C1092))*(1+INDEX($AC$21:$AC$97,D1092))*(1+INDEX($AC$21:$AC$97,E1092))*(1+INDEX($AC$21:$AC$97,F1092))-1</f>
        <v>0.292575917218547</v>
      </c>
      <c r="M1092" s="489">
        <f>(1+INDEX($AD$21:$AD$97,B1092))*(1+INDEX($AD$21:$AD$97,C1092))*(1+INDEX($AD$21:$AD$97,D1092))*(1+INDEX($AD$21:$AD$97,E1092))*(1+INDEX($AD$21:$AD$97,F1092))-1</f>
        <v>0.295734105003294</v>
      </c>
      <c r="N1092" s="489">
        <f>(1+INDEX($AE$21:$AE$97,B1092))*(1+INDEX($AE$21:$AE$97,C1092))*(1+INDEX($AE$21:$AE$97,D1092))*(1+INDEX($AE$21:$AE$97,E1092))*(1+INDEX($AE$21:$AE$97,F1092))-1</f>
        <v>0.282434748186061</v>
      </c>
      <c r="O1092" s="489">
        <f>(1+INDEX($AF$21:$AF$97,B1092))*(1+INDEX($AF$21:$AF$97,C1092))*(1+INDEX($AF$21:$AF$97,D1092))*(1+INDEX($AF$21:$AF$97,E1092))*(1+INDEX($AF$21:$AF$97,F1092))-1</f>
        <v>0.261690099104416</v>
      </c>
      <c r="P1092" s="489">
        <f>LN((1+L1092)/(1+H1092))</f>
        <v>0.0249955278759445</v>
      </c>
      <c r="Q1092" s="489">
        <f>LN((1+M1092)/(1+H1092))</f>
        <v>0.0274358764624449</v>
      </c>
      <c r="R1092" s="489">
        <f>LN((1+N1092)/(1+H1092))</f>
        <v>0.0171188836353506</v>
      </c>
      <c r="S1092" s="542">
        <f>LN((1+O1092)/(1+H1092))</f>
        <v>0.00081063612899499</v>
      </c>
    </row>
    <row r="1093">
      <c r="A1093" s="320" t="n">
        <v>992</v>
      </c>
      <c r="B1093" s="174" t="n">
        <v>10</v>
      </c>
      <c r="C1093" s="174" t="n">
        <v>62</v>
      </c>
      <c r="D1093" s="174" t="n">
        <v>40</v>
      </c>
      <c r="E1093" s="174" t="n">
        <v>42</v>
      </c>
      <c r="F1093" s="174" t="n">
        <v>29</v>
      </c>
      <c r="G1093" s="68">
        <f>(1+INDEX($Z$21:$Z$97,B1093))*(1+INDEX($Z$21:$Z$97,C1093))*(1+INDEX($Z$21:$Z$97,D1093))*(1+INDEX($Z$21:$Z$97,E1093))*(1+INDEX($Z$21:$Z$97,F1093))-1</f>
        <v>0.108194854575033</v>
      </c>
      <c r="H1093" s="68">
        <f>(1+INDEX($AA$21:$AA$97,B1093))*(1+INDEX($AA$21:$AA$97,C1093))*(1+INDEX($AA$21:$AA$97,D1093))*(1+INDEX($AA$21:$AA$97,E1093))*(1+INDEX($AA$21:$AA$97,F1093))-1</f>
        <v>0.1525035395744</v>
      </c>
      <c r="I1093" s="68">
        <f>(1+INDEX($AB$21:$AB$97,B1093))*(1+INDEX($AB$21:$AB$97,C1093))*(1+INDEX($AB$21:$AB$97,D1093))*(1+INDEX($AB$21:$AB$97,E1093))*(1+INDEX($AB$21:$AB$97,F1093))-1</f>
        <v>0.146739868648331</v>
      </c>
      <c r="J1093" s="489">
        <f>LN((1+G1093)/(1+H1093))</f>
        <v>-0.0392041327051012</v>
      </c>
      <c r="K1093" s="489">
        <f>LN((1+I1093)/(1+H1093))</f>
        <v>-0.00501354748110318</v>
      </c>
      <c r="L1093" s="489">
        <f>(1+INDEX($AC$21:$AC$97,B1093))*(1+INDEX($AC$21:$AC$97,C1093))*(1+INDEX($AC$21:$AC$97,D1093))*(1+INDEX($AC$21:$AC$97,E1093))*(1+INDEX($AC$21:$AC$97,F1093))-1</f>
        <v>0.161061021497581</v>
      </c>
      <c r="M1093" s="489">
        <f>(1+INDEX($AD$21:$AD$97,B1093))*(1+INDEX($AD$21:$AD$97,C1093))*(1+INDEX($AD$21:$AD$97,D1093))*(1+INDEX($AD$21:$AD$97,E1093))*(1+INDEX($AD$21:$AD$97,F1093))-1</f>
        <v>0.13956132834219</v>
      </c>
      <c r="N1093" s="489">
        <f>(1+INDEX($AE$21:$AE$97,B1093))*(1+INDEX($AE$21:$AE$97,C1093))*(1+INDEX($AE$21:$AE$97,D1093))*(1+INDEX($AE$21:$AE$97,E1093))*(1+INDEX($AE$21:$AE$97,F1093))-1</f>
        <v>0.146799132878936</v>
      </c>
      <c r="O1093" s="489">
        <f>(1+INDEX($AF$21:$AF$97,B1093))*(1+INDEX($AF$21:$AF$97,C1093))*(1+INDEX($AF$21:$AF$97,D1093))*(1+INDEX($AF$21:$AF$97,E1093))*(1+INDEX($AF$21:$AF$97,F1093))-1</f>
        <v>0.151171806789658</v>
      </c>
      <c r="P1093" s="489">
        <f>LN((1+L1093)/(1+H1093))</f>
        <v>0.00739769366581645</v>
      </c>
      <c r="Q1093" s="489">
        <f>LN((1+M1093)/(1+H1093))</f>
        <v>-0.0112931784460125</v>
      </c>
      <c r="R1093" s="489">
        <f>LN((1+N1093)/(1+H1093))</f>
        <v>-0.00496186819369794</v>
      </c>
      <c r="S1093" s="542">
        <f>LN((1+O1093)/(1+H1093))</f>
        <v>-0.00115618108705633</v>
      </c>
    </row>
    <row r="1094">
      <c r="A1094" s="320" t="n">
        <v>993</v>
      </c>
      <c r="B1094" s="174" t="n">
        <v>64</v>
      </c>
      <c r="C1094" s="174" t="n">
        <v>60</v>
      </c>
      <c r="D1094" s="174" t="n">
        <v>69</v>
      </c>
      <c r="E1094" s="174" t="n">
        <v>23</v>
      </c>
      <c r="F1094" s="174" t="n">
        <v>74</v>
      </c>
      <c r="G1094" s="68">
        <f>(1+INDEX($Z$21:$Z$97,B1094))*(1+INDEX($Z$21:$Z$97,C1094))*(1+INDEX($Z$21:$Z$97,D1094))*(1+INDEX($Z$21:$Z$97,E1094))*(1+INDEX($Z$21:$Z$97,F1094))-1</f>
        <v>0.527497995904343</v>
      </c>
      <c r="H1094" s="68">
        <f>(1+INDEX($AA$21:$AA$97,B1094))*(1+INDEX($AA$21:$AA$97,C1094))*(1+INDEX($AA$21:$AA$97,D1094))*(1+INDEX($AA$21:$AA$97,E1094))*(1+INDEX($AA$21:$AA$97,F1094))-1</f>
        <v>0.507045726448937</v>
      </c>
      <c r="I1094" s="68">
        <f>(1+INDEX($AB$21:$AB$97,B1094))*(1+INDEX($AB$21:$AB$97,C1094))*(1+INDEX($AB$21:$AB$97,D1094))*(1+INDEX($AB$21:$AB$97,E1094))*(1+INDEX($AB$21:$AB$97,F1094))-1</f>
        <v>0.546783329069625</v>
      </c>
      <c r="J1094" s="489">
        <f>LN((1+G1094)/(1+H1094))</f>
        <v>0.0134798381684501</v>
      </c>
      <c r="K1094" s="489">
        <f>LN((1+I1094)/(1+H1094))</f>
        <v>0.0260262411192071</v>
      </c>
      <c r="L1094" s="489">
        <f>(1+INDEX($AC$21:$AC$97,B1094))*(1+INDEX($AC$21:$AC$97,C1094))*(1+INDEX($AC$21:$AC$97,D1094))*(1+INDEX($AC$21:$AC$97,E1094))*(1+INDEX($AC$21:$AC$97,F1094))-1</f>
        <v>0.567933205496294</v>
      </c>
      <c r="M1094" s="489">
        <f>(1+INDEX($AD$21:$AD$97,B1094))*(1+INDEX($AD$21:$AD$97,C1094))*(1+INDEX($AD$21:$AD$97,D1094))*(1+INDEX($AD$21:$AD$97,E1094))*(1+INDEX($AD$21:$AD$97,F1094))-1</f>
        <v>0.49569068836885</v>
      </c>
      <c r="N1094" s="489">
        <f>(1+INDEX($AE$21:$AE$97,B1094))*(1+INDEX($AE$21:$AE$97,C1094))*(1+INDEX($AE$21:$AE$97,D1094))*(1+INDEX($AE$21:$AE$97,E1094))*(1+INDEX($AE$21:$AE$97,F1094))-1</f>
        <v>0.582354403785782</v>
      </c>
      <c r="O1094" s="489">
        <f>(1+INDEX($AF$21:$AF$97,B1094))*(1+INDEX($AF$21:$AF$97,C1094))*(1+INDEX($AF$21:$AF$97,D1094))*(1+INDEX($AF$21:$AF$97,E1094))*(1+INDEX($AF$21:$AF$97,F1094))-1</f>
        <v>0.453768558176768</v>
      </c>
      <c r="P1094" s="489">
        <f>LN((1+L1094)/(1+H1094))</f>
        <v>0.0396070606012937</v>
      </c>
      <c r="Q1094" s="489">
        <f>LN((1+M1094)/(1+H1094))</f>
        <v>-0.00756316282110996</v>
      </c>
      <c r="R1094" s="489">
        <f>LN((1+N1094)/(1+H1094))</f>
        <v>0.0487626049926844</v>
      </c>
      <c r="S1094" s="542">
        <f>LN((1+O1094)/(1+H1094))</f>
        <v>-0.0359920713870115</v>
      </c>
    </row>
    <row r="1095">
      <c r="A1095" s="320" t="n">
        <v>994</v>
      </c>
      <c r="B1095" s="174" t="n">
        <v>72</v>
      </c>
      <c r="C1095" s="174" t="n">
        <v>10</v>
      </c>
      <c r="D1095" s="174" t="n">
        <v>48</v>
      </c>
      <c r="E1095" s="174" t="n">
        <v>35</v>
      </c>
      <c r="F1095" s="174" t="n">
        <v>16</v>
      </c>
      <c r="G1095" s="68">
        <f>(1+INDEX($Z$21:$Z$97,B1095))*(1+INDEX($Z$21:$Z$97,C1095))*(1+INDEX($Z$21:$Z$97,D1095))*(1+INDEX($Z$21:$Z$97,E1095))*(1+INDEX($Z$21:$Z$97,F1095))-1</f>
        <v>0.141865989483729</v>
      </c>
      <c r="H1095" s="68">
        <f>(1+INDEX($AA$21:$AA$97,B1095))*(1+INDEX($AA$21:$AA$97,C1095))*(1+INDEX($AA$21:$AA$97,D1095))*(1+INDEX($AA$21:$AA$97,E1095))*(1+INDEX($AA$21:$AA$97,F1095))-1</f>
        <v>0.171141810037113</v>
      </c>
      <c r="I1095" s="68">
        <f>(1+INDEX($AB$21:$AB$97,B1095))*(1+INDEX($AB$21:$AB$97,C1095))*(1+INDEX($AB$21:$AB$97,D1095))*(1+INDEX($AB$21:$AB$97,E1095))*(1+INDEX($AB$21:$AB$97,F1095))-1</f>
        <v>0.179978397327088</v>
      </c>
      <c r="J1095" s="489">
        <f>LN((1+G1095)/(1+H1095))</f>
        <v>-0.0253154218016558</v>
      </c>
      <c r="K1095" s="489">
        <f>LN((1+I1095)/(1+H1095))</f>
        <v>0.00751695202246142</v>
      </c>
      <c r="L1095" s="489">
        <f>(1+INDEX($AC$21:$AC$97,B1095))*(1+INDEX($AC$21:$AC$97,C1095))*(1+INDEX($AC$21:$AC$97,D1095))*(1+INDEX($AC$21:$AC$97,E1095))*(1+INDEX($AC$21:$AC$97,F1095))-1</f>
        <v>0.156309095474343</v>
      </c>
      <c r="M1095" s="489">
        <f>(1+INDEX($AD$21:$AD$97,B1095))*(1+INDEX($AD$21:$AD$97,C1095))*(1+INDEX($AD$21:$AD$97,D1095))*(1+INDEX($AD$21:$AD$97,E1095))*(1+INDEX($AD$21:$AD$97,F1095))-1</f>
        <v>0.202715766367097</v>
      </c>
      <c r="N1095" s="489">
        <f>(1+INDEX($AE$21:$AE$97,B1095))*(1+INDEX($AE$21:$AE$97,C1095))*(1+INDEX($AE$21:$AE$97,D1095))*(1+INDEX($AE$21:$AE$97,E1095))*(1+INDEX($AE$21:$AE$97,F1095))-1</f>
        <v>0.152342536443042</v>
      </c>
      <c r="O1095" s="489">
        <f>(1+INDEX($AF$21:$AF$97,B1095))*(1+INDEX($AF$21:$AF$97,C1095))*(1+INDEX($AF$21:$AF$97,D1095))*(1+INDEX($AF$21:$AF$97,E1095))*(1+INDEX($AF$21:$AF$97,F1095))-1</f>
        <v>0.180418645895181</v>
      </c>
      <c r="P1095" s="489">
        <f>LN((1+L1095)/(1+H1095))</f>
        <v>-0.0127460607997267</v>
      </c>
      <c r="Q1095" s="489">
        <f>LN((1+M1095)/(1+H1095))</f>
        <v>0.0266029594545792</v>
      </c>
      <c r="R1095" s="489">
        <f>LN((1+N1095)/(1+H1095))</f>
        <v>-0.0161823201985171</v>
      </c>
      <c r="S1095" s="542">
        <f>LN((1+O1095)/(1+H1095))</f>
        <v>0.0078899812757065</v>
      </c>
    </row>
    <row r="1096">
      <c r="A1096" s="320" t="n">
        <v>995</v>
      </c>
      <c r="B1096" s="174" t="n">
        <v>46</v>
      </c>
      <c r="C1096" s="174" t="n">
        <v>53</v>
      </c>
      <c r="D1096" s="174" t="n">
        <v>11</v>
      </c>
      <c r="E1096" s="174" t="n">
        <v>26</v>
      </c>
      <c r="F1096" s="174" t="n">
        <v>75</v>
      </c>
      <c r="G1096" s="68">
        <f>(1+INDEX($Z$21:$Z$97,B1096))*(1+INDEX($Z$21:$Z$97,C1096))*(1+INDEX($Z$21:$Z$97,D1096))*(1+INDEX($Z$21:$Z$97,E1096))*(1+INDEX($Z$21:$Z$97,F1096))-1</f>
        <v>0.363253273136019</v>
      </c>
      <c r="H1096" s="68">
        <f>(1+INDEX($AA$21:$AA$97,B1096))*(1+INDEX($AA$21:$AA$97,C1096))*(1+INDEX($AA$21:$AA$97,D1096))*(1+INDEX($AA$21:$AA$97,E1096))*(1+INDEX($AA$21:$AA$97,F1096))-1</f>
        <v>0.380516222888797</v>
      </c>
      <c r="I1096" s="68">
        <f>(1+INDEX($AB$21:$AB$97,B1096))*(1+INDEX($AB$21:$AB$97,C1096))*(1+INDEX($AB$21:$AB$97,D1096))*(1+INDEX($AB$21:$AB$97,E1096))*(1+INDEX($AB$21:$AB$97,F1096))-1</f>
        <v>0.401710428600707</v>
      </c>
      <c r="J1096" s="489">
        <f>LN((1+G1096)/(1+H1096))</f>
        <v>-0.0125835479765926</v>
      </c>
      <c r="K1096" s="489">
        <f>LN((1+I1096)/(1+H1096))</f>
        <v>0.0152357218476896</v>
      </c>
      <c r="L1096" s="489">
        <f>(1+INDEX($AC$21:$AC$97,B1096))*(1+INDEX($AC$21:$AC$97,C1096))*(1+INDEX($AC$21:$AC$97,D1096))*(1+INDEX($AC$21:$AC$97,E1096))*(1+INDEX($AC$21:$AC$97,F1096))-1</f>
        <v>0.396104561491939</v>
      </c>
      <c r="M1096" s="489">
        <f>(1+INDEX($AD$21:$AD$97,B1096))*(1+INDEX($AD$21:$AD$97,C1096))*(1+INDEX($AD$21:$AD$97,D1096))*(1+INDEX($AD$21:$AD$97,E1096))*(1+INDEX($AD$21:$AD$97,F1096))-1</f>
        <v>0.414806030467943</v>
      </c>
      <c r="N1096" s="489">
        <f>(1+INDEX($AE$21:$AE$97,B1096))*(1+INDEX($AE$21:$AE$97,C1096))*(1+INDEX($AE$21:$AE$97,D1096))*(1+INDEX($AE$21:$AE$97,E1096))*(1+INDEX($AE$21:$AE$97,F1096))-1</f>
        <v>0.377379029639696</v>
      </c>
      <c r="O1096" s="489">
        <f>(1+INDEX($AF$21:$AF$97,B1096))*(1+INDEX($AF$21:$AF$97,C1096))*(1+INDEX($AF$21:$AF$97,D1096))*(1+INDEX($AF$21:$AF$97,E1096))*(1+INDEX($AF$21:$AF$97,F1096))-1</f>
        <v>0.428185712810888</v>
      </c>
      <c r="P1096" s="489">
        <f>LN((1+L1096)/(1+H1096))</f>
        <v>0.0112283985396791</v>
      </c>
      <c r="Q1096" s="489">
        <f>LN((1+M1096)/(1+H1096))</f>
        <v>0.0245349369795975</v>
      </c>
      <c r="R1096" s="489">
        <f>LN((1+N1096)/(1+H1096))</f>
        <v>-0.00227506436249163</v>
      </c>
      <c r="S1096" s="542">
        <f>LN((1+O1096)/(1+H1096))</f>
        <v>0.0339474026717439</v>
      </c>
    </row>
    <row r="1097">
      <c r="A1097" s="320" t="n">
        <v>996</v>
      </c>
      <c r="B1097" s="174" t="n">
        <v>75</v>
      </c>
      <c r="C1097" s="174" t="n">
        <v>19</v>
      </c>
      <c r="D1097" s="174" t="n">
        <v>39</v>
      </c>
      <c r="E1097" s="174" t="n">
        <v>42</v>
      </c>
      <c r="F1097" s="174" t="n">
        <v>32</v>
      </c>
      <c r="G1097" s="68">
        <f>(1+INDEX($Z$21:$Z$97,B1097))*(1+INDEX($Z$21:$Z$97,C1097))*(1+INDEX($Z$21:$Z$97,D1097))*(1+INDEX($Z$21:$Z$97,E1097))*(1+INDEX($Z$21:$Z$97,F1097))-1</f>
        <v>0.397618194094329</v>
      </c>
      <c r="H1097" s="68">
        <f>(1+INDEX($AA$21:$AA$97,B1097))*(1+INDEX($AA$21:$AA$97,C1097))*(1+INDEX($AA$21:$AA$97,D1097))*(1+INDEX($AA$21:$AA$97,E1097))*(1+INDEX($AA$21:$AA$97,F1097))-1</f>
        <v>0.369341010445844</v>
      </c>
      <c r="I1097" s="68">
        <f>(1+INDEX($AB$21:$AB$97,B1097))*(1+INDEX($AB$21:$AB$97,C1097))*(1+INDEX($AB$21:$AB$97,D1097))*(1+INDEX($AB$21:$AB$97,E1097))*(1+INDEX($AB$21:$AB$97,F1097))-1</f>
        <v>0.403392770895354</v>
      </c>
      <c r="J1097" s="489">
        <f>LN((1+G1097)/(1+H1097))</f>
        <v>0.0204398880089282</v>
      </c>
      <c r="K1097" s="489">
        <f>LN((1+I1097)/(1+H1097))</f>
        <v>0.0245631028440609</v>
      </c>
      <c r="L1097" s="489">
        <f>(1+INDEX($AC$21:$AC$97,B1097))*(1+INDEX($AC$21:$AC$97,C1097))*(1+INDEX($AC$21:$AC$97,D1097))*(1+INDEX($AC$21:$AC$97,E1097))*(1+INDEX($AC$21:$AC$97,F1097))-1</f>
        <v>0.383610119070285</v>
      </c>
      <c r="M1097" s="489">
        <f>(1+INDEX($AD$21:$AD$97,B1097))*(1+INDEX($AD$21:$AD$97,C1097))*(1+INDEX($AD$21:$AD$97,D1097))*(1+INDEX($AD$21:$AD$97,E1097))*(1+INDEX($AD$21:$AD$97,F1097))-1</f>
        <v>0.416763076572656</v>
      </c>
      <c r="N1097" s="489">
        <f>(1+INDEX($AE$21:$AE$97,B1097))*(1+INDEX($AE$21:$AE$97,C1097))*(1+INDEX($AE$21:$AE$97,D1097))*(1+INDEX($AE$21:$AE$97,E1097))*(1+INDEX($AE$21:$AE$97,F1097))-1</f>
        <v>0.378150893336284</v>
      </c>
      <c r="O1097" s="489">
        <f>(1+INDEX($AF$21:$AF$97,B1097))*(1+INDEX($AF$21:$AF$97,C1097))*(1+INDEX($AF$21:$AF$97,D1097))*(1+INDEX($AF$21:$AF$97,E1097))*(1+INDEX($AF$21:$AF$97,F1097))-1</f>
        <v>0.396615269338956</v>
      </c>
      <c r="P1097" s="489">
        <f>LN((1+L1097)/(1+H1097))</f>
        <v>0.010366501792403</v>
      </c>
      <c r="Q1097" s="489">
        <f>LN((1+M1097)/(1+H1097))</f>
        <v>0.0340451361614806</v>
      </c>
      <c r="R1097" s="489">
        <f>LN((1+N1097)/(1+H1097))</f>
        <v>0.00641305844956046</v>
      </c>
      <c r="S1097" s="542">
        <f>LN((1+O1097)/(1+H1097))</f>
        <v>0.0197220347503762</v>
      </c>
    </row>
    <row r="1098">
      <c r="A1098" s="320" t="n">
        <v>997</v>
      </c>
      <c r="B1098" s="174" t="n">
        <v>5</v>
      </c>
      <c r="C1098" s="174" t="n">
        <v>8</v>
      </c>
      <c r="D1098" s="174" t="n">
        <v>65</v>
      </c>
      <c r="E1098" s="174" t="n">
        <v>12</v>
      </c>
      <c r="F1098" s="174" t="n">
        <v>51</v>
      </c>
      <c r="G1098" s="68">
        <f>(1+INDEX($Z$21:$Z$97,B1098))*(1+INDEX($Z$21:$Z$97,C1098))*(1+INDEX($Z$21:$Z$97,D1098))*(1+INDEX($Z$21:$Z$97,E1098))*(1+INDEX($Z$21:$Z$97,F1098))-1</f>
        <v>-0.0540099592225332</v>
      </c>
      <c r="H1098" s="68">
        <f>(1+INDEX($AA$21:$AA$97,B1098))*(1+INDEX($AA$21:$AA$97,C1098))*(1+INDEX($AA$21:$AA$97,D1098))*(1+INDEX($AA$21:$AA$97,E1098))*(1+INDEX($AA$21:$AA$97,F1098))-1</f>
        <v>-0.0450565920634877</v>
      </c>
      <c r="I1098" s="68">
        <f>(1+INDEX($AB$21:$AB$97,B1098))*(1+INDEX($AB$21:$AB$97,C1098))*(1+INDEX($AB$21:$AB$97,D1098))*(1+INDEX($AB$21:$AB$97,E1098))*(1+INDEX($AB$21:$AB$97,F1098))-1</f>
        <v>-0.0845962009220173</v>
      </c>
      <c r="J1098" s="489">
        <f>LN((1+G1098)/(1+H1098))</f>
        <v>-0.00942003874255933</v>
      </c>
      <c r="K1098" s="489">
        <f>LN((1+I1098)/(1+H1098))</f>
        <v>-0.0422868016252039</v>
      </c>
      <c r="L1098" s="489">
        <f>(1+INDEX($AC$21:$AC$97,B1098))*(1+INDEX($AC$21:$AC$97,C1098))*(1+INDEX($AC$21:$AC$97,D1098))*(1+INDEX($AC$21:$AC$97,E1098))*(1+INDEX($AC$21:$AC$97,F1098))-1</f>
        <v>-0.0980660119239478</v>
      </c>
      <c r="M1098" s="489">
        <f>(1+INDEX($AD$21:$AD$97,B1098))*(1+INDEX($AD$21:$AD$97,C1098))*(1+INDEX($AD$21:$AD$97,D1098))*(1+INDEX($AD$21:$AD$97,E1098))*(1+INDEX($AD$21:$AD$97,F1098))-1</f>
        <v>-0.070494126320701</v>
      </c>
      <c r="N1098" s="489">
        <f>(1+INDEX($AE$21:$AE$97,B1098))*(1+INDEX($AE$21:$AE$97,C1098))*(1+INDEX($AE$21:$AE$97,D1098))*(1+INDEX($AE$21:$AE$97,E1098))*(1+INDEX($AE$21:$AE$97,F1098))-1</f>
        <v>-0.107748586717379</v>
      </c>
      <c r="O1098" s="489">
        <f>(1+INDEX($AF$21:$AF$97,B1098))*(1+INDEX($AF$21:$AF$97,C1098))*(1+INDEX($AF$21:$AF$97,D1098))*(1+INDEX($AF$21:$AF$97,E1098))*(1+INDEX($AF$21:$AF$97,F1098))-1</f>
        <v>-0.0165000941573603</v>
      </c>
      <c r="P1098" s="489">
        <f>LN((1+L1098)/(1+H1098))</f>
        <v>-0.0571107465862552</v>
      </c>
      <c r="Q1098" s="489">
        <f>LN((1+M1098)/(1+H1098))</f>
        <v>-0.0269989536965064</v>
      </c>
      <c r="R1098" s="489">
        <f>LN((1+N1098)/(1+H1098))</f>
        <v>-0.0679041336970022</v>
      </c>
      <c r="S1098" s="542">
        <f>LN((1+O1098)/(1+H1098))</f>
        <v>0.0294654620724468</v>
      </c>
    </row>
    <row r="1099">
      <c r="A1099" s="320" t="n">
        <v>998</v>
      </c>
      <c r="B1099" s="174" t="n">
        <v>66</v>
      </c>
      <c r="C1099" s="174" t="n">
        <v>8</v>
      </c>
      <c r="D1099" s="174" t="n">
        <v>21</v>
      </c>
      <c r="E1099" s="174" t="n">
        <v>8</v>
      </c>
      <c r="F1099" s="174" t="n">
        <v>69</v>
      </c>
      <c r="G1099" s="68">
        <f>(1+INDEX($Z$21:$Z$97,B1099))*(1+INDEX($Z$21:$Z$97,C1099))*(1+INDEX($Z$21:$Z$97,D1099))*(1+INDEX($Z$21:$Z$97,E1099))*(1+INDEX($Z$21:$Z$97,F1099))-1</f>
        <v>-0.192809335608618</v>
      </c>
      <c r="H1099" s="68">
        <f>(1+INDEX($AA$21:$AA$97,B1099))*(1+INDEX($AA$21:$AA$97,C1099))*(1+INDEX($AA$21:$AA$97,D1099))*(1+INDEX($AA$21:$AA$97,E1099))*(1+INDEX($AA$21:$AA$97,F1099))-1</f>
        <v>-0.12894121916709</v>
      </c>
      <c r="I1099" s="68">
        <f>(1+INDEX($AB$21:$AB$97,B1099))*(1+INDEX($AB$21:$AB$97,C1099))*(1+INDEX($AB$21:$AB$97,D1099))*(1+INDEX($AB$21:$AB$97,E1099))*(1+INDEX($AB$21:$AB$97,F1099))-1</f>
        <v>-0.181836243275298</v>
      </c>
      <c r="J1099" s="489">
        <f>LN((1+G1099)/(1+H1099))</f>
        <v>-0.0761495576297884</v>
      </c>
      <c r="K1099" s="489">
        <f>LN((1+I1099)/(1+H1099))</f>
        <v>-0.0626469530182589</v>
      </c>
      <c r="L1099" s="489">
        <f>(1+INDEX($AC$21:$AC$97,B1099))*(1+INDEX($AC$21:$AC$97,C1099))*(1+INDEX($AC$21:$AC$97,D1099))*(1+INDEX($AC$21:$AC$97,E1099))*(1+INDEX($AC$21:$AC$97,F1099))-1</f>
        <v>-0.206724426122701</v>
      </c>
      <c r="M1099" s="489">
        <f>(1+INDEX($AD$21:$AD$97,B1099))*(1+INDEX($AD$21:$AD$97,C1099))*(1+INDEX($AD$21:$AD$97,D1099))*(1+INDEX($AD$21:$AD$97,E1099))*(1+INDEX($AD$21:$AD$97,F1099))-1</f>
        <v>-0.160257927672061</v>
      </c>
      <c r="N1099" s="489">
        <f>(1+INDEX($AE$21:$AE$97,B1099))*(1+INDEX($AE$21:$AE$97,C1099))*(1+INDEX($AE$21:$AE$97,D1099))*(1+INDEX($AE$21:$AE$97,E1099))*(1+INDEX($AE$21:$AE$97,F1099))-1</f>
        <v>-0.192838060271927</v>
      </c>
      <c r="O1099" s="489">
        <f>(1+INDEX($AF$21:$AF$97,B1099))*(1+INDEX($AF$21:$AF$97,C1099))*(1+INDEX($AF$21:$AF$97,D1099))*(1+INDEX($AF$21:$AF$97,E1099))*(1+INDEX($AF$21:$AF$97,F1099))-1</f>
        <v>-0.087930254188746</v>
      </c>
      <c r="P1099" s="489">
        <f>LN((1+L1099)/(1+H1099))</f>
        <v>-0.0935387918704284</v>
      </c>
      <c r="Q1099" s="489">
        <f>LN((1+M1099)/(1+H1099))</f>
        <v>-0.0366146732470034</v>
      </c>
      <c r="R1099" s="489">
        <f>LN((1+N1099)/(1+H1099))</f>
        <v>-0.0761851442336547</v>
      </c>
      <c r="S1099" s="542">
        <f>LN((1+O1099)/(1+H1099))</f>
        <v>0.0460070016401185</v>
      </c>
    </row>
    <row r="1100">
      <c r="A1100" s="320" t="n">
        <v>999</v>
      </c>
      <c r="B1100" s="174" t="n">
        <v>70</v>
      </c>
      <c r="C1100" s="174" t="n">
        <v>30</v>
      </c>
      <c r="D1100" s="174" t="n">
        <v>58</v>
      </c>
      <c r="E1100" s="174" t="n">
        <v>6</v>
      </c>
      <c r="F1100" s="174" t="n">
        <v>56</v>
      </c>
      <c r="G1100" s="68">
        <f>(1+INDEX($Z$21:$Z$97,B1100))*(1+INDEX($Z$21:$Z$97,C1100))*(1+INDEX($Z$21:$Z$97,D1100))*(1+INDEX($Z$21:$Z$97,E1100))*(1+INDEX($Z$21:$Z$97,F1100))-1</f>
        <v>0.330769889743864</v>
      </c>
      <c r="H1100" s="68">
        <f>(1+INDEX($AA$21:$AA$97,B1100))*(1+INDEX($AA$21:$AA$97,C1100))*(1+INDEX($AA$21:$AA$97,D1100))*(1+INDEX($AA$21:$AA$97,E1100))*(1+INDEX($AA$21:$AA$97,F1100))-1</f>
        <v>0.358592518184054</v>
      </c>
      <c r="I1100" s="68">
        <f>(1+INDEX($AB$21:$AB$97,B1100))*(1+INDEX($AB$21:$AB$97,C1100))*(1+INDEX($AB$21:$AB$97,D1100))*(1+INDEX($AB$21:$AB$97,E1100))*(1+INDEX($AB$21:$AB$97,F1100))-1</f>
        <v>0.346438132802138</v>
      </c>
      <c r="J1100" s="489">
        <f>LN((1+G1100)/(1+H1100))</f>
        <v>-0.0206916115303474</v>
      </c>
      <c r="K1100" s="489">
        <f>LN((1+I1100)/(1+H1100))</f>
        <v>-0.00898656521671703</v>
      </c>
      <c r="L1100" s="489">
        <f>(1+INDEX($AC$21:$AC$97,B1100))*(1+INDEX($AC$21:$AC$97,C1100))*(1+INDEX($AC$21:$AC$97,D1100))*(1+INDEX($AC$21:$AC$97,E1100))*(1+INDEX($AC$21:$AC$97,F1100))-1</f>
        <v>0.35569924400942</v>
      </c>
      <c r="M1100" s="489">
        <f>(1+INDEX($AD$21:$AD$97,B1100))*(1+INDEX($AD$21:$AD$97,C1100))*(1+INDEX($AD$21:$AD$97,D1100))*(1+INDEX($AD$21:$AD$97,E1100))*(1+INDEX($AD$21:$AD$97,F1100))-1</f>
        <v>0.319705275507588</v>
      </c>
      <c r="N1100" s="489">
        <f>(1+INDEX($AE$21:$AE$97,B1100))*(1+INDEX($AE$21:$AE$97,C1100))*(1+INDEX($AE$21:$AE$97,D1100))*(1+INDEX($AE$21:$AE$97,E1100))*(1+INDEX($AE$21:$AE$97,F1100))-1</f>
        <v>0.348888745279047</v>
      </c>
      <c r="O1100" s="489">
        <f>(1+INDEX($AF$21:$AF$97,B1100))*(1+INDEX($AF$21:$AF$97,C1100))*(1+INDEX($AF$21:$AF$97,D1100))*(1+INDEX($AF$21:$AF$97,E1100))*(1+INDEX($AF$21:$AF$97,F1100))-1</f>
        <v>0.359160069806705</v>
      </c>
      <c r="P1100" s="489">
        <f>LN((1+L1100)/(1+H1100))</f>
        <v>-0.00213188229116912</v>
      </c>
      <c r="Q1100" s="489">
        <f>LN((1+M1100)/(1+H1100))</f>
        <v>-0.0290408152178335</v>
      </c>
      <c r="R1100" s="489">
        <f>LN((1+N1100)/(1+H1100))</f>
        <v>-0.00716814892583059</v>
      </c>
      <c r="S1100" s="542">
        <f>LN((1+O1100)/(1+H1100))</f>
        <v>0.000417662471123333</v>
      </c>
    </row>
    <row r="1101">
      <c r="A1101" s="322" t="n">
        <v>1000</v>
      </c>
      <c r="B1101" s="323" t="n">
        <v>16</v>
      </c>
      <c r="C1101" s="323" t="n">
        <v>72</v>
      </c>
      <c r="D1101" s="323" t="n">
        <v>22</v>
      </c>
      <c r="E1101" s="323" t="n">
        <v>50</v>
      </c>
      <c r="F1101" s="323" t="n">
        <v>60</v>
      </c>
      <c r="G1101" s="324">
        <f>(1+INDEX($Z$21:$Z$97,B1101))*(1+INDEX($Z$21:$Z$97,C1101))*(1+INDEX($Z$21:$Z$97,D1101))*(1+INDEX($Z$21:$Z$97,E1101))*(1+INDEX($Z$21:$Z$97,F1101))-1</f>
        <v>0.532418216185717</v>
      </c>
      <c r="H1101" s="324">
        <f>(1+INDEX($AA$21:$AA$97,B1101))*(1+INDEX($AA$21:$AA$97,C1101))*(1+INDEX($AA$21:$AA$97,D1101))*(1+INDEX($AA$21:$AA$97,E1101))*(1+INDEX($AA$21:$AA$97,F1101))-1</f>
        <v>0.517134274063255</v>
      </c>
      <c r="I1101" s="324">
        <f>(1+INDEX($AB$21:$AB$97,B1101))*(1+INDEX($AB$21:$AB$97,C1101))*(1+INDEX($AB$21:$AB$97,D1101))*(1+INDEX($AB$21:$AB$97,E1101))*(1+INDEX($AB$21:$AB$97,F1101))-1</f>
        <v>0.567198650369596</v>
      </c>
      <c r="J1101" s="543">
        <f>LN((1+G1101)/(1+H1101))</f>
        <v>0.0100238117852299</v>
      </c>
      <c r="K1101" s="543">
        <f>LN((1+I1101)/(1+H1101))</f>
        <v>0.0324665171293979</v>
      </c>
      <c r="L1101" s="543">
        <f>(1+INDEX($AC$21:$AC$97,B1101))*(1+INDEX($AC$21:$AC$97,C1101))*(1+INDEX($AC$21:$AC$97,D1101))*(1+INDEX($AC$21:$AC$97,E1101))*(1+INDEX($AC$21:$AC$97,F1101))-1</f>
        <v>0.557213181664873</v>
      </c>
      <c r="M1101" s="543">
        <f>(1+INDEX($AD$21:$AD$97,B1101))*(1+INDEX($AD$21:$AD$97,C1101))*(1+INDEX($AD$21:$AD$97,D1101))*(1+INDEX($AD$21:$AD$97,E1101))*(1+INDEX($AD$21:$AD$97,F1101))-1</f>
        <v>0.547452774278464</v>
      </c>
      <c r="N1101" s="543">
        <f>(1+INDEX($AE$21:$AE$97,B1101))*(1+INDEX($AE$21:$AE$97,C1101))*(1+INDEX($AE$21:$AE$97,D1101))*(1+INDEX($AE$21:$AE$97,E1101))*(1+INDEX($AE$21:$AE$97,F1101))-1</f>
        <v>0.558995506661972</v>
      </c>
      <c r="O1101" s="543">
        <f>(1+INDEX($AF$21:$AF$97,B1101))*(1+INDEX($AF$21:$AF$97,C1101))*(1+INDEX($AF$21:$AF$97,D1101))*(1+INDEX($AF$21:$AF$97,E1101))*(1+INDEX($AF$21:$AF$97,F1101))-1</f>
        <v>0.491188746703151</v>
      </c>
      <c r="P1101" s="543">
        <f>LN((1+L1101)/(1+H1101))</f>
        <v>0.0260745923516873</v>
      </c>
      <c r="Q1101" s="543">
        <f>LN((1+M1101)/(1+H1101))</f>
        <v>0.0197869983364703</v>
      </c>
      <c r="R1101" s="543">
        <f>LN((1+N1101)/(1+H1101))</f>
        <v>0.0272184985336622</v>
      </c>
      <c r="S1101" s="544">
        <f>LN((1+O1101)/(1+H1101))</f>
        <v>-0.0172495908951865</v>
      </c>
    </row>
  </sheetData>
  <conditionalFormatting sqref="B14:C14">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pageMargins left="0.75" right="0.75" top="1" bottom="1" header="0.5" footer="0.5"/>
  <pageSetup orientation="landscape" fitToHeight="0"/>
</worksheet>
</file>

<file path=xl/worksheets/sheet9.xml><?xml version="1.0" encoding="utf-8"?>
<worksheet xmlns="http://schemas.openxmlformats.org/spreadsheetml/2006/main">
  <sheetPr>
    <tabColor rgb="FFA50021"/>
    <outlinePr summaryBelow="1" summaryRight="1"/>
    <pageSetUpPr fitToPage="1"/>
  </sheetPr>
  <dimension ref="A1:E30"/>
  <sheetViews>
    <sheetView showGridLines="0" workbookViewId="0">
      <selection activeCell="A1" sqref="A1"/>
    </sheetView>
  </sheetViews>
  <sheetFormatPr baseColWidth="10" defaultColWidth="8.83203125" defaultRowHeight="15"/>
  <cols>
    <col width="30" customWidth="1" min="1" max="1"/>
    <col width="14" customWidth="1" min="2" max="5"/>
  </cols>
  <sheetData>
    <row r="1" ht="19" customHeight="1">
      <c r="A1" s="53" t="inlineStr">
        <is>
          <t>Stress</t>
        </is>
      </c>
    </row>
    <row r="3">
      <c r="A3" s="86" t="inlineStr">
        <is>
          <t>1. Historical windows</t>
        </is>
      </c>
      <c r="B3" s="87" t="n"/>
      <c r="C3" s="88" t="n"/>
    </row>
    <row r="4" ht="28" customHeight="1">
      <c r="A4" s="92" t="inlineStr">
        <is>
          <t>Scenario</t>
        </is>
      </c>
      <c r="B4" s="93" t="inlineStr">
        <is>
          <t>Start (quarter end)</t>
        </is>
      </c>
      <c r="C4" s="94" t="inlineStr">
        <is>
          <t>End (quarter end)</t>
        </is>
      </c>
    </row>
    <row r="5">
      <c r="A5" s="98" t="inlineStr">
        <is>
          <t>Global financial crisis</t>
        </is>
      </c>
      <c r="B5" s="488" t="n">
        <v>39447</v>
      </c>
      <c r="C5" s="545" t="n">
        <v>39903</v>
      </c>
    </row>
    <row r="6">
      <c r="A6" s="98" t="inlineStr">
        <is>
          <t>COVID shock</t>
        </is>
      </c>
      <c r="B6" s="488" t="n">
        <v>43921</v>
      </c>
      <c r="C6" s="545" t="n">
        <v>43921</v>
      </c>
    </row>
    <row r="7">
      <c r="A7" s="100" t="inlineStr">
        <is>
          <t>Inflation sell-off (2022)</t>
        </is>
      </c>
      <c r="B7" s="546" t="n">
        <v>44651</v>
      </c>
      <c r="C7" s="547" t="n">
        <v>44925</v>
      </c>
    </row>
    <row r="9">
      <c r="A9" s="83" t="inlineStr">
        <is>
          <t>2. Asset returns in each scenario</t>
        </is>
      </c>
      <c r="B9" s="84" t="n"/>
      <c r="C9" s="84" t="n"/>
      <c r="D9" s="84" t="n"/>
      <c r="E9" s="85" t="n"/>
    </row>
    <row r="10" ht="42" customHeight="1">
      <c r="A10" s="89" t="inlineStr">
        <is>
          <t>Asset class</t>
        </is>
      </c>
      <c r="B10" s="90" t="inlineStr">
        <is>
          <t>Global financial crisis</t>
        </is>
      </c>
      <c r="C10" s="90" t="inlineStr">
        <is>
          <t>COVID shock</t>
        </is>
      </c>
      <c r="D10" s="90" t="inlineStr">
        <is>
          <t>Inflation sell-off (2022)</t>
        </is>
      </c>
      <c r="E10" s="91" t="inlineStr">
        <is>
          <t>US$150 oil (Oil tab)</t>
        </is>
      </c>
    </row>
    <row r="11">
      <c r="A11" s="95" t="inlineStr">
        <is>
          <t>Australian Equities</t>
        </is>
      </c>
      <c r="B11" s="68">
        <f>EXP(SUMPRODUCT(LN(1+INDEX('Quarterly returns'!N$6:N$85,MATCH($B$5,'Quarterly returns'!$A$6:$A$85,0)):INDEX('Quarterly returns'!N$6:N$85,MATCH($C$5,'Quarterly returns'!$A$6:$A$85,0)))))-1</f>
        <v>-0.423954608629171</v>
      </c>
      <c r="C11" s="68">
        <f>EXP(SUMPRODUCT(LN(1+INDEX('Quarterly returns'!N$6:N$85,MATCH($B$6,'Quarterly returns'!$A$6:$A$85,0)):INDEX('Quarterly returns'!N$6:N$85,MATCH($C$6,'Quarterly returns'!$A$6:$A$85,0)))))-1</f>
        <v>-0.239230212301625</v>
      </c>
      <c r="D11" s="68">
        <f>EXP(SUMPRODUCT(LN(1+INDEX('Quarterly returns'!N$6:N$85,MATCH($B$7,'Quarterly returns'!$A$6:$A$85,0)):INDEX('Quarterly returns'!N$6:N$85,MATCH($C$7,'Quarterly returns'!$A$6:$A$85,0)))))-1</f>
        <v>-0.0295865879400564</v>
      </c>
      <c r="E11" s="103">
        <f>Oil!F28</f>
        <v>-0.0848025997835641</v>
      </c>
    </row>
    <row r="12">
      <c r="A12" s="95" t="inlineStr">
        <is>
          <t>World Equities</t>
        </is>
      </c>
      <c r="B12" s="68">
        <f>EXP(SUMPRODUCT(LN(1+INDEX('Quarterly returns'!O$6:O$85,MATCH($B$5,'Quarterly returns'!$A$6:$A$85,0)):INDEX('Quarterly returns'!O$6:O$85,MATCH($C$5,'Quarterly returns'!$A$6:$A$85,0)))))-1</f>
        <v>-0.312680623419855</v>
      </c>
      <c r="C12" s="68">
        <f>EXP(SUMPRODUCT(LN(1+INDEX('Quarterly returns'!O$6:O$85,MATCH($B$6,'Quarterly returns'!$A$6:$A$85,0)):INDEX('Quarterly returns'!O$6:O$85,MATCH($C$6,'Quarterly returns'!$A$6:$A$85,0)))))-1</f>
        <v>-0.080905967371256</v>
      </c>
      <c r="D12" s="68">
        <f>EXP(SUMPRODUCT(LN(1+INDEX('Quarterly returns'!O$6:O$85,MATCH($B$7,'Quarterly returns'!$A$6:$A$85,0)):INDEX('Quarterly returns'!O$6:O$85,MATCH($C$7,'Quarterly returns'!$A$6:$A$85,0)))))-1</f>
        <v>-0.0953743991276153</v>
      </c>
      <c r="E12" s="103">
        <f>Oil!F29</f>
        <v>-0.129929578012126</v>
      </c>
    </row>
    <row r="13">
      <c r="A13" s="95" t="inlineStr">
        <is>
          <t>Emerging Markets</t>
        </is>
      </c>
      <c r="B13" s="68">
        <f>EXP(SUMPRODUCT(LN(1+INDEX('Quarterly returns'!P$6:P$85,MATCH($B$5,'Quarterly returns'!$A$6:$A$85,0)):INDEX('Quarterly returns'!P$6:P$85,MATCH($C$5,'Quarterly returns'!$A$6:$A$85,0)))))-1</f>
        <v>-0.259043123006889</v>
      </c>
      <c r="C13" s="68">
        <f>EXP(SUMPRODUCT(LN(1+INDEX('Quarterly returns'!P$6:P$85,MATCH($B$6,'Quarterly returns'!$A$6:$A$85,0)):INDEX('Quarterly returns'!P$6:P$85,MATCH($C$6,'Quarterly returns'!$A$6:$A$85,0)))))-1</f>
        <v>-0.0699476340769155</v>
      </c>
      <c r="D13" s="68">
        <f>EXP(SUMPRODUCT(LN(1+INDEX('Quarterly returns'!P$6:P$85,MATCH($B$7,'Quarterly returns'!$A$6:$A$85,0)):INDEX('Quarterly returns'!P$6:P$85,MATCH($C$7,'Quarterly returns'!$A$6:$A$85,0)))))-1</f>
        <v>-0.0904646461308546</v>
      </c>
      <c r="E13" s="103">
        <f>Oil!F30</f>
        <v>-0.137088728233919</v>
      </c>
    </row>
    <row r="14">
      <c r="A14" s="95" t="inlineStr">
        <is>
          <t>Listed Property</t>
        </is>
      </c>
      <c r="B14" s="68">
        <f>EXP(SUMPRODUCT(LN(1+INDEX('Quarterly returns'!Q$6:Q$85,MATCH($B$5,'Quarterly returns'!$A$6:$A$85,0)):INDEX('Quarterly returns'!Q$6:Q$85,MATCH($C$5,'Quarterly returns'!$A$6:$A$85,0)))))-1</f>
        <v>-0.505270397360505</v>
      </c>
      <c r="C14" s="68">
        <f>EXP(SUMPRODUCT(LN(1+INDEX('Quarterly returns'!Q$6:Q$85,MATCH($B$6,'Quarterly returns'!$A$6:$A$85,0)):INDEX('Quarterly returns'!Q$6:Q$85,MATCH($C$6,'Quarterly returns'!$A$6:$A$85,0)))))-1</f>
        <v>-0.166469215550117</v>
      </c>
      <c r="D14" s="68">
        <f>EXP(SUMPRODUCT(LN(1+INDEX('Quarterly returns'!Q$6:Q$85,MATCH($B$7,'Quarterly returns'!$A$6:$A$85,0)):INDEX('Quarterly returns'!Q$6:Q$85,MATCH($C$7,'Quarterly returns'!$A$6:$A$85,0)))))-1</f>
        <v>-0.16027289304508</v>
      </c>
      <c r="E14" s="103">
        <f>Oil!F31</f>
        <v>-0.115536911204531</v>
      </c>
    </row>
    <row r="15">
      <c r="A15" s="95" t="inlineStr">
        <is>
          <t>Commodities</t>
        </is>
      </c>
      <c r="B15" s="68">
        <f>EXP(SUMPRODUCT(LN(1+INDEX('Quarterly returns'!R$6:R$85,MATCH($B$5,'Quarterly returns'!$A$6:$A$85,0)):INDEX('Quarterly returns'!R$6:R$85,MATCH($C$5,'Quarterly returns'!$A$6:$A$85,0)))))-1</f>
        <v>-0.320063942868543</v>
      </c>
      <c r="C15" s="68">
        <f>EXP(SUMPRODUCT(LN(1+INDEX('Quarterly returns'!R$6:R$85,MATCH($B$6,'Quarterly returns'!$A$6:$A$85,0)):INDEX('Quarterly returns'!R$6:R$85,MATCH($C$6,'Quarterly returns'!$A$6:$A$85,0)))))-1</f>
        <v>-0.337819932505234</v>
      </c>
      <c r="D15" s="68">
        <f>EXP(SUMPRODUCT(LN(1+INDEX('Quarterly returns'!R$6:R$85,MATCH($B$7,'Quarterly returns'!$A$6:$A$85,0)):INDEX('Quarterly returns'!R$6:R$85,MATCH($C$7,'Quarterly returns'!$A$6:$A$85,0)))))-1</f>
        <v>0.35070541736578</v>
      </c>
      <c r="E15" s="103">
        <f>Oil!F32</f>
        <v>0.29013881631551</v>
      </c>
    </row>
    <row r="16">
      <c r="A16" s="95" t="inlineStr">
        <is>
          <t>Direct Property</t>
        </is>
      </c>
      <c r="B16" s="68">
        <f>EXP(SUMPRODUCT(LN(1+INDEX('Quarterly returns'!S$6:S$85,MATCH($B$5,'Quarterly returns'!$A$6:$A$85,0)):INDEX('Quarterly returns'!S$6:S$85,MATCH($C$5,'Quarterly returns'!$A$6:$A$85,0)))))-1</f>
        <v>-0.0598329830690842</v>
      </c>
      <c r="C16" s="68">
        <f>EXP(SUMPRODUCT(LN(1+INDEX('Quarterly returns'!S$6:S$85,MATCH($B$6,'Quarterly returns'!$A$6:$A$85,0)):INDEX('Quarterly returns'!S$6:S$85,MATCH($C$6,'Quarterly returns'!$A$6:$A$85,0)))))-1</f>
        <v>-0.0239061783085244</v>
      </c>
      <c r="D16" s="68">
        <f>EXP(SUMPRODUCT(LN(1+INDEX('Quarterly returns'!S$6:S$85,MATCH($B$7,'Quarterly returns'!$A$6:$A$85,0)):INDEX('Quarterly returns'!S$6:S$85,MATCH($C$7,'Quarterly returns'!$A$6:$A$85,0)))))-1</f>
        <v>-0.148372794319343</v>
      </c>
      <c r="E16" s="103">
        <f>Oil!F33</f>
        <v>0.0232686840612768</v>
      </c>
    </row>
    <row r="17">
      <c r="A17" s="95" t="inlineStr">
        <is>
          <t>Hedge Funds</t>
        </is>
      </c>
      <c r="B17" s="68">
        <f>EXP(SUMPRODUCT(LN(1+INDEX('Quarterly returns'!T$6:T$85,MATCH($B$5,'Quarterly returns'!$A$6:$A$85,0)):INDEX('Quarterly returns'!T$6:T$85,MATCH($C$5,'Quarterly returns'!$A$6:$A$85,0)))))-1</f>
        <v>0.203719505051096</v>
      </c>
      <c r="C17" s="68">
        <f>EXP(SUMPRODUCT(LN(1+INDEX('Quarterly returns'!T$6:T$85,MATCH($B$6,'Quarterly returns'!$A$6:$A$85,0)):INDEX('Quarterly returns'!T$6:T$85,MATCH($C$6,'Quarterly returns'!$A$6:$A$85,0)))))-1</f>
        <v>0.126781897097003</v>
      </c>
      <c r="D17" s="68">
        <f>EXP(SUMPRODUCT(LN(1+INDEX('Quarterly returns'!T$6:T$85,MATCH($B$7,'Quarterly returns'!$A$6:$A$85,0)):INDEX('Quarterly returns'!T$6:T$85,MATCH($C$7,'Quarterly returns'!$A$6:$A$85,0)))))-1</f>
        <v>0.0239117446982013</v>
      </c>
      <c r="E17" s="103">
        <f>Oil!F34</f>
        <v>-0.0415384422002747</v>
      </c>
    </row>
    <row r="18">
      <c r="A18" s="95" t="inlineStr">
        <is>
          <t>Private Equity</t>
        </is>
      </c>
      <c r="B18" s="68">
        <f>EXP(SUMPRODUCT(LN(1+INDEX('Quarterly returns'!U$6:U$85,MATCH($B$5,'Quarterly returns'!$A$6:$A$85,0)):INDEX('Quarterly returns'!U$6:U$85,MATCH($C$5,'Quarterly returns'!$A$6:$A$85,0)))))-1</f>
        <v>-0.153444707879264</v>
      </c>
      <c r="C18" s="68">
        <f>EXP(SUMPRODUCT(LN(1+INDEX('Quarterly returns'!U$6:U$85,MATCH($B$6,'Quarterly returns'!$A$6:$A$85,0)):INDEX('Quarterly returns'!U$6:U$85,MATCH($C$6,'Quarterly returns'!$A$6:$A$85,0)))))-1</f>
        <v>-0.0919795299885777</v>
      </c>
      <c r="D18" s="68">
        <f>EXP(SUMPRODUCT(LN(1+INDEX('Quarterly returns'!U$6:U$85,MATCH($B$7,'Quarterly returns'!$A$6:$A$85,0)):INDEX('Quarterly returns'!U$6:U$85,MATCH($C$7,'Quarterly returns'!$A$6:$A$85,0)))))-1</f>
        <v>0.00949395721386059</v>
      </c>
      <c r="E18" s="103">
        <f>Oil!F35</f>
        <v>-0.098427119716865</v>
      </c>
    </row>
    <row r="19">
      <c r="A19" s="95" t="inlineStr">
        <is>
          <t>Australian Fixed Income</t>
        </is>
      </c>
      <c r="B19" s="68">
        <f>EXP(SUMPRODUCT(LN(1+INDEX('Quarterly returns'!V$6:V$85,MATCH($B$5,'Quarterly returns'!$A$6:$A$85,0)):INDEX('Quarterly returns'!V$6:V$85,MATCH($C$5,'Quarterly returns'!$A$6:$A$85,0)))))-1</f>
        <v>0.155612612468381</v>
      </c>
      <c r="C19" s="68">
        <f>EXP(SUMPRODUCT(LN(1+INDEX('Quarterly returns'!V$6:V$85,MATCH($B$6,'Quarterly returns'!$A$6:$A$85,0)):INDEX('Quarterly returns'!V$6:V$85,MATCH($C$6,'Quarterly returns'!$A$6:$A$85,0)))))-1</f>
        <v>0.0331097282475634</v>
      </c>
      <c r="D19" s="68">
        <f>EXP(SUMPRODUCT(LN(1+INDEX('Quarterly returns'!V$6:V$85,MATCH($B$7,'Quarterly returns'!$A$6:$A$85,0)):INDEX('Quarterly returns'!V$6:V$85,MATCH($C$7,'Quarterly returns'!$A$6:$A$85,0)))))-1</f>
        <v>-0.11082469618679</v>
      </c>
      <c r="E19" s="103">
        <f>Oil!F36</f>
        <v>-0.0488439698378982</v>
      </c>
    </row>
    <row r="20">
      <c r="A20" s="95" t="inlineStr">
        <is>
          <t>World Fixed Income</t>
        </is>
      </c>
      <c r="B20" s="68">
        <f>EXP(SUMPRODUCT(LN(1+INDEX('Quarterly returns'!W$6:W$85,MATCH($B$5,'Quarterly returns'!$A$6:$A$85,0)):INDEX('Quarterly returns'!W$6:W$85,MATCH($C$5,'Quarterly returns'!$A$6:$A$85,0)))))-1</f>
        <v>0.128297286503984</v>
      </c>
      <c r="C20" s="68">
        <f>EXP(SUMPRODUCT(LN(1+INDEX('Quarterly returns'!W$6:W$85,MATCH($B$6,'Quarterly returns'!$A$6:$A$85,0)):INDEX('Quarterly returns'!W$6:W$85,MATCH($C$6,'Quarterly returns'!$A$6:$A$85,0)))))-1</f>
        <v>0.0305928292031425</v>
      </c>
      <c r="D20" s="68">
        <f>EXP(SUMPRODUCT(LN(1+INDEX('Quarterly returns'!W$6:W$85,MATCH($B$7,'Quarterly returns'!$A$6:$A$85,0)):INDEX('Quarterly returns'!W$6:W$85,MATCH($C$7,'Quarterly returns'!$A$6:$A$85,0)))))-1</f>
        <v>-0.125909928570645</v>
      </c>
      <c r="E20" s="103">
        <f>Oil!F37</f>
        <v>-0.0477758236584205</v>
      </c>
    </row>
    <row r="21">
      <c r="A21" s="107" t="inlineStr">
        <is>
          <t>Cash</t>
        </is>
      </c>
      <c r="B21" s="324">
        <f>EXP(SUMPRODUCT(LN(1+INDEX('Quarterly returns'!X$6:X$85,MATCH($B$5,'Quarterly returns'!$A$6:$A$85,0)):INDEX('Quarterly returns'!X$6:X$85,MATCH($C$5,'Quarterly returns'!$A$6:$A$85,0)))))-1</f>
        <v>0.105251801088264</v>
      </c>
      <c r="C21" s="324">
        <f>EXP(SUMPRODUCT(LN(1+INDEX('Quarterly returns'!X$6:X$85,MATCH($B$6,'Quarterly returns'!$A$6:$A$85,0)):INDEX('Quarterly returns'!X$6:X$85,MATCH($C$6,'Quarterly returns'!$A$6:$A$85,0)))))-1</f>
        <v>0.00256127340506218</v>
      </c>
      <c r="D21" s="324">
        <f>EXP(SUMPRODUCT(LN(1+INDEX('Quarterly returns'!X$6:X$85,MATCH($B$7,'Quarterly returns'!$A$6:$A$85,0)):INDEX('Quarterly returns'!X$6:X$85,MATCH($C$7,'Quarterly returns'!$A$6:$A$85,0)))))-1</f>
        <v>0.0125552219747338</v>
      </c>
      <c r="E21" s="330">
        <f>Oil!F38</f>
        <v>0</v>
      </c>
    </row>
    <row r="24">
      <c r="A24" s="86" t="inlineStr">
        <is>
          <t>3. Portfolio impact</t>
        </is>
      </c>
      <c r="B24" s="87" t="n"/>
      <c r="C24" s="87" t="n"/>
      <c r="D24" s="87" t="n"/>
      <c r="E24" s="88" t="n"/>
    </row>
    <row r="25" ht="42" customHeight="1">
      <c r="A25" s="92" t="inlineStr">
        <is>
          <t>Portfolio</t>
        </is>
      </c>
      <c r="B25" s="93" t="inlineStr">
        <is>
          <t>Global financial crisis</t>
        </is>
      </c>
      <c r="C25" s="93" t="inlineStr">
        <is>
          <t>COVID shock</t>
        </is>
      </c>
      <c r="D25" s="93" t="inlineStr">
        <is>
          <t>Inflation sell-off (2022)</t>
        </is>
      </c>
      <c r="E25" s="94" t="inlineStr">
        <is>
          <t>US$150 oil</t>
        </is>
      </c>
    </row>
    <row r="26">
      <c r="A26" s="98" t="inlineStr">
        <is>
          <t>Current fund</t>
        </is>
      </c>
      <c r="B26" s="68">
        <f>SUMPRODUCT(B$11:B$21,Portfolio!$C$6:$C$16)</f>
        <v>-0.241671707004935</v>
      </c>
      <c r="C26" s="68">
        <f>SUMPRODUCT(C$11:C$21,Portfolio!$C$6:$C$16)</f>
        <v>-0.120927025238173</v>
      </c>
      <c r="D26" s="68">
        <f>SUMPRODUCT(D$11:D$21,Portfolio!$C$6:$C$16)</f>
        <v>-0.0727544374814924</v>
      </c>
      <c r="E26" s="99">
        <f>SUMPRODUCT(E$11:E$21,Portfolio!$C$6:$C$16)</f>
        <v>-0.0826093080046623</v>
      </c>
    </row>
    <row r="27">
      <c r="A27" s="98" t="inlineStr">
        <is>
          <t>Benchmark</t>
        </is>
      </c>
      <c r="B27" s="68">
        <f>SUMPRODUCT(B$11:B$21,Portfolio!$D$6:$D$16)</f>
        <v>-0.193000886085511</v>
      </c>
      <c r="C27" s="68">
        <f>SUMPRODUCT(C$11:C$21,Portfolio!$D$6:$D$16)</f>
        <v>-0.0918064845384451</v>
      </c>
      <c r="D27" s="68">
        <f>SUMPRODUCT(D$11:D$21,Portfolio!$D$6:$D$16)</f>
        <v>-0.0726107979336922</v>
      </c>
      <c r="E27" s="99">
        <f>SUMPRODUCT(E$11:E$21,Portfolio!$D$6:$D$16)</f>
        <v>-0.0739102470080081</v>
      </c>
    </row>
    <row r="28">
      <c r="A28" s="283" t="inlineStr">
        <is>
          <t>Recommended</t>
        </is>
      </c>
      <c r="B28" s="69">
        <f>SUMPRODUCT(B$11:B$21,Portfolio!$E$6:$E$16)</f>
        <v>-0.235024797551683</v>
      </c>
      <c r="C28" s="69">
        <f>SUMPRODUCT(C$11:C$21,Portfolio!$E$6:$E$16)</f>
        <v>-0.107482356833963</v>
      </c>
      <c r="D28" s="69">
        <f>SUMPRODUCT(D$11:D$21,Portfolio!$E$6:$E$16)</f>
        <v>-0.0754055858935452</v>
      </c>
      <c r="E28" s="331">
        <f>SUMPRODUCT(E$11:E$21,Portfolio!$E$6:$E$16)</f>
        <v>-0.0836389097568949</v>
      </c>
    </row>
    <row r="29">
      <c r="A29" s="283" t="inlineStr">
        <is>
          <t>Recommended less current</t>
        </is>
      </c>
      <c r="B29" s="69">
        <f>B28-B26</f>
        <v>0.00664690945325228</v>
      </c>
      <c r="C29" s="69">
        <f>C28-C26</f>
        <v>0.0134446684042097</v>
      </c>
      <c r="D29" s="69">
        <f>D28-D26</f>
        <v>-0.00265114841205283</v>
      </c>
      <c r="E29" s="331">
        <f>E28-E26</f>
        <v>-0.00102960175223261</v>
      </c>
    </row>
    <row r="30">
      <c r="A30" s="332" t="inlineStr">
        <is>
          <t>Recommended less benchmark</t>
        </is>
      </c>
      <c r="B30" s="333">
        <f>B28-B27</f>
        <v>-0.0420239114661726</v>
      </c>
      <c r="C30" s="333">
        <f>C28-C27</f>
        <v>-0.015675872295518</v>
      </c>
      <c r="D30" s="333">
        <f>D28-D27</f>
        <v>-0.00279478795985297</v>
      </c>
      <c r="E30" s="334">
        <f>E28-E27</f>
        <v>-0.0097286627488868</v>
      </c>
    </row>
  </sheetData>
  <pageMargins left="0.75" right="0.75" top="1" bottom="1" header="0.5" footer="0.5"/>
  <pageSetup orientation="landscape" fitToHeight="0"/>
</worksheet>
</file>

<file path=xl/worksheets/sheet10.xml><?xml version="1.0" encoding="utf-8"?>
<worksheet xmlns="http://schemas.openxmlformats.org/spreadsheetml/2006/main">
  <sheetPr>
    <tabColor rgb="FF843C0C"/>
    <outlinePr summaryBelow="1" summaryRight="1"/>
    <pageSetUpPr fitToPage="1"/>
  </sheetPr>
  <dimension ref="A1:AV701"/>
  <sheetViews>
    <sheetView showGridLines="0" workbookViewId="0">
      <pane ySplit="4" topLeftCell="A5" activePane="bottomLeft" state="frozen"/>
      <selection pane="bottomLeft" activeCell="E4" sqref="E4"/>
    </sheetView>
  </sheetViews>
  <sheetFormatPr baseColWidth="10" defaultColWidth="8.83203125" defaultRowHeight="15"/>
  <cols>
    <col width="34" customWidth="1" min="1" max="1"/>
    <col width="12" customWidth="1" min="2" max="6"/>
    <col width="11" customWidth="1" min="7" max="7"/>
    <col width="13" customWidth="1" min="8" max="8"/>
    <col width="11" customWidth="1" min="9" max="12"/>
    <col width="3" customWidth="1" min="13" max="13"/>
    <col width="11" customWidth="1" min="14" max="31"/>
    <col width="3" customWidth="1" min="32" max="32"/>
    <col width="10"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s>
  <sheetData>
    <row r="1" ht="19" customHeight="1">
      <c r="A1" s="53" t="inlineStr">
        <is>
          <t>Oil</t>
        </is>
      </c>
    </row>
    <row r="3">
      <c r="A3" s="104" t="inlineStr">
        <is>
          <t>1. Scenario</t>
        </is>
      </c>
      <c r="B3" s="105" t="n"/>
      <c r="C3" s="106" t="n"/>
      <c r="N3" s="203" t="inlineStr">
        <is>
          <t>Monthly panel, Jan-1968 to Jan-2026 (from Additional data and Data tabs)</t>
        </is>
      </c>
      <c r="O3" s="204" t="n"/>
      <c r="P3" s="204" t="n"/>
      <c r="Q3" s="204" t="n"/>
      <c r="R3" s="204" t="n"/>
      <c r="S3" s="204" t="n"/>
      <c r="T3" s="204" t="n"/>
      <c r="U3" s="204" t="n"/>
      <c r="V3" s="204" t="n"/>
      <c r="W3" s="204" t="n"/>
      <c r="X3" s="204" t="n"/>
      <c r="Y3" s="204" t="n"/>
      <c r="Z3" s="204" t="n"/>
      <c r="AA3" s="204" t="n"/>
      <c r="AB3" s="204" t="n"/>
      <c r="AC3" s="204" t="n"/>
      <c r="AD3" s="204" t="n"/>
      <c r="AE3" s="205" t="n"/>
      <c r="AG3" s="548" t="inlineStr">
        <is>
          <t>Panel extension: AU 5-year yield (RBA 5Y yield tab) and 12-month asset-class log returns (Data tab)</t>
        </is>
      </c>
      <c r="AH3" s="549" t="n"/>
      <c r="AI3" s="549" t="n"/>
      <c r="AJ3" s="549" t="n"/>
      <c r="AK3" s="549" t="n"/>
      <c r="AL3" s="549" t="n"/>
      <c r="AM3" s="549" t="n"/>
      <c r="AN3" s="549" t="n"/>
      <c r="AO3" s="549" t="n"/>
      <c r="AP3" s="549" t="n"/>
      <c r="AQ3" s="549" t="n"/>
      <c r="AR3" s="549" t="n"/>
      <c r="AS3" s="549" t="n"/>
      <c r="AT3" s="549" t="n"/>
      <c r="AU3" s="549" t="n"/>
      <c r="AV3" s="550" t="n"/>
    </row>
    <row r="4" ht="54" customHeight="1">
      <c r="A4" s="114" t="inlineStr">
        <is>
          <t>Current WTI (US$/bbl)</t>
        </is>
      </c>
      <c r="B4" s="192" t="n">
        <v>96.41</v>
      </c>
      <c r="C4" s="420" t="inlineStr">
        <is>
          <t>FRED, 22-Sep-26</t>
        </is>
      </c>
      <c r="N4" s="206" t="inlineStr">
        <is>
          <t>Month end</t>
        </is>
      </c>
      <c r="O4" s="207" t="inlineStr">
        <is>
          <t>WTI</t>
        </is>
      </c>
      <c r="P4" s="207" t="inlineStr">
        <is>
          <t>ln WTI</t>
        </is>
      </c>
      <c r="Q4" s="207" t="inlineStr">
        <is>
          <t>US equity log index</t>
        </is>
      </c>
      <c r="R4" s="207" t="inlineStr">
        <is>
          <t>Aus equity ln level</t>
        </is>
      </c>
      <c r="S4" s="207" t="inlineStr">
        <is>
          <t>AU 3-month rate (%)</t>
        </is>
      </c>
      <c r="T4" s="335" t="inlineStr">
        <is>
          <t>1m oil (log)</t>
        </is>
      </c>
      <c r="U4" s="112" t="inlineStr">
        <is>
          <t>1m US equity (log)</t>
        </is>
      </c>
      <c r="V4" s="112" t="inlineStr">
        <is>
          <t>1m Aus equity (log)</t>
        </is>
      </c>
      <c r="W4" s="112" t="inlineStr">
        <is>
          <t>1m rate change (pp)</t>
        </is>
      </c>
      <c r="X4" s="335" t="inlineStr">
        <is>
          <t>12m oil (log)</t>
        </is>
      </c>
      <c r="Y4" s="112" t="inlineStr">
        <is>
          <t>12m US equity (log)</t>
        </is>
      </c>
      <c r="Z4" s="112" t="inlineStr">
        <is>
          <t>12m Aus equity (log)</t>
        </is>
      </c>
      <c r="AA4" s="112" t="inlineStr">
        <is>
          <t>12m rate change (pp)</t>
        </is>
      </c>
      <c r="AB4" s="335" t="inlineStr">
        <is>
          <t>60m oil (log)</t>
        </is>
      </c>
      <c r="AC4" s="112" t="inlineStr">
        <is>
          <t>60m US equity (log)</t>
        </is>
      </c>
      <c r="AD4" s="112" t="inlineStr">
        <is>
          <t>60m Aus equity (log)</t>
        </is>
      </c>
      <c r="AE4" s="336" t="inlineStr">
        <is>
          <t>60m rate change (pp)</t>
        </is>
      </c>
      <c r="AG4" s="551" t="inlineStr">
        <is>
          <t>Month end</t>
        </is>
      </c>
      <c r="AH4" s="552" t="inlineStr">
        <is>
          <t>AU 5-year yield (%)</t>
        </is>
      </c>
      <c r="AI4" s="552" t="inlineStr">
        <is>
          <t>1m yield change (pp)</t>
        </is>
      </c>
      <c r="AJ4" s="552" t="inlineStr">
        <is>
          <t>12m yield change (pp)</t>
        </is>
      </c>
      <c r="AK4" s="552" t="inlineStr">
        <is>
          <t>60m yield change (pp)</t>
        </is>
      </c>
      <c r="AL4" s="552" t="inlineStr">
        <is>
          <t>12m Australian Equities (log)</t>
        </is>
      </c>
      <c r="AM4" s="552" t="inlineStr">
        <is>
          <t>12m World Equities (log)</t>
        </is>
      </c>
      <c r="AN4" s="552" t="inlineStr">
        <is>
          <t>12m Emerging Markets (log)</t>
        </is>
      </c>
      <c r="AO4" s="552" t="inlineStr">
        <is>
          <t>12m Listed Property (log)</t>
        </is>
      </c>
      <c r="AP4" s="552" t="inlineStr">
        <is>
          <t>12m Commodities (log)</t>
        </is>
      </c>
      <c r="AQ4" s="552" t="inlineStr">
        <is>
          <t>12m Direct Property (log)</t>
        </is>
      </c>
      <c r="AR4" s="552" t="inlineStr">
        <is>
          <t>12m Hedge Funds (log)</t>
        </is>
      </c>
      <c r="AS4" s="552" t="inlineStr">
        <is>
          <t>12m Private Equity (log)</t>
        </is>
      </c>
      <c r="AT4" s="552" t="inlineStr">
        <is>
          <t>12m Australian Fixed Income (log)</t>
        </is>
      </c>
      <c r="AU4" s="552" t="inlineStr">
        <is>
          <t>12m World Fixed Income (log)</t>
        </is>
      </c>
      <c r="AV4" s="553" t="inlineStr">
        <is>
          <t>12m Cash (log)</t>
        </is>
      </c>
    </row>
    <row r="5">
      <c r="A5" s="114" t="inlineStr">
        <is>
          <t>Scenario WTI (US$/bbl)</t>
        </is>
      </c>
      <c r="B5" s="192" t="n">
        <v>150</v>
      </c>
      <c r="C5" s="420" t="inlineStr">
        <is>
          <t>Brief</t>
        </is>
      </c>
      <c r="N5" s="337" t="n">
        <v>24868</v>
      </c>
      <c r="O5" s="116">
        <f>INDEX('Additional data'!$B$2:$B$965,MATCH(DATE(YEAR(N5),MONTH(N5),1),'Additional data'!$A$2:$A$965,0))</f>
        <v>3.07</v>
      </c>
      <c r="P5" s="489">
        <f>LN(O5)</f>
        <v>1.12167756159911</v>
      </c>
      <c r="Q5" s="489">
        <f>LN(1+INDEX('Additional data'!$H$2:$H$1196,MATCH(N5,'Additional data'!$G$2:$G$1196,1))+INDEX('Additional data'!$I$2:$I$1196,MATCH(N5,'Additional data'!$G$2:$G$1196,1)))</f>
        <v>-0.0369752361248953</v>
      </c>
      <c r="R5" s="77" t="n"/>
      <c r="S5" s="116">
        <f>IF(INDEX('Additional data'!$E$2:$E$699,MATCH(DATE(YEAR(N5),MONTH(N5),1),'Additional data'!$D$2:$D$699,0))=0,(INDEX('Additional data'!$E$2:$E$699,MATCH(DATE(YEAR(N5),MONTH(N5),1),'Additional data'!$D$2:$D$699,0)-1)+INDEX('Additional data'!$E$2:$E$699,MATCH(DATE(YEAR(N5),MONTH(N5),1),'Additional data'!$D$2:$D$699,0)+1))/2,INDEX('Additional data'!$E$2:$E$699,MATCH(DATE(YEAR(N5),MONTH(N5),1),'Additional data'!$D$2:$D$699,0)))</f>
        <v>5.1</v>
      </c>
      <c r="T5" s="77" t="n"/>
      <c r="U5" s="77" t="n"/>
      <c r="V5" s="77" t="n"/>
      <c r="W5" s="77" t="n"/>
      <c r="X5" s="77" t="n"/>
      <c r="Y5" s="77" t="n"/>
      <c r="Z5" s="77" t="n"/>
      <c r="AA5" s="77" t="n"/>
      <c r="AB5" s="77" t="n"/>
      <c r="AC5" s="77" t="n"/>
      <c r="AD5" s="77" t="n"/>
      <c r="AE5" s="237" t="n"/>
      <c r="AG5" s="554">
        <f>N5</f>
        <v>24868.0</v>
      </c>
      <c r="AH5" s="435">
        <f>IFERROR(INDEX('RBA 5Y yield'!$B$5:$B$661,MATCH(N5,'RBA 5Y yield'!$A$5:$A$661,1))*100,"")</f>
      </c>
      <c r="AI5" s="555" t="inlineStr"/>
      <c r="AJ5" s="555" t="inlineStr"/>
      <c r="AK5" s="555" t="inlineStr"/>
      <c r="AL5" s="556" t="inlineStr"/>
      <c r="AM5" s="556" t="inlineStr"/>
      <c r="AN5" s="556" t="inlineStr"/>
      <c r="AO5" s="556" t="inlineStr"/>
      <c r="AP5" s="556" t="inlineStr"/>
      <c r="AQ5" s="556" t="inlineStr"/>
      <c r="AR5" s="556" t="inlineStr"/>
      <c r="AS5" s="556" t="inlineStr"/>
      <c r="AT5" s="556" t="inlineStr"/>
      <c r="AU5" s="556" t="inlineStr"/>
      <c r="AV5" s="557" t="inlineStr"/>
    </row>
    <row r="6">
      <c r="A6" s="114" t="inlineStr">
        <is>
          <t>Oil price change</t>
        </is>
      </c>
      <c r="B6" s="68">
        <f>B5/B4-1</f>
        <v>0.555855201742558</v>
      </c>
      <c r="C6" s="338" t="n"/>
      <c r="N6" s="337" t="n">
        <v>24897</v>
      </c>
      <c r="O6" s="116">
        <f>INDEX('Additional data'!$B$2:$B$965,MATCH(DATE(YEAR(N6),MONTH(N6),1),'Additional data'!$A$2:$A$965,0))</f>
        <v>3.07</v>
      </c>
      <c r="P6" s="489">
        <f>LN(O6)</f>
        <v>1.12167756159911</v>
      </c>
      <c r="Q6" s="489">
        <f>Q5+LN(1+INDEX('Additional data'!$H$2:$H$1196,MATCH(N6,'Additional data'!$G$2:$G$1196,1))+INDEX('Additional data'!$I$2:$I$1196,MATCH(N6,'Additional data'!$G$2:$G$1196,1)))</f>
        <v>-0.0710492164586468</v>
      </c>
      <c r="R6" s="77" t="n"/>
      <c r="S6" s="116">
        <f>IF(INDEX('Additional data'!$E$2:$E$699,MATCH(DATE(YEAR(N6),MONTH(N6),1),'Additional data'!$D$2:$D$699,0))=0,(INDEX('Additional data'!$E$2:$E$699,MATCH(DATE(YEAR(N6),MONTH(N6),1),'Additional data'!$D$2:$D$699,0)-1)+INDEX('Additional data'!$E$2:$E$699,MATCH(DATE(YEAR(N6),MONTH(N6),1),'Additional data'!$D$2:$D$699,0)+1))/2,INDEX('Additional data'!$E$2:$E$699,MATCH(DATE(YEAR(N6),MONTH(N6),1),'Additional data'!$D$2:$D$699,0)))</f>
        <v>5.15</v>
      </c>
      <c r="T6" s="425">
        <f>P6-P5</f>
        <v>0</v>
      </c>
      <c r="U6" s="425">
        <f>Q6-Q5</f>
        <v>-0.0340739803337515</v>
      </c>
      <c r="V6" s="77" t="n"/>
      <c r="W6" s="116">
        <f>S6-S5</f>
        <v>0.0500000000000007</v>
      </c>
      <c r="X6" s="77" t="n"/>
      <c r="Y6" s="77" t="n"/>
      <c r="Z6" s="77" t="n"/>
      <c r="AA6" s="77" t="n"/>
      <c r="AB6" s="77" t="n"/>
      <c r="AC6" s="77" t="n"/>
      <c r="AD6" s="77" t="n"/>
      <c r="AE6" s="237" t="n"/>
      <c r="AG6" s="554">
        <f>N6</f>
        <v>24897.0</v>
      </c>
      <c r="AH6" s="435">
        <f>IFERROR(INDEX('RBA 5Y yield'!$B$5:$B$661,MATCH(N6,'RBA 5Y yield'!$A$5:$A$661,1))*100,"")</f>
      </c>
      <c r="AI6" s="435">
        <f>IF(AND(ISNUMBER(AH6),ISNUMBER(AH5)),AH6-AH5,"")</f>
      </c>
      <c r="AJ6" s="555" t="inlineStr"/>
      <c r="AK6" s="555" t="inlineStr"/>
      <c r="AL6" s="556" t="inlineStr"/>
      <c r="AM6" s="556" t="inlineStr"/>
      <c r="AN6" s="556" t="inlineStr"/>
      <c r="AO6" s="556" t="inlineStr"/>
      <c r="AP6" s="556" t="inlineStr"/>
      <c r="AQ6" s="556" t="inlineStr"/>
      <c r="AR6" s="556" t="inlineStr"/>
      <c r="AS6" s="556" t="inlineStr"/>
      <c r="AT6" s="556" t="inlineStr"/>
      <c r="AU6" s="556" t="inlineStr"/>
      <c r="AV6" s="557" t="inlineStr"/>
    </row>
    <row r="7">
      <c r="A7" s="339" t="inlineStr">
        <is>
          <t>Log change</t>
        </is>
      </c>
      <c r="B7" s="558">
        <f>LN(B5/B4)</f>
        <v>0.442025363419967</v>
      </c>
      <c r="C7" s="341" t="n"/>
      <c r="N7" s="337" t="n">
        <v>24928</v>
      </c>
      <c r="O7" s="116">
        <f>INDEX('Additional data'!$B$2:$B$965,MATCH(DATE(YEAR(N7),MONTH(N7),1),'Additional data'!$A$2:$A$965,0))</f>
        <v>3.07</v>
      </c>
      <c r="P7" s="489">
        <f>LN(O7)</f>
        <v>1.12167756159911</v>
      </c>
      <c r="Q7" s="489">
        <f>Q6+LN(1+INDEX('Additional data'!$H$2:$H$1196,MATCH(N7,'Additional data'!$G$2:$G$1196,1))+INDEX('Additional data'!$I$2:$I$1196,MATCH(N7,'Additional data'!$G$2:$G$1196,1)))</f>
        <v>-0.0651665533004913</v>
      </c>
      <c r="R7" s="77" t="n"/>
      <c r="S7" s="116">
        <f>IF(INDEX('Additional data'!$E$2:$E$699,MATCH(DATE(YEAR(N7),MONTH(N7),1),'Additional data'!$D$2:$D$699,0))=0,(INDEX('Additional data'!$E$2:$E$699,MATCH(DATE(YEAR(N7),MONTH(N7),1),'Additional data'!$D$2:$D$699,0)-1)+INDEX('Additional data'!$E$2:$E$699,MATCH(DATE(YEAR(N7),MONTH(N7),1),'Additional data'!$D$2:$D$699,0)+1))/2,INDEX('Additional data'!$E$2:$E$699,MATCH(DATE(YEAR(N7),MONTH(N7),1),'Additional data'!$D$2:$D$699,0)))</f>
        <v>5.15</v>
      </c>
      <c r="T7" s="425">
        <f>P7-P6</f>
        <v>0</v>
      </c>
      <c r="U7" s="425">
        <f>Q7-Q6</f>
        <v>0.00588266315815551</v>
      </c>
      <c r="V7" s="77" t="n"/>
      <c r="W7" s="116">
        <f>S7-S6</f>
        <v>0</v>
      </c>
      <c r="X7" s="77" t="n"/>
      <c r="Y7" s="77" t="n"/>
      <c r="Z7" s="77" t="n"/>
      <c r="AA7" s="77" t="n"/>
      <c r="AB7" s="77" t="n"/>
      <c r="AC7" s="77" t="n"/>
      <c r="AD7" s="77" t="n"/>
      <c r="AE7" s="237" t="n"/>
      <c r="AG7" s="554">
        <f>N7</f>
        <v>24928.0</v>
      </c>
      <c r="AH7" s="435">
        <f>IFERROR(INDEX('RBA 5Y yield'!$B$5:$B$661,MATCH(N7,'RBA 5Y yield'!$A$5:$A$661,1))*100,"")</f>
      </c>
      <c r="AI7" s="435">
        <f>IF(AND(ISNUMBER(AH7),ISNUMBER(AH6)),AH7-AH6,"")</f>
      </c>
      <c r="AJ7" s="555" t="inlineStr"/>
      <c r="AK7" s="555" t="inlineStr"/>
      <c r="AL7" s="556" t="inlineStr"/>
      <c r="AM7" s="556" t="inlineStr"/>
      <c r="AN7" s="556" t="inlineStr"/>
      <c r="AO7" s="556" t="inlineStr"/>
      <c r="AP7" s="556" t="inlineStr"/>
      <c r="AQ7" s="556" t="inlineStr"/>
      <c r="AR7" s="556" t="inlineStr"/>
      <c r="AS7" s="556" t="inlineStr"/>
      <c r="AT7" s="556" t="inlineStr"/>
      <c r="AU7" s="556" t="inlineStr"/>
      <c r="AV7" s="557" t="inlineStr"/>
    </row>
    <row r="8">
      <c r="N8" s="337" t="n">
        <v>24958</v>
      </c>
      <c r="O8" s="116">
        <f>INDEX('Additional data'!$B$2:$B$965,MATCH(DATE(YEAR(N8),MONTH(N8),1),'Additional data'!$A$2:$A$965,0))</f>
        <v>3.07</v>
      </c>
      <c r="P8" s="489">
        <f>LN(O8)</f>
        <v>1.12167756159911</v>
      </c>
      <c r="Q8" s="489">
        <f>Q7+LN(1+INDEX('Additional data'!$H$2:$H$1196,MATCH(N8,'Additional data'!$G$2:$G$1196,1))+INDEX('Additional data'!$I$2:$I$1196,MATCH(N8,'Additional data'!$G$2:$G$1196,1)))</f>
        <v>0.0251310846802894</v>
      </c>
      <c r="R8" s="77" t="n"/>
      <c r="S8" s="116">
        <f>IF(INDEX('Additional data'!$E$2:$E$699,MATCH(DATE(YEAR(N8),MONTH(N8),1),'Additional data'!$D$2:$D$699,0))=0,(INDEX('Additional data'!$E$2:$E$699,MATCH(DATE(YEAR(N8),MONTH(N8),1),'Additional data'!$D$2:$D$699,0)-1)+INDEX('Additional data'!$E$2:$E$699,MATCH(DATE(YEAR(N8),MONTH(N8),1),'Additional data'!$D$2:$D$699,0)+1))/2,INDEX('Additional data'!$E$2:$E$699,MATCH(DATE(YEAR(N8),MONTH(N8),1),'Additional data'!$D$2:$D$699,0)))</f>
        <v>5.15</v>
      </c>
      <c r="T8" s="425">
        <f>P8-P7</f>
        <v>0</v>
      </c>
      <c r="U8" s="425">
        <f>Q8-Q7</f>
        <v>0.0902976379807806</v>
      </c>
      <c r="V8" s="77" t="n"/>
      <c r="W8" s="116">
        <f>S8-S7</f>
        <v>0</v>
      </c>
      <c r="X8" s="77" t="n"/>
      <c r="Y8" s="77" t="n"/>
      <c r="Z8" s="77" t="n"/>
      <c r="AA8" s="77" t="n"/>
      <c r="AB8" s="77" t="n"/>
      <c r="AC8" s="77" t="n"/>
      <c r="AD8" s="77" t="n"/>
      <c r="AE8" s="237" t="n"/>
      <c r="AG8" s="554">
        <f>N8</f>
        <v>24958.0</v>
      </c>
      <c r="AH8" s="435">
        <f>IFERROR(INDEX('RBA 5Y yield'!$B$5:$B$661,MATCH(N8,'RBA 5Y yield'!$A$5:$A$661,1))*100,"")</f>
      </c>
      <c r="AI8" s="435">
        <f>IF(AND(ISNUMBER(AH8),ISNUMBER(AH7)),AH8-AH7,"")</f>
      </c>
      <c r="AJ8" s="555" t="inlineStr"/>
      <c r="AK8" s="555" t="inlineStr"/>
      <c r="AL8" s="556" t="inlineStr"/>
      <c r="AM8" s="556" t="inlineStr"/>
      <c r="AN8" s="556" t="inlineStr"/>
      <c r="AO8" s="556" t="inlineStr"/>
      <c r="AP8" s="556" t="inlineStr"/>
      <c r="AQ8" s="556" t="inlineStr"/>
      <c r="AR8" s="556" t="inlineStr"/>
      <c r="AS8" s="556" t="inlineStr"/>
      <c r="AT8" s="556" t="inlineStr"/>
      <c r="AU8" s="556" t="inlineStr"/>
      <c r="AV8" s="557" t="inlineStr"/>
    </row>
    <row r="9">
      <c r="A9" s="104" t="inlineStr">
        <is>
          <t>2. Oil and equity returns / interest rates, monthly to 5-year horizons</t>
        </is>
      </c>
      <c r="B9" s="105" t="n"/>
      <c r="C9" s="105" t="n"/>
      <c r="D9" s="105" t="n"/>
      <c r="E9" s="105" t="n"/>
      <c r="F9" s="105" t="n"/>
      <c r="G9" s="105" t="n"/>
      <c r="H9" s="106" t="n"/>
      <c r="N9" s="337" t="n">
        <v>24989</v>
      </c>
      <c r="O9" s="116">
        <f>INDEX('Additional data'!$B$2:$B$965,MATCH(DATE(YEAR(N9),MONTH(N9),1),'Additional data'!$A$2:$A$965,0))</f>
        <v>3.07</v>
      </c>
      <c r="P9" s="489">
        <f>LN(O9)</f>
        <v>1.12167756159911</v>
      </c>
      <c r="Q9" s="489">
        <f>Q8+LN(1+INDEX('Additional data'!$H$2:$H$1196,MATCH(N9,'Additional data'!$G$2:$G$1196,1))+INDEX('Additional data'!$I$2:$I$1196,MATCH(N9,'Additional data'!$G$2:$G$1196,1)))</f>
        <v>0.0520650859203702</v>
      </c>
      <c r="R9" s="77" t="n"/>
      <c r="S9" s="116">
        <f>IF(INDEX('Additional data'!$E$2:$E$699,MATCH(DATE(YEAR(N9),MONTH(N9),1),'Additional data'!$D$2:$D$699,0))=0,(INDEX('Additional data'!$E$2:$E$699,MATCH(DATE(YEAR(N9),MONTH(N9),1),'Additional data'!$D$2:$D$699,0)-1)+INDEX('Additional data'!$E$2:$E$699,MATCH(DATE(YEAR(N9),MONTH(N9),1),'Additional data'!$D$2:$D$699,0)+1))/2,INDEX('Additional data'!$E$2:$E$699,MATCH(DATE(YEAR(N9),MONTH(N9),1),'Additional data'!$D$2:$D$699,0)))</f>
        <v>5.3</v>
      </c>
      <c r="T9" s="425">
        <f>P9-P8</f>
        <v>0</v>
      </c>
      <c r="U9" s="425">
        <f>Q9-Q8</f>
        <v>0.0269340012400808</v>
      </c>
      <c r="V9" s="77" t="n"/>
      <c r="W9" s="116">
        <f>S9-S8</f>
        <v>0.149999999999999</v>
      </c>
      <c r="X9" s="77" t="n"/>
      <c r="Y9" s="77" t="n"/>
      <c r="Z9" s="77" t="n"/>
      <c r="AA9" s="77" t="n"/>
      <c r="AB9" s="77" t="n"/>
      <c r="AC9" s="77" t="n"/>
      <c r="AD9" s="77" t="n"/>
      <c r="AE9" s="237" t="n"/>
      <c r="AG9" s="554">
        <f>N9</f>
        <v>24989.0</v>
      </c>
      <c r="AH9" s="435">
        <f>IFERROR(INDEX('RBA 5Y yield'!$B$5:$B$661,MATCH(N9,'RBA 5Y yield'!$A$5:$A$661,1))*100,"")</f>
      </c>
      <c r="AI9" s="435">
        <f>IF(AND(ISNUMBER(AH9),ISNUMBER(AH8)),AH9-AH8,"")</f>
      </c>
      <c r="AJ9" s="555" t="inlineStr"/>
      <c r="AK9" s="555" t="inlineStr"/>
      <c r="AL9" s="556" t="inlineStr"/>
      <c r="AM9" s="556" t="inlineStr"/>
      <c r="AN9" s="556" t="inlineStr"/>
      <c r="AO9" s="556" t="inlineStr"/>
      <c r="AP9" s="556" t="inlineStr"/>
      <c r="AQ9" s="556" t="inlineStr"/>
      <c r="AR9" s="556" t="inlineStr"/>
      <c r="AS9" s="556" t="inlineStr"/>
      <c r="AT9" s="556" t="inlineStr"/>
      <c r="AU9" s="556" t="inlineStr"/>
      <c r="AV9" s="557" t="inlineStr"/>
    </row>
    <row r="10" ht="42" customHeight="1">
      <c r="A10" s="111" t="inlineStr">
        <is>
          <t>Series</t>
        </is>
      </c>
      <c r="B10" s="112" t="inlineStr">
        <is>
          <t>Horizon (months)</t>
        </is>
      </c>
      <c r="C10" s="112" t="inlineStr">
        <is>
          <t>Beta</t>
        </is>
      </c>
      <c r="D10" s="112" t="inlineStr">
        <is>
          <t>t-stat</t>
        </is>
      </c>
      <c r="E10" s="112" t="inlineStr">
        <is>
          <t>t-stat (overlap-adj.)</t>
        </is>
      </c>
      <c r="F10" s="112" t="inlineStr">
        <is>
          <t>R-squared</t>
        </is>
      </c>
      <c r="G10" s="112" t="inlineStr">
        <is>
          <t>Obs</t>
        </is>
      </c>
      <c r="H10" s="113" t="inlineStr">
        <is>
          <t>Response to scenario</t>
        </is>
      </c>
      <c r="N10" s="337" t="n">
        <v>25019</v>
      </c>
      <c r="O10" s="116">
        <f>INDEX('Additional data'!$B$2:$B$965,MATCH(DATE(YEAR(N10),MONTH(N10),1),'Additional data'!$A$2:$A$965,0))</f>
        <v>3.07</v>
      </c>
      <c r="P10" s="489">
        <f>LN(O10)</f>
        <v>1.12167756159911</v>
      </c>
      <c r="Q10" s="489">
        <f>Q9+LN(1+INDEX('Additional data'!$H$2:$H$1196,MATCH(N10,'Additional data'!$G$2:$G$1196,1))+INDEX('Additional data'!$I$2:$I$1196,MATCH(N10,'Additional data'!$G$2:$G$1196,1)))</f>
        <v>0.0633017178463577</v>
      </c>
      <c r="R10" s="77" t="n"/>
      <c r="S10" s="116">
        <f>IF(INDEX('Additional data'!$E$2:$E$699,MATCH(DATE(YEAR(N10),MONTH(N10),1),'Additional data'!$D$2:$D$699,0))=0,(INDEX('Additional data'!$E$2:$E$699,MATCH(DATE(YEAR(N10),MONTH(N10),1),'Additional data'!$D$2:$D$699,0)-1)+INDEX('Additional data'!$E$2:$E$699,MATCH(DATE(YEAR(N10),MONTH(N10),1),'Additional data'!$D$2:$D$699,0)+1))/2,INDEX('Additional data'!$E$2:$E$699,MATCH(DATE(YEAR(N10),MONTH(N10),1),'Additional data'!$D$2:$D$699,0)))</f>
        <v>5.5</v>
      </c>
      <c r="T10" s="425">
        <f>P10-P9</f>
        <v>0</v>
      </c>
      <c r="U10" s="425">
        <f>Q10-Q9</f>
        <v>0.0112366319259875</v>
      </c>
      <c r="V10" s="77" t="n"/>
      <c r="W10" s="116">
        <f>S10-S9</f>
        <v>0.2</v>
      </c>
      <c r="X10" s="77" t="n"/>
      <c r="Y10" s="77" t="n"/>
      <c r="Z10" s="77" t="n"/>
      <c r="AA10" s="77" t="n"/>
      <c r="AB10" s="77" t="n"/>
      <c r="AC10" s="77" t="n"/>
      <c r="AD10" s="77" t="n"/>
      <c r="AE10" s="237" t="n"/>
      <c r="AG10" s="554">
        <f>N10</f>
        <v>25019.0</v>
      </c>
      <c r="AH10" s="435">
        <f>IFERROR(INDEX('RBA 5Y yield'!$B$5:$B$661,MATCH(N10,'RBA 5Y yield'!$A$5:$A$661,1))*100,"")</f>
      </c>
      <c r="AI10" s="435">
        <f>IF(AND(ISNUMBER(AH10),ISNUMBER(AH9)),AH10-AH9,"")</f>
      </c>
      <c r="AJ10" s="555" t="inlineStr"/>
      <c r="AK10" s="555" t="inlineStr"/>
      <c r="AL10" s="556" t="inlineStr"/>
      <c r="AM10" s="556" t="inlineStr"/>
      <c r="AN10" s="556" t="inlineStr"/>
      <c r="AO10" s="556" t="inlineStr"/>
      <c r="AP10" s="556" t="inlineStr"/>
      <c r="AQ10" s="556" t="inlineStr"/>
      <c r="AR10" s="556" t="inlineStr"/>
      <c r="AS10" s="556" t="inlineStr"/>
      <c r="AT10" s="556" t="inlineStr"/>
      <c r="AU10" s="556" t="inlineStr"/>
      <c r="AV10" s="557" t="inlineStr"/>
    </row>
    <row r="11">
      <c r="A11" s="114" t="inlineStr">
        <is>
          <t>US equities</t>
        </is>
      </c>
      <c r="B11" s="342" t="n">
        <v>1</v>
      </c>
      <c r="C11" s="425">
        <f>SLOPE($U$6:$U$701,$T$6:$T$701)</f>
        <v>0.0332915764868484</v>
      </c>
      <c r="D11" s="116">
        <f>CORREL($U$6:$U$701,$T$6:$T$701)*SQRT((G11-2)/(1-F11))</f>
        <v>1.70558634611111</v>
      </c>
      <c r="E11" s="116">
        <f>D11/SQRT(B11)</f>
        <v>1.70558634611111</v>
      </c>
      <c r="F11" s="116">
        <f>RSQ($U$6:$U$701,$T$6:$T$701)</f>
        <v>0.00417418153673944</v>
      </c>
      <c r="G11" s="342">
        <f>COUNT($U$6:$U$701)</f>
        <v>696</v>
      </c>
      <c r="H11" s="343">
        <f>EXP(C11*$B$7)-1</f>
        <v>0.0148245305012089</v>
      </c>
      <c r="N11" s="337" t="n">
        <v>25050</v>
      </c>
      <c r="O11" s="116">
        <f>INDEX('Additional data'!$B$2:$B$965,MATCH(DATE(YEAR(N11),MONTH(N11),1),'Additional data'!$A$2:$A$965,0))</f>
        <v>3.07</v>
      </c>
      <c r="P11" s="489">
        <f>LN(O11)</f>
        <v>1.12167756159911</v>
      </c>
      <c r="Q11" s="489">
        <f>Q10+LN(1+INDEX('Additional data'!$H$2:$H$1196,MATCH(N11,'Additional data'!$G$2:$G$1196,1))+INDEX('Additional data'!$I$2:$I$1196,MATCH(N11,'Additional data'!$G$2:$G$1196,1)))</f>
        <v>0.0409538541824501</v>
      </c>
      <c r="R11" s="77" t="n"/>
      <c r="S11" s="116">
        <f>IF(INDEX('Additional data'!$E$2:$E$699,MATCH(DATE(YEAR(N11),MONTH(N11),1),'Additional data'!$D$2:$D$699,0))=0,(INDEX('Additional data'!$E$2:$E$699,MATCH(DATE(YEAR(N11),MONTH(N11),1),'Additional data'!$D$2:$D$699,0)-1)+INDEX('Additional data'!$E$2:$E$699,MATCH(DATE(YEAR(N11),MONTH(N11),1),'Additional data'!$D$2:$D$699,0)+1))/2,INDEX('Additional data'!$E$2:$E$699,MATCH(DATE(YEAR(N11),MONTH(N11),1),'Additional data'!$D$2:$D$699,0)))</f>
        <v>5.1</v>
      </c>
      <c r="T11" s="425">
        <f>P11-P10</f>
        <v>0</v>
      </c>
      <c r="U11" s="425">
        <f>Q11-Q10</f>
        <v>-0.0223478636639076</v>
      </c>
      <c r="V11" s="77" t="n"/>
      <c r="W11" s="116">
        <f>S11-S10</f>
        <v>-0.4</v>
      </c>
      <c r="X11" s="77" t="n"/>
      <c r="Y11" s="77" t="n"/>
      <c r="Z11" s="77" t="n"/>
      <c r="AA11" s="77" t="n"/>
      <c r="AB11" s="77" t="n"/>
      <c r="AC11" s="77" t="n"/>
      <c r="AD11" s="77" t="n"/>
      <c r="AE11" s="237" t="n"/>
      <c r="AG11" s="554">
        <f>N11</f>
        <v>25050.0</v>
      </c>
      <c r="AH11" s="435">
        <f>IFERROR(INDEX('RBA 5Y yield'!$B$5:$B$661,MATCH(N11,'RBA 5Y yield'!$A$5:$A$661,1))*100,"")</f>
      </c>
      <c r="AI11" s="435">
        <f>IF(AND(ISNUMBER(AH11),ISNUMBER(AH10)),AH11-AH10,"")</f>
      </c>
      <c r="AJ11" s="555" t="inlineStr"/>
      <c r="AK11" s="555" t="inlineStr"/>
      <c r="AL11" s="556" t="inlineStr"/>
      <c r="AM11" s="556" t="inlineStr"/>
      <c r="AN11" s="556" t="inlineStr"/>
      <c r="AO11" s="556" t="inlineStr"/>
      <c r="AP11" s="556" t="inlineStr"/>
      <c r="AQ11" s="556" t="inlineStr"/>
      <c r="AR11" s="556" t="inlineStr"/>
      <c r="AS11" s="556" t="inlineStr"/>
      <c r="AT11" s="556" t="inlineStr"/>
      <c r="AU11" s="556" t="inlineStr"/>
      <c r="AV11" s="557" t="inlineStr"/>
    </row>
    <row r="12">
      <c r="A12" s="114" t="inlineStr">
        <is>
          <t>US equities</t>
        </is>
      </c>
      <c r="B12" s="342" t="n">
        <v>12</v>
      </c>
      <c r="C12" s="425">
        <f>SLOPE($Y$17:$Y$701,$X$17:$X$701)</f>
        <v>0.0203019386459009</v>
      </c>
      <c r="D12" s="116">
        <f>CORREL($Y$17:$Y$701,$X$17:$X$701)*SQRT((G12-2)/(1-F12))</f>
        <v>1.07000933530385</v>
      </c>
      <c r="E12" s="116">
        <f>D12/SQRT(B12)</f>
        <v>0.308885088886545</v>
      </c>
      <c r="F12" s="116">
        <f>RSQ($Y$17:$Y$701,$X$17:$X$701)</f>
        <v>0.00167350504871806</v>
      </c>
      <c r="G12" s="342">
        <f>COUNT($Y$17:$Y$701)</f>
        <v>685</v>
      </c>
      <c r="H12" s="343">
        <f>EXP(C12*$B$7)-1</f>
        <v>0.00901435861270628</v>
      </c>
      <c r="N12" s="337" t="n">
        <v>25081</v>
      </c>
      <c r="O12" s="116">
        <f>INDEX('Additional data'!$B$2:$B$965,MATCH(DATE(YEAR(N12),MONTH(N12),1),'Additional data'!$A$2:$A$965,0))</f>
        <v>3.07</v>
      </c>
      <c r="P12" s="489">
        <f>LN(O12)</f>
        <v>1.12167756159911</v>
      </c>
      <c r="Q12" s="489">
        <f>Q11+LN(1+INDEX('Additional data'!$H$2:$H$1196,MATCH(N12,'Additional data'!$G$2:$G$1196,1))+INDEX('Additional data'!$I$2:$I$1196,MATCH(N12,'Additional data'!$G$2:$G$1196,1)))</f>
        <v>0.058499033398199</v>
      </c>
      <c r="R12" s="77" t="n"/>
      <c r="S12" s="116">
        <f>IF(INDEX('Additional data'!$E$2:$E$699,MATCH(DATE(YEAR(N12),MONTH(N12),1),'Additional data'!$D$2:$D$699,0))=0,(INDEX('Additional data'!$E$2:$E$699,MATCH(DATE(YEAR(N12),MONTH(N12),1),'Additional data'!$D$2:$D$699,0)-1)+INDEX('Additional data'!$E$2:$E$699,MATCH(DATE(YEAR(N12),MONTH(N12),1),'Additional data'!$D$2:$D$699,0)+1))/2,INDEX('Additional data'!$E$2:$E$699,MATCH(DATE(YEAR(N12),MONTH(N12),1),'Additional data'!$D$2:$D$699,0)))</f>
        <v>5.1</v>
      </c>
      <c r="T12" s="425">
        <f>P12-P11</f>
        <v>0</v>
      </c>
      <c r="U12" s="425">
        <f>Q12-Q11</f>
        <v>0.0175451792157489</v>
      </c>
      <c r="V12" s="77" t="n"/>
      <c r="W12" s="116">
        <f>S12-S11</f>
        <v>0</v>
      </c>
      <c r="X12" s="77" t="n"/>
      <c r="Y12" s="77" t="n"/>
      <c r="Z12" s="77" t="n"/>
      <c r="AA12" s="77" t="n"/>
      <c r="AB12" s="77" t="n"/>
      <c r="AC12" s="77" t="n"/>
      <c r="AD12" s="77" t="n"/>
      <c r="AE12" s="237" t="n"/>
      <c r="AG12" s="554">
        <f>N12</f>
        <v>25081.0</v>
      </c>
      <c r="AH12" s="435">
        <f>IFERROR(INDEX('RBA 5Y yield'!$B$5:$B$661,MATCH(N12,'RBA 5Y yield'!$A$5:$A$661,1))*100,"")</f>
      </c>
      <c r="AI12" s="435">
        <f>IF(AND(ISNUMBER(AH12),ISNUMBER(AH11)),AH12-AH11,"")</f>
      </c>
      <c r="AJ12" s="555" t="inlineStr"/>
      <c r="AK12" s="555" t="inlineStr"/>
      <c r="AL12" s="556" t="inlineStr"/>
      <c r="AM12" s="556" t="inlineStr"/>
      <c r="AN12" s="556" t="inlineStr"/>
      <c r="AO12" s="556" t="inlineStr"/>
      <c r="AP12" s="556" t="inlineStr"/>
      <c r="AQ12" s="556" t="inlineStr"/>
      <c r="AR12" s="556" t="inlineStr"/>
      <c r="AS12" s="556" t="inlineStr"/>
      <c r="AT12" s="556" t="inlineStr"/>
      <c r="AU12" s="556" t="inlineStr"/>
      <c r="AV12" s="557" t="inlineStr"/>
    </row>
    <row r="13">
      <c r="A13" s="114" t="inlineStr">
        <is>
          <t>US equities</t>
        </is>
      </c>
      <c r="B13" s="342" t="n">
        <v>60</v>
      </c>
      <c r="C13" s="425">
        <f>SLOPE($AC$65:$AC$701,$AB$65:$AB$701)</f>
        <v>-0.229981268370374</v>
      </c>
      <c r="D13" s="116">
        <f>CORREL($AC$65:$AC$701,$AB$65:$AB$701)*SQRT((G13-2)/(1-F13))</f>
        <v>-12.0390390509125</v>
      </c>
      <c r="E13" s="116">
        <f>D13/SQRT(B13)</f>
        <v>-1.55423325828416</v>
      </c>
      <c r="F13" s="116">
        <f>RSQ($AC$65:$AC$701,$AB$65:$AB$701)</f>
        <v>0.185833201549645</v>
      </c>
      <c r="G13" s="342">
        <f>COUNT($AC$65:$AC$701)</f>
        <v>637</v>
      </c>
      <c r="H13" s="343">
        <f>EXP(C13*$B$7)-1</f>
        <v>-0.096661156275605</v>
      </c>
      <c r="N13" s="337" t="n">
        <v>25111</v>
      </c>
      <c r="O13" s="116">
        <f>INDEX('Additional data'!$B$2:$B$965,MATCH(DATE(YEAR(N13),MONTH(N13),1),'Additional data'!$A$2:$A$965,0))</f>
        <v>3.07</v>
      </c>
      <c r="P13" s="489">
        <f>LN(O13)</f>
        <v>1.12167756159911</v>
      </c>
      <c r="Q13" s="489">
        <f>Q12+LN(1+INDEX('Additional data'!$H$2:$H$1196,MATCH(N13,'Additional data'!$G$2:$G$1196,1))+INDEX('Additional data'!$I$2:$I$1196,MATCH(N13,'Additional data'!$G$2:$G$1196,1)))</f>
        <v>0.102324512938229</v>
      </c>
      <c r="R13" s="77" t="n"/>
      <c r="S13" s="116">
        <f>IF(INDEX('Additional data'!$E$2:$E$699,MATCH(DATE(YEAR(N13),MONTH(N13),1),'Additional data'!$D$2:$D$699,0))=0,(INDEX('Additional data'!$E$2:$E$699,MATCH(DATE(YEAR(N13),MONTH(N13),1),'Additional data'!$D$2:$D$699,0)-1)+INDEX('Additional data'!$E$2:$E$699,MATCH(DATE(YEAR(N13),MONTH(N13),1),'Additional data'!$D$2:$D$699,0)+1))/2,INDEX('Additional data'!$E$2:$E$699,MATCH(DATE(YEAR(N13),MONTH(N13),1),'Additional data'!$D$2:$D$699,0)))</f>
        <v>5.05</v>
      </c>
      <c r="T13" s="425">
        <f>P13-P12</f>
        <v>0</v>
      </c>
      <c r="U13" s="425">
        <f>Q13-Q12</f>
        <v>0.0438254795400295</v>
      </c>
      <c r="V13" s="77" t="n"/>
      <c r="W13" s="116">
        <f>S13-S12</f>
        <v>-0.0499999999999998</v>
      </c>
      <c r="X13" s="77" t="n"/>
      <c r="Y13" s="77" t="n"/>
      <c r="Z13" s="77" t="n"/>
      <c r="AA13" s="77" t="n"/>
      <c r="AB13" s="77" t="n"/>
      <c r="AC13" s="77" t="n"/>
      <c r="AD13" s="77" t="n"/>
      <c r="AE13" s="237" t="n"/>
      <c r="AG13" s="554">
        <f>N13</f>
        <v>25111.0</v>
      </c>
      <c r="AH13" s="435">
        <f>IFERROR(INDEX('RBA 5Y yield'!$B$5:$B$661,MATCH(N13,'RBA 5Y yield'!$A$5:$A$661,1))*100,"")</f>
      </c>
      <c r="AI13" s="435">
        <f>IF(AND(ISNUMBER(AH13),ISNUMBER(AH12)),AH13-AH12,"")</f>
      </c>
      <c r="AJ13" s="555" t="inlineStr"/>
      <c r="AK13" s="555" t="inlineStr"/>
      <c r="AL13" s="556" t="inlineStr"/>
      <c r="AM13" s="556" t="inlineStr"/>
      <c r="AN13" s="556" t="inlineStr"/>
      <c r="AO13" s="556" t="inlineStr"/>
      <c r="AP13" s="556" t="inlineStr"/>
      <c r="AQ13" s="556" t="inlineStr"/>
      <c r="AR13" s="556" t="inlineStr"/>
      <c r="AS13" s="556" t="inlineStr"/>
      <c r="AT13" s="556" t="inlineStr"/>
      <c r="AU13" s="556" t="inlineStr"/>
      <c r="AV13" s="557" t="inlineStr"/>
    </row>
    <row r="14">
      <c r="A14" s="114" t="inlineStr">
        <is>
          <t>Australian equities</t>
        </is>
      </c>
      <c r="B14" s="342" t="n">
        <v>1</v>
      </c>
      <c r="C14" s="425">
        <f>SLOPE($V$209:$V$701,$T$209:$T$701)</f>
        <v>0.067087054081971</v>
      </c>
      <c r="D14" s="116">
        <f>CORREL($V$209:$V$701,$T$209:$T$701)*SQRT((G14-2)/(1-F14))</f>
        <v>3.00352206898345</v>
      </c>
      <c r="E14" s="116">
        <f>D14/SQRT(B14)</f>
        <v>3.00352206898345</v>
      </c>
      <c r="F14" s="116">
        <f>RSQ($V$209:$V$701,$T$209:$T$701)</f>
        <v>0.0180415266681142</v>
      </c>
      <c r="G14" s="342">
        <f>COUNT($V$209:$V$701)</f>
        <v>493</v>
      </c>
      <c r="H14" s="343">
        <f>EXP(C14*$B$7)-1</f>
        <v>0.0300982432214163</v>
      </c>
      <c r="N14" s="337" t="n">
        <v>25142</v>
      </c>
      <c r="O14" s="116">
        <f>INDEX('Additional data'!$B$2:$B$965,MATCH(DATE(YEAR(N14),MONTH(N14),1),'Additional data'!$A$2:$A$965,0))</f>
        <v>3.07</v>
      </c>
      <c r="P14" s="489">
        <f>LN(O14)</f>
        <v>1.12167756159911</v>
      </c>
      <c r="Q14" s="489">
        <f>Q13+LN(1+INDEX('Additional data'!$H$2:$H$1196,MATCH(N14,'Additional data'!$G$2:$G$1196,1))+INDEX('Additional data'!$I$2:$I$1196,MATCH(N14,'Additional data'!$G$2:$G$1196,1)))</f>
        <v>0.110986886016881</v>
      </c>
      <c r="R14" s="77" t="n"/>
      <c r="S14" s="116">
        <f>IF(INDEX('Additional data'!$E$2:$E$699,MATCH(DATE(YEAR(N14),MONTH(N14),1),'Additional data'!$D$2:$D$699,0))=0,(INDEX('Additional data'!$E$2:$E$699,MATCH(DATE(YEAR(N14),MONTH(N14),1),'Additional data'!$D$2:$D$699,0)-1)+INDEX('Additional data'!$E$2:$E$699,MATCH(DATE(YEAR(N14),MONTH(N14),1),'Additional data'!$D$2:$D$699,0)+1))/2,INDEX('Additional data'!$E$2:$E$699,MATCH(DATE(YEAR(N14),MONTH(N14),1),'Additional data'!$D$2:$D$699,0)))</f>
        <v>5</v>
      </c>
      <c r="T14" s="425">
        <f>P14-P13</f>
        <v>0</v>
      </c>
      <c r="U14" s="425">
        <f>Q14-Q13</f>
        <v>0.00866237307865259</v>
      </c>
      <c r="V14" s="77" t="n"/>
      <c r="W14" s="116">
        <f>S14-S13</f>
        <v>-0.0499999999999998</v>
      </c>
      <c r="X14" s="77" t="n"/>
      <c r="Y14" s="77" t="n"/>
      <c r="Z14" s="77" t="n"/>
      <c r="AA14" s="77" t="n"/>
      <c r="AB14" s="77" t="n"/>
      <c r="AC14" s="77" t="n"/>
      <c r="AD14" s="77" t="n"/>
      <c r="AE14" s="237" t="n"/>
      <c r="AG14" s="554">
        <f>N14</f>
        <v>25142.0</v>
      </c>
      <c r="AH14" s="435">
        <f>IFERROR(INDEX('RBA 5Y yield'!$B$5:$B$661,MATCH(N14,'RBA 5Y yield'!$A$5:$A$661,1))*100,"")</f>
      </c>
      <c r="AI14" s="435">
        <f>IF(AND(ISNUMBER(AH14),ISNUMBER(AH13)),AH14-AH13,"")</f>
      </c>
      <c r="AJ14" s="555" t="inlineStr"/>
      <c r="AK14" s="555" t="inlineStr"/>
      <c r="AL14" s="556" t="inlineStr"/>
      <c r="AM14" s="556" t="inlineStr"/>
      <c r="AN14" s="556" t="inlineStr"/>
      <c r="AO14" s="556" t="inlineStr"/>
      <c r="AP14" s="556" t="inlineStr"/>
      <c r="AQ14" s="556" t="inlineStr"/>
      <c r="AR14" s="556" t="inlineStr"/>
      <c r="AS14" s="556" t="inlineStr"/>
      <c r="AT14" s="556" t="inlineStr"/>
      <c r="AU14" s="556" t="inlineStr"/>
      <c r="AV14" s="557" t="inlineStr"/>
    </row>
    <row r="15">
      <c r="A15" s="114" t="inlineStr">
        <is>
          <t>Australian equities</t>
        </is>
      </c>
      <c r="B15" s="342" t="n">
        <v>12</v>
      </c>
      <c r="C15" s="425">
        <f>SLOPE($Z$220:$Z$701,$X$220:$X$701)</f>
        <v>0.100821792475989</v>
      </c>
      <c r="D15" s="116">
        <f>CORREL($Z$220:$Z$701,$X$220:$X$701)*SQRT((G15-2)/(1-F15))</f>
        <v>5.11240363814549</v>
      </c>
      <c r="E15" s="116">
        <f>D15/SQRT(B15)</f>
        <v>1.47582380834466</v>
      </c>
      <c r="F15" s="116">
        <f>RSQ($Z$220:$Z$701,$X$220:$X$701)</f>
        <v>0.0516395520399346</v>
      </c>
      <c r="G15" s="342">
        <f>COUNT($Z$220:$Z$701)</f>
        <v>482</v>
      </c>
      <c r="H15" s="343">
        <f>EXP(C15*$B$7)-1</f>
        <v>0.0455737621808003</v>
      </c>
      <c r="N15" s="337" t="n">
        <v>25172</v>
      </c>
      <c r="O15" s="116">
        <f>INDEX('Additional data'!$B$2:$B$965,MATCH(DATE(YEAR(N15),MONTH(N15),1),'Additional data'!$A$2:$A$965,0))</f>
        <v>3.07</v>
      </c>
      <c r="P15" s="489">
        <f>LN(O15)</f>
        <v>1.12167756159911</v>
      </c>
      <c r="Q15" s="489">
        <f>Q14+LN(1+INDEX('Additional data'!$H$2:$H$1196,MATCH(N15,'Additional data'!$G$2:$G$1196,1))+INDEX('Additional data'!$I$2:$I$1196,MATCH(N15,'Additional data'!$G$2:$G$1196,1)))</f>
        <v>0.167839697609664</v>
      </c>
      <c r="R15" s="77" t="n"/>
      <c r="S15" s="116">
        <f>IF(INDEX('Additional data'!$E$2:$E$699,MATCH(DATE(YEAR(N15),MONTH(N15),1),'Additional data'!$D$2:$D$699,0))=0,(INDEX('Additional data'!$E$2:$E$699,MATCH(DATE(YEAR(N15),MONTH(N15),1),'Additional data'!$D$2:$D$699,0)-1)+INDEX('Additional data'!$E$2:$E$699,MATCH(DATE(YEAR(N15),MONTH(N15),1),'Additional data'!$D$2:$D$699,0)+1))/2,INDEX('Additional data'!$E$2:$E$699,MATCH(DATE(YEAR(N15),MONTH(N15),1),'Additional data'!$D$2:$D$699,0)))</f>
        <v>4.9</v>
      </c>
      <c r="T15" s="425">
        <f>P15-P14</f>
        <v>0</v>
      </c>
      <c r="U15" s="425">
        <f>Q15-Q14</f>
        <v>0.0568528115927828</v>
      </c>
      <c r="V15" s="77" t="n"/>
      <c r="W15" s="116">
        <f>S15-S14</f>
        <v>-0.0999999999999996</v>
      </c>
      <c r="X15" s="77" t="n"/>
      <c r="Y15" s="77" t="n"/>
      <c r="Z15" s="77" t="n"/>
      <c r="AA15" s="77" t="n"/>
      <c r="AB15" s="77" t="n"/>
      <c r="AC15" s="77" t="n"/>
      <c r="AD15" s="77" t="n"/>
      <c r="AE15" s="237" t="n"/>
      <c r="AG15" s="554">
        <f>N15</f>
        <v>25172.0</v>
      </c>
      <c r="AH15" s="435">
        <f>IFERROR(INDEX('RBA 5Y yield'!$B$5:$B$661,MATCH(N15,'RBA 5Y yield'!$A$5:$A$661,1))*100,"")</f>
      </c>
      <c r="AI15" s="435">
        <f>IF(AND(ISNUMBER(AH15),ISNUMBER(AH14)),AH15-AH14,"")</f>
      </c>
      <c r="AJ15" s="555" t="inlineStr"/>
      <c r="AK15" s="555" t="inlineStr"/>
      <c r="AL15" s="556" t="inlineStr"/>
      <c r="AM15" s="556" t="inlineStr"/>
      <c r="AN15" s="556" t="inlineStr"/>
      <c r="AO15" s="556" t="inlineStr"/>
      <c r="AP15" s="556" t="inlineStr"/>
      <c r="AQ15" s="556" t="inlineStr"/>
      <c r="AR15" s="556" t="inlineStr"/>
      <c r="AS15" s="556" t="inlineStr"/>
      <c r="AT15" s="556" t="inlineStr"/>
      <c r="AU15" s="556" t="inlineStr"/>
      <c r="AV15" s="557" t="inlineStr"/>
    </row>
    <row r="16">
      <c r="A16" s="114" t="inlineStr">
        <is>
          <t>Australian equities</t>
        </is>
      </c>
      <c r="B16" s="342" t="n">
        <v>60</v>
      </c>
      <c r="C16" s="425">
        <f>SLOPE($AD$268:$AD$701,$AB$268:$AB$701)</f>
        <v>0.0875718078465469</v>
      </c>
      <c r="D16" s="116">
        <f>CORREL($AD$268:$AD$701,$AB$268:$AB$701)*SQRT((G16-2)/(1-F16))</f>
        <v>4.48286260464196</v>
      </c>
      <c r="E16" s="116">
        <f>D16/SQRT(B16)</f>
        <v>0.578735073703811</v>
      </c>
      <c r="F16" s="116">
        <f>RSQ($AD$268:$AD$701,$AB$268:$AB$701)</f>
        <v>0.0444508568811196</v>
      </c>
      <c r="G16" s="342">
        <f>COUNT($AD$268:$AD$701)</f>
        <v>434</v>
      </c>
      <c r="H16" s="343">
        <f>EXP(C16*$B$7)-1</f>
        <v>0.0394679130769919</v>
      </c>
      <c r="N16" s="337" t="n">
        <v>25203</v>
      </c>
      <c r="O16" s="116">
        <f>INDEX('Additional data'!$B$2:$B$965,MATCH(DATE(YEAR(N16),MONTH(N16),1),'Additional data'!$A$2:$A$965,0))</f>
        <v>3.07</v>
      </c>
      <c r="P16" s="489">
        <f>LN(O16)</f>
        <v>1.12167756159911</v>
      </c>
      <c r="Q16" s="489">
        <f>Q15+LN(1+INDEX('Additional data'!$H$2:$H$1196,MATCH(N16,'Additional data'!$G$2:$G$1196,1))+INDEX('Additional data'!$I$2:$I$1196,MATCH(N16,'Additional data'!$G$2:$G$1196,1)))</f>
        <v>0.132212519966513</v>
      </c>
      <c r="R16" s="77" t="n"/>
      <c r="S16" s="116">
        <f>IF(INDEX('Additional data'!$E$2:$E$699,MATCH(DATE(YEAR(N16),MONTH(N16),1),'Additional data'!$D$2:$D$699,0))=0,(INDEX('Additional data'!$E$2:$E$699,MATCH(DATE(YEAR(N16),MONTH(N16),1),'Additional data'!$D$2:$D$699,0)-1)+INDEX('Additional data'!$E$2:$E$699,MATCH(DATE(YEAR(N16),MONTH(N16),1),'Additional data'!$D$2:$D$699,0)+1))/2,INDEX('Additional data'!$E$2:$E$699,MATCH(DATE(YEAR(N16),MONTH(N16),1),'Additional data'!$D$2:$D$699,0)))</f>
        <v>4.9</v>
      </c>
      <c r="T16" s="425">
        <f>P16-P15</f>
        <v>0</v>
      </c>
      <c r="U16" s="425">
        <f>Q16-Q15</f>
        <v>-0.0356271776431512</v>
      </c>
      <c r="V16" s="77" t="n"/>
      <c r="W16" s="116">
        <f>S16-S15</f>
        <v>0</v>
      </c>
      <c r="X16" s="77" t="n"/>
      <c r="Y16" s="77" t="n"/>
      <c r="Z16" s="77" t="n"/>
      <c r="AA16" s="77" t="n"/>
      <c r="AB16" s="77" t="n"/>
      <c r="AC16" s="77" t="n"/>
      <c r="AD16" s="77" t="n"/>
      <c r="AE16" s="237" t="n"/>
      <c r="AG16" s="554">
        <f>N16</f>
        <v>25203.0</v>
      </c>
      <c r="AH16" s="435">
        <f>IFERROR(INDEX('RBA 5Y yield'!$B$5:$B$661,MATCH(N16,'RBA 5Y yield'!$A$5:$A$661,1))*100,"")</f>
      </c>
      <c r="AI16" s="435">
        <f>IF(AND(ISNUMBER(AH16),ISNUMBER(AH15)),AH16-AH15,"")</f>
      </c>
      <c r="AJ16" s="555" t="inlineStr"/>
      <c r="AK16" s="555" t="inlineStr"/>
      <c r="AL16" s="556" t="inlineStr"/>
      <c r="AM16" s="556" t="inlineStr"/>
      <c r="AN16" s="556" t="inlineStr"/>
      <c r="AO16" s="556" t="inlineStr"/>
      <c r="AP16" s="556" t="inlineStr"/>
      <c r="AQ16" s="556" t="inlineStr"/>
      <c r="AR16" s="556" t="inlineStr"/>
      <c r="AS16" s="556" t="inlineStr"/>
      <c r="AT16" s="556" t="inlineStr"/>
      <c r="AU16" s="556" t="inlineStr"/>
      <c r="AV16" s="557" t="inlineStr"/>
    </row>
    <row r="17">
      <c r="A17" s="114" t="inlineStr">
        <is>
          <t>AU 3-month rate (pp)</t>
        </is>
      </c>
      <c r="B17" s="342" t="n">
        <v>1</v>
      </c>
      <c r="C17" s="425">
        <f>SLOPE($W$6:$W$701,$T$6:$T$701)</f>
        <v>0.462611788218959</v>
      </c>
      <c r="D17" s="116">
        <f>CORREL($W$6:$W$701,$T$6:$T$701)*SQRT((G17-2)/(1-F17))</f>
        <v>1.68430211209085</v>
      </c>
      <c r="E17" s="116">
        <f>D17/SQRT(B17)</f>
        <v>1.68430211209085</v>
      </c>
      <c r="F17" s="116">
        <f>RSQ($W$6:$W$701,$T$6:$T$701)</f>
        <v>0.0040710727463636</v>
      </c>
      <c r="G17" s="342">
        <f>COUNT($W$6:$W$701)</f>
        <v>696</v>
      </c>
      <c r="H17" s="559">
        <f>C17*$B$7</f>
        <v>0.204486143809846</v>
      </c>
      <c r="N17" s="337" t="n">
        <v>25234</v>
      </c>
      <c r="O17" s="116">
        <f>INDEX('Additional data'!$B$2:$B$965,MATCH(DATE(YEAR(N17),MONTH(N17),1),'Additional data'!$A$2:$A$965,0))</f>
        <v>3.07</v>
      </c>
      <c r="P17" s="489">
        <f>LN(O17)</f>
        <v>1.12167756159911</v>
      </c>
      <c r="Q17" s="489">
        <f>Q16+LN(1+INDEX('Additional data'!$H$2:$H$1196,MATCH(N17,'Additional data'!$G$2:$G$1196,1))+INDEX('Additional data'!$I$2:$I$1196,MATCH(N17,'Additional data'!$G$2:$G$1196,1)))</f>
        <v>0.124986474874773</v>
      </c>
      <c r="R17" s="77" t="n"/>
      <c r="S17" s="116">
        <f>IF(INDEX('Additional data'!$E$2:$E$699,MATCH(DATE(YEAR(N17),MONTH(N17),1),'Additional data'!$D$2:$D$699,0))=0,(INDEX('Additional data'!$E$2:$E$699,MATCH(DATE(YEAR(N17),MONTH(N17),1),'Additional data'!$D$2:$D$699,0)-1)+INDEX('Additional data'!$E$2:$E$699,MATCH(DATE(YEAR(N17),MONTH(N17),1),'Additional data'!$D$2:$D$699,0)+1))/2,INDEX('Additional data'!$E$2:$E$699,MATCH(DATE(YEAR(N17),MONTH(N17),1),'Additional data'!$D$2:$D$699,0)))</f>
        <v>5.1</v>
      </c>
      <c r="T17" s="425">
        <f>P17-P16</f>
        <v>0</v>
      </c>
      <c r="U17" s="425">
        <f>Q17-Q16</f>
        <v>-0.00722604509173959</v>
      </c>
      <c r="V17" s="77" t="n"/>
      <c r="W17" s="116">
        <f>S17-S16</f>
        <v>0.199999999999999</v>
      </c>
      <c r="X17" s="425">
        <f>P17-P5</f>
        <v>0</v>
      </c>
      <c r="Y17" s="425">
        <f>Q17-Q5</f>
        <v>0.161961710999668</v>
      </c>
      <c r="Z17" s="77" t="n"/>
      <c r="AA17" s="116">
        <f>S17-S5</f>
        <v>0</v>
      </c>
      <c r="AB17" s="77" t="n"/>
      <c r="AC17" s="77" t="n"/>
      <c r="AD17" s="77" t="n"/>
      <c r="AE17" s="237" t="n"/>
      <c r="AG17" s="554">
        <f>N17</f>
        <v>25234.0</v>
      </c>
      <c r="AH17" s="435">
        <f>IFERROR(INDEX('RBA 5Y yield'!$B$5:$B$661,MATCH(N17,'RBA 5Y yield'!$A$5:$A$661,1))*100,"")</f>
      </c>
      <c r="AI17" s="435">
        <f>IF(AND(ISNUMBER(AH17),ISNUMBER(AH16)),AH17-AH16,"")</f>
      </c>
      <c r="AJ17" s="435">
        <f>IF(AND(ISNUMBER(AH17),ISNUMBER(AH5)),AH17-AH5,"")</f>
      </c>
      <c r="AK17" s="555" t="inlineStr"/>
      <c r="AL17" s="560">
        <f>IFERROR(LN(INDEX(Data!$B$2:$B$497,MATCH(N17,Data!$A$2:$A$497,1))/INDEX(Data!$B$2:$B$497,MATCH(N5,Data!$A$2:$A$497,1))),"")</f>
      </c>
      <c r="AM17" s="560">
        <f>IFERROR(LN(INDEX(Data!$C$2:$C$497,MATCH(N17,Data!$A$2:$A$497,1))/INDEX(Data!$C$2:$C$497,MATCH(N5,Data!$A$2:$A$497,1))),"")</f>
      </c>
      <c r="AN17" s="560">
        <f>IFERROR(LN(INDEX(Data!$D$2:$D$497,MATCH(N17,Data!$A$2:$A$497,1))/INDEX(Data!$D$2:$D$497,MATCH(N5,Data!$A$2:$A$497,1))),"")</f>
      </c>
      <c r="AO17" s="560">
        <f>IFERROR(LN(INDEX(Data!$E$2:$E$497,MATCH(N17,Data!$A$2:$A$497,1))/INDEX(Data!$E$2:$E$497,MATCH(N5,Data!$A$2:$A$497,1))),"")</f>
      </c>
      <c r="AP17" s="560">
        <f>IFERROR(LN(INDEX(Data!$F$2:$F$497,MATCH(N17,Data!$A$2:$A$497,1))/INDEX(Data!$F$2:$F$497,MATCH(N5,Data!$A$2:$A$497,1))),"")</f>
      </c>
      <c r="AQ17" s="560">
        <f>IFERROR(LN(INDEX(Data!$G$2:$G$497,MATCH(N17,Data!$A$2:$A$497,1))/INDEX(Data!$G$2:$G$497,MATCH(N5,Data!$A$2:$A$497,1))),"")</f>
      </c>
      <c r="AR17" s="560">
        <f>IFERROR(LN(INDEX(Data!$H$2:$H$497,MATCH(N17,Data!$A$2:$A$497,1))/INDEX(Data!$H$2:$H$497,MATCH(N5,Data!$A$2:$A$497,1))),"")</f>
      </c>
      <c r="AS17" s="560">
        <f>IFERROR(LN(INDEX(Data!$I$2:$I$497,MATCH(N17,Data!$A$2:$A$497,1))/INDEX(Data!$I$2:$I$497,MATCH(N5,Data!$A$2:$A$497,1))),"")</f>
      </c>
      <c r="AT17" s="560">
        <f>IFERROR(LN(INDEX(Data!$J$2:$J$497,MATCH(N17,Data!$A$2:$A$497,1))/INDEX(Data!$J$2:$J$497,MATCH(N5,Data!$A$2:$A$497,1))),"")</f>
      </c>
      <c r="AU17" s="560">
        <f>IFERROR(LN(INDEX(Data!$K$2:$K$497,MATCH(N17,Data!$A$2:$A$497,1))/INDEX(Data!$K$2:$K$497,MATCH(N5,Data!$A$2:$A$497,1))),"")</f>
      </c>
      <c r="AV17" s="561">
        <f>IFERROR(LN(INDEX(Data!$L$2:$L$497,MATCH(N17,Data!$A$2:$A$497,1))/INDEX(Data!$L$2:$L$497,MATCH(N5,Data!$A$2:$A$497,1))),"")</f>
      </c>
    </row>
    <row r="18">
      <c r="A18" s="114" t="inlineStr">
        <is>
          <t>AU 3-month rate (pp)</t>
        </is>
      </c>
      <c r="B18" s="342" t="n">
        <v>12</v>
      </c>
      <c r="C18" s="425">
        <f>SLOPE($AA$17:$AA$701,$X$17:$X$701)</f>
        <v>2.2803786874362</v>
      </c>
      <c r="D18" s="116">
        <f>CORREL($AA$17:$AA$701,$X$17:$X$701)*SQRT((G18-2)/(1-F18))</f>
        <v>8.52874715558963</v>
      </c>
      <c r="E18" s="116">
        <f>D18/SQRT(B18)</f>
        <v>2.46203723306496</v>
      </c>
      <c r="F18" s="116">
        <f>RSQ($AA$17:$AA$701,$X$17:$X$701)</f>
        <v>0.0962494686922679</v>
      </c>
      <c r="G18" s="342">
        <f>COUNT($AA$17:$AA$701)</f>
        <v>685</v>
      </c>
      <c r="H18" s="559">
        <f>C18*$B$7</f>
        <v>1.00798521804913</v>
      </c>
      <c r="N18" s="337" t="n">
        <v>25262</v>
      </c>
      <c r="O18" s="116">
        <f>INDEX('Additional data'!$B$2:$B$965,MATCH(DATE(YEAR(N18),MONTH(N18),1),'Additional data'!$A$2:$A$965,0))</f>
        <v>3.07</v>
      </c>
      <c r="P18" s="489">
        <f>LN(O18)</f>
        <v>1.12167756159911</v>
      </c>
      <c r="Q18" s="489">
        <f>Q17+LN(1+INDEX('Additional data'!$H$2:$H$1196,MATCH(N18,'Additional data'!$G$2:$G$1196,1))+INDEX('Additional data'!$I$2:$I$1196,MATCH(N18,'Additional data'!$G$2:$G$1196,1)))</f>
        <v>0.0694737649445144</v>
      </c>
      <c r="R18" s="77" t="n"/>
      <c r="S18" s="116">
        <f>IF(INDEX('Additional data'!$E$2:$E$699,MATCH(DATE(YEAR(N18),MONTH(N18),1),'Additional data'!$D$2:$D$699,0))=0,(INDEX('Additional data'!$E$2:$E$699,MATCH(DATE(YEAR(N18),MONTH(N18),1),'Additional data'!$D$2:$D$699,0)-1)+INDEX('Additional data'!$E$2:$E$699,MATCH(DATE(YEAR(N18),MONTH(N18),1),'Additional data'!$D$2:$D$699,0)+1))/2,INDEX('Additional data'!$E$2:$E$699,MATCH(DATE(YEAR(N18),MONTH(N18),1),'Additional data'!$D$2:$D$699,0)))</f>
        <v>5.1</v>
      </c>
      <c r="T18" s="425">
        <f>P18-P17</f>
        <v>0</v>
      </c>
      <c r="U18" s="425">
        <f>Q18-Q17</f>
        <v>-0.0555127099302587</v>
      </c>
      <c r="V18" s="77" t="n"/>
      <c r="W18" s="116">
        <f>S18-S17</f>
        <v>0</v>
      </c>
      <c r="X18" s="425">
        <f>P18-P6</f>
        <v>0</v>
      </c>
      <c r="Y18" s="425">
        <f>Q18-Q6</f>
        <v>0.140522981403161</v>
      </c>
      <c r="Z18" s="77" t="n"/>
      <c r="AA18" s="116">
        <f>S18-S6</f>
        <v>-0.0500000000000007</v>
      </c>
      <c r="AB18" s="77" t="n"/>
      <c r="AC18" s="77" t="n"/>
      <c r="AD18" s="77" t="n"/>
      <c r="AE18" s="237" t="n"/>
      <c r="AG18" s="554">
        <f>N18</f>
        <v>25262.0</v>
      </c>
      <c r="AH18" s="435">
        <f>IFERROR(INDEX('RBA 5Y yield'!$B$5:$B$661,MATCH(N18,'RBA 5Y yield'!$A$5:$A$661,1))*100,"")</f>
      </c>
      <c r="AI18" s="435">
        <f>IF(AND(ISNUMBER(AH18),ISNUMBER(AH17)),AH18-AH17,"")</f>
      </c>
      <c r="AJ18" s="435">
        <f>IF(AND(ISNUMBER(AH18),ISNUMBER(AH6)),AH18-AH6,"")</f>
      </c>
      <c r="AK18" s="555" t="inlineStr"/>
      <c r="AL18" s="560">
        <f>IFERROR(LN(INDEX(Data!$B$2:$B$497,MATCH(N18,Data!$A$2:$A$497,1))/INDEX(Data!$B$2:$B$497,MATCH(N6,Data!$A$2:$A$497,1))),"")</f>
      </c>
      <c r="AM18" s="560">
        <f>IFERROR(LN(INDEX(Data!$C$2:$C$497,MATCH(N18,Data!$A$2:$A$497,1))/INDEX(Data!$C$2:$C$497,MATCH(N6,Data!$A$2:$A$497,1))),"")</f>
      </c>
      <c r="AN18" s="560">
        <f>IFERROR(LN(INDEX(Data!$D$2:$D$497,MATCH(N18,Data!$A$2:$A$497,1))/INDEX(Data!$D$2:$D$497,MATCH(N6,Data!$A$2:$A$497,1))),"")</f>
      </c>
      <c r="AO18" s="560">
        <f>IFERROR(LN(INDEX(Data!$E$2:$E$497,MATCH(N18,Data!$A$2:$A$497,1))/INDEX(Data!$E$2:$E$497,MATCH(N6,Data!$A$2:$A$497,1))),"")</f>
      </c>
      <c r="AP18" s="560">
        <f>IFERROR(LN(INDEX(Data!$F$2:$F$497,MATCH(N18,Data!$A$2:$A$497,1))/INDEX(Data!$F$2:$F$497,MATCH(N6,Data!$A$2:$A$497,1))),"")</f>
      </c>
      <c r="AQ18" s="560">
        <f>IFERROR(LN(INDEX(Data!$G$2:$G$497,MATCH(N18,Data!$A$2:$A$497,1))/INDEX(Data!$G$2:$G$497,MATCH(N6,Data!$A$2:$A$497,1))),"")</f>
      </c>
      <c r="AR18" s="560">
        <f>IFERROR(LN(INDEX(Data!$H$2:$H$497,MATCH(N18,Data!$A$2:$A$497,1))/INDEX(Data!$H$2:$H$497,MATCH(N6,Data!$A$2:$A$497,1))),"")</f>
      </c>
      <c r="AS18" s="560">
        <f>IFERROR(LN(INDEX(Data!$I$2:$I$497,MATCH(N18,Data!$A$2:$A$497,1))/INDEX(Data!$I$2:$I$497,MATCH(N6,Data!$A$2:$A$497,1))),"")</f>
      </c>
      <c r="AT18" s="560">
        <f>IFERROR(LN(INDEX(Data!$J$2:$J$497,MATCH(N18,Data!$A$2:$A$497,1))/INDEX(Data!$J$2:$J$497,MATCH(N6,Data!$A$2:$A$497,1))),"")</f>
      </c>
      <c r="AU18" s="560">
        <f>IFERROR(LN(INDEX(Data!$K$2:$K$497,MATCH(N18,Data!$A$2:$A$497,1))/INDEX(Data!$K$2:$K$497,MATCH(N6,Data!$A$2:$A$497,1))),"")</f>
      </c>
      <c r="AV18" s="561">
        <f>IFERROR(LN(INDEX(Data!$L$2:$L$497,MATCH(N18,Data!$A$2:$A$497,1))/INDEX(Data!$L$2:$L$497,MATCH(N6,Data!$A$2:$A$497,1))),"")</f>
      </c>
    </row>
    <row r="19">
      <c r="A19" s="118" t="inlineStr">
        <is>
          <t>AU 3-month rate (pp)</t>
        </is>
      </c>
      <c r="B19" s="345" t="n">
        <v>60</v>
      </c>
      <c r="C19" s="562">
        <f>SLOPE($AE$65:$AE$701,$AB$65:$AB$701)</f>
        <v>2.6117925302358</v>
      </c>
      <c r="D19" s="347">
        <f>CORREL($AE$65:$AE$701,$AB$65:$AB$701)*SQRT((G19-2)/(1-F19))</f>
        <v>11.2857303564162</v>
      </c>
      <c r="E19" s="347">
        <f>D19/SQRT(B19)</f>
        <v>1.45698152400625</v>
      </c>
      <c r="F19" s="347">
        <f>RSQ($AE$65:$AE$701,$AB$65:$AB$701)</f>
        <v>0.1670686049014</v>
      </c>
      <c r="G19" s="345">
        <f>COUNT($AE$65:$AE$701)</f>
        <v>637</v>
      </c>
      <c r="H19" s="563">
        <f>C19*$B$7</f>
        <v>1.15447854235503</v>
      </c>
      <c r="N19" s="337" t="n">
        <v>25293</v>
      </c>
      <c r="O19" s="116">
        <f>INDEX('Additional data'!$B$2:$B$965,MATCH(DATE(YEAR(N19),MONTH(N19),1),'Additional data'!$A$2:$A$965,0))</f>
        <v>3.25</v>
      </c>
      <c r="P19" s="489">
        <f>LN(O19)</f>
        <v>1.17865499634165</v>
      </c>
      <c r="Q19" s="489">
        <f>Q18+LN(1+INDEX('Additional data'!$H$2:$H$1196,MATCH(N19,'Additional data'!$G$2:$G$1196,1))+INDEX('Additional data'!$I$2:$I$1196,MATCH(N19,'Additional data'!$G$2:$G$1196,1)))</f>
        <v>0.100196937587355</v>
      </c>
      <c r="R19" s="77" t="n"/>
      <c r="S19" s="116">
        <f>IF(INDEX('Additional data'!$E$2:$E$699,MATCH(DATE(YEAR(N19),MONTH(N19),1),'Additional data'!$D$2:$D$699,0))=0,(INDEX('Additional data'!$E$2:$E$699,MATCH(DATE(YEAR(N19),MONTH(N19),1),'Additional data'!$D$2:$D$699,0)-1)+INDEX('Additional data'!$E$2:$E$699,MATCH(DATE(YEAR(N19),MONTH(N19),1),'Additional data'!$D$2:$D$699,0)+1))/2,INDEX('Additional data'!$E$2:$E$699,MATCH(DATE(YEAR(N19),MONTH(N19),1),'Additional data'!$D$2:$D$699,0)))</f>
        <v>5.15</v>
      </c>
      <c r="T19" s="425">
        <f>P19-P18</f>
        <v>0.0569774347425405</v>
      </c>
      <c r="U19" s="425">
        <f>Q19-Q18</f>
        <v>0.0307231726428405</v>
      </c>
      <c r="V19" s="77" t="n"/>
      <c r="W19" s="116">
        <f>S19-S18</f>
        <v>0.0500000000000007</v>
      </c>
      <c r="X19" s="425">
        <f>P19-P7</f>
        <v>0.0569774347425405</v>
      </c>
      <c r="Y19" s="425">
        <f>Q19-Q7</f>
        <v>0.165363490887846</v>
      </c>
      <c r="Z19" s="77" t="n"/>
      <c r="AA19" s="116">
        <f>S19-S7</f>
        <v>0</v>
      </c>
      <c r="AB19" s="77" t="n"/>
      <c r="AC19" s="77" t="n"/>
      <c r="AD19" s="77" t="n"/>
      <c r="AE19" s="237" t="n"/>
      <c r="AG19" s="554">
        <f>N19</f>
        <v>25293.0</v>
      </c>
      <c r="AH19" s="435">
        <f>IFERROR(INDEX('RBA 5Y yield'!$B$5:$B$661,MATCH(N19,'RBA 5Y yield'!$A$5:$A$661,1))*100,"")</f>
      </c>
      <c r="AI19" s="435">
        <f>IF(AND(ISNUMBER(AH19),ISNUMBER(AH18)),AH19-AH18,"")</f>
      </c>
      <c r="AJ19" s="435">
        <f>IF(AND(ISNUMBER(AH19),ISNUMBER(AH7)),AH19-AH7,"")</f>
      </c>
      <c r="AK19" s="555" t="inlineStr"/>
      <c r="AL19" s="560">
        <f>IFERROR(LN(INDEX(Data!$B$2:$B$497,MATCH(N19,Data!$A$2:$A$497,1))/INDEX(Data!$B$2:$B$497,MATCH(N7,Data!$A$2:$A$497,1))),"")</f>
      </c>
      <c r="AM19" s="560">
        <f>IFERROR(LN(INDEX(Data!$C$2:$C$497,MATCH(N19,Data!$A$2:$A$497,1))/INDEX(Data!$C$2:$C$497,MATCH(N7,Data!$A$2:$A$497,1))),"")</f>
      </c>
      <c r="AN19" s="560">
        <f>IFERROR(LN(INDEX(Data!$D$2:$D$497,MATCH(N19,Data!$A$2:$A$497,1))/INDEX(Data!$D$2:$D$497,MATCH(N7,Data!$A$2:$A$497,1))),"")</f>
      </c>
      <c r="AO19" s="560">
        <f>IFERROR(LN(INDEX(Data!$E$2:$E$497,MATCH(N19,Data!$A$2:$A$497,1))/INDEX(Data!$E$2:$E$497,MATCH(N7,Data!$A$2:$A$497,1))),"")</f>
      </c>
      <c r="AP19" s="560">
        <f>IFERROR(LN(INDEX(Data!$F$2:$F$497,MATCH(N19,Data!$A$2:$A$497,1))/INDEX(Data!$F$2:$F$497,MATCH(N7,Data!$A$2:$A$497,1))),"")</f>
      </c>
      <c r="AQ19" s="560">
        <f>IFERROR(LN(INDEX(Data!$G$2:$G$497,MATCH(N19,Data!$A$2:$A$497,1))/INDEX(Data!$G$2:$G$497,MATCH(N7,Data!$A$2:$A$497,1))),"")</f>
      </c>
      <c r="AR19" s="560">
        <f>IFERROR(LN(INDEX(Data!$H$2:$H$497,MATCH(N19,Data!$A$2:$A$497,1))/INDEX(Data!$H$2:$H$497,MATCH(N7,Data!$A$2:$A$497,1))),"")</f>
      </c>
      <c r="AS19" s="560">
        <f>IFERROR(LN(INDEX(Data!$I$2:$I$497,MATCH(N19,Data!$A$2:$A$497,1))/INDEX(Data!$I$2:$I$497,MATCH(N7,Data!$A$2:$A$497,1))),"")</f>
      </c>
      <c r="AT19" s="560">
        <f>IFERROR(LN(INDEX(Data!$J$2:$J$497,MATCH(N19,Data!$A$2:$A$497,1))/INDEX(Data!$J$2:$J$497,MATCH(N7,Data!$A$2:$A$497,1))),"")</f>
      </c>
      <c r="AU19" s="560">
        <f>IFERROR(LN(INDEX(Data!$K$2:$K$497,MATCH(N19,Data!$A$2:$A$497,1))/INDEX(Data!$K$2:$K$497,MATCH(N7,Data!$A$2:$A$497,1))),"")</f>
      </c>
      <c r="AV19" s="561">
        <f>IFERROR(LN(INDEX(Data!$L$2:$L$497,MATCH(N19,Data!$A$2:$A$497,1))/INDEX(Data!$L$2:$L$497,MATCH(N7,Data!$A$2:$A$497,1))),"")</f>
      </c>
    </row>
    <row r="20">
      <c r="N20" s="337" t="n">
        <v>25323</v>
      </c>
      <c r="O20" s="116">
        <f>INDEX('Additional data'!$B$2:$B$965,MATCH(DATE(YEAR(N20),MONTH(N20),1),'Additional data'!$A$2:$A$965,0))</f>
        <v>3.35</v>
      </c>
      <c r="P20" s="489">
        <f>LN(O20)</f>
        <v>1.20896034583698</v>
      </c>
      <c r="Q20" s="489">
        <f>Q19+LN(1+INDEX('Additional data'!$H$2:$H$1196,MATCH(N20,'Additional data'!$G$2:$G$1196,1))+INDEX('Additional data'!$I$2:$I$1196,MATCH(N20,'Additional data'!$G$2:$G$1196,1)))</f>
        <v>0.11990152086169</v>
      </c>
      <c r="R20" s="77" t="n"/>
      <c r="S20" s="116">
        <f>IF(INDEX('Additional data'!$E$2:$E$699,MATCH(DATE(YEAR(N20),MONTH(N20),1),'Additional data'!$D$2:$D$699,0))=0,(INDEX('Additional data'!$E$2:$E$699,MATCH(DATE(YEAR(N20),MONTH(N20),1),'Additional data'!$D$2:$D$699,0)-1)+INDEX('Additional data'!$E$2:$E$699,MATCH(DATE(YEAR(N20),MONTH(N20),1),'Additional data'!$D$2:$D$699,0)+1))/2,INDEX('Additional data'!$E$2:$E$699,MATCH(DATE(YEAR(N20),MONTH(N20),1),'Additional data'!$D$2:$D$699,0)))</f>
        <v>5.4</v>
      </c>
      <c r="T20" s="425">
        <f>P20-P19</f>
        <v>0.0303053494953289</v>
      </c>
      <c r="U20" s="425">
        <f>Q20-Q19</f>
        <v>0.0197045832743354</v>
      </c>
      <c r="V20" s="77" t="n"/>
      <c r="W20" s="116">
        <f>S20-S19</f>
        <v>0.25</v>
      </c>
      <c r="X20" s="425">
        <f>P20-P8</f>
        <v>0.0872827842378694</v>
      </c>
      <c r="Y20" s="425">
        <f>Q20-Q8</f>
        <v>0.094770436181401</v>
      </c>
      <c r="Z20" s="77" t="n"/>
      <c r="AA20" s="116">
        <f>S20-S8</f>
        <v>0.25</v>
      </c>
      <c r="AB20" s="77" t="n"/>
      <c r="AC20" s="77" t="n"/>
      <c r="AD20" s="77" t="n"/>
      <c r="AE20" s="237" t="n"/>
      <c r="AG20" s="554">
        <f>N20</f>
        <v>25323.0</v>
      </c>
      <c r="AH20" s="435">
        <f>IFERROR(INDEX('RBA 5Y yield'!$B$5:$B$661,MATCH(N20,'RBA 5Y yield'!$A$5:$A$661,1))*100,"")</f>
      </c>
      <c r="AI20" s="435">
        <f>IF(AND(ISNUMBER(AH20),ISNUMBER(AH19)),AH20-AH19,"")</f>
      </c>
      <c r="AJ20" s="435">
        <f>IF(AND(ISNUMBER(AH20),ISNUMBER(AH8)),AH20-AH8,"")</f>
      </c>
      <c r="AK20" s="555" t="inlineStr"/>
      <c r="AL20" s="560">
        <f>IFERROR(LN(INDEX(Data!$B$2:$B$497,MATCH(N20,Data!$A$2:$A$497,1))/INDEX(Data!$B$2:$B$497,MATCH(N8,Data!$A$2:$A$497,1))),"")</f>
      </c>
      <c r="AM20" s="560">
        <f>IFERROR(LN(INDEX(Data!$C$2:$C$497,MATCH(N20,Data!$A$2:$A$497,1))/INDEX(Data!$C$2:$C$497,MATCH(N8,Data!$A$2:$A$497,1))),"")</f>
      </c>
      <c r="AN20" s="560">
        <f>IFERROR(LN(INDEX(Data!$D$2:$D$497,MATCH(N20,Data!$A$2:$A$497,1))/INDEX(Data!$D$2:$D$497,MATCH(N8,Data!$A$2:$A$497,1))),"")</f>
      </c>
      <c r="AO20" s="560">
        <f>IFERROR(LN(INDEX(Data!$E$2:$E$497,MATCH(N20,Data!$A$2:$A$497,1))/INDEX(Data!$E$2:$E$497,MATCH(N8,Data!$A$2:$A$497,1))),"")</f>
      </c>
      <c r="AP20" s="560">
        <f>IFERROR(LN(INDEX(Data!$F$2:$F$497,MATCH(N20,Data!$A$2:$A$497,1))/INDEX(Data!$F$2:$F$497,MATCH(N8,Data!$A$2:$A$497,1))),"")</f>
      </c>
      <c r="AQ20" s="560">
        <f>IFERROR(LN(INDEX(Data!$G$2:$G$497,MATCH(N20,Data!$A$2:$A$497,1))/INDEX(Data!$G$2:$G$497,MATCH(N8,Data!$A$2:$A$497,1))),"")</f>
      </c>
      <c r="AR20" s="560">
        <f>IFERROR(LN(INDEX(Data!$H$2:$H$497,MATCH(N20,Data!$A$2:$A$497,1))/INDEX(Data!$H$2:$H$497,MATCH(N8,Data!$A$2:$A$497,1))),"")</f>
      </c>
      <c r="AS20" s="560">
        <f>IFERROR(LN(INDEX(Data!$I$2:$I$497,MATCH(N20,Data!$A$2:$A$497,1))/INDEX(Data!$I$2:$I$497,MATCH(N8,Data!$A$2:$A$497,1))),"")</f>
      </c>
      <c r="AT20" s="560">
        <f>IFERROR(LN(INDEX(Data!$J$2:$J$497,MATCH(N20,Data!$A$2:$A$497,1))/INDEX(Data!$J$2:$J$497,MATCH(N8,Data!$A$2:$A$497,1))),"")</f>
      </c>
      <c r="AU20" s="560">
        <f>IFERROR(LN(INDEX(Data!$K$2:$K$497,MATCH(N20,Data!$A$2:$A$497,1))/INDEX(Data!$K$2:$K$497,MATCH(N8,Data!$A$2:$A$497,1))),"")</f>
      </c>
      <c r="AV20" s="561">
        <f>IFERROR(LN(INDEX(Data!$L$2:$L$497,MATCH(N20,Data!$A$2:$A$497,1))/INDEX(Data!$L$2:$L$497,MATCH(N8,Data!$A$2:$A$497,1))),"")</f>
      </c>
    </row>
    <row r="21">
      <c r="N21" s="337" t="n">
        <v>25354</v>
      </c>
      <c r="O21" s="116">
        <f>INDEX('Additional data'!$B$2:$B$965,MATCH(DATE(YEAR(N21),MONTH(N21),1),'Additional data'!$A$2:$A$965,0))</f>
        <v>3.35</v>
      </c>
      <c r="P21" s="489">
        <f>LN(O21)</f>
        <v>1.20896034583698</v>
      </c>
      <c r="Q21" s="489">
        <f>Q20+LN(1+INDEX('Additional data'!$H$2:$H$1196,MATCH(N21,'Additional data'!$G$2:$G$1196,1))+INDEX('Additional data'!$I$2:$I$1196,MATCH(N21,'Additional data'!$G$2:$G$1196,1)))</f>
        <v>0.123793935577034</v>
      </c>
      <c r="R21" s="77" t="n"/>
      <c r="S21" s="116">
        <f>IF(INDEX('Additional data'!$E$2:$E$699,MATCH(DATE(YEAR(N21),MONTH(N21),1),'Additional data'!$D$2:$D$699,0))=0,(INDEX('Additional data'!$E$2:$E$699,MATCH(DATE(YEAR(N21),MONTH(N21),1),'Additional data'!$D$2:$D$699,0)-1)+INDEX('Additional data'!$E$2:$E$699,MATCH(DATE(YEAR(N21),MONTH(N21),1),'Additional data'!$D$2:$D$699,0)+1))/2,INDEX('Additional data'!$E$2:$E$699,MATCH(DATE(YEAR(N21),MONTH(N21),1),'Additional data'!$D$2:$D$699,0)))</f>
        <v>5.5</v>
      </c>
      <c r="T21" s="425">
        <f>P21-P20</f>
        <v>0</v>
      </c>
      <c r="U21" s="425">
        <f>Q21-Q20</f>
        <v>0.00389241471534385</v>
      </c>
      <c r="V21" s="77" t="n"/>
      <c r="W21" s="116">
        <f>S21-S20</f>
        <v>0.0999999999999996</v>
      </c>
      <c r="X21" s="425">
        <f>P21-P9</f>
        <v>0.0872827842378694</v>
      </c>
      <c r="Y21" s="425">
        <f>Q21-Q9</f>
        <v>0.071728849656664</v>
      </c>
      <c r="Z21" s="77" t="n"/>
      <c r="AA21" s="116">
        <f>S21-S9</f>
        <v>0.2</v>
      </c>
      <c r="AB21" s="77" t="n"/>
      <c r="AC21" s="77" t="n"/>
      <c r="AD21" s="77" t="n"/>
      <c r="AE21" s="237" t="n"/>
      <c r="AG21" s="554">
        <f>N21</f>
        <v>25354.0</v>
      </c>
      <c r="AH21" s="435">
        <f>IFERROR(INDEX('RBA 5Y yield'!$B$5:$B$661,MATCH(N21,'RBA 5Y yield'!$A$5:$A$661,1))*100,"")</f>
      </c>
      <c r="AI21" s="435">
        <f>IF(AND(ISNUMBER(AH21),ISNUMBER(AH20)),AH21-AH20,"")</f>
      </c>
      <c r="AJ21" s="435">
        <f>IF(AND(ISNUMBER(AH21),ISNUMBER(AH9)),AH21-AH9,"")</f>
      </c>
      <c r="AK21" s="555" t="inlineStr"/>
      <c r="AL21" s="560">
        <f>IFERROR(LN(INDEX(Data!$B$2:$B$497,MATCH(N21,Data!$A$2:$A$497,1))/INDEX(Data!$B$2:$B$497,MATCH(N9,Data!$A$2:$A$497,1))),"")</f>
      </c>
      <c r="AM21" s="560">
        <f>IFERROR(LN(INDEX(Data!$C$2:$C$497,MATCH(N21,Data!$A$2:$A$497,1))/INDEX(Data!$C$2:$C$497,MATCH(N9,Data!$A$2:$A$497,1))),"")</f>
      </c>
      <c r="AN21" s="560">
        <f>IFERROR(LN(INDEX(Data!$D$2:$D$497,MATCH(N21,Data!$A$2:$A$497,1))/INDEX(Data!$D$2:$D$497,MATCH(N9,Data!$A$2:$A$497,1))),"")</f>
      </c>
      <c r="AO21" s="560">
        <f>IFERROR(LN(INDEX(Data!$E$2:$E$497,MATCH(N21,Data!$A$2:$A$497,1))/INDEX(Data!$E$2:$E$497,MATCH(N9,Data!$A$2:$A$497,1))),"")</f>
      </c>
      <c r="AP21" s="560">
        <f>IFERROR(LN(INDEX(Data!$F$2:$F$497,MATCH(N21,Data!$A$2:$A$497,1))/INDEX(Data!$F$2:$F$497,MATCH(N9,Data!$A$2:$A$497,1))),"")</f>
      </c>
      <c r="AQ21" s="560">
        <f>IFERROR(LN(INDEX(Data!$G$2:$G$497,MATCH(N21,Data!$A$2:$A$497,1))/INDEX(Data!$G$2:$G$497,MATCH(N9,Data!$A$2:$A$497,1))),"")</f>
      </c>
      <c r="AR21" s="560">
        <f>IFERROR(LN(INDEX(Data!$H$2:$H$497,MATCH(N21,Data!$A$2:$A$497,1))/INDEX(Data!$H$2:$H$497,MATCH(N9,Data!$A$2:$A$497,1))),"")</f>
      </c>
      <c r="AS21" s="560">
        <f>IFERROR(LN(INDEX(Data!$I$2:$I$497,MATCH(N21,Data!$A$2:$A$497,1))/INDEX(Data!$I$2:$I$497,MATCH(N9,Data!$A$2:$A$497,1))),"")</f>
      </c>
      <c r="AT21" s="560">
        <f>IFERROR(LN(INDEX(Data!$J$2:$J$497,MATCH(N21,Data!$A$2:$A$497,1))/INDEX(Data!$J$2:$J$497,MATCH(N9,Data!$A$2:$A$497,1))),"")</f>
      </c>
      <c r="AU21" s="560">
        <f>IFERROR(LN(INDEX(Data!$K$2:$K$497,MATCH(N21,Data!$A$2:$A$497,1))/INDEX(Data!$K$2:$K$497,MATCH(N9,Data!$A$2:$A$497,1))),"")</f>
      </c>
      <c r="AV21" s="561">
        <f>IFERROR(LN(INDEX(Data!$L$2:$L$497,MATCH(N21,Data!$A$2:$A$497,1))/INDEX(Data!$L$2:$L$497,MATCH(N9,Data!$A$2:$A$497,1))),"")</f>
      </c>
    </row>
    <row r="22">
      <c r="A22" s="86" t="inlineStr">
        <is>
          <t>3. Episode study: oil price shocks, scaled to US$150 (2008 severe case in section 10)</t>
        </is>
      </c>
      <c r="B22" s="87" t="n"/>
      <c r="C22" s="87" t="n"/>
      <c r="D22" s="87" t="n"/>
      <c r="E22" s="87" t="n"/>
      <c r="F22" s="87" t="n"/>
      <c r="G22" s="88" t="n"/>
      <c r="N22" s="337" t="n">
        <v>25384</v>
      </c>
      <c r="O22" s="116">
        <f>INDEX('Additional data'!$B$2:$B$965,MATCH(DATE(YEAR(N22),MONTH(N22),1),'Additional data'!$A$2:$A$965,0))</f>
        <v>3.35</v>
      </c>
      <c r="P22" s="489">
        <f>LN(O22)</f>
        <v>1.20896034583698</v>
      </c>
      <c r="Q22" s="489">
        <f>Q21+LN(1+INDEX('Additional data'!$H$2:$H$1196,MATCH(N22,'Additional data'!$G$2:$G$1196,1))+INDEX('Additional data'!$I$2:$I$1196,MATCH(N22,'Additional data'!$G$2:$G$1196,1)))</f>
        <v>0.0546581967421721</v>
      </c>
      <c r="R22" s="77" t="n"/>
      <c r="S22" s="116">
        <f>IF(INDEX('Additional data'!$E$2:$E$699,MATCH(DATE(YEAR(N22),MONTH(N22),1),'Additional data'!$D$2:$D$699,0))=0,(INDEX('Additional data'!$E$2:$E$699,MATCH(DATE(YEAR(N22),MONTH(N22),1),'Additional data'!$D$2:$D$699,0)-1)+INDEX('Additional data'!$E$2:$E$699,MATCH(DATE(YEAR(N22),MONTH(N22),1),'Additional data'!$D$2:$D$699,0)+1))/2,INDEX('Additional data'!$E$2:$E$699,MATCH(DATE(YEAR(N22),MONTH(N22),1),'Additional data'!$D$2:$D$699,0)))</f>
        <v>5.9</v>
      </c>
      <c r="T22" s="425">
        <f>P22-P21</f>
        <v>0</v>
      </c>
      <c r="U22" s="425">
        <f>Q22-Q21</f>
        <v>-0.0691357388348621</v>
      </c>
      <c r="V22" s="77" t="n"/>
      <c r="W22" s="116">
        <f>S22-S21</f>
        <v>0.4</v>
      </c>
      <c r="X22" s="425">
        <f>P22-P10</f>
        <v>0.0872827842378694</v>
      </c>
      <c r="Y22" s="425">
        <f>Q22-Q10</f>
        <v>-0.00864352110418566</v>
      </c>
      <c r="Z22" s="77" t="n"/>
      <c r="AA22" s="116">
        <f>S22-S10</f>
        <v>0.4</v>
      </c>
      <c r="AB22" s="77" t="n"/>
      <c r="AC22" s="77" t="n"/>
      <c r="AD22" s="77" t="n"/>
      <c r="AE22" s="237" t="n"/>
      <c r="AG22" s="554">
        <f>N22</f>
        <v>25384.0</v>
      </c>
      <c r="AH22" s="435">
        <f>IFERROR(INDEX('RBA 5Y yield'!$B$5:$B$661,MATCH(N22,'RBA 5Y yield'!$A$5:$A$661,1))*100,"")</f>
      </c>
      <c r="AI22" s="435">
        <f>IF(AND(ISNUMBER(AH22),ISNUMBER(AH21)),AH22-AH21,"")</f>
      </c>
      <c r="AJ22" s="435">
        <f>IF(AND(ISNUMBER(AH22),ISNUMBER(AH10)),AH22-AH10,"")</f>
      </c>
      <c r="AK22" s="555" t="inlineStr"/>
      <c r="AL22" s="560">
        <f>IFERROR(LN(INDEX(Data!$B$2:$B$497,MATCH(N22,Data!$A$2:$A$497,1))/INDEX(Data!$B$2:$B$497,MATCH(N10,Data!$A$2:$A$497,1))),"")</f>
      </c>
      <c r="AM22" s="560">
        <f>IFERROR(LN(INDEX(Data!$C$2:$C$497,MATCH(N22,Data!$A$2:$A$497,1))/INDEX(Data!$C$2:$C$497,MATCH(N10,Data!$A$2:$A$497,1))),"")</f>
      </c>
      <c r="AN22" s="560">
        <f>IFERROR(LN(INDEX(Data!$D$2:$D$497,MATCH(N22,Data!$A$2:$A$497,1))/INDEX(Data!$D$2:$D$497,MATCH(N10,Data!$A$2:$A$497,1))),"")</f>
      </c>
      <c r="AO22" s="560">
        <f>IFERROR(LN(INDEX(Data!$E$2:$E$497,MATCH(N22,Data!$A$2:$A$497,1))/INDEX(Data!$E$2:$E$497,MATCH(N10,Data!$A$2:$A$497,1))),"")</f>
      </c>
      <c r="AP22" s="560">
        <f>IFERROR(LN(INDEX(Data!$F$2:$F$497,MATCH(N22,Data!$A$2:$A$497,1))/INDEX(Data!$F$2:$F$497,MATCH(N10,Data!$A$2:$A$497,1))),"")</f>
      </c>
      <c r="AQ22" s="560">
        <f>IFERROR(LN(INDEX(Data!$G$2:$G$497,MATCH(N22,Data!$A$2:$A$497,1))/INDEX(Data!$G$2:$G$497,MATCH(N10,Data!$A$2:$A$497,1))),"")</f>
      </c>
      <c r="AR22" s="560">
        <f>IFERROR(LN(INDEX(Data!$H$2:$H$497,MATCH(N22,Data!$A$2:$A$497,1))/INDEX(Data!$H$2:$H$497,MATCH(N10,Data!$A$2:$A$497,1))),"")</f>
      </c>
      <c r="AS22" s="560">
        <f>IFERROR(LN(INDEX(Data!$I$2:$I$497,MATCH(N22,Data!$A$2:$A$497,1))/INDEX(Data!$I$2:$I$497,MATCH(N10,Data!$A$2:$A$497,1))),"")</f>
      </c>
      <c r="AT22" s="560">
        <f>IFERROR(LN(INDEX(Data!$J$2:$J$497,MATCH(N22,Data!$A$2:$A$497,1))/INDEX(Data!$J$2:$J$497,MATCH(N10,Data!$A$2:$A$497,1))),"")</f>
      </c>
      <c r="AU22" s="560">
        <f>IFERROR(LN(INDEX(Data!$K$2:$K$497,MATCH(N22,Data!$A$2:$A$497,1))/INDEX(Data!$K$2:$K$497,MATCH(N10,Data!$A$2:$A$497,1))),"")</f>
      </c>
      <c r="AV22" s="561">
        <f>IFERROR(LN(INDEX(Data!$L$2:$L$497,MATCH(N22,Data!$A$2:$A$497,1))/INDEX(Data!$L$2:$L$497,MATCH(N10,Data!$A$2:$A$497,1))),"")</f>
      </c>
    </row>
    <row r="23" ht="28" customHeight="1">
      <c r="A23" s="92" t="inlineStr">
        <is>
          <t>Episode</t>
        </is>
      </c>
      <c r="B23" s="93" t="inlineStr">
        <is>
          <t>Start</t>
        </is>
      </c>
      <c r="C23" s="93" t="inlineStr">
        <is>
          <t>End</t>
        </is>
      </c>
      <c r="D23" s="93" t="inlineStr">
        <is>
          <t>WTI start</t>
        </is>
      </c>
      <c r="E23" s="93" t="inlineStr">
        <is>
          <t>WTI end</t>
        </is>
      </c>
      <c r="F23" s="93" t="inlineStr">
        <is>
          <t>WTI change</t>
        </is>
      </c>
      <c r="G23" s="94" t="inlineStr">
        <is>
          <t>Scale to scenario</t>
        </is>
      </c>
      <c r="N23" s="337" t="n">
        <v>25415</v>
      </c>
      <c r="O23" s="116">
        <f>INDEX('Additional data'!$B$2:$B$965,MATCH(DATE(YEAR(N23),MONTH(N23),1),'Additional data'!$A$2:$A$965,0))</f>
        <v>3.35</v>
      </c>
      <c r="P23" s="489">
        <f>LN(O23)</f>
        <v>1.20896034583698</v>
      </c>
      <c r="Q23" s="489">
        <f>Q22+LN(1+INDEX('Additional data'!$H$2:$H$1196,MATCH(N23,'Additional data'!$G$2:$G$1196,1))+INDEX('Additional data'!$I$2:$I$1196,MATCH(N23,'Additional data'!$G$2:$G$1196,1)))</f>
        <v>-0.0122297487994598</v>
      </c>
      <c r="R23" s="77" t="n"/>
      <c r="S23" s="116">
        <f>IF(INDEX('Additional data'!$E$2:$E$699,MATCH(DATE(YEAR(N23),MONTH(N23),1),'Additional data'!$D$2:$D$699,0))=0,(INDEX('Additional data'!$E$2:$E$699,MATCH(DATE(YEAR(N23),MONTH(N23),1),'Additional data'!$D$2:$D$699,0)-1)+INDEX('Additional data'!$E$2:$E$699,MATCH(DATE(YEAR(N23),MONTH(N23),1),'Additional data'!$D$2:$D$699,0)+1))/2,INDEX('Additional data'!$E$2:$E$699,MATCH(DATE(YEAR(N23),MONTH(N23),1),'Additional data'!$D$2:$D$699,0)))</f>
        <v>5.8</v>
      </c>
      <c r="T23" s="425">
        <f>P23-P22</f>
        <v>0</v>
      </c>
      <c r="U23" s="425">
        <f>Q23-Q22</f>
        <v>-0.0668879455416319</v>
      </c>
      <c r="V23" s="77" t="n"/>
      <c r="W23" s="116">
        <f>S23-S22</f>
        <v>-0.100000000000001</v>
      </c>
      <c r="X23" s="425">
        <f>P23-P11</f>
        <v>0.0872827842378694</v>
      </c>
      <c r="Y23" s="425">
        <f>Q23-Q11</f>
        <v>-0.0531836029819099</v>
      </c>
      <c r="Z23" s="77" t="n"/>
      <c r="AA23" s="116">
        <f>S23-S11</f>
        <v>0.7</v>
      </c>
      <c r="AB23" s="77" t="n"/>
      <c r="AC23" s="77" t="n"/>
      <c r="AD23" s="77" t="n"/>
      <c r="AE23" s="237" t="n"/>
      <c r="AG23" s="554">
        <f>N23</f>
        <v>25415.0</v>
      </c>
      <c r="AH23" s="435">
        <f>IFERROR(INDEX('RBA 5Y yield'!$B$5:$B$661,MATCH(N23,'RBA 5Y yield'!$A$5:$A$661,1))*100,"")</f>
      </c>
      <c r="AI23" s="435">
        <f>IF(AND(ISNUMBER(AH23),ISNUMBER(AH22)),AH23-AH22,"")</f>
      </c>
      <c r="AJ23" s="435">
        <f>IF(AND(ISNUMBER(AH23),ISNUMBER(AH11)),AH23-AH11,"")</f>
      </c>
      <c r="AK23" s="555" t="inlineStr"/>
      <c r="AL23" s="560">
        <f>IFERROR(LN(INDEX(Data!$B$2:$B$497,MATCH(N23,Data!$A$2:$A$497,1))/INDEX(Data!$B$2:$B$497,MATCH(N11,Data!$A$2:$A$497,1))),"")</f>
      </c>
      <c r="AM23" s="560">
        <f>IFERROR(LN(INDEX(Data!$C$2:$C$497,MATCH(N23,Data!$A$2:$A$497,1))/INDEX(Data!$C$2:$C$497,MATCH(N11,Data!$A$2:$A$497,1))),"")</f>
      </c>
      <c r="AN23" s="560">
        <f>IFERROR(LN(INDEX(Data!$D$2:$D$497,MATCH(N23,Data!$A$2:$A$497,1))/INDEX(Data!$D$2:$D$497,MATCH(N11,Data!$A$2:$A$497,1))),"")</f>
      </c>
      <c r="AO23" s="560">
        <f>IFERROR(LN(INDEX(Data!$E$2:$E$497,MATCH(N23,Data!$A$2:$A$497,1))/INDEX(Data!$E$2:$E$497,MATCH(N11,Data!$A$2:$A$497,1))),"")</f>
      </c>
      <c r="AP23" s="560">
        <f>IFERROR(LN(INDEX(Data!$F$2:$F$497,MATCH(N23,Data!$A$2:$A$497,1))/INDEX(Data!$F$2:$F$497,MATCH(N11,Data!$A$2:$A$497,1))),"")</f>
      </c>
      <c r="AQ23" s="560">
        <f>IFERROR(LN(INDEX(Data!$G$2:$G$497,MATCH(N23,Data!$A$2:$A$497,1))/INDEX(Data!$G$2:$G$497,MATCH(N11,Data!$A$2:$A$497,1))),"")</f>
      </c>
      <c r="AR23" s="560">
        <f>IFERROR(LN(INDEX(Data!$H$2:$H$497,MATCH(N23,Data!$A$2:$A$497,1))/INDEX(Data!$H$2:$H$497,MATCH(N11,Data!$A$2:$A$497,1))),"")</f>
      </c>
      <c r="AS23" s="560">
        <f>IFERROR(LN(INDEX(Data!$I$2:$I$497,MATCH(N23,Data!$A$2:$A$497,1))/INDEX(Data!$I$2:$I$497,MATCH(N11,Data!$A$2:$A$497,1))),"")</f>
      </c>
      <c r="AT23" s="560">
        <f>IFERROR(LN(INDEX(Data!$J$2:$J$497,MATCH(N23,Data!$A$2:$A$497,1))/INDEX(Data!$J$2:$J$497,MATCH(N11,Data!$A$2:$A$497,1))),"")</f>
      </c>
      <c r="AU23" s="560">
        <f>IFERROR(LN(INDEX(Data!$K$2:$K$497,MATCH(N23,Data!$A$2:$A$497,1))/INDEX(Data!$K$2:$K$497,MATCH(N11,Data!$A$2:$A$497,1))),"")</f>
      </c>
      <c r="AV23" s="561">
        <f>IFERROR(LN(INDEX(Data!$L$2:$L$497,MATCH(N23,Data!$A$2:$A$497,1))/INDEX(Data!$L$2:$L$497,MATCH(N11,Data!$A$2:$A$497,1))),"")</f>
      </c>
    </row>
    <row r="24">
      <c r="A24" s="98" t="inlineStr">
        <is>
          <t>Gulf War 1990</t>
        </is>
      </c>
      <c r="B24" s="349" t="n">
        <v>33085</v>
      </c>
      <c r="C24" s="349" t="n">
        <v>33177</v>
      </c>
      <c r="D24" s="116">
        <f>INDEX('Additional data'!$B$2:$B$965,MATCH(DATE(YEAR(B24),MONTH(B24),1),'Additional data'!$A$2:$A$965,0))</f>
        <v>18.638</v>
      </c>
      <c r="E24" s="116">
        <f>INDEX('Additional data'!$B$2:$B$965,MATCH(DATE(YEAR(C24),MONTH(C24),1),'Additional data'!$A$2:$A$965,0))</f>
        <v>35.922</v>
      </c>
      <c r="F24" s="68">
        <f>E24/D24-1</f>
        <v>0.927352720248953</v>
      </c>
      <c r="G24" s="350">
        <f>$B$7/LN(1+F24)</f>
        <v>0.673667767513966</v>
      </c>
      <c r="N24" s="337" t="n">
        <v>25446</v>
      </c>
      <c r="O24" s="116">
        <f>INDEX('Additional data'!$B$2:$B$965,MATCH(DATE(YEAR(N24),MONTH(N24),1),'Additional data'!$A$2:$A$965,0))</f>
        <v>3.35</v>
      </c>
      <c r="P24" s="489">
        <f>LN(O24)</f>
        <v>1.20896034583698</v>
      </c>
      <c r="Q24" s="489">
        <f>Q23+LN(1+INDEX('Additional data'!$H$2:$H$1196,MATCH(N24,'Additional data'!$G$2:$G$1196,1))+INDEX('Additional data'!$I$2:$I$1196,MATCH(N24,'Additional data'!$G$2:$G$1196,1)))</f>
        <v>0.0383683039636315</v>
      </c>
      <c r="R24" s="77" t="n"/>
      <c r="S24" s="116">
        <f>IF(INDEX('Additional data'!$E$2:$E$699,MATCH(DATE(YEAR(N24),MONTH(N24),1),'Additional data'!$D$2:$D$699,0))=0,(INDEX('Additional data'!$E$2:$E$699,MATCH(DATE(YEAR(N24),MONTH(N24),1),'Additional data'!$D$2:$D$699,0)-1)+INDEX('Additional data'!$E$2:$E$699,MATCH(DATE(YEAR(N24),MONTH(N24),1),'Additional data'!$D$2:$D$699,0)+1))/2,INDEX('Additional data'!$E$2:$E$699,MATCH(DATE(YEAR(N24),MONTH(N24),1),'Additional data'!$D$2:$D$699,0)))</f>
        <v>6.1</v>
      </c>
      <c r="T24" s="425">
        <f>P24-P23</f>
        <v>0</v>
      </c>
      <c r="U24" s="425">
        <f>Q24-Q23</f>
        <v>0.0505980527630912</v>
      </c>
      <c r="V24" s="77" t="n"/>
      <c r="W24" s="116">
        <f>S24-S23</f>
        <v>0.3</v>
      </c>
      <c r="X24" s="425">
        <f>P24-P12</f>
        <v>0.0872827842378694</v>
      </c>
      <c r="Y24" s="425">
        <f>Q24-Q12</f>
        <v>-0.0201307294345675</v>
      </c>
      <c r="Z24" s="77" t="n"/>
      <c r="AA24" s="116">
        <f>S24-S12</f>
        <v>1</v>
      </c>
      <c r="AB24" s="77" t="n"/>
      <c r="AC24" s="77" t="n"/>
      <c r="AD24" s="77" t="n"/>
      <c r="AE24" s="237" t="n"/>
      <c r="AG24" s="554">
        <f>N24</f>
        <v>25446.0</v>
      </c>
      <c r="AH24" s="435">
        <f>IFERROR(INDEX('RBA 5Y yield'!$B$5:$B$661,MATCH(N24,'RBA 5Y yield'!$A$5:$A$661,1))*100,"")</f>
      </c>
      <c r="AI24" s="435">
        <f>IF(AND(ISNUMBER(AH24),ISNUMBER(AH23)),AH24-AH23,"")</f>
      </c>
      <c r="AJ24" s="435">
        <f>IF(AND(ISNUMBER(AH24),ISNUMBER(AH12)),AH24-AH12,"")</f>
      </c>
      <c r="AK24" s="555" t="inlineStr"/>
      <c r="AL24" s="560">
        <f>IFERROR(LN(INDEX(Data!$B$2:$B$497,MATCH(N24,Data!$A$2:$A$497,1))/INDEX(Data!$B$2:$B$497,MATCH(N12,Data!$A$2:$A$497,1))),"")</f>
      </c>
      <c r="AM24" s="560">
        <f>IFERROR(LN(INDEX(Data!$C$2:$C$497,MATCH(N24,Data!$A$2:$A$497,1))/INDEX(Data!$C$2:$C$497,MATCH(N12,Data!$A$2:$A$497,1))),"")</f>
      </c>
      <c r="AN24" s="560">
        <f>IFERROR(LN(INDEX(Data!$D$2:$D$497,MATCH(N24,Data!$A$2:$A$497,1))/INDEX(Data!$D$2:$D$497,MATCH(N12,Data!$A$2:$A$497,1))),"")</f>
      </c>
      <c r="AO24" s="560">
        <f>IFERROR(LN(INDEX(Data!$E$2:$E$497,MATCH(N24,Data!$A$2:$A$497,1))/INDEX(Data!$E$2:$E$497,MATCH(N12,Data!$A$2:$A$497,1))),"")</f>
      </c>
      <c r="AP24" s="560">
        <f>IFERROR(LN(INDEX(Data!$F$2:$F$497,MATCH(N24,Data!$A$2:$A$497,1))/INDEX(Data!$F$2:$F$497,MATCH(N12,Data!$A$2:$A$497,1))),"")</f>
      </c>
      <c r="AQ24" s="560">
        <f>IFERROR(LN(INDEX(Data!$G$2:$G$497,MATCH(N24,Data!$A$2:$A$497,1))/INDEX(Data!$G$2:$G$497,MATCH(N12,Data!$A$2:$A$497,1))),"")</f>
      </c>
      <c r="AR24" s="560">
        <f>IFERROR(LN(INDEX(Data!$H$2:$H$497,MATCH(N24,Data!$A$2:$A$497,1))/INDEX(Data!$H$2:$H$497,MATCH(N12,Data!$A$2:$A$497,1))),"")</f>
      </c>
      <c r="AS24" s="560">
        <f>IFERROR(LN(INDEX(Data!$I$2:$I$497,MATCH(N24,Data!$A$2:$A$497,1))/INDEX(Data!$I$2:$I$497,MATCH(N12,Data!$A$2:$A$497,1))),"")</f>
      </c>
      <c r="AT24" s="560">
        <f>IFERROR(LN(INDEX(Data!$J$2:$J$497,MATCH(N24,Data!$A$2:$A$497,1))/INDEX(Data!$J$2:$J$497,MATCH(N12,Data!$A$2:$A$497,1))),"")</f>
      </c>
      <c r="AU24" s="560">
        <f>IFERROR(LN(INDEX(Data!$K$2:$K$497,MATCH(N24,Data!$A$2:$A$497,1))/INDEX(Data!$K$2:$K$497,MATCH(N12,Data!$A$2:$A$497,1))),"")</f>
      </c>
      <c r="AV24" s="561">
        <f>IFERROR(LN(INDEX(Data!$L$2:$L$497,MATCH(N24,Data!$A$2:$A$497,1))/INDEX(Data!$L$2:$L$497,MATCH(N12,Data!$A$2:$A$497,1))),"")</f>
      </c>
    </row>
    <row r="25">
      <c r="A25" s="98" t="inlineStr">
        <is>
          <t>Ukraine invasion 2022</t>
        </is>
      </c>
      <c r="B25" s="349" t="n">
        <v>44592</v>
      </c>
      <c r="C25" s="349" t="n">
        <v>44742</v>
      </c>
      <c r="D25" s="116">
        <f>INDEX('Additional data'!$B$2:$B$965,MATCH(DATE(YEAR(B25),MONTH(B25),1),'Additional data'!$A$2:$A$965,0))</f>
        <v>83.22</v>
      </c>
      <c r="E25" s="116">
        <f>INDEX('Additional data'!$B$2:$B$965,MATCH(DATE(YEAR(C25),MONTH(C25),1),'Additional data'!$A$2:$A$965,0))</f>
        <v>114.84</v>
      </c>
      <c r="F25" s="68">
        <f>E25/D25-1</f>
        <v>0.379956741167989</v>
      </c>
      <c r="G25" s="350">
        <f>$B$7/LN(1+F25)</f>
        <v>1.3725272788563</v>
      </c>
      <c r="N25" s="337" t="n">
        <v>25476</v>
      </c>
      <c r="O25" s="116">
        <f>INDEX('Additional data'!$B$2:$B$965,MATCH(DATE(YEAR(N25),MONTH(N25),1),'Additional data'!$A$2:$A$965,0))</f>
        <v>3.35</v>
      </c>
      <c r="P25" s="489">
        <f>LN(O25)</f>
        <v>1.20896034583698</v>
      </c>
      <c r="Q25" s="489">
        <f>Q24+LN(1+INDEX('Additional data'!$H$2:$H$1196,MATCH(N25,'Additional data'!$G$2:$G$1196,1))+INDEX('Additional data'!$I$2:$I$1196,MATCH(N25,'Additional data'!$G$2:$G$1196,1)))</f>
        <v>0.0145877752982281</v>
      </c>
      <c r="R25" s="77" t="n"/>
      <c r="S25" s="116">
        <f>IF(INDEX('Additional data'!$E$2:$E$699,MATCH(DATE(YEAR(N25),MONTH(N25),1),'Additional data'!$D$2:$D$699,0))=0,(INDEX('Additional data'!$E$2:$E$699,MATCH(DATE(YEAR(N25),MONTH(N25),1),'Additional data'!$D$2:$D$699,0)-1)+INDEX('Additional data'!$E$2:$E$699,MATCH(DATE(YEAR(N25),MONTH(N25),1),'Additional data'!$D$2:$D$699,0)+1))/2,INDEX('Additional data'!$E$2:$E$699,MATCH(DATE(YEAR(N25),MONTH(N25),1),'Additional data'!$D$2:$D$699,0)))</f>
        <v>5.8</v>
      </c>
      <c r="T25" s="425">
        <f>P25-P24</f>
        <v>0</v>
      </c>
      <c r="U25" s="425">
        <f>Q25-Q24</f>
        <v>-0.0237805286654034</v>
      </c>
      <c r="V25" s="77" t="n"/>
      <c r="W25" s="116">
        <f>S25-S24</f>
        <v>-0.3</v>
      </c>
      <c r="X25" s="425">
        <f>P25-P13</f>
        <v>0.0872827842378694</v>
      </c>
      <c r="Y25" s="425">
        <f>Q25-Q13</f>
        <v>-0.0877367376400004</v>
      </c>
      <c r="Z25" s="77" t="n"/>
      <c r="AA25" s="116">
        <f>S25-S13</f>
        <v>0.75</v>
      </c>
      <c r="AB25" s="77" t="n"/>
      <c r="AC25" s="77" t="n"/>
      <c r="AD25" s="77" t="n"/>
      <c r="AE25" s="237" t="n"/>
      <c r="AG25" s="554">
        <f>N25</f>
        <v>25476.0</v>
      </c>
      <c r="AH25" s="435">
        <f>IFERROR(INDEX('RBA 5Y yield'!$B$5:$B$661,MATCH(N25,'RBA 5Y yield'!$A$5:$A$661,1))*100,"")</f>
      </c>
      <c r="AI25" s="435">
        <f>IF(AND(ISNUMBER(AH25),ISNUMBER(AH24)),AH25-AH24,"")</f>
      </c>
      <c r="AJ25" s="435">
        <f>IF(AND(ISNUMBER(AH25),ISNUMBER(AH13)),AH25-AH13,"")</f>
      </c>
      <c r="AK25" s="555" t="inlineStr"/>
      <c r="AL25" s="560">
        <f>IFERROR(LN(INDEX(Data!$B$2:$B$497,MATCH(N25,Data!$A$2:$A$497,1))/INDEX(Data!$B$2:$B$497,MATCH(N13,Data!$A$2:$A$497,1))),"")</f>
      </c>
      <c r="AM25" s="560">
        <f>IFERROR(LN(INDEX(Data!$C$2:$C$497,MATCH(N25,Data!$A$2:$A$497,1))/INDEX(Data!$C$2:$C$497,MATCH(N13,Data!$A$2:$A$497,1))),"")</f>
      </c>
      <c r="AN25" s="560">
        <f>IFERROR(LN(INDEX(Data!$D$2:$D$497,MATCH(N25,Data!$A$2:$A$497,1))/INDEX(Data!$D$2:$D$497,MATCH(N13,Data!$A$2:$A$497,1))),"")</f>
      </c>
      <c r="AO25" s="560">
        <f>IFERROR(LN(INDEX(Data!$E$2:$E$497,MATCH(N25,Data!$A$2:$A$497,1))/INDEX(Data!$E$2:$E$497,MATCH(N13,Data!$A$2:$A$497,1))),"")</f>
      </c>
      <c r="AP25" s="560">
        <f>IFERROR(LN(INDEX(Data!$F$2:$F$497,MATCH(N25,Data!$A$2:$A$497,1))/INDEX(Data!$F$2:$F$497,MATCH(N13,Data!$A$2:$A$497,1))),"")</f>
      </c>
      <c r="AQ25" s="560">
        <f>IFERROR(LN(INDEX(Data!$G$2:$G$497,MATCH(N25,Data!$A$2:$A$497,1))/INDEX(Data!$G$2:$G$497,MATCH(N13,Data!$A$2:$A$497,1))),"")</f>
      </c>
      <c r="AR25" s="560">
        <f>IFERROR(LN(INDEX(Data!$H$2:$H$497,MATCH(N25,Data!$A$2:$A$497,1))/INDEX(Data!$H$2:$H$497,MATCH(N13,Data!$A$2:$A$497,1))),"")</f>
      </c>
      <c r="AS25" s="560">
        <f>IFERROR(LN(INDEX(Data!$I$2:$I$497,MATCH(N25,Data!$A$2:$A$497,1))/INDEX(Data!$I$2:$I$497,MATCH(N13,Data!$A$2:$A$497,1))),"")</f>
      </c>
      <c r="AT25" s="560">
        <f>IFERROR(LN(INDEX(Data!$J$2:$J$497,MATCH(N25,Data!$A$2:$A$497,1))/INDEX(Data!$J$2:$J$497,MATCH(N13,Data!$A$2:$A$497,1))),"")</f>
      </c>
      <c r="AU25" s="560">
        <f>IFERROR(LN(INDEX(Data!$K$2:$K$497,MATCH(N25,Data!$A$2:$A$497,1))/INDEX(Data!$K$2:$K$497,MATCH(N13,Data!$A$2:$A$497,1))),"")</f>
      </c>
      <c r="AV25" s="561">
        <f>IFERROR(LN(INDEX(Data!$L$2:$L$497,MATCH(N25,Data!$A$2:$A$497,1))/INDEX(Data!$L$2:$L$497,MATCH(N13,Data!$A$2:$A$497,1))),"")</f>
      </c>
    </row>
    <row r="26">
      <c r="A26" s="281" t="n"/>
      <c r="B26" s="77" t="n"/>
      <c r="C26" s="77" t="n"/>
      <c r="D26" s="77" t="n"/>
      <c r="E26" s="77" t="n"/>
      <c r="F26" s="77" t="n"/>
      <c r="G26" s="282" t="n"/>
      <c r="N26" s="337" t="n">
        <v>25507</v>
      </c>
      <c r="O26" s="116">
        <f>INDEX('Additional data'!$B$2:$B$965,MATCH(DATE(YEAR(N26),MONTH(N26),1),'Additional data'!$A$2:$A$965,0))</f>
        <v>3.35</v>
      </c>
      <c r="P26" s="489">
        <f>LN(O26)</f>
        <v>1.20896034583698</v>
      </c>
      <c r="Q26" s="489">
        <f>Q25+LN(1+INDEX('Additional data'!$H$2:$H$1196,MATCH(N26,'Additional data'!$G$2:$G$1196,1))+INDEX('Additional data'!$I$2:$I$1196,MATCH(N26,'Additional data'!$G$2:$G$1196,1)))</f>
        <v>0.0696439810463065</v>
      </c>
      <c r="R26" s="77" t="n"/>
      <c r="S26" s="116">
        <f>IF(INDEX('Additional data'!$E$2:$E$699,MATCH(DATE(YEAR(N26),MONTH(N26),1),'Additional data'!$D$2:$D$699,0))=0,(INDEX('Additional data'!$E$2:$E$699,MATCH(DATE(YEAR(N26),MONTH(N26),1),'Additional data'!$D$2:$D$699,0)-1)+INDEX('Additional data'!$E$2:$E$699,MATCH(DATE(YEAR(N26),MONTH(N26),1),'Additional data'!$D$2:$D$699,0)+1))/2,INDEX('Additional data'!$E$2:$E$699,MATCH(DATE(YEAR(N26),MONTH(N26),1),'Additional data'!$D$2:$D$699,0)))</f>
        <v>5.6</v>
      </c>
      <c r="T26" s="425">
        <f>P26-P25</f>
        <v>0</v>
      </c>
      <c r="U26" s="425">
        <f>Q26-Q25</f>
        <v>0.0550562057480784</v>
      </c>
      <c r="V26" s="77" t="n"/>
      <c r="W26" s="116">
        <f>S26-S25</f>
        <v>-0.2</v>
      </c>
      <c r="X26" s="425">
        <f>P26-P14</f>
        <v>0.0872827842378694</v>
      </c>
      <c r="Y26" s="425">
        <f>Q26-Q14</f>
        <v>-0.0413429049705746</v>
      </c>
      <c r="Z26" s="77" t="n"/>
      <c r="AA26" s="116">
        <f>S26-S14</f>
        <v>0.6</v>
      </c>
      <c r="AB26" s="77" t="n"/>
      <c r="AC26" s="77" t="n"/>
      <c r="AD26" s="77" t="n"/>
      <c r="AE26" s="237" t="n"/>
      <c r="AG26" s="554">
        <f>N26</f>
        <v>25507.0</v>
      </c>
      <c r="AH26" s="435">
        <f>IFERROR(INDEX('RBA 5Y yield'!$B$5:$B$661,MATCH(N26,'RBA 5Y yield'!$A$5:$A$661,1))*100,"")</f>
      </c>
      <c r="AI26" s="435">
        <f>IF(AND(ISNUMBER(AH26),ISNUMBER(AH25)),AH26-AH25,"")</f>
      </c>
      <c r="AJ26" s="435">
        <f>IF(AND(ISNUMBER(AH26),ISNUMBER(AH14)),AH26-AH14,"")</f>
      </c>
      <c r="AK26" s="555" t="inlineStr"/>
      <c r="AL26" s="560">
        <f>IFERROR(LN(INDEX(Data!$B$2:$B$497,MATCH(N26,Data!$A$2:$A$497,1))/INDEX(Data!$B$2:$B$497,MATCH(N14,Data!$A$2:$A$497,1))),"")</f>
      </c>
      <c r="AM26" s="560">
        <f>IFERROR(LN(INDEX(Data!$C$2:$C$497,MATCH(N26,Data!$A$2:$A$497,1))/INDEX(Data!$C$2:$C$497,MATCH(N14,Data!$A$2:$A$497,1))),"")</f>
      </c>
      <c r="AN26" s="560">
        <f>IFERROR(LN(INDEX(Data!$D$2:$D$497,MATCH(N26,Data!$A$2:$A$497,1))/INDEX(Data!$D$2:$D$497,MATCH(N14,Data!$A$2:$A$497,1))),"")</f>
      </c>
      <c r="AO26" s="560">
        <f>IFERROR(LN(INDEX(Data!$E$2:$E$497,MATCH(N26,Data!$A$2:$A$497,1))/INDEX(Data!$E$2:$E$497,MATCH(N14,Data!$A$2:$A$497,1))),"")</f>
      </c>
      <c r="AP26" s="560">
        <f>IFERROR(LN(INDEX(Data!$F$2:$F$497,MATCH(N26,Data!$A$2:$A$497,1))/INDEX(Data!$F$2:$F$497,MATCH(N14,Data!$A$2:$A$497,1))),"")</f>
      </c>
      <c r="AQ26" s="560">
        <f>IFERROR(LN(INDEX(Data!$G$2:$G$497,MATCH(N26,Data!$A$2:$A$497,1))/INDEX(Data!$G$2:$G$497,MATCH(N14,Data!$A$2:$A$497,1))),"")</f>
      </c>
      <c r="AR26" s="560">
        <f>IFERROR(LN(INDEX(Data!$H$2:$H$497,MATCH(N26,Data!$A$2:$A$497,1))/INDEX(Data!$H$2:$H$497,MATCH(N14,Data!$A$2:$A$497,1))),"")</f>
      </c>
      <c r="AS26" s="560">
        <f>IFERROR(LN(INDEX(Data!$I$2:$I$497,MATCH(N26,Data!$A$2:$A$497,1))/INDEX(Data!$I$2:$I$497,MATCH(N14,Data!$A$2:$A$497,1))),"")</f>
      </c>
      <c r="AT26" s="560">
        <f>IFERROR(LN(INDEX(Data!$J$2:$J$497,MATCH(N26,Data!$A$2:$A$497,1))/INDEX(Data!$J$2:$J$497,MATCH(N14,Data!$A$2:$A$497,1))),"")</f>
      </c>
      <c r="AU26" s="560">
        <f>IFERROR(LN(INDEX(Data!$K$2:$K$497,MATCH(N26,Data!$A$2:$A$497,1))/INDEX(Data!$K$2:$K$497,MATCH(N14,Data!$A$2:$A$497,1))),"")</f>
      </c>
      <c r="AV26" s="561">
        <f>IFERROR(LN(INDEX(Data!$L$2:$L$497,MATCH(N26,Data!$A$2:$A$497,1))/INDEX(Data!$L$2:$L$497,MATCH(N14,Data!$A$2:$A$497,1))),"")</f>
      </c>
    </row>
    <row r="27" ht="28" customHeight="1">
      <c r="A27" s="92" t="inlineStr">
        <is>
          <t>Asset class</t>
        </is>
      </c>
      <c r="B27" s="93" t="inlineStr">
        <is>
          <t>1990 as happened</t>
        </is>
      </c>
      <c r="C27" s="93" t="inlineStr">
        <is>
          <t>2022 as happened</t>
        </is>
      </c>
      <c r="D27" s="93" t="inlineStr">
        <is>
          <t>1990 scaled</t>
        </is>
      </c>
      <c r="E27" s="93" t="inlineStr">
        <is>
          <t>2022 scaled</t>
        </is>
      </c>
      <c r="F27" s="93" t="inlineStr">
        <is>
          <t>Central case</t>
        </is>
      </c>
      <c r="G27" s="94" t="inlineStr">
        <is>
          <t>Note</t>
        </is>
      </c>
      <c r="N27" s="337" t="n">
        <v>25537</v>
      </c>
      <c r="O27" s="116">
        <f>INDEX('Additional data'!$B$2:$B$965,MATCH(DATE(YEAR(N27),MONTH(N27),1),'Additional data'!$A$2:$A$965,0))</f>
        <v>3.35</v>
      </c>
      <c r="P27" s="489">
        <f>LN(O27)</f>
        <v>1.20896034583698</v>
      </c>
      <c r="Q27" s="489">
        <f>Q26+LN(1+INDEX('Additional data'!$H$2:$H$1196,MATCH(N27,'Additional data'!$G$2:$G$1196,1))+INDEX('Additional data'!$I$2:$I$1196,MATCH(N27,'Additional data'!$G$2:$G$1196,1)))</f>
        <v>0.0362940013647523</v>
      </c>
      <c r="R27" s="77" t="n"/>
      <c r="S27" s="116">
        <f>IF(INDEX('Additional data'!$E$2:$E$699,MATCH(DATE(YEAR(N27),MONTH(N27),1),'Additional data'!$D$2:$D$699,0))=0,(INDEX('Additional data'!$E$2:$E$699,MATCH(DATE(YEAR(N27),MONTH(N27),1),'Additional data'!$D$2:$D$699,0)-1)+INDEX('Additional data'!$E$2:$E$699,MATCH(DATE(YEAR(N27),MONTH(N27),1),'Additional data'!$D$2:$D$699,0)+1))/2,INDEX('Additional data'!$E$2:$E$699,MATCH(DATE(YEAR(N27),MONTH(N27),1),'Additional data'!$D$2:$D$699,0)))</f>
        <v>5.625</v>
      </c>
      <c r="T27" s="425">
        <f>P27-P26</f>
        <v>0</v>
      </c>
      <c r="U27" s="425">
        <f>Q27-Q26</f>
        <v>-0.0333499796815542</v>
      </c>
      <c r="V27" s="77" t="n"/>
      <c r="W27" s="116">
        <f>S27-S26</f>
        <v>0.0250000000000004</v>
      </c>
      <c r="X27" s="425">
        <f>P27-P15</f>
        <v>0.0872827842378694</v>
      </c>
      <c r="Y27" s="425">
        <f>Q27-Q15</f>
        <v>-0.131545696244912</v>
      </c>
      <c r="Z27" s="77" t="n"/>
      <c r="AA27" s="116">
        <f>S27-S15</f>
        <v>0.725</v>
      </c>
      <c r="AB27" s="77" t="n"/>
      <c r="AC27" s="77" t="n"/>
      <c r="AD27" s="77" t="n"/>
      <c r="AE27" s="237" t="n"/>
      <c r="AG27" s="554">
        <f>N27</f>
        <v>25537.0</v>
      </c>
      <c r="AH27" s="435">
        <f>IFERROR(INDEX('RBA 5Y yield'!$B$5:$B$661,MATCH(N27,'RBA 5Y yield'!$A$5:$A$661,1))*100,"")</f>
      </c>
      <c r="AI27" s="435">
        <f>IF(AND(ISNUMBER(AH27),ISNUMBER(AH26)),AH27-AH26,"")</f>
      </c>
      <c r="AJ27" s="435">
        <f>IF(AND(ISNUMBER(AH27),ISNUMBER(AH15)),AH27-AH15,"")</f>
      </c>
      <c r="AK27" s="555" t="inlineStr"/>
      <c r="AL27" s="560">
        <f>IFERROR(LN(INDEX(Data!$B$2:$B$497,MATCH(N27,Data!$A$2:$A$497,1))/INDEX(Data!$B$2:$B$497,MATCH(N15,Data!$A$2:$A$497,1))),"")</f>
      </c>
      <c r="AM27" s="560">
        <f>IFERROR(LN(INDEX(Data!$C$2:$C$497,MATCH(N27,Data!$A$2:$A$497,1))/INDEX(Data!$C$2:$C$497,MATCH(N15,Data!$A$2:$A$497,1))),"")</f>
      </c>
      <c r="AN27" s="560">
        <f>IFERROR(LN(INDEX(Data!$D$2:$D$497,MATCH(N27,Data!$A$2:$A$497,1))/INDEX(Data!$D$2:$D$497,MATCH(N15,Data!$A$2:$A$497,1))),"")</f>
      </c>
      <c r="AO27" s="560">
        <f>IFERROR(LN(INDEX(Data!$E$2:$E$497,MATCH(N27,Data!$A$2:$A$497,1))/INDEX(Data!$E$2:$E$497,MATCH(N15,Data!$A$2:$A$497,1))),"")</f>
      </c>
      <c r="AP27" s="560">
        <f>IFERROR(LN(INDEX(Data!$F$2:$F$497,MATCH(N27,Data!$A$2:$A$497,1))/INDEX(Data!$F$2:$F$497,MATCH(N15,Data!$A$2:$A$497,1))),"")</f>
      </c>
      <c r="AQ27" s="560">
        <f>IFERROR(LN(INDEX(Data!$G$2:$G$497,MATCH(N27,Data!$A$2:$A$497,1))/INDEX(Data!$G$2:$G$497,MATCH(N15,Data!$A$2:$A$497,1))),"")</f>
      </c>
      <c r="AR27" s="560">
        <f>IFERROR(LN(INDEX(Data!$H$2:$H$497,MATCH(N27,Data!$A$2:$A$497,1))/INDEX(Data!$H$2:$H$497,MATCH(N15,Data!$A$2:$A$497,1))),"")</f>
      </c>
      <c r="AS27" s="560">
        <f>IFERROR(LN(INDEX(Data!$I$2:$I$497,MATCH(N27,Data!$A$2:$A$497,1))/INDEX(Data!$I$2:$I$497,MATCH(N15,Data!$A$2:$A$497,1))),"")</f>
      </c>
      <c r="AT27" s="560">
        <f>IFERROR(LN(INDEX(Data!$J$2:$J$497,MATCH(N27,Data!$A$2:$A$497,1))/INDEX(Data!$J$2:$J$497,MATCH(N15,Data!$A$2:$A$497,1))),"")</f>
      </c>
      <c r="AU27" s="560">
        <f>IFERROR(LN(INDEX(Data!$K$2:$K$497,MATCH(N27,Data!$A$2:$A$497,1))/INDEX(Data!$K$2:$K$497,MATCH(N15,Data!$A$2:$A$497,1))),"")</f>
      </c>
      <c r="AV27" s="561">
        <f>IFERROR(LN(INDEX(Data!$L$2:$L$497,MATCH(N27,Data!$A$2:$A$497,1))/INDEX(Data!$L$2:$L$497,MATCH(N15,Data!$A$2:$A$497,1))),"")</f>
      </c>
    </row>
    <row r="28">
      <c r="A28" s="98" t="inlineStr">
        <is>
          <t>Australian Equities</t>
        </is>
      </c>
      <c r="B28" s="68">
        <f>INDEX(Data!B$2:B$497,MATCH($C$24,Data!$A$2:$A$497,0))/INDEX(Data!B$2:B$497,MATCH($B$24,Data!$A$2:$A$497,0))-1</f>
        <v>-0.144197747783723</v>
      </c>
      <c r="C28" s="68">
        <f>INDEX(Data!B$2:B$497,MATCH($C$25,Data!$A$2:$A$497,0))/INDEX(Data!B$2:B$497,MATCH($B$25,Data!$A$2:$A$497,0))-1</f>
        <v>-0.0527959085793238</v>
      </c>
      <c r="D28" s="68">
        <f>B28*$G$24</f>
        <v>-0.0971413748300027</v>
      </c>
      <c r="E28" s="68">
        <f>C28*$G$25</f>
        <v>-0.0724638247371255</v>
      </c>
      <c r="F28" s="69">
        <f>IF($B$131=1,E135,D135)</f>
        <v>-0.0848025997835641</v>
      </c>
      <c r="G28" s="282" t="n"/>
      <c r="N28" s="337" t="n">
        <v>25568</v>
      </c>
      <c r="O28" s="116">
        <f>INDEX('Additional data'!$B$2:$B$965,MATCH(DATE(YEAR(N28),MONTH(N28),1),'Additional data'!$A$2:$A$965,0))</f>
        <v>3.35</v>
      </c>
      <c r="P28" s="489">
        <f>LN(O28)</f>
        <v>1.20896034583698</v>
      </c>
      <c r="Q28" s="489">
        <f>Q27+LN(1+INDEX('Additional data'!$H$2:$H$1196,MATCH(N28,'Additional data'!$G$2:$G$1196,1))+INDEX('Additional data'!$I$2:$I$1196,MATCH(N28,'Additional data'!$G$2:$G$1196,1)))</f>
        <v>0.0161933296577494</v>
      </c>
      <c r="R28" s="77" t="n"/>
      <c r="S28" s="116">
        <f>IF(INDEX('Additional data'!$E$2:$E$699,MATCH(DATE(YEAR(N28),MONTH(N28),1),'Additional data'!$D$2:$D$699,0))=0,(INDEX('Additional data'!$E$2:$E$699,MATCH(DATE(YEAR(N28),MONTH(N28),1),'Additional data'!$D$2:$D$699,0)-1)+INDEX('Additional data'!$E$2:$E$699,MATCH(DATE(YEAR(N28),MONTH(N28),1),'Additional data'!$D$2:$D$699,0)+1))/2,INDEX('Additional data'!$E$2:$E$699,MATCH(DATE(YEAR(N28),MONTH(N28),1),'Additional data'!$D$2:$D$699,0)))</f>
        <v>5.65</v>
      </c>
      <c r="T28" s="425">
        <f>P28-P27</f>
        <v>0</v>
      </c>
      <c r="U28" s="425">
        <f>Q28-Q27</f>
        <v>-0.0201006717070029</v>
      </c>
      <c r="V28" s="77" t="n"/>
      <c r="W28" s="116">
        <f>S28-S27</f>
        <v>0.0250000000000004</v>
      </c>
      <c r="X28" s="425">
        <f>P28-P16</f>
        <v>0.0872827842378694</v>
      </c>
      <c r="Y28" s="425">
        <f>Q28-Q16</f>
        <v>-0.116019190308763</v>
      </c>
      <c r="Z28" s="77" t="n"/>
      <c r="AA28" s="116">
        <f>S28-S16</f>
        <v>0.75</v>
      </c>
      <c r="AB28" s="77" t="n"/>
      <c r="AC28" s="77" t="n"/>
      <c r="AD28" s="77" t="n"/>
      <c r="AE28" s="237" t="n"/>
      <c r="AG28" s="554">
        <f>N28</f>
        <v>25568.0</v>
      </c>
      <c r="AH28" s="435">
        <f>IFERROR(INDEX('RBA 5Y yield'!$B$5:$B$661,MATCH(N28,'RBA 5Y yield'!$A$5:$A$661,1))*100,"")</f>
      </c>
      <c r="AI28" s="435">
        <f>IF(AND(ISNUMBER(AH28),ISNUMBER(AH27)),AH28-AH27,"")</f>
      </c>
      <c r="AJ28" s="435">
        <f>IF(AND(ISNUMBER(AH28),ISNUMBER(AH16)),AH28-AH16,"")</f>
      </c>
      <c r="AK28" s="555" t="inlineStr"/>
      <c r="AL28" s="560">
        <f>IFERROR(LN(INDEX(Data!$B$2:$B$497,MATCH(N28,Data!$A$2:$A$497,1))/INDEX(Data!$B$2:$B$497,MATCH(N16,Data!$A$2:$A$497,1))),"")</f>
      </c>
      <c r="AM28" s="560">
        <f>IFERROR(LN(INDEX(Data!$C$2:$C$497,MATCH(N28,Data!$A$2:$A$497,1))/INDEX(Data!$C$2:$C$497,MATCH(N16,Data!$A$2:$A$497,1))),"")</f>
      </c>
      <c r="AN28" s="560">
        <f>IFERROR(LN(INDEX(Data!$D$2:$D$497,MATCH(N28,Data!$A$2:$A$497,1))/INDEX(Data!$D$2:$D$497,MATCH(N16,Data!$A$2:$A$497,1))),"")</f>
      </c>
      <c r="AO28" s="560">
        <f>IFERROR(LN(INDEX(Data!$E$2:$E$497,MATCH(N28,Data!$A$2:$A$497,1))/INDEX(Data!$E$2:$E$497,MATCH(N16,Data!$A$2:$A$497,1))),"")</f>
      </c>
      <c r="AP28" s="560">
        <f>IFERROR(LN(INDEX(Data!$F$2:$F$497,MATCH(N28,Data!$A$2:$A$497,1))/INDEX(Data!$F$2:$F$497,MATCH(N16,Data!$A$2:$A$497,1))),"")</f>
      </c>
      <c r="AQ28" s="560">
        <f>IFERROR(LN(INDEX(Data!$G$2:$G$497,MATCH(N28,Data!$A$2:$A$497,1))/INDEX(Data!$G$2:$G$497,MATCH(N16,Data!$A$2:$A$497,1))),"")</f>
      </c>
      <c r="AR28" s="560">
        <f>IFERROR(LN(INDEX(Data!$H$2:$H$497,MATCH(N28,Data!$A$2:$A$497,1))/INDEX(Data!$H$2:$H$497,MATCH(N16,Data!$A$2:$A$497,1))),"")</f>
      </c>
      <c r="AS28" s="560">
        <f>IFERROR(LN(INDEX(Data!$I$2:$I$497,MATCH(N28,Data!$A$2:$A$497,1))/INDEX(Data!$I$2:$I$497,MATCH(N16,Data!$A$2:$A$497,1))),"")</f>
      </c>
      <c r="AT28" s="560">
        <f>IFERROR(LN(INDEX(Data!$J$2:$J$497,MATCH(N28,Data!$A$2:$A$497,1))/INDEX(Data!$J$2:$J$497,MATCH(N16,Data!$A$2:$A$497,1))),"")</f>
      </c>
      <c r="AU28" s="560">
        <f>IFERROR(LN(INDEX(Data!$K$2:$K$497,MATCH(N28,Data!$A$2:$A$497,1))/INDEX(Data!$K$2:$K$497,MATCH(N16,Data!$A$2:$A$497,1))),"")</f>
      </c>
      <c r="AV28" s="561">
        <f>IFERROR(LN(INDEX(Data!$L$2:$L$497,MATCH(N28,Data!$A$2:$A$497,1))/INDEX(Data!$L$2:$L$497,MATCH(N16,Data!$A$2:$A$497,1))),"")</f>
      </c>
    </row>
    <row r="29">
      <c r="A29" s="98" t="inlineStr">
        <is>
          <t>World Equities</t>
        </is>
      </c>
      <c r="B29" s="68">
        <f>INDEX(Data!C$2:C$497,MATCH($C$24,Data!$A$2:$A$497,0))/INDEX(Data!C$2:C$497,MATCH($B$24,Data!$A$2:$A$497,0))-1</f>
        <v>-0.147838532814082</v>
      </c>
      <c r="C29" s="68">
        <f>INDEX(Data!C$2:C$497,MATCH($C$25,Data!$A$2:$A$497,0))/INDEX(Data!C$2:C$497,MATCH($B$25,Data!$A$2:$A$497,0))-1</f>
        <v>-0.116766423618476</v>
      </c>
      <c r="D29" s="68">
        <f>B29*$G$24</f>
        <v>-0.0995940543534027</v>
      </c>
      <c r="E29" s="68">
        <f>C29*$G$25</f>
        <v>-0.160265101670849</v>
      </c>
      <c r="F29" s="69">
        <f>IF($B$131=1,E136,D136)</f>
        <v>-0.129929578012126</v>
      </c>
      <c r="G29" s="282" t="n"/>
      <c r="N29" s="337" t="n">
        <v>25599</v>
      </c>
      <c r="O29" s="116">
        <f>INDEX('Additional data'!$B$2:$B$965,MATCH(DATE(YEAR(N29),MONTH(N29),1),'Additional data'!$A$2:$A$965,0))</f>
        <v>3.35</v>
      </c>
      <c r="P29" s="489">
        <f>LN(O29)</f>
        <v>1.20896034583698</v>
      </c>
      <c r="Q29" s="489">
        <f>Q28+LN(1+INDEX('Additional data'!$H$2:$H$1196,MATCH(N29,'Additional data'!$G$2:$G$1196,1))+INDEX('Additional data'!$I$2:$I$1196,MATCH(N29,'Additional data'!$G$2:$G$1196,1)))</f>
        <v>-0.0617682118119625</v>
      </c>
      <c r="R29" s="77" t="n"/>
      <c r="S29" s="116">
        <f>IF(INDEX('Additional data'!$E$2:$E$699,MATCH(DATE(YEAR(N29),MONTH(N29),1),'Additional data'!$D$2:$D$699,0))=0,(INDEX('Additional data'!$E$2:$E$699,MATCH(DATE(YEAR(N29),MONTH(N29),1),'Additional data'!$D$2:$D$699,0)-1)+INDEX('Additional data'!$E$2:$E$699,MATCH(DATE(YEAR(N29),MONTH(N29),1),'Additional data'!$D$2:$D$699,0)+1))/2,INDEX('Additional data'!$E$2:$E$699,MATCH(DATE(YEAR(N29),MONTH(N29),1),'Additional data'!$D$2:$D$699,0)))</f>
        <v>5.8</v>
      </c>
      <c r="T29" s="425">
        <f>P29-P28</f>
        <v>0</v>
      </c>
      <c r="U29" s="425">
        <f>Q29-Q28</f>
        <v>-0.0779615414697118</v>
      </c>
      <c r="V29" s="77" t="n"/>
      <c r="W29" s="116">
        <f>S29-S28</f>
        <v>0.149999999999999</v>
      </c>
      <c r="X29" s="425">
        <f>P29-P17</f>
        <v>0.0872827842378694</v>
      </c>
      <c r="Y29" s="425">
        <f>Q29-Q17</f>
        <v>-0.186754686686736</v>
      </c>
      <c r="Z29" s="77" t="n"/>
      <c r="AA29" s="116">
        <f>S29-S17</f>
        <v>0.7</v>
      </c>
      <c r="AB29" s="77" t="n"/>
      <c r="AC29" s="77" t="n"/>
      <c r="AD29" s="77" t="n"/>
      <c r="AE29" s="237" t="n"/>
      <c r="AG29" s="554">
        <f>N29</f>
        <v>25599.0</v>
      </c>
      <c r="AH29" s="435">
        <f>IFERROR(INDEX('RBA 5Y yield'!$B$5:$B$661,MATCH(N29,'RBA 5Y yield'!$A$5:$A$661,1))*100,"")</f>
      </c>
      <c r="AI29" s="435">
        <f>IF(AND(ISNUMBER(AH29),ISNUMBER(AH28)),AH29-AH28,"")</f>
      </c>
      <c r="AJ29" s="435">
        <f>IF(AND(ISNUMBER(AH29),ISNUMBER(AH17)),AH29-AH17,"")</f>
      </c>
      <c r="AK29" s="555" t="inlineStr"/>
      <c r="AL29" s="560">
        <f>IFERROR(LN(INDEX(Data!$B$2:$B$497,MATCH(N29,Data!$A$2:$A$497,1))/INDEX(Data!$B$2:$B$497,MATCH(N17,Data!$A$2:$A$497,1))),"")</f>
      </c>
      <c r="AM29" s="560">
        <f>IFERROR(LN(INDEX(Data!$C$2:$C$497,MATCH(N29,Data!$A$2:$A$497,1))/INDEX(Data!$C$2:$C$497,MATCH(N17,Data!$A$2:$A$497,1))),"")</f>
      </c>
      <c r="AN29" s="560">
        <f>IFERROR(LN(INDEX(Data!$D$2:$D$497,MATCH(N29,Data!$A$2:$A$497,1))/INDEX(Data!$D$2:$D$497,MATCH(N17,Data!$A$2:$A$497,1))),"")</f>
      </c>
      <c r="AO29" s="560">
        <f>IFERROR(LN(INDEX(Data!$E$2:$E$497,MATCH(N29,Data!$A$2:$A$497,1))/INDEX(Data!$E$2:$E$497,MATCH(N17,Data!$A$2:$A$497,1))),"")</f>
      </c>
      <c r="AP29" s="560">
        <f>IFERROR(LN(INDEX(Data!$F$2:$F$497,MATCH(N29,Data!$A$2:$A$497,1))/INDEX(Data!$F$2:$F$497,MATCH(N17,Data!$A$2:$A$497,1))),"")</f>
      </c>
      <c r="AQ29" s="560">
        <f>IFERROR(LN(INDEX(Data!$G$2:$G$497,MATCH(N29,Data!$A$2:$A$497,1))/INDEX(Data!$G$2:$G$497,MATCH(N17,Data!$A$2:$A$497,1))),"")</f>
      </c>
      <c r="AR29" s="560">
        <f>IFERROR(LN(INDEX(Data!$H$2:$H$497,MATCH(N29,Data!$A$2:$A$497,1))/INDEX(Data!$H$2:$H$497,MATCH(N17,Data!$A$2:$A$497,1))),"")</f>
      </c>
      <c r="AS29" s="560">
        <f>IFERROR(LN(INDEX(Data!$I$2:$I$497,MATCH(N29,Data!$A$2:$A$497,1))/INDEX(Data!$I$2:$I$497,MATCH(N17,Data!$A$2:$A$497,1))),"")</f>
      </c>
      <c r="AT29" s="560">
        <f>IFERROR(LN(INDEX(Data!$J$2:$J$497,MATCH(N29,Data!$A$2:$A$497,1))/INDEX(Data!$J$2:$J$497,MATCH(N17,Data!$A$2:$A$497,1))),"")</f>
      </c>
      <c r="AU29" s="560">
        <f>IFERROR(LN(INDEX(Data!$K$2:$K$497,MATCH(N29,Data!$A$2:$A$497,1))/INDEX(Data!$K$2:$K$497,MATCH(N17,Data!$A$2:$A$497,1))),"")</f>
      </c>
      <c r="AV29" s="561">
        <f>IFERROR(LN(INDEX(Data!$L$2:$L$497,MATCH(N29,Data!$A$2:$A$497,1))/INDEX(Data!$L$2:$L$497,MATCH(N17,Data!$A$2:$A$497,1))),"")</f>
      </c>
    </row>
    <row r="30">
      <c r="A30" s="98" t="inlineStr">
        <is>
          <t>Emerging Markets</t>
        </is>
      </c>
      <c r="B30" s="68">
        <f>INDEX(Data!D$2:D$497,MATCH($C$24,Data!$A$2:$A$497,0))/INDEX(Data!D$2:D$497,MATCH($B$24,Data!$A$2:$A$497,0))-1</f>
        <v>-0.207487429138225</v>
      </c>
      <c r="C30" s="68">
        <f>INDEX(Data!D$2:D$497,MATCH($C$25,Data!$A$2:$A$497,0))/INDEX(Data!D$2:D$497,MATCH($B$25,Data!$A$2:$A$497,0))-1</f>
        <v>-0.097921451444718</v>
      </c>
      <c r="D30" s="68">
        <f>B30*$G$24</f>
        <v>-0.13977759317476</v>
      </c>
      <c r="E30" s="68">
        <f>C30*$G$25</f>
        <v>-0.134399863293078</v>
      </c>
      <c r="F30" s="69">
        <f>IF($B$131=1,E137,D137)</f>
        <v>-0.137088728233919</v>
      </c>
      <c r="G30" s="282" t="n"/>
      <c r="N30" s="337" t="n">
        <v>25627</v>
      </c>
      <c r="O30" s="116">
        <f>INDEX('Additional data'!$B$2:$B$965,MATCH(DATE(YEAR(N30),MONTH(N30),1),'Additional data'!$A$2:$A$965,0))</f>
        <v>3.35</v>
      </c>
      <c r="P30" s="489">
        <f>LN(O30)</f>
        <v>1.20896034583698</v>
      </c>
      <c r="Q30" s="489">
        <f>Q29+LN(1+INDEX('Additional data'!$H$2:$H$1196,MATCH(N30,'Additional data'!$G$2:$G$1196,1))+INDEX('Additional data'!$I$2:$I$1196,MATCH(N30,'Additional data'!$G$2:$G$1196,1)))</f>
        <v>-0.00576602169667758</v>
      </c>
      <c r="R30" s="77" t="n"/>
      <c r="S30" s="116">
        <f>IF(INDEX('Additional data'!$E$2:$E$699,MATCH(DATE(YEAR(N30),MONTH(N30),1),'Additional data'!$D$2:$D$699,0))=0,(INDEX('Additional data'!$E$2:$E$699,MATCH(DATE(YEAR(N30),MONTH(N30),1),'Additional data'!$D$2:$D$699,0)-1)+INDEX('Additional data'!$E$2:$E$699,MATCH(DATE(YEAR(N30),MONTH(N30),1),'Additional data'!$D$2:$D$699,0)+1))/2,INDEX('Additional data'!$E$2:$E$699,MATCH(DATE(YEAR(N30),MONTH(N30),1),'Additional data'!$D$2:$D$699,0)))</f>
        <v>6.3</v>
      </c>
      <c r="T30" s="425">
        <f>P30-P29</f>
        <v>0</v>
      </c>
      <c r="U30" s="425">
        <f>Q30-Q29</f>
        <v>0.0560021901152849</v>
      </c>
      <c r="V30" s="77" t="n"/>
      <c r="W30" s="116">
        <f>S30-S29</f>
        <v>0.5</v>
      </c>
      <c r="X30" s="425">
        <f>P30-P18</f>
        <v>0.0872827842378694</v>
      </c>
      <c r="Y30" s="425">
        <f>Q30-Q18</f>
        <v>-0.075239786641192</v>
      </c>
      <c r="Z30" s="77" t="n"/>
      <c r="AA30" s="116">
        <f>S30-S18</f>
        <v>1.2</v>
      </c>
      <c r="AB30" s="77" t="n"/>
      <c r="AC30" s="77" t="n"/>
      <c r="AD30" s="77" t="n"/>
      <c r="AE30" s="237" t="n"/>
      <c r="AG30" s="554">
        <f>N30</f>
        <v>25627.0</v>
      </c>
      <c r="AH30" s="435">
        <f>IFERROR(INDEX('RBA 5Y yield'!$B$5:$B$661,MATCH(N30,'RBA 5Y yield'!$A$5:$A$661,1))*100,"")</f>
      </c>
      <c r="AI30" s="435">
        <f>IF(AND(ISNUMBER(AH30),ISNUMBER(AH29)),AH30-AH29,"")</f>
      </c>
      <c r="AJ30" s="435">
        <f>IF(AND(ISNUMBER(AH30),ISNUMBER(AH18)),AH30-AH18,"")</f>
      </c>
      <c r="AK30" s="555" t="inlineStr"/>
      <c r="AL30" s="560">
        <f>IFERROR(LN(INDEX(Data!$B$2:$B$497,MATCH(N30,Data!$A$2:$A$497,1))/INDEX(Data!$B$2:$B$497,MATCH(N18,Data!$A$2:$A$497,1))),"")</f>
      </c>
      <c r="AM30" s="560">
        <f>IFERROR(LN(INDEX(Data!$C$2:$C$497,MATCH(N30,Data!$A$2:$A$497,1))/INDEX(Data!$C$2:$C$497,MATCH(N18,Data!$A$2:$A$497,1))),"")</f>
      </c>
      <c r="AN30" s="560">
        <f>IFERROR(LN(INDEX(Data!$D$2:$D$497,MATCH(N30,Data!$A$2:$A$497,1))/INDEX(Data!$D$2:$D$497,MATCH(N18,Data!$A$2:$A$497,1))),"")</f>
      </c>
      <c r="AO30" s="560">
        <f>IFERROR(LN(INDEX(Data!$E$2:$E$497,MATCH(N30,Data!$A$2:$A$497,1))/INDEX(Data!$E$2:$E$497,MATCH(N18,Data!$A$2:$A$497,1))),"")</f>
      </c>
      <c r="AP30" s="560">
        <f>IFERROR(LN(INDEX(Data!$F$2:$F$497,MATCH(N30,Data!$A$2:$A$497,1))/INDEX(Data!$F$2:$F$497,MATCH(N18,Data!$A$2:$A$497,1))),"")</f>
      </c>
      <c r="AQ30" s="560">
        <f>IFERROR(LN(INDEX(Data!$G$2:$G$497,MATCH(N30,Data!$A$2:$A$497,1))/INDEX(Data!$G$2:$G$497,MATCH(N18,Data!$A$2:$A$497,1))),"")</f>
      </c>
      <c r="AR30" s="560">
        <f>IFERROR(LN(INDEX(Data!$H$2:$H$497,MATCH(N30,Data!$A$2:$A$497,1))/INDEX(Data!$H$2:$H$497,MATCH(N18,Data!$A$2:$A$497,1))),"")</f>
      </c>
      <c r="AS30" s="560">
        <f>IFERROR(LN(INDEX(Data!$I$2:$I$497,MATCH(N30,Data!$A$2:$A$497,1))/INDEX(Data!$I$2:$I$497,MATCH(N18,Data!$A$2:$A$497,1))),"")</f>
      </c>
      <c r="AT30" s="560">
        <f>IFERROR(LN(INDEX(Data!$J$2:$J$497,MATCH(N30,Data!$A$2:$A$497,1))/INDEX(Data!$J$2:$J$497,MATCH(N18,Data!$A$2:$A$497,1))),"")</f>
      </c>
      <c r="AU30" s="560">
        <f>IFERROR(LN(INDEX(Data!$K$2:$K$497,MATCH(N30,Data!$A$2:$A$497,1))/INDEX(Data!$K$2:$K$497,MATCH(N18,Data!$A$2:$A$497,1))),"")</f>
      </c>
      <c r="AV30" s="561">
        <f>IFERROR(LN(INDEX(Data!$L$2:$L$497,MATCH(N30,Data!$A$2:$A$497,1))/INDEX(Data!$L$2:$L$497,MATCH(N18,Data!$A$2:$A$497,1))),"")</f>
      </c>
    </row>
    <row r="31">
      <c r="A31" s="98" t="inlineStr">
        <is>
          <t>Listed Property</t>
        </is>
      </c>
      <c r="B31" s="68">
        <f>INDEX(Data!E$2:E$497,MATCH($C$24,Data!$A$2:$A$497,0))/INDEX(Data!E$2:E$497,MATCH($B$24,Data!$A$2:$A$497,0))-1</f>
        <v>-0.135614349141599</v>
      </c>
      <c r="C31" s="68">
        <f>INDEX(Data!E$2:E$497,MATCH($C$25,Data!$A$2:$A$497,0))/INDEX(Data!E$2:E$497,MATCH($B$25,Data!$A$2:$A$497,0))-1</f>
        <v>-0.101793828605289</v>
      </c>
      <c r="D31" s="68">
        <f>B31*$G$24</f>
        <v>-0.0913590158290807</v>
      </c>
      <c r="E31" s="68">
        <f>C31*$G$25</f>
        <v>-0.139714806579982</v>
      </c>
      <c r="F31" s="69">
        <f>IF($B$131=1,E138,D138)</f>
        <v>-0.115536911204531</v>
      </c>
      <c r="G31" s="282" t="n"/>
      <c r="N31" s="337" t="n">
        <v>25658</v>
      </c>
      <c r="O31" s="116">
        <f>INDEX('Additional data'!$B$2:$B$965,MATCH(DATE(YEAR(N31),MONTH(N31),1),'Additional data'!$A$2:$A$965,0))</f>
        <v>3.35</v>
      </c>
      <c r="P31" s="489">
        <f>LN(O31)</f>
        <v>1.20896034583698</v>
      </c>
      <c r="Q31" s="489">
        <f>Q30+LN(1+INDEX('Additional data'!$H$2:$H$1196,MATCH(N31,'Additional data'!$G$2:$G$1196,1))+INDEX('Additional data'!$I$2:$I$1196,MATCH(N31,'Additional data'!$G$2:$G$1196,1)))</f>
        <v>-0.0106780660576982</v>
      </c>
      <c r="R31" s="77" t="n"/>
      <c r="S31" s="116">
        <f>IF(INDEX('Additional data'!$E$2:$E$699,MATCH(DATE(YEAR(N31),MONTH(N31),1),'Additional data'!$D$2:$D$699,0))=0,(INDEX('Additional data'!$E$2:$E$699,MATCH(DATE(YEAR(N31),MONTH(N31),1),'Additional data'!$D$2:$D$699,0)-1)+INDEX('Additional data'!$E$2:$E$699,MATCH(DATE(YEAR(N31),MONTH(N31),1),'Additional data'!$D$2:$D$699,0)+1))/2,INDEX('Additional data'!$E$2:$E$699,MATCH(DATE(YEAR(N31),MONTH(N31),1),'Additional data'!$D$2:$D$699,0)))</f>
        <v>7.15</v>
      </c>
      <c r="T31" s="425">
        <f>P31-P30</f>
        <v>0</v>
      </c>
      <c r="U31" s="425">
        <f>Q31-Q30</f>
        <v>-0.00491204436102064</v>
      </c>
      <c r="V31" s="77" t="n"/>
      <c r="W31" s="116">
        <f>S31-S30</f>
        <v>0.850000000000001</v>
      </c>
      <c r="X31" s="425">
        <f>P31-P19</f>
        <v>0.0303053494953289</v>
      </c>
      <c r="Y31" s="425">
        <f>Q31-Q19</f>
        <v>-0.110875003645053</v>
      </c>
      <c r="Z31" s="77" t="n"/>
      <c r="AA31" s="116">
        <f>S31-S19</f>
        <v>2</v>
      </c>
      <c r="AB31" s="77" t="n"/>
      <c r="AC31" s="77" t="n"/>
      <c r="AD31" s="77" t="n"/>
      <c r="AE31" s="237" t="n"/>
      <c r="AG31" s="554">
        <f>N31</f>
        <v>25658.0</v>
      </c>
      <c r="AH31" s="435">
        <f>IFERROR(INDEX('RBA 5Y yield'!$B$5:$B$661,MATCH(N31,'RBA 5Y yield'!$A$5:$A$661,1))*100,"")</f>
      </c>
      <c r="AI31" s="435">
        <f>IF(AND(ISNUMBER(AH31),ISNUMBER(AH30)),AH31-AH30,"")</f>
      </c>
      <c r="AJ31" s="435">
        <f>IF(AND(ISNUMBER(AH31),ISNUMBER(AH19)),AH31-AH19,"")</f>
      </c>
      <c r="AK31" s="555" t="inlineStr"/>
      <c r="AL31" s="560">
        <f>IFERROR(LN(INDEX(Data!$B$2:$B$497,MATCH(N31,Data!$A$2:$A$497,1))/INDEX(Data!$B$2:$B$497,MATCH(N19,Data!$A$2:$A$497,1))),"")</f>
      </c>
      <c r="AM31" s="560">
        <f>IFERROR(LN(INDEX(Data!$C$2:$C$497,MATCH(N31,Data!$A$2:$A$497,1))/INDEX(Data!$C$2:$C$497,MATCH(N19,Data!$A$2:$A$497,1))),"")</f>
      </c>
      <c r="AN31" s="560">
        <f>IFERROR(LN(INDEX(Data!$D$2:$D$497,MATCH(N31,Data!$A$2:$A$497,1))/INDEX(Data!$D$2:$D$497,MATCH(N19,Data!$A$2:$A$497,1))),"")</f>
      </c>
      <c r="AO31" s="560">
        <f>IFERROR(LN(INDEX(Data!$E$2:$E$497,MATCH(N31,Data!$A$2:$A$497,1))/INDEX(Data!$E$2:$E$497,MATCH(N19,Data!$A$2:$A$497,1))),"")</f>
      </c>
      <c r="AP31" s="560">
        <f>IFERROR(LN(INDEX(Data!$F$2:$F$497,MATCH(N31,Data!$A$2:$A$497,1))/INDEX(Data!$F$2:$F$497,MATCH(N19,Data!$A$2:$A$497,1))),"")</f>
      </c>
      <c r="AQ31" s="560">
        <f>IFERROR(LN(INDEX(Data!$G$2:$G$497,MATCH(N31,Data!$A$2:$A$497,1))/INDEX(Data!$G$2:$G$497,MATCH(N19,Data!$A$2:$A$497,1))),"")</f>
      </c>
      <c r="AR31" s="560">
        <f>IFERROR(LN(INDEX(Data!$H$2:$H$497,MATCH(N31,Data!$A$2:$A$497,1))/INDEX(Data!$H$2:$H$497,MATCH(N19,Data!$A$2:$A$497,1))),"")</f>
      </c>
      <c r="AS31" s="560">
        <f>IFERROR(LN(INDEX(Data!$I$2:$I$497,MATCH(N31,Data!$A$2:$A$497,1))/INDEX(Data!$I$2:$I$497,MATCH(N19,Data!$A$2:$A$497,1))),"")</f>
      </c>
      <c r="AT31" s="560">
        <f>IFERROR(LN(INDEX(Data!$J$2:$J$497,MATCH(N31,Data!$A$2:$A$497,1))/INDEX(Data!$J$2:$J$497,MATCH(N19,Data!$A$2:$A$497,1))),"")</f>
      </c>
      <c r="AU31" s="560">
        <f>IFERROR(LN(INDEX(Data!$K$2:$K$497,MATCH(N31,Data!$A$2:$A$497,1))/INDEX(Data!$K$2:$K$497,MATCH(N19,Data!$A$2:$A$497,1))),"")</f>
      </c>
      <c r="AV31" s="561">
        <f>IFERROR(LN(INDEX(Data!$L$2:$L$497,MATCH(N31,Data!$A$2:$A$497,1))/INDEX(Data!$L$2:$L$497,MATCH(N19,Data!$A$2:$A$497,1))),"")</f>
      </c>
    </row>
    <row r="32">
      <c r="A32" s="98" t="inlineStr">
        <is>
          <t>Commodities</t>
        </is>
      </c>
      <c r="B32" s="68">
        <f>INDEX(Data!F$2:F$497,MATCH($C$24,Data!$A$2:$A$497,0))/INDEX(Data!F$2:F$497,MATCH($B$24,Data!$A$2:$A$497,0))-1</f>
        <v>0.359447698569753</v>
      </c>
      <c r="C32" s="68">
        <f>INDEX(Data!F$2:F$497,MATCH($C$25,Data!$A$2:$A$497,0))/INDEX(Data!F$2:F$497,MATCH($B$25,Data!$A$2:$A$497,0))-1</f>
        <v>0.246355252246249</v>
      </c>
      <c r="D32" s="68">
        <f>B32*$G$24</f>
        <v>0.242148328633518</v>
      </c>
      <c r="E32" s="68">
        <f>C32*$G$25</f>
        <v>0.338129303997502</v>
      </c>
      <c r="F32" s="69">
        <f>IF($B$131=1,E139,D139)</f>
        <v>0.29013881631551</v>
      </c>
      <c r="G32" s="282" t="n"/>
      <c r="N32" s="337" t="n">
        <v>25688</v>
      </c>
      <c r="O32" s="116">
        <f>INDEX('Additional data'!$B$2:$B$965,MATCH(DATE(YEAR(N32),MONTH(N32),1),'Additional data'!$A$2:$A$965,0))</f>
        <v>3.35</v>
      </c>
      <c r="P32" s="489">
        <f>LN(O32)</f>
        <v>1.20896034583698</v>
      </c>
      <c r="Q32" s="489">
        <f>Q31+LN(1+INDEX('Additional data'!$H$2:$H$1196,MATCH(N32,'Additional data'!$G$2:$G$1196,1))+INDEX('Additional data'!$I$2:$I$1196,MATCH(N32,'Additional data'!$G$2:$G$1196,1)))</f>
        <v>-0.121497901162942</v>
      </c>
      <c r="R32" s="77" t="n"/>
      <c r="S32" s="116">
        <f>IF(INDEX('Additional data'!$E$2:$E$699,MATCH(DATE(YEAR(N32),MONTH(N32),1),'Additional data'!$D$2:$D$699,0))=0,(INDEX('Additional data'!$E$2:$E$699,MATCH(DATE(YEAR(N32),MONTH(N32),1),'Additional data'!$D$2:$D$699,0)-1)+INDEX('Additional data'!$E$2:$E$699,MATCH(DATE(YEAR(N32),MONTH(N32),1),'Additional data'!$D$2:$D$699,0)+1))/2,INDEX('Additional data'!$E$2:$E$699,MATCH(DATE(YEAR(N32),MONTH(N32),1),'Additional data'!$D$2:$D$699,0)))</f>
        <v>8.6</v>
      </c>
      <c r="T32" s="425">
        <f>P32-P31</f>
        <v>0</v>
      </c>
      <c r="U32" s="425">
        <f>Q32-Q31</f>
        <v>-0.110819835105244</v>
      </c>
      <c r="V32" s="77" t="n"/>
      <c r="W32" s="116">
        <f>S32-S31</f>
        <v>1.45</v>
      </c>
      <c r="X32" s="425">
        <f>P32-P20</f>
        <v>0</v>
      </c>
      <c r="Y32" s="425">
        <f>Q32-Q20</f>
        <v>-0.241399422024632</v>
      </c>
      <c r="Z32" s="77" t="n"/>
      <c r="AA32" s="116">
        <f>S32-S20</f>
        <v>3.2</v>
      </c>
      <c r="AB32" s="77" t="n"/>
      <c r="AC32" s="77" t="n"/>
      <c r="AD32" s="77" t="n"/>
      <c r="AE32" s="237" t="n"/>
      <c r="AG32" s="554">
        <f>N32</f>
        <v>25688.0</v>
      </c>
      <c r="AH32" s="435">
        <f>IFERROR(INDEX('RBA 5Y yield'!$B$5:$B$661,MATCH(N32,'RBA 5Y yield'!$A$5:$A$661,1))*100,"")</f>
      </c>
      <c r="AI32" s="435">
        <f>IF(AND(ISNUMBER(AH32),ISNUMBER(AH31)),AH32-AH31,"")</f>
      </c>
      <c r="AJ32" s="435">
        <f>IF(AND(ISNUMBER(AH32),ISNUMBER(AH20)),AH32-AH20,"")</f>
      </c>
      <c r="AK32" s="555" t="inlineStr"/>
      <c r="AL32" s="560">
        <f>IFERROR(LN(INDEX(Data!$B$2:$B$497,MATCH(N32,Data!$A$2:$A$497,1))/INDEX(Data!$B$2:$B$497,MATCH(N20,Data!$A$2:$A$497,1))),"")</f>
      </c>
      <c r="AM32" s="560">
        <f>IFERROR(LN(INDEX(Data!$C$2:$C$497,MATCH(N32,Data!$A$2:$A$497,1))/INDEX(Data!$C$2:$C$497,MATCH(N20,Data!$A$2:$A$497,1))),"")</f>
      </c>
      <c r="AN32" s="560">
        <f>IFERROR(LN(INDEX(Data!$D$2:$D$497,MATCH(N32,Data!$A$2:$A$497,1))/INDEX(Data!$D$2:$D$497,MATCH(N20,Data!$A$2:$A$497,1))),"")</f>
      </c>
      <c r="AO32" s="560">
        <f>IFERROR(LN(INDEX(Data!$E$2:$E$497,MATCH(N32,Data!$A$2:$A$497,1))/INDEX(Data!$E$2:$E$497,MATCH(N20,Data!$A$2:$A$497,1))),"")</f>
      </c>
      <c r="AP32" s="560">
        <f>IFERROR(LN(INDEX(Data!$F$2:$F$497,MATCH(N32,Data!$A$2:$A$497,1))/INDEX(Data!$F$2:$F$497,MATCH(N20,Data!$A$2:$A$497,1))),"")</f>
      </c>
      <c r="AQ32" s="560">
        <f>IFERROR(LN(INDEX(Data!$G$2:$G$497,MATCH(N32,Data!$A$2:$A$497,1))/INDEX(Data!$G$2:$G$497,MATCH(N20,Data!$A$2:$A$497,1))),"")</f>
      </c>
      <c r="AR32" s="560">
        <f>IFERROR(LN(INDEX(Data!$H$2:$H$497,MATCH(N32,Data!$A$2:$A$497,1))/INDEX(Data!$H$2:$H$497,MATCH(N20,Data!$A$2:$A$497,1))),"")</f>
      </c>
      <c r="AS32" s="560">
        <f>IFERROR(LN(INDEX(Data!$I$2:$I$497,MATCH(N32,Data!$A$2:$A$497,1))/INDEX(Data!$I$2:$I$497,MATCH(N20,Data!$A$2:$A$497,1))),"")</f>
      </c>
      <c r="AT32" s="560">
        <f>IFERROR(LN(INDEX(Data!$J$2:$J$497,MATCH(N32,Data!$A$2:$A$497,1))/INDEX(Data!$J$2:$J$497,MATCH(N20,Data!$A$2:$A$497,1))),"")</f>
      </c>
      <c r="AU32" s="560">
        <f>IFERROR(LN(INDEX(Data!$K$2:$K$497,MATCH(N32,Data!$A$2:$A$497,1))/INDEX(Data!$K$2:$K$497,MATCH(N20,Data!$A$2:$A$497,1))),"")</f>
      </c>
      <c r="AV32" s="561">
        <f>IFERROR(LN(INDEX(Data!$L$2:$L$497,MATCH(N32,Data!$A$2:$A$497,1))/INDEX(Data!$L$2:$L$497,MATCH(N20,Data!$A$2:$A$497,1))),"")</f>
      </c>
    </row>
    <row r="33">
      <c r="A33" s="98" t="inlineStr">
        <is>
          <t>Direct Property</t>
        </is>
      </c>
      <c r="B33" s="68">
        <f>INDEX(Data!G$2:G$497,MATCH($C$24,Data!$A$2:$A$497,0))/INDEX(Data!G$2:G$497,MATCH($B$24,Data!$A$2:$A$497,0))-1</f>
        <v>-0.00594983363900403</v>
      </c>
      <c r="C33" s="68">
        <f>INDEX(Data!G$2:G$497,MATCH($C$25,Data!$A$2:$A$497,0))/INDEX(Data!G$2:G$497,MATCH($B$25,Data!$A$2:$A$497,0))-1</f>
        <v>0.036826648217396</v>
      </c>
      <c r="D33" s="68">
        <f>B33*$G$24</f>
        <v>-0.00400821114466734</v>
      </c>
      <c r="E33" s="68">
        <f>C33*$G$25</f>
        <v>0.0505455792672209</v>
      </c>
      <c r="F33" s="69">
        <f>IF($B$131=1,E140,D140)</f>
        <v>0.0232686840612768</v>
      </c>
      <c r="G33" s="351" t="inlineStr">
        <is>
          <t>Appraisal-based</t>
        </is>
      </c>
      <c r="N33" s="337" t="n">
        <v>25719</v>
      </c>
      <c r="O33" s="116">
        <f>INDEX('Additional data'!$B$2:$B$965,MATCH(DATE(YEAR(N33),MONTH(N33),1),'Additional data'!$A$2:$A$965,0))</f>
        <v>3.35</v>
      </c>
      <c r="P33" s="489">
        <f>LN(O33)</f>
        <v>1.20896034583698</v>
      </c>
      <c r="Q33" s="489">
        <f>Q32+LN(1+INDEX('Additional data'!$H$2:$H$1196,MATCH(N33,'Additional data'!$G$2:$G$1196,1))+INDEX('Additional data'!$I$2:$I$1196,MATCH(N33,'Additional data'!$G$2:$G$1196,1)))</f>
        <v>-0.187317242200236</v>
      </c>
      <c r="R33" s="77" t="n"/>
      <c r="S33" s="116">
        <f>IF(INDEX('Additional data'!$E$2:$E$699,MATCH(DATE(YEAR(N33),MONTH(N33),1),'Additional data'!$D$2:$D$699,0))=0,(INDEX('Additional data'!$E$2:$E$699,MATCH(DATE(YEAR(N33),MONTH(N33),1),'Additional data'!$D$2:$D$699,0)-1)+INDEX('Additional data'!$E$2:$E$699,MATCH(DATE(YEAR(N33),MONTH(N33),1),'Additional data'!$D$2:$D$699,0)+1))/2,INDEX('Additional data'!$E$2:$E$699,MATCH(DATE(YEAR(N33),MONTH(N33),1),'Additional data'!$D$2:$D$699,0)))</f>
        <v>9.1</v>
      </c>
      <c r="T33" s="425">
        <f>P33-P32</f>
        <v>0</v>
      </c>
      <c r="U33" s="425">
        <f>Q33-Q32</f>
        <v>-0.0658193410372936</v>
      </c>
      <c r="V33" s="77" t="n"/>
      <c r="W33" s="116">
        <f>S33-S32</f>
        <v>0.5</v>
      </c>
      <c r="X33" s="425">
        <f>P33-P21</f>
        <v>0</v>
      </c>
      <c r="Y33" s="425">
        <f>Q33-Q21</f>
        <v>-0.31111117777727</v>
      </c>
      <c r="Z33" s="77" t="n"/>
      <c r="AA33" s="116">
        <f>S33-S21</f>
        <v>3.6</v>
      </c>
      <c r="AB33" s="77" t="n"/>
      <c r="AC33" s="77" t="n"/>
      <c r="AD33" s="77" t="n"/>
      <c r="AE33" s="237" t="n"/>
      <c r="AG33" s="554">
        <f>N33</f>
        <v>25719.0</v>
      </c>
      <c r="AH33" s="435">
        <f>IFERROR(INDEX('RBA 5Y yield'!$B$5:$B$661,MATCH(N33,'RBA 5Y yield'!$A$5:$A$661,1))*100,"")</f>
      </c>
      <c r="AI33" s="435">
        <f>IF(AND(ISNUMBER(AH33),ISNUMBER(AH32)),AH33-AH32,"")</f>
      </c>
      <c r="AJ33" s="435">
        <f>IF(AND(ISNUMBER(AH33),ISNUMBER(AH21)),AH33-AH21,"")</f>
      </c>
      <c r="AK33" s="555" t="inlineStr"/>
      <c r="AL33" s="560">
        <f>IFERROR(LN(INDEX(Data!$B$2:$B$497,MATCH(N33,Data!$A$2:$A$497,1))/INDEX(Data!$B$2:$B$497,MATCH(N21,Data!$A$2:$A$497,1))),"")</f>
      </c>
      <c r="AM33" s="560">
        <f>IFERROR(LN(INDEX(Data!$C$2:$C$497,MATCH(N33,Data!$A$2:$A$497,1))/INDEX(Data!$C$2:$C$497,MATCH(N21,Data!$A$2:$A$497,1))),"")</f>
      </c>
      <c r="AN33" s="560">
        <f>IFERROR(LN(INDEX(Data!$D$2:$D$497,MATCH(N33,Data!$A$2:$A$497,1))/INDEX(Data!$D$2:$D$497,MATCH(N21,Data!$A$2:$A$497,1))),"")</f>
      </c>
      <c r="AO33" s="560">
        <f>IFERROR(LN(INDEX(Data!$E$2:$E$497,MATCH(N33,Data!$A$2:$A$497,1))/INDEX(Data!$E$2:$E$497,MATCH(N21,Data!$A$2:$A$497,1))),"")</f>
      </c>
      <c r="AP33" s="560">
        <f>IFERROR(LN(INDEX(Data!$F$2:$F$497,MATCH(N33,Data!$A$2:$A$497,1))/INDEX(Data!$F$2:$F$497,MATCH(N21,Data!$A$2:$A$497,1))),"")</f>
      </c>
      <c r="AQ33" s="560">
        <f>IFERROR(LN(INDEX(Data!$G$2:$G$497,MATCH(N33,Data!$A$2:$A$497,1))/INDEX(Data!$G$2:$G$497,MATCH(N21,Data!$A$2:$A$497,1))),"")</f>
      </c>
      <c r="AR33" s="560">
        <f>IFERROR(LN(INDEX(Data!$H$2:$H$497,MATCH(N33,Data!$A$2:$A$497,1))/INDEX(Data!$H$2:$H$497,MATCH(N21,Data!$A$2:$A$497,1))),"")</f>
      </c>
      <c r="AS33" s="560">
        <f>IFERROR(LN(INDEX(Data!$I$2:$I$497,MATCH(N33,Data!$A$2:$A$497,1))/INDEX(Data!$I$2:$I$497,MATCH(N21,Data!$A$2:$A$497,1))),"")</f>
      </c>
      <c r="AT33" s="560">
        <f>IFERROR(LN(INDEX(Data!$J$2:$J$497,MATCH(N33,Data!$A$2:$A$497,1))/INDEX(Data!$J$2:$J$497,MATCH(N21,Data!$A$2:$A$497,1))),"")</f>
      </c>
      <c r="AU33" s="560">
        <f>IFERROR(LN(INDEX(Data!$K$2:$K$497,MATCH(N33,Data!$A$2:$A$497,1))/INDEX(Data!$K$2:$K$497,MATCH(N21,Data!$A$2:$A$497,1))),"")</f>
      </c>
      <c r="AV33" s="561">
        <f>IFERROR(LN(INDEX(Data!$L$2:$L$497,MATCH(N33,Data!$A$2:$A$497,1))/INDEX(Data!$L$2:$L$497,MATCH(N21,Data!$A$2:$A$497,1))),"")</f>
      </c>
    </row>
    <row r="34">
      <c r="A34" s="98" t="inlineStr">
        <is>
          <t>Hedge Funds</t>
        </is>
      </c>
      <c r="B34" s="68">
        <f>0.5*B29+0.5*B38</f>
        <v>-0.0556209165015741</v>
      </c>
      <c r="C34" s="68">
        <f>INDEX(Data!H$2:H$497,MATCH($C$25,Data!$A$2:$A$497,0))/INDEX(Data!H$2:H$497,MATCH($B$25,Data!$A$2:$A$497,0))-1</f>
        <v>-0.0332283856622919</v>
      </c>
      <c r="D34" s="68">
        <f>B34*$G$24</f>
        <v>-0.0374700186466961</v>
      </c>
      <c r="E34" s="68">
        <f>C34*$G$25</f>
        <v>-0.0456068657538533</v>
      </c>
      <c r="F34" s="69">
        <f>IF($B$131=1,E141,D141)</f>
        <v>-0.0415384422002747</v>
      </c>
      <c r="G34" s="351" t="inlineStr">
        <is>
          <t>1990: 50/50 world eq. / cash</t>
        </is>
      </c>
      <c r="N34" s="337" t="n">
        <v>25749</v>
      </c>
      <c r="O34" s="116">
        <f>INDEX('Additional data'!$B$2:$B$965,MATCH(DATE(YEAR(N34),MONTH(N34),1),'Additional data'!$A$2:$A$965,0))</f>
        <v>3.35</v>
      </c>
      <c r="P34" s="489">
        <f>LN(O34)</f>
        <v>1.20896034583698</v>
      </c>
      <c r="Q34" s="489">
        <f>Q33+LN(1+INDEX('Additional data'!$H$2:$H$1196,MATCH(N34,'Additional data'!$G$2:$G$1196,1))+INDEX('Additional data'!$I$2:$I$1196,MATCH(N34,'Additional data'!$G$2:$G$1196,1)))</f>
        <v>-0.240929011648885</v>
      </c>
      <c r="R34" s="77" t="n"/>
      <c r="S34" s="116">
        <f>IF(INDEX('Additional data'!$E$2:$E$699,MATCH(DATE(YEAR(N34),MONTH(N34),1),'Additional data'!$D$2:$D$699,0))=0,(INDEX('Additional data'!$E$2:$E$699,MATCH(DATE(YEAR(N34),MONTH(N34),1),'Additional data'!$D$2:$D$699,0)-1)+INDEX('Additional data'!$E$2:$E$699,MATCH(DATE(YEAR(N34),MONTH(N34),1),'Additional data'!$D$2:$D$699,0)+1))/2,INDEX('Additional data'!$E$2:$E$699,MATCH(DATE(YEAR(N34),MONTH(N34),1),'Additional data'!$D$2:$D$699,0)))</f>
        <v>8.7</v>
      </c>
      <c r="T34" s="425">
        <f>P34-P33</f>
        <v>0</v>
      </c>
      <c r="U34" s="425">
        <f>Q34-Q33</f>
        <v>-0.0536117694486492</v>
      </c>
      <c r="V34" s="77" t="n"/>
      <c r="W34" s="116">
        <f>S34-S33</f>
        <v>-0.4</v>
      </c>
      <c r="X34" s="425">
        <f>P34-P22</f>
        <v>0</v>
      </c>
      <c r="Y34" s="425">
        <f>Q34-Q22</f>
        <v>-0.295587208391057</v>
      </c>
      <c r="Z34" s="77" t="n"/>
      <c r="AA34" s="116">
        <f>S34-S22</f>
        <v>2.8</v>
      </c>
      <c r="AB34" s="77" t="n"/>
      <c r="AC34" s="77" t="n"/>
      <c r="AD34" s="77" t="n"/>
      <c r="AE34" s="237" t="n"/>
      <c r="AG34" s="554">
        <f>N34</f>
        <v>25749.0</v>
      </c>
      <c r="AH34" s="435">
        <f>IFERROR(INDEX('RBA 5Y yield'!$B$5:$B$661,MATCH(N34,'RBA 5Y yield'!$A$5:$A$661,1))*100,"")</f>
      </c>
      <c r="AI34" s="435">
        <f>IF(AND(ISNUMBER(AH34),ISNUMBER(AH33)),AH34-AH33,"")</f>
      </c>
      <c r="AJ34" s="435">
        <f>IF(AND(ISNUMBER(AH34),ISNUMBER(AH22)),AH34-AH22,"")</f>
      </c>
      <c r="AK34" s="555" t="inlineStr"/>
      <c r="AL34" s="560">
        <f>IFERROR(LN(INDEX(Data!$B$2:$B$497,MATCH(N34,Data!$A$2:$A$497,1))/INDEX(Data!$B$2:$B$497,MATCH(N22,Data!$A$2:$A$497,1))),"")</f>
      </c>
      <c r="AM34" s="560">
        <f>IFERROR(LN(INDEX(Data!$C$2:$C$497,MATCH(N34,Data!$A$2:$A$497,1))/INDEX(Data!$C$2:$C$497,MATCH(N22,Data!$A$2:$A$497,1))),"")</f>
      </c>
      <c r="AN34" s="560">
        <f>IFERROR(LN(INDEX(Data!$D$2:$D$497,MATCH(N34,Data!$A$2:$A$497,1))/INDEX(Data!$D$2:$D$497,MATCH(N22,Data!$A$2:$A$497,1))),"")</f>
      </c>
      <c r="AO34" s="560">
        <f>IFERROR(LN(INDEX(Data!$E$2:$E$497,MATCH(N34,Data!$A$2:$A$497,1))/INDEX(Data!$E$2:$E$497,MATCH(N22,Data!$A$2:$A$497,1))),"")</f>
      </c>
      <c r="AP34" s="560">
        <f>IFERROR(LN(INDEX(Data!$F$2:$F$497,MATCH(N34,Data!$A$2:$A$497,1))/INDEX(Data!$F$2:$F$497,MATCH(N22,Data!$A$2:$A$497,1))),"")</f>
      </c>
      <c r="AQ34" s="560">
        <f>IFERROR(LN(INDEX(Data!$G$2:$G$497,MATCH(N34,Data!$A$2:$A$497,1))/INDEX(Data!$G$2:$G$497,MATCH(N22,Data!$A$2:$A$497,1))),"")</f>
      </c>
      <c r="AR34" s="560">
        <f>IFERROR(LN(INDEX(Data!$H$2:$H$497,MATCH(N34,Data!$A$2:$A$497,1))/INDEX(Data!$H$2:$H$497,MATCH(N22,Data!$A$2:$A$497,1))),"")</f>
      </c>
      <c r="AS34" s="560">
        <f>IFERROR(LN(INDEX(Data!$I$2:$I$497,MATCH(N34,Data!$A$2:$A$497,1))/INDEX(Data!$I$2:$I$497,MATCH(N22,Data!$A$2:$A$497,1))),"")</f>
      </c>
      <c r="AT34" s="560">
        <f>IFERROR(LN(INDEX(Data!$J$2:$J$497,MATCH(N34,Data!$A$2:$A$497,1))/INDEX(Data!$J$2:$J$497,MATCH(N22,Data!$A$2:$A$497,1))),"")</f>
      </c>
      <c r="AU34" s="560">
        <f>IFERROR(LN(INDEX(Data!$K$2:$K$497,MATCH(N34,Data!$A$2:$A$497,1))/INDEX(Data!$K$2:$K$497,MATCH(N22,Data!$A$2:$A$497,1))),"")</f>
      </c>
      <c r="AV34" s="561">
        <f>IFERROR(LN(INDEX(Data!$L$2:$L$497,MATCH(N34,Data!$A$2:$A$497,1))/INDEX(Data!$L$2:$L$497,MATCH(N22,Data!$A$2:$A$497,1))),"")</f>
      </c>
    </row>
    <row r="35">
      <c r="A35" s="98" t="inlineStr">
        <is>
          <t>Private Equity</t>
        </is>
      </c>
      <c r="B35" s="68">
        <f>B29</f>
        <v>-0.147838532814082</v>
      </c>
      <c r="C35" s="68">
        <f>INDEX(Data!I$2:I$497,MATCH($C$25,Data!$A$2:$A$497,0))/INDEX(Data!I$2:I$497,MATCH($B$25,Data!$A$2:$A$497,0))-1</f>
        <v>-0.0708621144210496</v>
      </c>
      <c r="D35" s="68">
        <f>B35*$G$24</f>
        <v>-0.0995940543534027</v>
      </c>
      <c r="E35" s="68">
        <f>C35*$G$25</f>
        <v>-0.0972601850803273</v>
      </c>
      <c r="F35" s="69">
        <f>IF($B$131=1,E142,D142)</f>
        <v>-0.098427119716865</v>
      </c>
      <c r="G35" s="351" t="inlineStr">
        <is>
          <t>1990: world equities</t>
        </is>
      </c>
      <c r="N35" s="337" t="n">
        <v>25780</v>
      </c>
      <c r="O35" s="116">
        <f>INDEX('Additional data'!$B$2:$B$965,MATCH(DATE(YEAR(N35),MONTH(N35),1),'Additional data'!$A$2:$A$965,0))</f>
        <v>3.31</v>
      </c>
      <c r="P35" s="489">
        <f>LN(O35)</f>
        <v>1.19694818938897</v>
      </c>
      <c r="Q35" s="489">
        <f>Q34+LN(1+INDEX('Additional data'!$H$2:$H$1196,MATCH(N35,'Additional data'!$G$2:$G$1196,1))+INDEX('Additional data'!$I$2:$I$1196,MATCH(N35,'Additional data'!$G$2:$G$1196,1)))</f>
        <v>-0.169166645421994</v>
      </c>
      <c r="R35" s="77" t="n"/>
      <c r="S35" s="116">
        <f>IF(INDEX('Additional data'!$E$2:$E$699,MATCH(DATE(YEAR(N35),MONTH(N35),1),'Additional data'!$D$2:$D$699,0))=0,(INDEX('Additional data'!$E$2:$E$699,MATCH(DATE(YEAR(N35),MONTH(N35),1),'Additional data'!$D$2:$D$699,0)-1)+INDEX('Additional data'!$E$2:$E$699,MATCH(DATE(YEAR(N35),MONTH(N35),1),'Additional data'!$D$2:$D$699,0)+1))/2,INDEX('Additional data'!$E$2:$E$699,MATCH(DATE(YEAR(N35),MONTH(N35),1),'Additional data'!$D$2:$D$699,0)))</f>
        <v>7.4</v>
      </c>
      <c r="T35" s="425">
        <f>P35-P34</f>
        <v>-0.0120121564480036</v>
      </c>
      <c r="U35" s="425">
        <f>Q35-Q34</f>
        <v>0.0717623662268908</v>
      </c>
      <c r="V35" s="77" t="n"/>
      <c r="W35" s="116">
        <f>S35-S34</f>
        <v>-1.3</v>
      </c>
      <c r="X35" s="425">
        <f>P35-P23</f>
        <v>-0.0120121564480036</v>
      </c>
      <c r="Y35" s="425">
        <f>Q35-Q23</f>
        <v>-0.156936896622534</v>
      </c>
      <c r="Z35" s="77" t="n"/>
      <c r="AA35" s="116">
        <f>S35-S23</f>
        <v>1.6</v>
      </c>
      <c r="AB35" s="77" t="n"/>
      <c r="AC35" s="77" t="n"/>
      <c r="AD35" s="77" t="n"/>
      <c r="AE35" s="237" t="n"/>
      <c r="AG35" s="554">
        <f>N35</f>
        <v>25780.0</v>
      </c>
      <c r="AH35" s="435">
        <f>IFERROR(INDEX('RBA 5Y yield'!$B$5:$B$661,MATCH(N35,'RBA 5Y yield'!$A$5:$A$661,1))*100,"")</f>
      </c>
      <c r="AI35" s="435">
        <f>IF(AND(ISNUMBER(AH35),ISNUMBER(AH34)),AH35-AH34,"")</f>
      </c>
      <c r="AJ35" s="435">
        <f>IF(AND(ISNUMBER(AH35),ISNUMBER(AH23)),AH35-AH23,"")</f>
      </c>
      <c r="AK35" s="555" t="inlineStr"/>
      <c r="AL35" s="560">
        <f>IFERROR(LN(INDEX(Data!$B$2:$B$497,MATCH(N35,Data!$A$2:$A$497,1))/INDEX(Data!$B$2:$B$497,MATCH(N23,Data!$A$2:$A$497,1))),"")</f>
      </c>
      <c r="AM35" s="560">
        <f>IFERROR(LN(INDEX(Data!$C$2:$C$497,MATCH(N35,Data!$A$2:$A$497,1))/INDEX(Data!$C$2:$C$497,MATCH(N23,Data!$A$2:$A$497,1))),"")</f>
      </c>
      <c r="AN35" s="560">
        <f>IFERROR(LN(INDEX(Data!$D$2:$D$497,MATCH(N35,Data!$A$2:$A$497,1))/INDEX(Data!$D$2:$D$497,MATCH(N23,Data!$A$2:$A$497,1))),"")</f>
      </c>
      <c r="AO35" s="560">
        <f>IFERROR(LN(INDEX(Data!$E$2:$E$497,MATCH(N35,Data!$A$2:$A$497,1))/INDEX(Data!$E$2:$E$497,MATCH(N23,Data!$A$2:$A$497,1))),"")</f>
      </c>
      <c r="AP35" s="560">
        <f>IFERROR(LN(INDEX(Data!$F$2:$F$497,MATCH(N35,Data!$A$2:$A$497,1))/INDEX(Data!$F$2:$F$497,MATCH(N23,Data!$A$2:$A$497,1))),"")</f>
      </c>
      <c r="AQ35" s="560">
        <f>IFERROR(LN(INDEX(Data!$G$2:$G$497,MATCH(N35,Data!$A$2:$A$497,1))/INDEX(Data!$G$2:$G$497,MATCH(N23,Data!$A$2:$A$497,1))),"")</f>
      </c>
      <c r="AR35" s="560">
        <f>IFERROR(LN(INDEX(Data!$H$2:$H$497,MATCH(N35,Data!$A$2:$A$497,1))/INDEX(Data!$H$2:$H$497,MATCH(N23,Data!$A$2:$A$497,1))),"")</f>
      </c>
      <c r="AS35" s="560">
        <f>IFERROR(LN(INDEX(Data!$I$2:$I$497,MATCH(N35,Data!$A$2:$A$497,1))/INDEX(Data!$I$2:$I$497,MATCH(N23,Data!$A$2:$A$497,1))),"")</f>
      </c>
      <c r="AT35" s="560">
        <f>IFERROR(LN(INDEX(Data!$J$2:$J$497,MATCH(N35,Data!$A$2:$A$497,1))/INDEX(Data!$J$2:$J$497,MATCH(N23,Data!$A$2:$A$497,1))),"")</f>
      </c>
      <c r="AU35" s="560">
        <f>IFERROR(LN(INDEX(Data!$K$2:$K$497,MATCH(N35,Data!$A$2:$A$497,1))/INDEX(Data!$K$2:$K$497,MATCH(N23,Data!$A$2:$A$497,1))),"")</f>
      </c>
      <c r="AV35" s="561">
        <f>IFERROR(LN(INDEX(Data!$L$2:$L$497,MATCH(N35,Data!$A$2:$A$497,1))/INDEX(Data!$L$2:$L$497,MATCH(N23,Data!$A$2:$A$497,1))),"")</f>
      </c>
    </row>
    <row r="36">
      <c r="A36" s="98" t="inlineStr">
        <is>
          <t>Australian Fixed Income</t>
        </is>
      </c>
      <c r="B36" s="68">
        <f>INDEX(Data!J$2:J$497,MATCH($C$24,Data!$A$2:$A$497,0))/INDEX(Data!J$2:J$497,MATCH($B$24,Data!$A$2:$A$497,0))-1</f>
        <v>0.0503216141777809</v>
      </c>
      <c r="C36" s="68">
        <f>INDEX(Data!J$2:J$497,MATCH($C$25,Data!$A$2:$A$497,0))/INDEX(Data!J$2:J$497,MATCH($B$25,Data!$A$2:$A$497,0))-1</f>
        <v>-0.0958727678376568</v>
      </c>
      <c r="D36" s="68">
        <f>B36*$G$24</f>
        <v>0.0339000494808448</v>
      </c>
      <c r="E36" s="68">
        <f>C36*$G$25</f>
        <v>-0.131587989156641</v>
      </c>
      <c r="F36" s="69">
        <f>IF($B$131=1,E143,D143)</f>
        <v>-0.0488439698378982</v>
      </c>
      <c r="G36" s="282" t="n"/>
      <c r="N36" s="337" t="n">
        <v>25811</v>
      </c>
      <c r="O36" s="116">
        <f>INDEX('Additional data'!$B$2:$B$965,MATCH(DATE(YEAR(N36),MONTH(N36),1),'Additional data'!$A$2:$A$965,0))</f>
        <v>3.31</v>
      </c>
      <c r="P36" s="489">
        <f>LN(O36)</f>
        <v>1.19694818938897</v>
      </c>
      <c r="Q36" s="489">
        <f>Q35+LN(1+INDEX('Additional data'!$H$2:$H$1196,MATCH(N36,'Additional data'!$G$2:$G$1196,1))+INDEX('Additional data'!$I$2:$I$1196,MATCH(N36,'Additional data'!$G$2:$G$1196,1)))</f>
        <v>-0.120090807775401</v>
      </c>
      <c r="R36" s="77" t="n"/>
      <c r="S36" s="116">
        <f>IF(INDEX('Additional data'!$E$2:$E$699,MATCH(DATE(YEAR(N36),MONTH(N36),1),'Additional data'!$D$2:$D$699,0))=0,(INDEX('Additional data'!$E$2:$E$699,MATCH(DATE(YEAR(N36),MONTH(N36),1),'Additional data'!$D$2:$D$699,0)-1)+INDEX('Additional data'!$E$2:$E$699,MATCH(DATE(YEAR(N36),MONTH(N36),1),'Additional data'!$D$2:$D$699,0)+1))/2,INDEX('Additional data'!$E$2:$E$699,MATCH(DATE(YEAR(N36),MONTH(N36),1),'Additional data'!$D$2:$D$699,0)))</f>
        <v>6.8</v>
      </c>
      <c r="T36" s="425">
        <f>P36-P35</f>
        <v>0</v>
      </c>
      <c r="U36" s="425">
        <f>Q36-Q35</f>
        <v>0.0490758376465927</v>
      </c>
      <c r="V36" s="77" t="n"/>
      <c r="W36" s="116">
        <f>S36-S35</f>
        <v>-0.600000000000001</v>
      </c>
      <c r="X36" s="425">
        <f>P36-P24</f>
        <v>-0.0120121564480036</v>
      </c>
      <c r="Y36" s="425">
        <f>Q36-Q24</f>
        <v>-0.158459111739033</v>
      </c>
      <c r="Z36" s="77" t="n"/>
      <c r="AA36" s="116">
        <f>S36-S24</f>
        <v>0.7</v>
      </c>
      <c r="AB36" s="77" t="n"/>
      <c r="AC36" s="77" t="n"/>
      <c r="AD36" s="77" t="n"/>
      <c r="AE36" s="237" t="n"/>
      <c r="AG36" s="554">
        <f>N36</f>
        <v>25811.0</v>
      </c>
      <c r="AH36" s="435">
        <f>IFERROR(INDEX('RBA 5Y yield'!$B$5:$B$661,MATCH(N36,'RBA 5Y yield'!$A$5:$A$661,1))*100,"")</f>
      </c>
      <c r="AI36" s="435">
        <f>IF(AND(ISNUMBER(AH36),ISNUMBER(AH35)),AH36-AH35,"")</f>
      </c>
      <c r="AJ36" s="435">
        <f>IF(AND(ISNUMBER(AH36),ISNUMBER(AH24)),AH36-AH24,"")</f>
      </c>
      <c r="AK36" s="555" t="inlineStr"/>
      <c r="AL36" s="560">
        <f>IFERROR(LN(INDEX(Data!$B$2:$B$497,MATCH(N36,Data!$A$2:$A$497,1))/INDEX(Data!$B$2:$B$497,MATCH(N24,Data!$A$2:$A$497,1))),"")</f>
      </c>
      <c r="AM36" s="560">
        <f>IFERROR(LN(INDEX(Data!$C$2:$C$497,MATCH(N36,Data!$A$2:$A$497,1))/INDEX(Data!$C$2:$C$497,MATCH(N24,Data!$A$2:$A$497,1))),"")</f>
      </c>
      <c r="AN36" s="560">
        <f>IFERROR(LN(INDEX(Data!$D$2:$D$497,MATCH(N36,Data!$A$2:$A$497,1))/INDEX(Data!$D$2:$D$497,MATCH(N24,Data!$A$2:$A$497,1))),"")</f>
      </c>
      <c r="AO36" s="560">
        <f>IFERROR(LN(INDEX(Data!$E$2:$E$497,MATCH(N36,Data!$A$2:$A$497,1))/INDEX(Data!$E$2:$E$497,MATCH(N24,Data!$A$2:$A$497,1))),"")</f>
      </c>
      <c r="AP36" s="560">
        <f>IFERROR(LN(INDEX(Data!$F$2:$F$497,MATCH(N36,Data!$A$2:$A$497,1))/INDEX(Data!$F$2:$F$497,MATCH(N24,Data!$A$2:$A$497,1))),"")</f>
      </c>
      <c r="AQ36" s="560">
        <f>IFERROR(LN(INDEX(Data!$G$2:$G$497,MATCH(N36,Data!$A$2:$A$497,1))/INDEX(Data!$G$2:$G$497,MATCH(N24,Data!$A$2:$A$497,1))),"")</f>
      </c>
      <c r="AR36" s="560">
        <f>IFERROR(LN(INDEX(Data!$H$2:$H$497,MATCH(N36,Data!$A$2:$A$497,1))/INDEX(Data!$H$2:$H$497,MATCH(N24,Data!$A$2:$A$497,1))),"")</f>
      </c>
      <c r="AS36" s="560">
        <f>IFERROR(LN(INDEX(Data!$I$2:$I$497,MATCH(N36,Data!$A$2:$A$497,1))/INDEX(Data!$I$2:$I$497,MATCH(N24,Data!$A$2:$A$497,1))),"")</f>
      </c>
      <c r="AT36" s="560">
        <f>IFERROR(LN(INDEX(Data!$J$2:$J$497,MATCH(N36,Data!$A$2:$A$497,1))/INDEX(Data!$J$2:$J$497,MATCH(N24,Data!$A$2:$A$497,1))),"")</f>
      </c>
      <c r="AU36" s="560">
        <f>IFERROR(LN(INDEX(Data!$K$2:$K$497,MATCH(N36,Data!$A$2:$A$497,1))/INDEX(Data!$K$2:$K$497,MATCH(N24,Data!$A$2:$A$497,1))),"")</f>
      </c>
      <c r="AV36" s="561">
        <f>IFERROR(LN(INDEX(Data!$L$2:$L$497,MATCH(N36,Data!$A$2:$A$497,1))/INDEX(Data!$L$2:$L$497,MATCH(N24,Data!$A$2:$A$497,1))),"")</f>
      </c>
    </row>
    <row r="37">
      <c r="A37" s="98" t="inlineStr">
        <is>
          <t>World Fixed Income</t>
        </is>
      </c>
      <c r="B37" s="68">
        <f>INDEX(Data!K$2:K$497,MATCH($C$24,Data!$A$2:$A$497,0))/INDEX(Data!K$2:K$497,MATCH($B$24,Data!$A$2:$A$497,0))-1</f>
        <v>0.0234229189996267</v>
      </c>
      <c r="C37" s="68">
        <f>INDEX(Data!K$2:K$497,MATCH($C$25,Data!$A$2:$A$497,0))/INDEX(Data!K$2:K$497,MATCH($B$25,Data!$A$2:$A$497,0))-1</f>
        <v>-0.0811138070499768</v>
      </c>
      <c r="D37" s="68">
        <f>B37*$G$24</f>
        <v>0.0157792655511389</v>
      </c>
      <c r="E37" s="68">
        <f>C37*$G$25</f>
        <v>-0.11133091286798</v>
      </c>
      <c r="F37" s="69">
        <f>IF($B$131=1,E144,D144)</f>
        <v>-0.0477758236584205</v>
      </c>
      <c r="G37" s="282" t="n"/>
      <c r="N37" s="337" t="n">
        <v>25841</v>
      </c>
      <c r="O37" s="116">
        <f>INDEX('Additional data'!$B$2:$B$965,MATCH(DATE(YEAR(N37),MONTH(N37),1),'Additional data'!$A$2:$A$965,0))</f>
        <v>3.31</v>
      </c>
      <c r="P37" s="489">
        <f>LN(O37)</f>
        <v>1.19694818938897</v>
      </c>
      <c r="Q37" s="489">
        <f>Q36+LN(1+INDEX('Additional data'!$H$2:$H$1196,MATCH(N37,'Additional data'!$G$2:$G$1196,1))+INDEX('Additional data'!$I$2:$I$1196,MATCH(N37,'Additional data'!$G$2:$G$1196,1)))</f>
        <v>-0.0739708721618481</v>
      </c>
      <c r="R37" s="77" t="n"/>
      <c r="S37" s="116">
        <f>IF(INDEX('Additional data'!$E$2:$E$699,MATCH(DATE(YEAR(N37),MONTH(N37),1),'Additional data'!$D$2:$D$699,0))=0,(INDEX('Additional data'!$E$2:$E$699,MATCH(DATE(YEAR(N37),MONTH(N37),1),'Additional data'!$D$2:$D$699,0)-1)+INDEX('Additional data'!$E$2:$E$699,MATCH(DATE(YEAR(N37),MONTH(N37),1),'Additional data'!$D$2:$D$699,0)+1))/2,INDEX('Additional data'!$E$2:$E$699,MATCH(DATE(YEAR(N37),MONTH(N37),1),'Additional data'!$D$2:$D$699,0)))</f>
        <v>6.35</v>
      </c>
      <c r="T37" s="425">
        <f>P37-P36</f>
        <v>0</v>
      </c>
      <c r="U37" s="425">
        <f>Q37-Q36</f>
        <v>0.0461199356135532</v>
      </c>
      <c r="V37" s="77" t="n"/>
      <c r="W37" s="116">
        <f>S37-S36</f>
        <v>-0.45</v>
      </c>
      <c r="X37" s="425">
        <f>P37-P25</f>
        <v>-0.0120121564480036</v>
      </c>
      <c r="Y37" s="425">
        <f>Q37-Q25</f>
        <v>-0.0885586474600761</v>
      </c>
      <c r="Z37" s="77" t="n"/>
      <c r="AA37" s="116">
        <f>S37-S25</f>
        <v>0.55</v>
      </c>
      <c r="AB37" s="77" t="n"/>
      <c r="AC37" s="77" t="n"/>
      <c r="AD37" s="77" t="n"/>
      <c r="AE37" s="237" t="n"/>
      <c r="AG37" s="554">
        <f>N37</f>
        <v>25841.0</v>
      </c>
      <c r="AH37" s="435">
        <f>IFERROR(INDEX('RBA 5Y yield'!$B$5:$B$661,MATCH(N37,'RBA 5Y yield'!$A$5:$A$661,1))*100,"")</f>
      </c>
      <c r="AI37" s="435">
        <f>IF(AND(ISNUMBER(AH37),ISNUMBER(AH36)),AH37-AH36,"")</f>
      </c>
      <c r="AJ37" s="435">
        <f>IF(AND(ISNUMBER(AH37),ISNUMBER(AH25)),AH37-AH25,"")</f>
      </c>
      <c r="AK37" s="555" t="inlineStr"/>
      <c r="AL37" s="560">
        <f>IFERROR(LN(INDEX(Data!$B$2:$B$497,MATCH(N37,Data!$A$2:$A$497,1))/INDEX(Data!$B$2:$B$497,MATCH(N25,Data!$A$2:$A$497,1))),"")</f>
      </c>
      <c r="AM37" s="560">
        <f>IFERROR(LN(INDEX(Data!$C$2:$C$497,MATCH(N37,Data!$A$2:$A$497,1))/INDEX(Data!$C$2:$C$497,MATCH(N25,Data!$A$2:$A$497,1))),"")</f>
      </c>
      <c r="AN37" s="560">
        <f>IFERROR(LN(INDEX(Data!$D$2:$D$497,MATCH(N37,Data!$A$2:$A$497,1))/INDEX(Data!$D$2:$D$497,MATCH(N25,Data!$A$2:$A$497,1))),"")</f>
      </c>
      <c r="AO37" s="560">
        <f>IFERROR(LN(INDEX(Data!$E$2:$E$497,MATCH(N37,Data!$A$2:$A$497,1))/INDEX(Data!$E$2:$E$497,MATCH(N25,Data!$A$2:$A$497,1))),"")</f>
      </c>
      <c r="AP37" s="560">
        <f>IFERROR(LN(INDEX(Data!$F$2:$F$497,MATCH(N37,Data!$A$2:$A$497,1))/INDEX(Data!$F$2:$F$497,MATCH(N25,Data!$A$2:$A$497,1))),"")</f>
      </c>
      <c r="AQ37" s="560">
        <f>IFERROR(LN(INDEX(Data!$G$2:$G$497,MATCH(N37,Data!$A$2:$A$497,1))/INDEX(Data!$G$2:$G$497,MATCH(N25,Data!$A$2:$A$497,1))),"")</f>
      </c>
      <c r="AR37" s="560">
        <f>IFERROR(LN(INDEX(Data!$H$2:$H$497,MATCH(N37,Data!$A$2:$A$497,1))/INDEX(Data!$H$2:$H$497,MATCH(N25,Data!$A$2:$A$497,1))),"")</f>
      </c>
      <c r="AS37" s="560">
        <f>IFERROR(LN(INDEX(Data!$I$2:$I$497,MATCH(N37,Data!$A$2:$A$497,1))/INDEX(Data!$I$2:$I$497,MATCH(N25,Data!$A$2:$A$497,1))),"")</f>
      </c>
      <c r="AT37" s="560">
        <f>IFERROR(LN(INDEX(Data!$J$2:$J$497,MATCH(N37,Data!$A$2:$A$497,1))/INDEX(Data!$J$2:$J$497,MATCH(N25,Data!$A$2:$A$497,1))),"")</f>
      </c>
      <c r="AU37" s="560">
        <f>IFERROR(LN(INDEX(Data!$K$2:$K$497,MATCH(N37,Data!$A$2:$A$497,1))/INDEX(Data!$K$2:$K$497,MATCH(N25,Data!$A$2:$A$497,1))),"")</f>
      </c>
      <c r="AV37" s="561">
        <f>IFERROR(LN(INDEX(Data!$L$2:$L$497,MATCH(N37,Data!$A$2:$A$497,1))/INDEX(Data!$L$2:$L$497,MATCH(N25,Data!$A$2:$A$497,1))),"")</f>
      </c>
    </row>
    <row r="38">
      <c r="A38" s="100" t="inlineStr">
        <is>
          <t>Cash</t>
        </is>
      </c>
      <c r="B38" s="101">
        <f>INDEX(Data!L$2:L$497,MATCH($C$24,Data!$A$2:$A$497,0))/INDEX(Data!L$2:L$497,MATCH($B$24,Data!$A$2:$A$497,0))-1</f>
        <v>0.0365966998109337</v>
      </c>
      <c r="C38" s="101">
        <f>INDEX(Data!L$2:L$497,MATCH($C$25,Data!$A$2:$A$497,0))/INDEX(Data!L$2:L$497,MATCH($B$25,Data!$A$2:$A$497,0))-1</f>
        <v>0.000774426173022702</v>
      </c>
      <c r="D38" s="101" t="n">
        <v>0</v>
      </c>
      <c r="E38" s="101" t="n">
        <v>0</v>
      </c>
      <c r="F38" s="333">
        <f>IF($B$131=1,E145,D145)</f>
        <v>0</v>
      </c>
      <c r="G38" s="352" t="inlineStr">
        <is>
          <t>Not scaled</t>
        </is>
      </c>
      <c r="N38" s="337" t="n">
        <v>25872</v>
      </c>
      <c r="O38" s="116">
        <f>INDEX('Additional data'!$B$2:$B$965,MATCH(DATE(YEAR(N38),MONTH(N38),1),'Additional data'!$A$2:$A$965,0))</f>
        <v>3.31</v>
      </c>
      <c r="P38" s="489">
        <f>LN(O38)</f>
        <v>1.19694818938897</v>
      </c>
      <c r="Q38" s="489">
        <f>Q37+LN(1+INDEX('Additional data'!$H$2:$H$1196,MATCH(N38,'Additional data'!$G$2:$G$1196,1))+INDEX('Additional data'!$I$2:$I$1196,MATCH(N38,'Additional data'!$G$2:$G$1196,1)))</f>
        <v>-0.0922366809687406</v>
      </c>
      <c r="R38" s="77" t="n"/>
      <c r="S38" s="116">
        <f>IF(INDEX('Additional data'!$E$2:$E$699,MATCH(DATE(YEAR(N38),MONTH(N38),1),'Additional data'!$D$2:$D$699,0))=0,(INDEX('Additional data'!$E$2:$E$699,MATCH(DATE(YEAR(N38),MONTH(N38),1),'Additional data'!$D$2:$D$699,0)-1)+INDEX('Additional data'!$E$2:$E$699,MATCH(DATE(YEAR(N38),MONTH(N38),1),'Additional data'!$D$2:$D$699,0)+1))/2,INDEX('Additional data'!$E$2:$E$699,MATCH(DATE(YEAR(N38),MONTH(N38),1),'Additional data'!$D$2:$D$699,0)))</f>
        <v>6.4</v>
      </c>
      <c r="T38" s="425">
        <f>P38-P37</f>
        <v>0</v>
      </c>
      <c r="U38" s="425">
        <f>Q38-Q37</f>
        <v>-0.0182658088068925</v>
      </c>
      <c r="V38" s="77" t="n"/>
      <c r="W38" s="116">
        <f>S38-S37</f>
        <v>0.0500000000000007</v>
      </c>
      <c r="X38" s="425">
        <f>P38-P26</f>
        <v>-0.0120121564480036</v>
      </c>
      <c r="Y38" s="425">
        <f>Q38-Q26</f>
        <v>-0.161880662015047</v>
      </c>
      <c r="Z38" s="77" t="n"/>
      <c r="AA38" s="116">
        <f>S38-S26</f>
        <v>0.800000000000001</v>
      </c>
      <c r="AB38" s="77" t="n"/>
      <c r="AC38" s="77" t="n"/>
      <c r="AD38" s="77" t="n"/>
      <c r="AE38" s="237" t="n"/>
      <c r="AG38" s="554">
        <f>N38</f>
        <v>25872.0</v>
      </c>
      <c r="AH38" s="435">
        <f>IFERROR(INDEX('RBA 5Y yield'!$B$5:$B$661,MATCH(N38,'RBA 5Y yield'!$A$5:$A$661,1))*100,"")</f>
      </c>
      <c r="AI38" s="435">
        <f>IF(AND(ISNUMBER(AH38),ISNUMBER(AH37)),AH38-AH37,"")</f>
      </c>
      <c r="AJ38" s="435">
        <f>IF(AND(ISNUMBER(AH38),ISNUMBER(AH26)),AH38-AH26,"")</f>
      </c>
      <c r="AK38" s="555" t="inlineStr"/>
      <c r="AL38" s="560">
        <f>IFERROR(LN(INDEX(Data!$B$2:$B$497,MATCH(N38,Data!$A$2:$A$497,1))/INDEX(Data!$B$2:$B$497,MATCH(N26,Data!$A$2:$A$497,1))),"")</f>
      </c>
      <c r="AM38" s="560">
        <f>IFERROR(LN(INDEX(Data!$C$2:$C$497,MATCH(N38,Data!$A$2:$A$497,1))/INDEX(Data!$C$2:$C$497,MATCH(N26,Data!$A$2:$A$497,1))),"")</f>
      </c>
      <c r="AN38" s="560">
        <f>IFERROR(LN(INDEX(Data!$D$2:$D$497,MATCH(N38,Data!$A$2:$A$497,1))/INDEX(Data!$D$2:$D$497,MATCH(N26,Data!$A$2:$A$497,1))),"")</f>
      </c>
      <c r="AO38" s="560">
        <f>IFERROR(LN(INDEX(Data!$E$2:$E$497,MATCH(N38,Data!$A$2:$A$497,1))/INDEX(Data!$E$2:$E$497,MATCH(N26,Data!$A$2:$A$497,1))),"")</f>
      </c>
      <c r="AP38" s="560">
        <f>IFERROR(LN(INDEX(Data!$F$2:$F$497,MATCH(N38,Data!$A$2:$A$497,1))/INDEX(Data!$F$2:$F$497,MATCH(N26,Data!$A$2:$A$497,1))),"")</f>
      </c>
      <c r="AQ38" s="560">
        <f>IFERROR(LN(INDEX(Data!$G$2:$G$497,MATCH(N38,Data!$A$2:$A$497,1))/INDEX(Data!$G$2:$G$497,MATCH(N26,Data!$A$2:$A$497,1))),"")</f>
      </c>
      <c r="AR38" s="560">
        <f>IFERROR(LN(INDEX(Data!$H$2:$H$497,MATCH(N38,Data!$A$2:$A$497,1))/INDEX(Data!$H$2:$H$497,MATCH(N26,Data!$A$2:$A$497,1))),"")</f>
      </c>
      <c r="AS38" s="560">
        <f>IFERROR(LN(INDEX(Data!$I$2:$I$497,MATCH(N38,Data!$A$2:$A$497,1))/INDEX(Data!$I$2:$I$497,MATCH(N26,Data!$A$2:$A$497,1))),"")</f>
      </c>
      <c r="AT38" s="560">
        <f>IFERROR(LN(INDEX(Data!$J$2:$J$497,MATCH(N38,Data!$A$2:$A$497,1))/INDEX(Data!$J$2:$J$497,MATCH(N26,Data!$A$2:$A$497,1))),"")</f>
      </c>
      <c r="AU38" s="560">
        <f>IFERROR(LN(INDEX(Data!$K$2:$K$497,MATCH(N38,Data!$A$2:$A$497,1))/INDEX(Data!$K$2:$K$497,MATCH(N26,Data!$A$2:$A$497,1))),"")</f>
      </c>
      <c r="AV38" s="561">
        <f>IFERROR(LN(INDEX(Data!$L$2:$L$497,MATCH(N38,Data!$A$2:$A$497,1))/INDEX(Data!$L$2:$L$497,MATCH(N26,Data!$A$2:$A$497,1))),"")</f>
      </c>
    </row>
    <row r="39">
      <c r="N39" s="337" t="n">
        <v>25902</v>
      </c>
      <c r="O39" s="116">
        <f>INDEX('Additional data'!$B$2:$B$965,MATCH(DATE(YEAR(N39),MONTH(N39),1),'Additional data'!$A$2:$A$965,0))</f>
        <v>3.31</v>
      </c>
      <c r="P39" s="489">
        <f>LN(O39)</f>
        <v>1.19694818938897</v>
      </c>
      <c r="Q39" s="489">
        <f>Q38+LN(1+INDEX('Additional data'!$H$2:$H$1196,MATCH(N39,'Additional data'!$G$2:$G$1196,1))+INDEX('Additional data'!$I$2:$I$1196,MATCH(N39,'Additional data'!$G$2:$G$1196,1)))</f>
        <v>-0.0426849021394929</v>
      </c>
      <c r="R39" s="77" t="n"/>
      <c r="S39" s="116">
        <f>IF(INDEX('Additional data'!$E$2:$E$699,MATCH(DATE(YEAR(N39),MONTH(N39),1),'Additional data'!$D$2:$D$699,0))=0,(INDEX('Additional data'!$E$2:$E$699,MATCH(DATE(YEAR(N39),MONTH(N39),1),'Additional data'!$D$2:$D$699,0)-1)+INDEX('Additional data'!$E$2:$E$699,MATCH(DATE(YEAR(N39),MONTH(N39),1),'Additional data'!$D$2:$D$699,0)+1))/2,INDEX('Additional data'!$E$2:$E$699,MATCH(DATE(YEAR(N39),MONTH(N39),1),'Additional data'!$D$2:$D$699,0)))</f>
        <v>6.2</v>
      </c>
      <c r="T39" s="425">
        <f>P39-P38</f>
        <v>0</v>
      </c>
      <c r="U39" s="425">
        <f>Q39-Q38</f>
        <v>0.0495517788292477</v>
      </c>
      <c r="V39" s="77" t="n"/>
      <c r="W39" s="116">
        <f>S39-S38</f>
        <v>-0.2</v>
      </c>
      <c r="X39" s="425">
        <f>P39-P27</f>
        <v>-0.0120121564480036</v>
      </c>
      <c r="Y39" s="425">
        <f>Q39-Q27</f>
        <v>-0.0789789035042452</v>
      </c>
      <c r="Z39" s="77" t="n"/>
      <c r="AA39" s="116">
        <f>S39-S27</f>
        <v>0.575</v>
      </c>
      <c r="AB39" s="77" t="n"/>
      <c r="AC39" s="77" t="n"/>
      <c r="AD39" s="77" t="n"/>
      <c r="AE39" s="237" t="n"/>
      <c r="AG39" s="554">
        <f>N39</f>
        <v>25902.0</v>
      </c>
      <c r="AH39" s="435">
        <f>IFERROR(INDEX('RBA 5Y yield'!$B$5:$B$661,MATCH(N39,'RBA 5Y yield'!$A$5:$A$661,1))*100,"")</f>
      </c>
      <c r="AI39" s="435">
        <f>IF(AND(ISNUMBER(AH39),ISNUMBER(AH38)),AH39-AH38,"")</f>
      </c>
      <c r="AJ39" s="435">
        <f>IF(AND(ISNUMBER(AH39),ISNUMBER(AH27)),AH39-AH27,"")</f>
      </c>
      <c r="AK39" s="555" t="inlineStr"/>
      <c r="AL39" s="560">
        <f>IFERROR(LN(INDEX(Data!$B$2:$B$497,MATCH(N39,Data!$A$2:$A$497,1))/INDEX(Data!$B$2:$B$497,MATCH(N27,Data!$A$2:$A$497,1))),"")</f>
      </c>
      <c r="AM39" s="560">
        <f>IFERROR(LN(INDEX(Data!$C$2:$C$497,MATCH(N39,Data!$A$2:$A$497,1))/INDEX(Data!$C$2:$C$497,MATCH(N27,Data!$A$2:$A$497,1))),"")</f>
      </c>
      <c r="AN39" s="560">
        <f>IFERROR(LN(INDEX(Data!$D$2:$D$497,MATCH(N39,Data!$A$2:$A$497,1))/INDEX(Data!$D$2:$D$497,MATCH(N27,Data!$A$2:$A$497,1))),"")</f>
      </c>
      <c r="AO39" s="560">
        <f>IFERROR(LN(INDEX(Data!$E$2:$E$497,MATCH(N39,Data!$A$2:$A$497,1))/INDEX(Data!$E$2:$E$497,MATCH(N27,Data!$A$2:$A$497,1))),"")</f>
      </c>
      <c r="AP39" s="560">
        <f>IFERROR(LN(INDEX(Data!$F$2:$F$497,MATCH(N39,Data!$A$2:$A$497,1))/INDEX(Data!$F$2:$F$497,MATCH(N27,Data!$A$2:$A$497,1))),"")</f>
      </c>
      <c r="AQ39" s="560">
        <f>IFERROR(LN(INDEX(Data!$G$2:$G$497,MATCH(N39,Data!$A$2:$A$497,1))/INDEX(Data!$G$2:$G$497,MATCH(N27,Data!$A$2:$A$497,1))),"")</f>
      </c>
      <c r="AR39" s="560">
        <f>IFERROR(LN(INDEX(Data!$H$2:$H$497,MATCH(N39,Data!$A$2:$A$497,1))/INDEX(Data!$H$2:$H$497,MATCH(N27,Data!$A$2:$A$497,1))),"")</f>
      </c>
      <c r="AS39" s="560">
        <f>IFERROR(LN(INDEX(Data!$I$2:$I$497,MATCH(N39,Data!$A$2:$A$497,1))/INDEX(Data!$I$2:$I$497,MATCH(N27,Data!$A$2:$A$497,1))),"")</f>
      </c>
      <c r="AT39" s="560">
        <f>IFERROR(LN(INDEX(Data!$J$2:$J$497,MATCH(N39,Data!$A$2:$A$497,1))/INDEX(Data!$J$2:$J$497,MATCH(N27,Data!$A$2:$A$497,1))),"")</f>
      </c>
      <c r="AU39" s="560">
        <f>IFERROR(LN(INDEX(Data!$K$2:$K$497,MATCH(N39,Data!$A$2:$A$497,1))/INDEX(Data!$K$2:$K$497,MATCH(N27,Data!$A$2:$A$497,1))),"")</f>
      </c>
      <c r="AV39" s="561">
        <f>IFERROR(LN(INDEX(Data!$L$2:$L$497,MATCH(N39,Data!$A$2:$A$497,1))/INDEX(Data!$L$2:$L$497,MATCH(N27,Data!$A$2:$A$497,1))),"")</f>
      </c>
    </row>
    <row r="40">
      <c r="N40" s="337" t="n">
        <v>25933</v>
      </c>
      <c r="O40" s="116">
        <f>INDEX('Additional data'!$B$2:$B$965,MATCH(DATE(YEAR(N40),MONTH(N40),1),'Additional data'!$A$2:$A$965,0))</f>
        <v>3.56</v>
      </c>
      <c r="P40" s="489">
        <f>LN(O40)</f>
        <v>1.26976054486394</v>
      </c>
      <c r="Q40" s="489">
        <f>Q39+LN(1+INDEX('Additional data'!$H$2:$H$1196,MATCH(N40,'Additional data'!$G$2:$G$1196,1))+INDEX('Additional data'!$I$2:$I$1196,MATCH(N40,'Additional data'!$G$2:$G$1196,1)))</f>
        <v>0.0170923018963677</v>
      </c>
      <c r="R40" s="77" t="n"/>
      <c r="S40" s="116">
        <f>IF(INDEX('Additional data'!$E$2:$E$699,MATCH(DATE(YEAR(N40),MONTH(N40),1),'Additional data'!$D$2:$D$699,0))=0,(INDEX('Additional data'!$E$2:$E$699,MATCH(DATE(YEAR(N40),MONTH(N40),1),'Additional data'!$D$2:$D$699,0)-1)+INDEX('Additional data'!$E$2:$E$699,MATCH(DATE(YEAR(N40),MONTH(N40),1),'Additional data'!$D$2:$D$699,0)+1))/2,INDEX('Additional data'!$E$2:$E$699,MATCH(DATE(YEAR(N40),MONTH(N40),1),'Additional data'!$D$2:$D$699,0)))</f>
        <v>6.5</v>
      </c>
      <c r="T40" s="425">
        <f>P40-P39</f>
        <v>0.0728123554749676</v>
      </c>
      <c r="U40" s="425">
        <f>Q40-Q39</f>
        <v>0.0597772040358606</v>
      </c>
      <c r="V40" s="77" t="n"/>
      <c r="W40" s="116">
        <f>S40-S39</f>
        <v>0.3</v>
      </c>
      <c r="X40" s="425">
        <f>P40-P28</f>
        <v>0.060800199026964</v>
      </c>
      <c r="Y40" s="425">
        <f>Q40-Q28</f>
        <v>0.000898972238618342</v>
      </c>
      <c r="Z40" s="77" t="n"/>
      <c r="AA40" s="116">
        <f>S40-S28</f>
        <v>0.85</v>
      </c>
      <c r="AB40" s="77" t="n"/>
      <c r="AC40" s="77" t="n"/>
      <c r="AD40" s="77" t="n"/>
      <c r="AE40" s="237" t="n"/>
      <c r="AG40" s="554">
        <f>N40</f>
        <v>25933.0</v>
      </c>
      <c r="AH40" s="435">
        <f>IFERROR(INDEX('RBA 5Y yield'!$B$5:$B$661,MATCH(N40,'RBA 5Y yield'!$A$5:$A$661,1))*100,"")</f>
      </c>
      <c r="AI40" s="435">
        <f>IF(AND(ISNUMBER(AH40),ISNUMBER(AH39)),AH40-AH39,"")</f>
      </c>
      <c r="AJ40" s="435">
        <f>IF(AND(ISNUMBER(AH40),ISNUMBER(AH28)),AH40-AH28,"")</f>
      </c>
      <c r="AK40" s="555" t="inlineStr"/>
      <c r="AL40" s="560">
        <f>IFERROR(LN(INDEX(Data!$B$2:$B$497,MATCH(N40,Data!$A$2:$A$497,1))/INDEX(Data!$B$2:$B$497,MATCH(N28,Data!$A$2:$A$497,1))),"")</f>
      </c>
      <c r="AM40" s="560">
        <f>IFERROR(LN(INDEX(Data!$C$2:$C$497,MATCH(N40,Data!$A$2:$A$497,1))/INDEX(Data!$C$2:$C$497,MATCH(N28,Data!$A$2:$A$497,1))),"")</f>
      </c>
      <c r="AN40" s="560">
        <f>IFERROR(LN(INDEX(Data!$D$2:$D$497,MATCH(N40,Data!$A$2:$A$497,1))/INDEX(Data!$D$2:$D$497,MATCH(N28,Data!$A$2:$A$497,1))),"")</f>
      </c>
      <c r="AO40" s="560">
        <f>IFERROR(LN(INDEX(Data!$E$2:$E$497,MATCH(N40,Data!$A$2:$A$497,1))/INDEX(Data!$E$2:$E$497,MATCH(N28,Data!$A$2:$A$497,1))),"")</f>
      </c>
      <c r="AP40" s="560">
        <f>IFERROR(LN(INDEX(Data!$F$2:$F$497,MATCH(N40,Data!$A$2:$A$497,1))/INDEX(Data!$F$2:$F$497,MATCH(N28,Data!$A$2:$A$497,1))),"")</f>
      </c>
      <c r="AQ40" s="560">
        <f>IFERROR(LN(INDEX(Data!$G$2:$G$497,MATCH(N40,Data!$A$2:$A$497,1))/INDEX(Data!$G$2:$G$497,MATCH(N28,Data!$A$2:$A$497,1))),"")</f>
      </c>
      <c r="AR40" s="560">
        <f>IFERROR(LN(INDEX(Data!$H$2:$H$497,MATCH(N40,Data!$A$2:$A$497,1))/INDEX(Data!$H$2:$H$497,MATCH(N28,Data!$A$2:$A$497,1))),"")</f>
      </c>
      <c r="AS40" s="560">
        <f>IFERROR(LN(INDEX(Data!$I$2:$I$497,MATCH(N40,Data!$A$2:$A$497,1))/INDEX(Data!$I$2:$I$497,MATCH(N28,Data!$A$2:$A$497,1))),"")</f>
      </c>
      <c r="AT40" s="560">
        <f>IFERROR(LN(INDEX(Data!$J$2:$J$497,MATCH(N40,Data!$A$2:$A$497,1))/INDEX(Data!$J$2:$J$497,MATCH(N28,Data!$A$2:$A$497,1))),"")</f>
      </c>
      <c r="AU40" s="560">
        <f>IFERROR(LN(INDEX(Data!$K$2:$K$497,MATCH(N40,Data!$A$2:$A$497,1))/INDEX(Data!$K$2:$K$497,MATCH(N28,Data!$A$2:$A$497,1))),"")</f>
      </c>
      <c r="AV40" s="561">
        <f>IFERROR(LN(INDEX(Data!$L$2:$L$497,MATCH(N40,Data!$A$2:$A$497,1))/INDEX(Data!$L$2:$L$497,MATCH(N28,Data!$A$2:$A$497,1))),"")</f>
      </c>
    </row>
    <row r="41">
      <c r="A41" s="104" t="inlineStr">
        <is>
          <t>4. Portfolio impact</t>
        </is>
      </c>
      <c r="B41" s="105" t="n"/>
      <c r="C41" s="105" t="n"/>
      <c r="D41" s="105" t="n"/>
      <c r="E41" s="105" t="n"/>
      <c r="F41" s="106" t="n"/>
      <c r="N41" s="337" t="n">
        <v>25964</v>
      </c>
      <c r="O41" s="116">
        <f>INDEX('Additional data'!$B$2:$B$965,MATCH(DATE(YEAR(N41),MONTH(N41),1),'Additional data'!$A$2:$A$965,0))</f>
        <v>3.56</v>
      </c>
      <c r="P41" s="489">
        <f>LN(O41)</f>
        <v>1.26976054486394</v>
      </c>
      <c r="Q41" s="489">
        <f>Q40+LN(1+INDEX('Additional data'!$H$2:$H$1196,MATCH(N41,'Additional data'!$G$2:$G$1196,1))+INDEX('Additional data'!$I$2:$I$1196,MATCH(N41,'Additional data'!$G$2:$G$1196,1)))</f>
        <v>0.0678804687284728</v>
      </c>
      <c r="R41" s="77" t="n"/>
      <c r="S41" s="116">
        <f>IF(INDEX('Additional data'!$E$2:$E$699,MATCH(DATE(YEAR(N41),MONTH(N41),1),'Additional data'!$D$2:$D$699,0))=0,(INDEX('Additional data'!$E$2:$E$699,MATCH(DATE(YEAR(N41),MONTH(N41),1),'Additional data'!$D$2:$D$699,0)-1)+INDEX('Additional data'!$E$2:$E$699,MATCH(DATE(YEAR(N41),MONTH(N41),1),'Additional data'!$D$2:$D$699,0)+1))/2,INDEX('Additional data'!$E$2:$E$699,MATCH(DATE(YEAR(N41),MONTH(N41),1),'Additional data'!$D$2:$D$699,0)))</f>
        <v>6.6</v>
      </c>
      <c r="T41" s="425">
        <f>P41-P40</f>
        <v>0</v>
      </c>
      <c r="U41" s="425">
        <f>Q41-Q40</f>
        <v>0.0507881668321051</v>
      </c>
      <c r="V41" s="77" t="n"/>
      <c r="W41" s="116">
        <f>S41-S40</f>
        <v>0.0999999999999996</v>
      </c>
      <c r="X41" s="425">
        <f>P41-P29</f>
        <v>0.060800199026964</v>
      </c>
      <c r="Y41" s="425">
        <f>Q41-Q29</f>
        <v>0.129648680540435</v>
      </c>
      <c r="Z41" s="77" t="n"/>
      <c r="AA41" s="116">
        <f>S41-S29</f>
        <v>0.8</v>
      </c>
      <c r="AB41" s="77" t="n"/>
      <c r="AC41" s="77" t="n"/>
      <c r="AD41" s="77" t="n"/>
      <c r="AE41" s="237" t="n"/>
      <c r="AG41" s="554">
        <f>N41</f>
        <v>25964.0</v>
      </c>
      <c r="AH41" s="435">
        <f>IFERROR(INDEX('RBA 5Y yield'!$B$5:$B$661,MATCH(N41,'RBA 5Y yield'!$A$5:$A$661,1))*100,"")</f>
      </c>
      <c r="AI41" s="435">
        <f>IF(AND(ISNUMBER(AH41),ISNUMBER(AH40)),AH41-AH40,"")</f>
      </c>
      <c r="AJ41" s="435">
        <f>IF(AND(ISNUMBER(AH41),ISNUMBER(AH29)),AH41-AH29,"")</f>
      </c>
      <c r="AK41" s="555" t="inlineStr"/>
      <c r="AL41" s="560">
        <f>IFERROR(LN(INDEX(Data!$B$2:$B$497,MATCH(N41,Data!$A$2:$A$497,1))/INDEX(Data!$B$2:$B$497,MATCH(N29,Data!$A$2:$A$497,1))),"")</f>
      </c>
      <c r="AM41" s="560">
        <f>IFERROR(LN(INDEX(Data!$C$2:$C$497,MATCH(N41,Data!$A$2:$A$497,1))/INDEX(Data!$C$2:$C$497,MATCH(N29,Data!$A$2:$A$497,1))),"")</f>
      </c>
      <c r="AN41" s="560">
        <f>IFERROR(LN(INDEX(Data!$D$2:$D$497,MATCH(N41,Data!$A$2:$A$497,1))/INDEX(Data!$D$2:$D$497,MATCH(N29,Data!$A$2:$A$497,1))),"")</f>
      </c>
      <c r="AO41" s="560">
        <f>IFERROR(LN(INDEX(Data!$E$2:$E$497,MATCH(N41,Data!$A$2:$A$497,1))/INDEX(Data!$E$2:$E$497,MATCH(N29,Data!$A$2:$A$497,1))),"")</f>
      </c>
      <c r="AP41" s="560">
        <f>IFERROR(LN(INDEX(Data!$F$2:$F$497,MATCH(N41,Data!$A$2:$A$497,1))/INDEX(Data!$F$2:$F$497,MATCH(N29,Data!$A$2:$A$497,1))),"")</f>
      </c>
      <c r="AQ41" s="560">
        <f>IFERROR(LN(INDEX(Data!$G$2:$G$497,MATCH(N41,Data!$A$2:$A$497,1))/INDEX(Data!$G$2:$G$497,MATCH(N29,Data!$A$2:$A$497,1))),"")</f>
      </c>
      <c r="AR41" s="560">
        <f>IFERROR(LN(INDEX(Data!$H$2:$H$497,MATCH(N41,Data!$A$2:$A$497,1))/INDEX(Data!$H$2:$H$497,MATCH(N29,Data!$A$2:$A$497,1))),"")</f>
      </c>
      <c r="AS41" s="560">
        <f>IFERROR(LN(INDEX(Data!$I$2:$I$497,MATCH(N41,Data!$A$2:$A$497,1))/INDEX(Data!$I$2:$I$497,MATCH(N29,Data!$A$2:$A$497,1))),"")</f>
      </c>
      <c r="AT41" s="560">
        <f>IFERROR(LN(INDEX(Data!$J$2:$J$497,MATCH(N41,Data!$A$2:$A$497,1))/INDEX(Data!$J$2:$J$497,MATCH(N29,Data!$A$2:$A$497,1))),"")</f>
      </c>
      <c r="AU41" s="560">
        <f>IFERROR(LN(INDEX(Data!$K$2:$K$497,MATCH(N41,Data!$A$2:$A$497,1))/INDEX(Data!$K$2:$K$497,MATCH(N29,Data!$A$2:$A$497,1))),"")</f>
      </c>
      <c r="AV41" s="561">
        <f>IFERROR(LN(INDEX(Data!$L$2:$L$497,MATCH(N41,Data!$A$2:$A$497,1))/INDEX(Data!$L$2:$L$497,MATCH(N29,Data!$A$2:$A$497,1))),"")</f>
      </c>
    </row>
    <row r="42" ht="28" customHeight="1">
      <c r="A42" s="111" t="inlineStr">
        <is>
          <t>Portfolio</t>
        </is>
      </c>
      <c r="B42" s="112" t="inlineStr">
        <is>
          <t>1990 as happened</t>
        </is>
      </c>
      <c r="C42" s="112" t="inlineStr">
        <is>
          <t>2022 as happened</t>
        </is>
      </c>
      <c r="D42" s="112" t="inlineStr">
        <is>
          <t>1990 scaled</t>
        </is>
      </c>
      <c r="E42" s="112" t="inlineStr">
        <is>
          <t>2022 scaled</t>
        </is>
      </c>
      <c r="F42" s="113" t="inlineStr">
        <is>
          <t>Central case</t>
        </is>
      </c>
      <c r="N42" s="337" t="n">
        <v>25992</v>
      </c>
      <c r="O42" s="116">
        <f>INDEX('Additional data'!$B$2:$B$965,MATCH(DATE(YEAR(N42),MONTH(N42),1),'Additional data'!$A$2:$A$965,0))</f>
        <v>3.56</v>
      </c>
      <c r="P42" s="489">
        <f>LN(O42)</f>
        <v>1.26976054486394</v>
      </c>
      <c r="Q42" s="489">
        <f>Q41+LN(1+INDEX('Additional data'!$H$2:$H$1196,MATCH(N42,'Additional data'!$G$2:$G$1196,1))+INDEX('Additional data'!$I$2:$I$1196,MATCH(N42,'Additional data'!$G$2:$G$1196,1)))</f>
        <v>0.0851308221350005</v>
      </c>
      <c r="R42" s="77" t="n"/>
      <c r="S42" s="116">
        <f>IF(INDEX('Additional data'!$E$2:$E$699,MATCH(DATE(YEAR(N42),MONTH(N42),1),'Additional data'!$D$2:$D$699,0))=0,(INDEX('Additional data'!$E$2:$E$699,MATCH(DATE(YEAR(N42),MONTH(N42),1),'Additional data'!$D$2:$D$699,0)-1)+INDEX('Additional data'!$E$2:$E$699,MATCH(DATE(YEAR(N42),MONTH(N42),1),'Additional data'!$D$2:$D$699,0)+1))/2,INDEX('Additional data'!$E$2:$E$699,MATCH(DATE(YEAR(N42),MONTH(N42),1),'Additional data'!$D$2:$D$699,0)))</f>
        <v>7.6</v>
      </c>
      <c r="T42" s="425">
        <f>P42-P41</f>
        <v>0</v>
      </c>
      <c r="U42" s="425">
        <f>Q42-Q41</f>
        <v>0.0172503534065277</v>
      </c>
      <c r="V42" s="77" t="n"/>
      <c r="W42" s="116">
        <f>S42-S41</f>
        <v>1</v>
      </c>
      <c r="X42" s="425">
        <f>P42-P30</f>
        <v>0.060800199026964</v>
      </c>
      <c r="Y42" s="425">
        <f>Q42-Q30</f>
        <v>0.090896843831678</v>
      </c>
      <c r="Z42" s="77" t="n"/>
      <c r="AA42" s="116">
        <f>S42-S30</f>
        <v>1.3</v>
      </c>
      <c r="AB42" s="77" t="n"/>
      <c r="AC42" s="77" t="n"/>
      <c r="AD42" s="77" t="n"/>
      <c r="AE42" s="237" t="n"/>
      <c r="AG42" s="554">
        <f>N42</f>
        <v>25992.0</v>
      </c>
      <c r="AH42" s="435">
        <f>IFERROR(INDEX('RBA 5Y yield'!$B$5:$B$661,MATCH(N42,'RBA 5Y yield'!$A$5:$A$661,1))*100,"")</f>
      </c>
      <c r="AI42" s="435">
        <f>IF(AND(ISNUMBER(AH42),ISNUMBER(AH41)),AH42-AH41,"")</f>
      </c>
      <c r="AJ42" s="435">
        <f>IF(AND(ISNUMBER(AH42),ISNUMBER(AH30)),AH42-AH30,"")</f>
      </c>
      <c r="AK42" s="555" t="inlineStr"/>
      <c r="AL42" s="560">
        <f>IFERROR(LN(INDEX(Data!$B$2:$B$497,MATCH(N42,Data!$A$2:$A$497,1))/INDEX(Data!$B$2:$B$497,MATCH(N30,Data!$A$2:$A$497,1))),"")</f>
      </c>
      <c r="AM42" s="560">
        <f>IFERROR(LN(INDEX(Data!$C$2:$C$497,MATCH(N42,Data!$A$2:$A$497,1))/INDEX(Data!$C$2:$C$497,MATCH(N30,Data!$A$2:$A$497,1))),"")</f>
      </c>
      <c r="AN42" s="560">
        <f>IFERROR(LN(INDEX(Data!$D$2:$D$497,MATCH(N42,Data!$A$2:$A$497,1))/INDEX(Data!$D$2:$D$497,MATCH(N30,Data!$A$2:$A$497,1))),"")</f>
      </c>
      <c r="AO42" s="560">
        <f>IFERROR(LN(INDEX(Data!$E$2:$E$497,MATCH(N42,Data!$A$2:$A$497,1))/INDEX(Data!$E$2:$E$497,MATCH(N30,Data!$A$2:$A$497,1))),"")</f>
      </c>
      <c r="AP42" s="560">
        <f>IFERROR(LN(INDEX(Data!$F$2:$F$497,MATCH(N42,Data!$A$2:$A$497,1))/INDEX(Data!$F$2:$F$497,MATCH(N30,Data!$A$2:$A$497,1))),"")</f>
      </c>
      <c r="AQ42" s="560">
        <f>IFERROR(LN(INDEX(Data!$G$2:$G$497,MATCH(N42,Data!$A$2:$A$497,1))/INDEX(Data!$G$2:$G$497,MATCH(N30,Data!$A$2:$A$497,1))),"")</f>
      </c>
      <c r="AR42" s="560">
        <f>IFERROR(LN(INDEX(Data!$H$2:$H$497,MATCH(N42,Data!$A$2:$A$497,1))/INDEX(Data!$H$2:$H$497,MATCH(N30,Data!$A$2:$A$497,1))),"")</f>
      </c>
      <c r="AS42" s="560">
        <f>IFERROR(LN(INDEX(Data!$I$2:$I$497,MATCH(N42,Data!$A$2:$A$497,1))/INDEX(Data!$I$2:$I$497,MATCH(N30,Data!$A$2:$A$497,1))),"")</f>
      </c>
      <c r="AT42" s="560">
        <f>IFERROR(LN(INDEX(Data!$J$2:$J$497,MATCH(N42,Data!$A$2:$A$497,1))/INDEX(Data!$J$2:$J$497,MATCH(N30,Data!$A$2:$A$497,1))),"")</f>
      </c>
      <c r="AU42" s="560">
        <f>IFERROR(LN(INDEX(Data!$K$2:$K$497,MATCH(N42,Data!$A$2:$A$497,1))/INDEX(Data!$K$2:$K$497,MATCH(N30,Data!$A$2:$A$497,1))),"")</f>
      </c>
      <c r="AV42" s="561">
        <f>IFERROR(LN(INDEX(Data!$L$2:$L$497,MATCH(N42,Data!$A$2:$A$497,1))/INDEX(Data!$L$2:$L$497,MATCH(N30,Data!$A$2:$A$497,1))),"")</f>
      </c>
    </row>
    <row r="43">
      <c r="A43" s="114" t="inlineStr">
        <is>
          <t>Current fund</t>
        </is>
      </c>
      <c r="B43" s="68">
        <f>SUMPRODUCT(B$28:B$38,Portfolio!$C$6:$C$16)</f>
        <v>-0.088824395957063</v>
      </c>
      <c r="C43" s="68">
        <f>SUMPRODUCT(C$28:C$38,Portfolio!$C$6:$C$16)</f>
        <v>-0.0754668409234886</v>
      </c>
      <c r="D43" s="68">
        <f>SUMPRODUCT(D$28:D$38,Portfolio!$C$6:$C$16)</f>
        <v>-0.0615639137193719</v>
      </c>
      <c r="E43" s="68">
        <f>SUMPRODUCT(E$28:E$38,Portfolio!$C$6:$C$16)</f>
        <v>-0.103654702289953</v>
      </c>
      <c r="F43" s="343">
        <f>SUMPRODUCT(F$28:F$38,Portfolio!$C$6:$C$16)</f>
        <v>-0.0826093080046623</v>
      </c>
      <c r="N43" s="337" t="n">
        <v>26023</v>
      </c>
      <c r="O43" s="116">
        <f>INDEX('Additional data'!$B$2:$B$965,MATCH(DATE(YEAR(N43),MONTH(N43),1),'Additional data'!$A$2:$A$965,0))</f>
        <v>3.56</v>
      </c>
      <c r="P43" s="489">
        <f>LN(O43)</f>
        <v>1.26976054486394</v>
      </c>
      <c r="Q43" s="489">
        <f>Q42+LN(1+INDEX('Additional data'!$H$2:$H$1196,MATCH(N43,'Additional data'!$G$2:$G$1196,1))+INDEX('Additional data'!$I$2:$I$1196,MATCH(N43,'Additional data'!$G$2:$G$1196,1)))</f>
        <v>0.128381864129315</v>
      </c>
      <c r="R43" s="77" t="n"/>
      <c r="S43" s="116">
        <f>IF(INDEX('Additional data'!$E$2:$E$699,MATCH(DATE(YEAR(N43),MONTH(N43),1),'Additional data'!$D$2:$D$699,0))=0,(INDEX('Additional data'!$E$2:$E$699,MATCH(DATE(YEAR(N43),MONTH(N43),1),'Additional data'!$D$2:$D$699,0)-1)+INDEX('Additional data'!$E$2:$E$699,MATCH(DATE(YEAR(N43),MONTH(N43),1),'Additional data'!$D$2:$D$699,0)+1))/2,INDEX('Additional data'!$E$2:$E$699,MATCH(DATE(YEAR(N43),MONTH(N43),1),'Additional data'!$D$2:$D$699,0)))</f>
        <v>8</v>
      </c>
      <c r="T43" s="425">
        <f>P43-P42</f>
        <v>0</v>
      </c>
      <c r="U43" s="425">
        <f>Q43-Q42</f>
        <v>0.0432510419943147</v>
      </c>
      <c r="V43" s="77" t="n"/>
      <c r="W43" s="116">
        <f>S43-S42</f>
        <v>0.4</v>
      </c>
      <c r="X43" s="425">
        <f>P43-P31</f>
        <v>0.060800199026964</v>
      </c>
      <c r="Y43" s="425">
        <f>Q43-Q31</f>
        <v>0.139059930187013</v>
      </c>
      <c r="Z43" s="77" t="n"/>
      <c r="AA43" s="116">
        <f>S43-S31</f>
        <v>0.85</v>
      </c>
      <c r="AB43" s="77" t="n"/>
      <c r="AC43" s="77" t="n"/>
      <c r="AD43" s="77" t="n"/>
      <c r="AE43" s="237" t="n"/>
      <c r="AG43" s="554">
        <f>N43</f>
        <v>26023.0</v>
      </c>
      <c r="AH43" s="435">
        <f>IFERROR(INDEX('RBA 5Y yield'!$B$5:$B$661,MATCH(N43,'RBA 5Y yield'!$A$5:$A$661,1))*100,"")</f>
      </c>
      <c r="AI43" s="435">
        <f>IF(AND(ISNUMBER(AH43),ISNUMBER(AH42)),AH43-AH42,"")</f>
      </c>
      <c r="AJ43" s="435">
        <f>IF(AND(ISNUMBER(AH43),ISNUMBER(AH31)),AH43-AH31,"")</f>
      </c>
      <c r="AK43" s="555" t="inlineStr"/>
      <c r="AL43" s="560">
        <f>IFERROR(LN(INDEX(Data!$B$2:$B$497,MATCH(N43,Data!$A$2:$A$497,1))/INDEX(Data!$B$2:$B$497,MATCH(N31,Data!$A$2:$A$497,1))),"")</f>
      </c>
      <c r="AM43" s="560">
        <f>IFERROR(LN(INDEX(Data!$C$2:$C$497,MATCH(N43,Data!$A$2:$A$497,1))/INDEX(Data!$C$2:$C$497,MATCH(N31,Data!$A$2:$A$497,1))),"")</f>
      </c>
      <c r="AN43" s="560">
        <f>IFERROR(LN(INDEX(Data!$D$2:$D$497,MATCH(N43,Data!$A$2:$A$497,1))/INDEX(Data!$D$2:$D$497,MATCH(N31,Data!$A$2:$A$497,1))),"")</f>
      </c>
      <c r="AO43" s="560">
        <f>IFERROR(LN(INDEX(Data!$E$2:$E$497,MATCH(N43,Data!$A$2:$A$497,1))/INDEX(Data!$E$2:$E$497,MATCH(N31,Data!$A$2:$A$497,1))),"")</f>
      </c>
      <c r="AP43" s="560">
        <f>IFERROR(LN(INDEX(Data!$F$2:$F$497,MATCH(N43,Data!$A$2:$A$497,1))/INDEX(Data!$F$2:$F$497,MATCH(N31,Data!$A$2:$A$497,1))),"")</f>
      </c>
      <c r="AQ43" s="560">
        <f>IFERROR(LN(INDEX(Data!$G$2:$G$497,MATCH(N43,Data!$A$2:$A$497,1))/INDEX(Data!$G$2:$G$497,MATCH(N31,Data!$A$2:$A$497,1))),"")</f>
      </c>
      <c r="AR43" s="560">
        <f>IFERROR(LN(INDEX(Data!$H$2:$H$497,MATCH(N43,Data!$A$2:$A$497,1))/INDEX(Data!$H$2:$H$497,MATCH(N31,Data!$A$2:$A$497,1))),"")</f>
      </c>
      <c r="AS43" s="560">
        <f>IFERROR(LN(INDEX(Data!$I$2:$I$497,MATCH(N43,Data!$A$2:$A$497,1))/INDEX(Data!$I$2:$I$497,MATCH(N31,Data!$A$2:$A$497,1))),"")</f>
      </c>
      <c r="AT43" s="560">
        <f>IFERROR(LN(INDEX(Data!$J$2:$J$497,MATCH(N43,Data!$A$2:$A$497,1))/INDEX(Data!$J$2:$J$497,MATCH(N31,Data!$A$2:$A$497,1))),"")</f>
      </c>
      <c r="AU43" s="560">
        <f>IFERROR(LN(INDEX(Data!$K$2:$K$497,MATCH(N43,Data!$A$2:$A$497,1))/INDEX(Data!$K$2:$K$497,MATCH(N31,Data!$A$2:$A$497,1))),"")</f>
      </c>
      <c r="AV43" s="561">
        <f>IFERROR(LN(INDEX(Data!$L$2:$L$497,MATCH(N43,Data!$A$2:$A$497,1))/INDEX(Data!$L$2:$L$497,MATCH(N31,Data!$A$2:$A$497,1))),"")</f>
      </c>
    </row>
    <row r="44">
      <c r="A44" s="114" t="inlineStr">
        <is>
          <t>Benchmark</t>
        </is>
      </c>
      <c r="B44" s="68">
        <f>SUMPRODUCT(B$28:B$38,Portfolio!$D$6:$D$16)</f>
        <v>-0.0757411852562177</v>
      </c>
      <c r="C44" s="68">
        <f>SUMPRODUCT(C$28:C$38,Portfolio!$D$6:$D$16)</f>
        <v>-0.0699618813932611</v>
      </c>
      <c r="D44" s="68">
        <f>SUMPRODUCT(D$28:D$38,Portfolio!$D$6:$D$16)</f>
        <v>-0.0517640156922182</v>
      </c>
      <c r="E44" s="68">
        <f>SUMPRODUCT(E$28:E$38,Portfolio!$D$6:$D$16)</f>
        <v>-0.0960564783237981</v>
      </c>
      <c r="F44" s="343">
        <f>SUMPRODUCT(F$28:F$38,Portfolio!$D$6:$D$16)</f>
        <v>-0.0739102470080081</v>
      </c>
      <c r="N44" s="337" t="n">
        <v>26053</v>
      </c>
      <c r="O44" s="116">
        <f>INDEX('Additional data'!$B$2:$B$965,MATCH(DATE(YEAR(N44),MONTH(N44),1),'Additional data'!$A$2:$A$965,0))</f>
        <v>3.56</v>
      </c>
      <c r="P44" s="489">
        <f>LN(O44)</f>
        <v>1.26976054486394</v>
      </c>
      <c r="Q44" s="489">
        <f>Q43+LN(1+INDEX('Additional data'!$H$2:$H$1196,MATCH(N44,'Additional data'!$G$2:$G$1196,1))+INDEX('Additional data'!$I$2:$I$1196,MATCH(N44,'Additional data'!$G$2:$G$1196,1)))</f>
        <v>0.162106733530936</v>
      </c>
      <c r="R44" s="77" t="n"/>
      <c r="S44" s="116">
        <f>IF(INDEX('Additional data'!$E$2:$E$699,MATCH(DATE(YEAR(N44),MONTH(N44),1),'Additional data'!$D$2:$D$699,0))=0,(INDEX('Additional data'!$E$2:$E$699,MATCH(DATE(YEAR(N44),MONTH(N44),1),'Additional data'!$D$2:$D$699,0)-1)+INDEX('Additional data'!$E$2:$E$699,MATCH(DATE(YEAR(N44),MONTH(N44),1),'Additional data'!$D$2:$D$699,0)+1))/2,INDEX('Additional data'!$E$2:$E$699,MATCH(DATE(YEAR(N44),MONTH(N44),1),'Additional data'!$D$2:$D$699,0)))</f>
        <v>7.8</v>
      </c>
      <c r="T44" s="425">
        <f>P44-P43</f>
        <v>0</v>
      </c>
      <c r="U44" s="425">
        <f>Q44-Q43</f>
        <v>0.0337248694016209</v>
      </c>
      <c r="V44" s="77" t="n"/>
      <c r="W44" s="116">
        <f>S44-S43</f>
        <v>-0.2</v>
      </c>
      <c r="X44" s="425">
        <f>P44-P32</f>
        <v>0.060800199026964</v>
      </c>
      <c r="Y44" s="425">
        <f>Q44-Q32</f>
        <v>0.283604634693878</v>
      </c>
      <c r="Z44" s="77" t="n"/>
      <c r="AA44" s="116">
        <f>S44-S32</f>
        <v>-0.8</v>
      </c>
      <c r="AB44" s="77" t="n"/>
      <c r="AC44" s="77" t="n"/>
      <c r="AD44" s="77" t="n"/>
      <c r="AE44" s="237" t="n"/>
      <c r="AG44" s="554">
        <f>N44</f>
        <v>26053.0</v>
      </c>
      <c r="AH44" s="435">
        <f>IFERROR(INDEX('RBA 5Y yield'!$B$5:$B$661,MATCH(N44,'RBA 5Y yield'!$A$5:$A$661,1))*100,"")</f>
      </c>
      <c r="AI44" s="435">
        <f>IF(AND(ISNUMBER(AH44),ISNUMBER(AH43)),AH44-AH43,"")</f>
      </c>
      <c r="AJ44" s="435">
        <f>IF(AND(ISNUMBER(AH44),ISNUMBER(AH32)),AH44-AH32,"")</f>
      </c>
      <c r="AK44" s="555" t="inlineStr"/>
      <c r="AL44" s="560">
        <f>IFERROR(LN(INDEX(Data!$B$2:$B$497,MATCH(N44,Data!$A$2:$A$497,1))/INDEX(Data!$B$2:$B$497,MATCH(N32,Data!$A$2:$A$497,1))),"")</f>
      </c>
      <c r="AM44" s="560">
        <f>IFERROR(LN(INDEX(Data!$C$2:$C$497,MATCH(N44,Data!$A$2:$A$497,1))/INDEX(Data!$C$2:$C$497,MATCH(N32,Data!$A$2:$A$497,1))),"")</f>
      </c>
      <c r="AN44" s="560">
        <f>IFERROR(LN(INDEX(Data!$D$2:$D$497,MATCH(N44,Data!$A$2:$A$497,1))/INDEX(Data!$D$2:$D$497,MATCH(N32,Data!$A$2:$A$497,1))),"")</f>
      </c>
      <c r="AO44" s="560">
        <f>IFERROR(LN(INDEX(Data!$E$2:$E$497,MATCH(N44,Data!$A$2:$A$497,1))/INDEX(Data!$E$2:$E$497,MATCH(N32,Data!$A$2:$A$497,1))),"")</f>
      </c>
      <c r="AP44" s="560">
        <f>IFERROR(LN(INDEX(Data!$F$2:$F$497,MATCH(N44,Data!$A$2:$A$497,1))/INDEX(Data!$F$2:$F$497,MATCH(N32,Data!$A$2:$A$497,1))),"")</f>
      </c>
      <c r="AQ44" s="560">
        <f>IFERROR(LN(INDEX(Data!$G$2:$G$497,MATCH(N44,Data!$A$2:$A$497,1))/INDEX(Data!$G$2:$G$497,MATCH(N32,Data!$A$2:$A$497,1))),"")</f>
      </c>
      <c r="AR44" s="560">
        <f>IFERROR(LN(INDEX(Data!$H$2:$H$497,MATCH(N44,Data!$A$2:$A$497,1))/INDEX(Data!$H$2:$H$497,MATCH(N32,Data!$A$2:$A$497,1))),"")</f>
      </c>
      <c r="AS44" s="560">
        <f>IFERROR(LN(INDEX(Data!$I$2:$I$497,MATCH(N44,Data!$A$2:$A$497,1))/INDEX(Data!$I$2:$I$497,MATCH(N32,Data!$A$2:$A$497,1))),"")</f>
      </c>
      <c r="AT44" s="560">
        <f>IFERROR(LN(INDEX(Data!$J$2:$J$497,MATCH(N44,Data!$A$2:$A$497,1))/INDEX(Data!$J$2:$J$497,MATCH(N32,Data!$A$2:$A$497,1))),"")</f>
      </c>
      <c r="AU44" s="560">
        <f>IFERROR(LN(INDEX(Data!$K$2:$K$497,MATCH(N44,Data!$A$2:$A$497,1))/INDEX(Data!$K$2:$K$497,MATCH(N32,Data!$A$2:$A$497,1))),"")</f>
      </c>
      <c r="AV44" s="561">
        <f>IFERROR(LN(INDEX(Data!$L$2:$L$497,MATCH(N44,Data!$A$2:$A$497,1))/INDEX(Data!$L$2:$L$497,MATCH(N32,Data!$A$2:$A$497,1))),"")</f>
      </c>
    </row>
    <row r="45">
      <c r="A45" s="353" t="inlineStr">
        <is>
          <t>Recommended</t>
        </is>
      </c>
      <c r="B45" s="69">
        <f>SUMPRODUCT(B$28:B$38,Portfolio!$E$6:$E$16)</f>
        <v>-0.0878689475052714</v>
      </c>
      <c r="C45" s="69">
        <f>SUMPRODUCT(C$28:C$38,Portfolio!$E$6:$E$16)</f>
        <v>-0.0783729436267291</v>
      </c>
      <c r="D45" s="69">
        <f>SUMPRODUCT(D$28:D$38,Portfolio!$E$6:$E$16)</f>
        <v>-0.0596875580408782</v>
      </c>
      <c r="E45" s="69">
        <f>SUMPRODUCT(E$28:E$38,Portfolio!$E$6:$E$16)</f>
        <v>-0.107590261472912</v>
      </c>
      <c r="F45" s="354">
        <f>SUMPRODUCT(F$28:F$38,Portfolio!$E$6:$E$16)</f>
        <v>-0.0836389097568949</v>
      </c>
      <c r="N45" s="337" t="n">
        <v>26084</v>
      </c>
      <c r="O45" s="116">
        <f>INDEX('Additional data'!$B$2:$B$965,MATCH(DATE(YEAR(N45),MONTH(N45),1),'Additional data'!$A$2:$A$965,0))</f>
        <v>3.56</v>
      </c>
      <c r="P45" s="489">
        <f>LN(O45)</f>
        <v>1.26976054486394</v>
      </c>
      <c r="Q45" s="489">
        <f>Q44+LN(1+INDEX('Additional data'!$H$2:$H$1196,MATCH(N45,'Additional data'!$G$2:$G$1196,1))+INDEX('Additional data'!$I$2:$I$1196,MATCH(N45,'Additional data'!$G$2:$G$1196,1)))</f>
        <v>0.124404866346925</v>
      </c>
      <c r="R45" s="77" t="n"/>
      <c r="S45" s="116">
        <f>IF(INDEX('Additional data'!$E$2:$E$699,MATCH(DATE(YEAR(N45),MONTH(N45),1),'Additional data'!$D$2:$D$699,0))=0,(INDEX('Additional data'!$E$2:$E$699,MATCH(DATE(YEAR(N45),MONTH(N45),1),'Additional data'!$D$2:$D$699,0)-1)+INDEX('Additional data'!$E$2:$E$699,MATCH(DATE(YEAR(N45),MONTH(N45),1),'Additional data'!$D$2:$D$699,0)+1))/2,INDEX('Additional data'!$E$2:$E$699,MATCH(DATE(YEAR(N45),MONTH(N45),1),'Additional data'!$D$2:$D$699,0)))</f>
        <v>7.8</v>
      </c>
      <c r="T45" s="425">
        <f>P45-P44</f>
        <v>0</v>
      </c>
      <c r="U45" s="425">
        <f>Q45-Q44</f>
        <v>-0.0377018671840115</v>
      </c>
      <c r="V45" s="77" t="n"/>
      <c r="W45" s="116">
        <f>S45-S44</f>
        <v>0</v>
      </c>
      <c r="X45" s="425">
        <f>P45-P33</f>
        <v>0.060800199026964</v>
      </c>
      <c r="Y45" s="425">
        <f>Q45-Q33</f>
        <v>0.31172210854716</v>
      </c>
      <c r="Z45" s="77" t="n"/>
      <c r="AA45" s="116">
        <f>S45-S33</f>
        <v>-1.3</v>
      </c>
      <c r="AB45" s="77" t="n"/>
      <c r="AC45" s="77" t="n"/>
      <c r="AD45" s="77" t="n"/>
      <c r="AE45" s="237" t="n"/>
      <c r="AG45" s="554">
        <f>N45</f>
        <v>26084.0</v>
      </c>
      <c r="AH45" s="435">
        <f>IFERROR(INDEX('RBA 5Y yield'!$B$5:$B$661,MATCH(N45,'RBA 5Y yield'!$A$5:$A$661,1))*100,"")</f>
      </c>
      <c r="AI45" s="435">
        <f>IF(AND(ISNUMBER(AH45),ISNUMBER(AH44)),AH45-AH44,"")</f>
      </c>
      <c r="AJ45" s="435">
        <f>IF(AND(ISNUMBER(AH45),ISNUMBER(AH33)),AH45-AH33,"")</f>
      </c>
      <c r="AK45" s="555" t="inlineStr"/>
      <c r="AL45" s="560">
        <f>IFERROR(LN(INDEX(Data!$B$2:$B$497,MATCH(N45,Data!$A$2:$A$497,1))/INDEX(Data!$B$2:$B$497,MATCH(N33,Data!$A$2:$A$497,1))),"")</f>
      </c>
      <c r="AM45" s="560">
        <f>IFERROR(LN(INDEX(Data!$C$2:$C$497,MATCH(N45,Data!$A$2:$A$497,1))/INDEX(Data!$C$2:$C$497,MATCH(N33,Data!$A$2:$A$497,1))),"")</f>
      </c>
      <c r="AN45" s="560">
        <f>IFERROR(LN(INDEX(Data!$D$2:$D$497,MATCH(N45,Data!$A$2:$A$497,1))/INDEX(Data!$D$2:$D$497,MATCH(N33,Data!$A$2:$A$497,1))),"")</f>
      </c>
      <c r="AO45" s="560">
        <f>IFERROR(LN(INDEX(Data!$E$2:$E$497,MATCH(N45,Data!$A$2:$A$497,1))/INDEX(Data!$E$2:$E$497,MATCH(N33,Data!$A$2:$A$497,1))),"")</f>
      </c>
      <c r="AP45" s="560">
        <f>IFERROR(LN(INDEX(Data!$F$2:$F$497,MATCH(N45,Data!$A$2:$A$497,1))/INDEX(Data!$F$2:$F$497,MATCH(N33,Data!$A$2:$A$497,1))),"")</f>
      </c>
      <c r="AQ45" s="560">
        <f>IFERROR(LN(INDEX(Data!$G$2:$G$497,MATCH(N45,Data!$A$2:$A$497,1))/INDEX(Data!$G$2:$G$497,MATCH(N33,Data!$A$2:$A$497,1))),"")</f>
      </c>
      <c r="AR45" s="560">
        <f>IFERROR(LN(INDEX(Data!$H$2:$H$497,MATCH(N45,Data!$A$2:$A$497,1))/INDEX(Data!$H$2:$H$497,MATCH(N33,Data!$A$2:$A$497,1))),"")</f>
      </c>
      <c r="AS45" s="560">
        <f>IFERROR(LN(INDEX(Data!$I$2:$I$497,MATCH(N45,Data!$A$2:$A$497,1))/INDEX(Data!$I$2:$I$497,MATCH(N33,Data!$A$2:$A$497,1))),"")</f>
      </c>
      <c r="AT45" s="560">
        <f>IFERROR(LN(INDEX(Data!$J$2:$J$497,MATCH(N45,Data!$A$2:$A$497,1))/INDEX(Data!$J$2:$J$497,MATCH(N33,Data!$A$2:$A$497,1))),"")</f>
      </c>
      <c r="AU45" s="560">
        <f>IFERROR(LN(INDEX(Data!$K$2:$K$497,MATCH(N45,Data!$A$2:$A$497,1))/INDEX(Data!$K$2:$K$497,MATCH(N33,Data!$A$2:$A$497,1))),"")</f>
      </c>
      <c r="AV45" s="561">
        <f>IFERROR(LN(INDEX(Data!$L$2:$L$497,MATCH(N45,Data!$A$2:$A$497,1))/INDEX(Data!$L$2:$L$497,MATCH(N33,Data!$A$2:$A$497,1))),"")</f>
      </c>
    </row>
    <row r="46">
      <c r="A46" s="353" t="inlineStr">
        <is>
          <t>Recommended less benchmark</t>
        </is>
      </c>
      <c r="B46" s="69">
        <f>B45-B44</f>
        <v>-0.0121277622490537</v>
      </c>
      <c r="C46" s="69">
        <f>C45-C44</f>
        <v>-0.00841106223346801</v>
      </c>
      <c r="D46" s="69">
        <f>D45-D44</f>
        <v>-0.00792354234866005</v>
      </c>
      <c r="E46" s="69">
        <f>E45-E44</f>
        <v>-0.0115337831491135</v>
      </c>
      <c r="F46" s="354">
        <f>F45-F44</f>
        <v>-0.0097286627488868</v>
      </c>
      <c r="N46" s="337" t="n">
        <v>26114</v>
      </c>
      <c r="O46" s="116">
        <f>INDEX('Additional data'!$B$2:$B$965,MATCH(DATE(YEAR(N46),MONTH(N46),1),'Additional data'!$A$2:$A$965,0))</f>
        <v>3.56</v>
      </c>
      <c r="P46" s="489">
        <f>LN(O46)</f>
        <v>1.26976054486394</v>
      </c>
      <c r="Q46" s="489">
        <f>Q45+LN(1+INDEX('Additional data'!$H$2:$H$1196,MATCH(N46,'Additional data'!$G$2:$G$1196,1))+INDEX('Additional data'!$I$2:$I$1196,MATCH(N46,'Additional data'!$G$2:$G$1196,1)))</f>
        <v>0.127200953648926</v>
      </c>
      <c r="R46" s="77" t="n"/>
      <c r="S46" s="116">
        <f>IF(INDEX('Additional data'!$E$2:$E$699,MATCH(DATE(YEAR(N46),MONTH(N46),1),'Additional data'!$D$2:$D$699,0))=0,(INDEX('Additional data'!$E$2:$E$699,MATCH(DATE(YEAR(N46),MONTH(N46),1),'Additional data'!$D$2:$D$699,0)-1)+INDEX('Additional data'!$E$2:$E$699,MATCH(DATE(YEAR(N46),MONTH(N46),1),'Additional data'!$D$2:$D$699,0)+1))/2,INDEX('Additional data'!$E$2:$E$699,MATCH(DATE(YEAR(N46),MONTH(N46),1),'Additional data'!$D$2:$D$699,0)))</f>
        <v>8.15</v>
      </c>
      <c r="T46" s="425">
        <f>P46-P45</f>
        <v>0</v>
      </c>
      <c r="U46" s="425">
        <f>Q46-Q45</f>
        <v>0.00279608730200118</v>
      </c>
      <c r="V46" s="77" t="n"/>
      <c r="W46" s="116">
        <f>S46-S45</f>
        <v>0.350000000000001</v>
      </c>
      <c r="X46" s="425">
        <f>P46-P34</f>
        <v>0.060800199026964</v>
      </c>
      <c r="Y46" s="425">
        <f>Q46-Q34</f>
        <v>0.368129965297811</v>
      </c>
      <c r="Z46" s="77" t="n"/>
      <c r="AA46" s="116">
        <f>S46-S34</f>
        <v>-0.549999999999999</v>
      </c>
      <c r="AB46" s="77" t="n"/>
      <c r="AC46" s="77" t="n"/>
      <c r="AD46" s="77" t="n"/>
      <c r="AE46" s="237" t="n"/>
      <c r="AG46" s="554">
        <f>N46</f>
        <v>26114.0</v>
      </c>
      <c r="AH46" s="435">
        <f>IFERROR(INDEX('RBA 5Y yield'!$B$5:$B$661,MATCH(N46,'RBA 5Y yield'!$A$5:$A$661,1))*100,"")</f>
      </c>
      <c r="AI46" s="435">
        <f>IF(AND(ISNUMBER(AH46),ISNUMBER(AH45)),AH46-AH45,"")</f>
      </c>
      <c r="AJ46" s="435">
        <f>IF(AND(ISNUMBER(AH46),ISNUMBER(AH34)),AH46-AH34,"")</f>
      </c>
      <c r="AK46" s="555" t="inlineStr"/>
      <c r="AL46" s="560">
        <f>IFERROR(LN(INDEX(Data!$B$2:$B$497,MATCH(N46,Data!$A$2:$A$497,1))/INDEX(Data!$B$2:$B$497,MATCH(N34,Data!$A$2:$A$497,1))),"")</f>
      </c>
      <c r="AM46" s="560">
        <f>IFERROR(LN(INDEX(Data!$C$2:$C$497,MATCH(N46,Data!$A$2:$A$497,1))/INDEX(Data!$C$2:$C$497,MATCH(N34,Data!$A$2:$A$497,1))),"")</f>
      </c>
      <c r="AN46" s="560">
        <f>IFERROR(LN(INDEX(Data!$D$2:$D$497,MATCH(N46,Data!$A$2:$A$497,1))/INDEX(Data!$D$2:$D$497,MATCH(N34,Data!$A$2:$A$497,1))),"")</f>
      </c>
      <c r="AO46" s="560">
        <f>IFERROR(LN(INDEX(Data!$E$2:$E$497,MATCH(N46,Data!$A$2:$A$497,1))/INDEX(Data!$E$2:$E$497,MATCH(N34,Data!$A$2:$A$497,1))),"")</f>
      </c>
      <c r="AP46" s="560">
        <f>IFERROR(LN(INDEX(Data!$F$2:$F$497,MATCH(N46,Data!$A$2:$A$497,1))/INDEX(Data!$F$2:$F$497,MATCH(N34,Data!$A$2:$A$497,1))),"")</f>
      </c>
      <c r="AQ46" s="560">
        <f>IFERROR(LN(INDEX(Data!$G$2:$G$497,MATCH(N46,Data!$A$2:$A$497,1))/INDEX(Data!$G$2:$G$497,MATCH(N34,Data!$A$2:$A$497,1))),"")</f>
      </c>
      <c r="AR46" s="560">
        <f>IFERROR(LN(INDEX(Data!$H$2:$H$497,MATCH(N46,Data!$A$2:$A$497,1))/INDEX(Data!$H$2:$H$497,MATCH(N34,Data!$A$2:$A$497,1))),"")</f>
      </c>
      <c r="AS46" s="560">
        <f>IFERROR(LN(INDEX(Data!$I$2:$I$497,MATCH(N46,Data!$A$2:$A$497,1))/INDEX(Data!$I$2:$I$497,MATCH(N34,Data!$A$2:$A$497,1))),"")</f>
      </c>
      <c r="AT46" s="560">
        <f>IFERROR(LN(INDEX(Data!$J$2:$J$497,MATCH(N46,Data!$A$2:$A$497,1))/INDEX(Data!$J$2:$J$497,MATCH(N34,Data!$A$2:$A$497,1))),"")</f>
      </c>
      <c r="AU46" s="560">
        <f>IFERROR(LN(INDEX(Data!$K$2:$K$497,MATCH(N46,Data!$A$2:$A$497,1))/INDEX(Data!$K$2:$K$497,MATCH(N34,Data!$A$2:$A$497,1))),"")</f>
      </c>
      <c r="AV46" s="561">
        <f>IFERROR(LN(INDEX(Data!$L$2:$L$497,MATCH(N46,Data!$A$2:$A$497,1))/INDEX(Data!$L$2:$L$497,MATCH(N34,Data!$A$2:$A$497,1))),"")</f>
      </c>
    </row>
    <row r="47">
      <c r="A47" s="339" t="inlineStr">
        <is>
          <t>Recommended less current</t>
        </is>
      </c>
      <c r="B47" s="355">
        <f>B45-B43</f>
        <v>0.000955448451791574</v>
      </c>
      <c r="C47" s="355">
        <f>C45-C43</f>
        <v>-0.00290610270324045</v>
      </c>
      <c r="D47" s="355">
        <f>D45-D43</f>
        <v>0.00187635567849363</v>
      </c>
      <c r="E47" s="355">
        <f>E45-E43</f>
        <v>-0.00393555918295886</v>
      </c>
      <c r="F47" s="356">
        <f>F45-F43</f>
        <v>-0.00102960175223261</v>
      </c>
      <c r="N47" s="337" t="n">
        <v>26145</v>
      </c>
      <c r="O47" s="116">
        <f>INDEX('Additional data'!$B$2:$B$965,MATCH(DATE(YEAR(N47),MONTH(N47),1),'Additional data'!$A$2:$A$965,0))</f>
        <v>3.56</v>
      </c>
      <c r="P47" s="489">
        <f>LN(O47)</f>
        <v>1.26976054486394</v>
      </c>
      <c r="Q47" s="489">
        <f>Q46+LN(1+INDEX('Additional data'!$H$2:$H$1196,MATCH(N47,'Additional data'!$G$2:$G$1196,1))+INDEX('Additional data'!$I$2:$I$1196,MATCH(N47,'Additional data'!$G$2:$G$1196,1)))</f>
        <v>0.0854410194006941</v>
      </c>
      <c r="R47" s="77" t="n"/>
      <c r="S47" s="116">
        <f>IF(INDEX('Additional data'!$E$2:$E$699,MATCH(DATE(YEAR(N47),MONTH(N47),1),'Additional data'!$D$2:$D$699,0))=0,(INDEX('Additional data'!$E$2:$E$699,MATCH(DATE(YEAR(N47),MONTH(N47),1),'Additional data'!$D$2:$D$699,0)-1)+INDEX('Additional data'!$E$2:$E$699,MATCH(DATE(YEAR(N47),MONTH(N47),1),'Additional data'!$D$2:$D$699,0)+1))/2,INDEX('Additional data'!$E$2:$E$699,MATCH(DATE(YEAR(N47),MONTH(N47),1),'Additional data'!$D$2:$D$699,0)))</f>
        <v>6.8</v>
      </c>
      <c r="T47" s="425">
        <f>P47-P46</f>
        <v>0</v>
      </c>
      <c r="U47" s="425">
        <f>Q47-Q46</f>
        <v>-0.0417599342482317</v>
      </c>
      <c r="V47" s="77" t="n"/>
      <c r="W47" s="116">
        <f>S47-S46</f>
        <v>-1.35</v>
      </c>
      <c r="X47" s="425">
        <f>P47-P35</f>
        <v>0.0728123554749676</v>
      </c>
      <c r="Y47" s="425">
        <f>Q47-Q35</f>
        <v>0.254607664822688</v>
      </c>
      <c r="Z47" s="77" t="n"/>
      <c r="AA47" s="116">
        <f>S47-S35</f>
        <v>-0.600000000000001</v>
      </c>
      <c r="AB47" s="77" t="n"/>
      <c r="AC47" s="77" t="n"/>
      <c r="AD47" s="77" t="n"/>
      <c r="AE47" s="237" t="n"/>
      <c r="AG47" s="554">
        <f>N47</f>
        <v>26145.0</v>
      </c>
      <c r="AH47" s="435">
        <f>IFERROR(INDEX('RBA 5Y yield'!$B$5:$B$661,MATCH(N47,'RBA 5Y yield'!$A$5:$A$661,1))*100,"")</f>
      </c>
      <c r="AI47" s="435">
        <f>IF(AND(ISNUMBER(AH47),ISNUMBER(AH46)),AH47-AH46,"")</f>
      </c>
      <c r="AJ47" s="435">
        <f>IF(AND(ISNUMBER(AH47),ISNUMBER(AH35)),AH47-AH35,"")</f>
      </c>
      <c r="AK47" s="555" t="inlineStr"/>
      <c r="AL47" s="560">
        <f>IFERROR(LN(INDEX(Data!$B$2:$B$497,MATCH(N47,Data!$A$2:$A$497,1))/INDEX(Data!$B$2:$B$497,MATCH(N35,Data!$A$2:$A$497,1))),"")</f>
      </c>
      <c r="AM47" s="560">
        <f>IFERROR(LN(INDEX(Data!$C$2:$C$497,MATCH(N47,Data!$A$2:$A$497,1))/INDEX(Data!$C$2:$C$497,MATCH(N35,Data!$A$2:$A$497,1))),"")</f>
      </c>
      <c r="AN47" s="560">
        <f>IFERROR(LN(INDEX(Data!$D$2:$D$497,MATCH(N47,Data!$A$2:$A$497,1))/INDEX(Data!$D$2:$D$497,MATCH(N35,Data!$A$2:$A$497,1))),"")</f>
      </c>
      <c r="AO47" s="560">
        <f>IFERROR(LN(INDEX(Data!$E$2:$E$497,MATCH(N47,Data!$A$2:$A$497,1))/INDEX(Data!$E$2:$E$497,MATCH(N35,Data!$A$2:$A$497,1))),"")</f>
      </c>
      <c r="AP47" s="560">
        <f>IFERROR(LN(INDEX(Data!$F$2:$F$497,MATCH(N47,Data!$A$2:$A$497,1))/INDEX(Data!$F$2:$F$497,MATCH(N35,Data!$A$2:$A$497,1))),"")</f>
      </c>
      <c r="AQ47" s="560">
        <f>IFERROR(LN(INDEX(Data!$G$2:$G$497,MATCH(N47,Data!$A$2:$A$497,1))/INDEX(Data!$G$2:$G$497,MATCH(N35,Data!$A$2:$A$497,1))),"")</f>
      </c>
      <c r="AR47" s="560">
        <f>IFERROR(LN(INDEX(Data!$H$2:$H$497,MATCH(N47,Data!$A$2:$A$497,1))/INDEX(Data!$H$2:$H$497,MATCH(N35,Data!$A$2:$A$497,1))),"")</f>
      </c>
      <c r="AS47" s="560">
        <f>IFERROR(LN(INDEX(Data!$I$2:$I$497,MATCH(N47,Data!$A$2:$A$497,1))/INDEX(Data!$I$2:$I$497,MATCH(N35,Data!$A$2:$A$497,1))),"")</f>
      </c>
      <c r="AT47" s="560">
        <f>IFERROR(LN(INDEX(Data!$J$2:$J$497,MATCH(N47,Data!$A$2:$A$497,1))/INDEX(Data!$J$2:$J$497,MATCH(N35,Data!$A$2:$A$497,1))),"")</f>
      </c>
      <c r="AU47" s="560">
        <f>IFERROR(LN(INDEX(Data!$K$2:$K$497,MATCH(N47,Data!$A$2:$A$497,1))/INDEX(Data!$K$2:$K$497,MATCH(N35,Data!$A$2:$A$497,1))),"")</f>
      </c>
      <c r="AV47" s="561">
        <f>IFERROR(LN(INDEX(Data!$L$2:$L$497,MATCH(N47,Data!$A$2:$A$497,1))/INDEX(Data!$L$2:$L$497,MATCH(N35,Data!$A$2:$A$497,1))),"")</f>
      </c>
    </row>
    <row r="48">
      <c r="N48" s="337" t="n">
        <v>26176</v>
      </c>
      <c r="O48" s="116">
        <f>INDEX('Additional data'!$B$2:$B$965,MATCH(DATE(YEAR(N48),MONTH(N48),1),'Additional data'!$A$2:$A$965,0))</f>
        <v>3.56</v>
      </c>
      <c r="P48" s="489">
        <f>LN(O48)</f>
        <v>1.26976054486394</v>
      </c>
      <c r="Q48" s="489">
        <f>Q47+LN(1+INDEX('Additional data'!$H$2:$H$1196,MATCH(N48,'Additional data'!$G$2:$G$1196,1))+INDEX('Additional data'!$I$2:$I$1196,MATCH(N48,'Additional data'!$G$2:$G$1196,1)))</f>
        <v>0.127158612752563</v>
      </c>
      <c r="R48" s="77" t="n"/>
      <c r="S48" s="116">
        <f>IF(INDEX('Additional data'!$E$2:$E$699,MATCH(DATE(YEAR(N48),MONTH(N48),1),'Additional data'!$D$2:$D$699,0))=0,(INDEX('Additional data'!$E$2:$E$699,MATCH(DATE(YEAR(N48),MONTH(N48),1),'Additional data'!$D$2:$D$699,0)-1)+INDEX('Additional data'!$E$2:$E$699,MATCH(DATE(YEAR(N48),MONTH(N48),1),'Additional data'!$D$2:$D$699,0)+1))/2,INDEX('Additional data'!$E$2:$E$699,MATCH(DATE(YEAR(N48),MONTH(N48),1),'Additional data'!$D$2:$D$699,0)))</f>
        <v>6.7</v>
      </c>
      <c r="T48" s="425">
        <f>P48-P47</f>
        <v>0</v>
      </c>
      <c r="U48" s="425">
        <f>Q48-Q47</f>
        <v>0.0417175933518685</v>
      </c>
      <c r="V48" s="77" t="n"/>
      <c r="W48" s="116">
        <f>S48-S47</f>
        <v>-0.0999999999999996</v>
      </c>
      <c r="X48" s="425">
        <f>P48-P36</f>
        <v>0.0728123554749676</v>
      </c>
      <c r="Y48" s="425">
        <f>Q48-Q36</f>
        <v>0.247249420527964</v>
      </c>
      <c r="Z48" s="77" t="n"/>
      <c r="AA48" s="116">
        <f>S48-S36</f>
        <v>-0.0999999999999996</v>
      </c>
      <c r="AB48" s="77" t="n"/>
      <c r="AC48" s="77" t="n"/>
      <c r="AD48" s="77" t="n"/>
      <c r="AE48" s="237" t="n"/>
      <c r="AG48" s="554">
        <f>N48</f>
        <v>26176.0</v>
      </c>
      <c r="AH48" s="435">
        <f>IFERROR(INDEX('RBA 5Y yield'!$B$5:$B$661,MATCH(N48,'RBA 5Y yield'!$A$5:$A$661,1))*100,"")</f>
      </c>
      <c r="AI48" s="435">
        <f>IF(AND(ISNUMBER(AH48),ISNUMBER(AH47)),AH48-AH47,"")</f>
      </c>
      <c r="AJ48" s="435">
        <f>IF(AND(ISNUMBER(AH48),ISNUMBER(AH36)),AH48-AH36,"")</f>
      </c>
      <c r="AK48" s="555" t="inlineStr"/>
      <c r="AL48" s="560">
        <f>IFERROR(LN(INDEX(Data!$B$2:$B$497,MATCH(N48,Data!$A$2:$A$497,1))/INDEX(Data!$B$2:$B$497,MATCH(N36,Data!$A$2:$A$497,1))),"")</f>
      </c>
      <c r="AM48" s="560">
        <f>IFERROR(LN(INDEX(Data!$C$2:$C$497,MATCH(N48,Data!$A$2:$A$497,1))/INDEX(Data!$C$2:$C$497,MATCH(N36,Data!$A$2:$A$497,1))),"")</f>
      </c>
      <c r="AN48" s="560">
        <f>IFERROR(LN(INDEX(Data!$D$2:$D$497,MATCH(N48,Data!$A$2:$A$497,1))/INDEX(Data!$D$2:$D$497,MATCH(N36,Data!$A$2:$A$497,1))),"")</f>
      </c>
      <c r="AO48" s="560">
        <f>IFERROR(LN(INDEX(Data!$E$2:$E$497,MATCH(N48,Data!$A$2:$A$497,1))/INDEX(Data!$E$2:$E$497,MATCH(N36,Data!$A$2:$A$497,1))),"")</f>
      </c>
      <c r="AP48" s="560">
        <f>IFERROR(LN(INDEX(Data!$F$2:$F$497,MATCH(N48,Data!$A$2:$A$497,1))/INDEX(Data!$F$2:$F$497,MATCH(N36,Data!$A$2:$A$497,1))),"")</f>
      </c>
      <c r="AQ48" s="560">
        <f>IFERROR(LN(INDEX(Data!$G$2:$G$497,MATCH(N48,Data!$A$2:$A$497,1))/INDEX(Data!$G$2:$G$497,MATCH(N36,Data!$A$2:$A$497,1))),"")</f>
      </c>
      <c r="AR48" s="560">
        <f>IFERROR(LN(INDEX(Data!$H$2:$H$497,MATCH(N48,Data!$A$2:$A$497,1))/INDEX(Data!$H$2:$H$497,MATCH(N36,Data!$A$2:$A$497,1))),"")</f>
      </c>
      <c r="AS48" s="560">
        <f>IFERROR(LN(INDEX(Data!$I$2:$I$497,MATCH(N48,Data!$A$2:$A$497,1))/INDEX(Data!$I$2:$I$497,MATCH(N36,Data!$A$2:$A$497,1))),"")</f>
      </c>
      <c r="AT48" s="560">
        <f>IFERROR(LN(INDEX(Data!$J$2:$J$497,MATCH(N48,Data!$A$2:$A$497,1))/INDEX(Data!$J$2:$J$497,MATCH(N36,Data!$A$2:$A$497,1))),"")</f>
      </c>
      <c r="AU48" s="560">
        <f>IFERROR(LN(INDEX(Data!$K$2:$K$497,MATCH(N48,Data!$A$2:$A$497,1))/INDEX(Data!$K$2:$K$497,MATCH(N36,Data!$A$2:$A$497,1))),"")</f>
      </c>
      <c r="AV48" s="561">
        <f>IFERROR(LN(INDEX(Data!$L$2:$L$497,MATCH(N48,Data!$A$2:$A$497,1))/INDEX(Data!$L$2:$L$497,MATCH(N36,Data!$A$2:$A$497,1))),"")</f>
      </c>
    </row>
    <row r="49">
      <c r="N49" s="337" t="n">
        <v>26206</v>
      </c>
      <c r="O49" s="116">
        <f>INDEX('Additional data'!$B$2:$B$965,MATCH(DATE(YEAR(N49),MONTH(N49),1),'Additional data'!$A$2:$A$965,0))</f>
        <v>3.56</v>
      </c>
      <c r="P49" s="489">
        <f>LN(O49)</f>
        <v>1.26976054486394</v>
      </c>
      <c r="Q49" s="489">
        <f>Q48+LN(1+INDEX('Additional data'!$H$2:$H$1196,MATCH(N49,'Additional data'!$G$2:$G$1196,1))+INDEX('Additional data'!$I$2:$I$1196,MATCH(N49,'Additional data'!$G$2:$G$1196,1)))</f>
        <v>0.122246568391542</v>
      </c>
      <c r="R49" s="77" t="n"/>
      <c r="S49" s="116">
        <f>IF(INDEX('Additional data'!$E$2:$E$699,MATCH(DATE(YEAR(N49),MONTH(N49),1),'Additional data'!$D$2:$D$699,0))=0,(INDEX('Additional data'!$E$2:$E$699,MATCH(DATE(YEAR(N49),MONTH(N49),1),'Additional data'!$D$2:$D$699,0)-1)+INDEX('Additional data'!$E$2:$E$699,MATCH(DATE(YEAR(N49),MONTH(N49),1),'Additional data'!$D$2:$D$699,0)+1))/2,INDEX('Additional data'!$E$2:$E$699,MATCH(DATE(YEAR(N49),MONTH(N49),1),'Additional data'!$D$2:$D$699,0)))</f>
        <v>6.45</v>
      </c>
      <c r="T49" s="425">
        <f>P49-P48</f>
        <v>0</v>
      </c>
      <c r="U49" s="425">
        <f>Q49-Q48</f>
        <v>-0.00491204436102063</v>
      </c>
      <c r="V49" s="77" t="n"/>
      <c r="W49" s="116">
        <f>S49-S48</f>
        <v>-0.25</v>
      </c>
      <c r="X49" s="425">
        <f>P49-P37</f>
        <v>0.0728123554749676</v>
      </c>
      <c r="Y49" s="425">
        <f>Q49-Q37</f>
        <v>0.19621744055339</v>
      </c>
      <c r="Z49" s="77" t="n"/>
      <c r="AA49" s="116">
        <f>S49-S37</f>
        <v>0.100000000000001</v>
      </c>
      <c r="AB49" s="77" t="n"/>
      <c r="AC49" s="77" t="n"/>
      <c r="AD49" s="77" t="n"/>
      <c r="AE49" s="237" t="n"/>
      <c r="AG49" s="554">
        <f>N49</f>
        <v>26206.0</v>
      </c>
      <c r="AH49" s="435">
        <f>IFERROR(INDEX('RBA 5Y yield'!$B$5:$B$661,MATCH(N49,'RBA 5Y yield'!$A$5:$A$661,1))*100,"")</f>
      </c>
      <c r="AI49" s="435">
        <f>IF(AND(ISNUMBER(AH49),ISNUMBER(AH48)),AH49-AH48,"")</f>
      </c>
      <c r="AJ49" s="435">
        <f>IF(AND(ISNUMBER(AH49),ISNUMBER(AH37)),AH49-AH37,"")</f>
      </c>
      <c r="AK49" s="555" t="inlineStr"/>
      <c r="AL49" s="560">
        <f>IFERROR(LN(INDEX(Data!$B$2:$B$497,MATCH(N49,Data!$A$2:$A$497,1))/INDEX(Data!$B$2:$B$497,MATCH(N37,Data!$A$2:$A$497,1))),"")</f>
      </c>
      <c r="AM49" s="560">
        <f>IFERROR(LN(INDEX(Data!$C$2:$C$497,MATCH(N49,Data!$A$2:$A$497,1))/INDEX(Data!$C$2:$C$497,MATCH(N37,Data!$A$2:$A$497,1))),"")</f>
      </c>
      <c r="AN49" s="560">
        <f>IFERROR(LN(INDEX(Data!$D$2:$D$497,MATCH(N49,Data!$A$2:$A$497,1))/INDEX(Data!$D$2:$D$497,MATCH(N37,Data!$A$2:$A$497,1))),"")</f>
      </c>
      <c r="AO49" s="560">
        <f>IFERROR(LN(INDEX(Data!$E$2:$E$497,MATCH(N49,Data!$A$2:$A$497,1))/INDEX(Data!$E$2:$E$497,MATCH(N37,Data!$A$2:$A$497,1))),"")</f>
      </c>
      <c r="AP49" s="560">
        <f>IFERROR(LN(INDEX(Data!$F$2:$F$497,MATCH(N49,Data!$A$2:$A$497,1))/INDEX(Data!$F$2:$F$497,MATCH(N37,Data!$A$2:$A$497,1))),"")</f>
      </c>
      <c r="AQ49" s="560">
        <f>IFERROR(LN(INDEX(Data!$G$2:$G$497,MATCH(N49,Data!$A$2:$A$497,1))/INDEX(Data!$G$2:$G$497,MATCH(N37,Data!$A$2:$A$497,1))),"")</f>
      </c>
      <c r="AR49" s="560">
        <f>IFERROR(LN(INDEX(Data!$H$2:$H$497,MATCH(N49,Data!$A$2:$A$497,1))/INDEX(Data!$H$2:$H$497,MATCH(N37,Data!$A$2:$A$497,1))),"")</f>
      </c>
      <c r="AS49" s="560">
        <f>IFERROR(LN(INDEX(Data!$I$2:$I$497,MATCH(N49,Data!$A$2:$A$497,1))/INDEX(Data!$I$2:$I$497,MATCH(N37,Data!$A$2:$A$497,1))),"")</f>
      </c>
      <c r="AT49" s="560">
        <f>IFERROR(LN(INDEX(Data!$J$2:$J$497,MATCH(N49,Data!$A$2:$A$497,1))/INDEX(Data!$J$2:$J$497,MATCH(N37,Data!$A$2:$A$497,1))),"")</f>
      </c>
      <c r="AU49" s="560">
        <f>IFERROR(LN(INDEX(Data!$K$2:$K$497,MATCH(N49,Data!$A$2:$A$497,1))/INDEX(Data!$K$2:$K$497,MATCH(N37,Data!$A$2:$A$497,1))),"")</f>
      </c>
      <c r="AV49" s="561">
        <f>IFERROR(LN(INDEX(Data!$L$2:$L$497,MATCH(N49,Data!$A$2:$A$497,1))/INDEX(Data!$L$2:$L$497,MATCH(N37,Data!$A$2:$A$497,1))),"")</f>
      </c>
    </row>
    <row r="50">
      <c r="A50" s="181" t="inlineStr">
        <is>
          <t>5. Likelihood (1968-2026)</t>
        </is>
      </c>
      <c r="B50" s="182" t="n"/>
      <c r="C50" s="183" t="n"/>
      <c r="N50" s="337" t="n">
        <v>26237</v>
      </c>
      <c r="O50" s="116">
        <f>INDEX('Additional data'!$B$2:$B$965,MATCH(DATE(YEAR(N50),MONTH(N50),1),'Additional data'!$A$2:$A$965,0))</f>
        <v>3.56</v>
      </c>
      <c r="P50" s="489">
        <f>LN(O50)</f>
        <v>1.26976054486394</v>
      </c>
      <c r="Q50" s="489">
        <f>Q49+LN(1+INDEX('Additional data'!$H$2:$H$1196,MATCH(N50,'Additional data'!$G$2:$G$1196,1))+INDEX('Additional data'!$I$2:$I$1196,MATCH(N50,'Additional data'!$G$2:$G$1196,1)))</f>
        <v>0.0809036048571595</v>
      </c>
      <c r="R50" s="77" t="n"/>
      <c r="S50" s="116">
        <f>IF(INDEX('Additional data'!$E$2:$E$699,MATCH(DATE(YEAR(N50),MONTH(N50),1),'Additional data'!$D$2:$D$699,0))=0,(INDEX('Additional data'!$E$2:$E$699,MATCH(DATE(YEAR(N50),MONTH(N50),1),'Additional data'!$D$2:$D$699,0)-1)+INDEX('Additional data'!$E$2:$E$699,MATCH(DATE(YEAR(N50),MONTH(N50),1),'Additional data'!$D$2:$D$699,0)+1))/2,INDEX('Additional data'!$E$2:$E$699,MATCH(DATE(YEAR(N50),MONTH(N50),1),'Additional data'!$D$2:$D$699,0)))</f>
        <v>6.3</v>
      </c>
      <c r="T50" s="425">
        <f>P50-P49</f>
        <v>0</v>
      </c>
      <c r="U50" s="425">
        <f>Q50-Q49</f>
        <v>-0.0413429635343824</v>
      </c>
      <c r="V50" s="77" t="n"/>
      <c r="W50" s="116">
        <f>S50-S49</f>
        <v>-0.15</v>
      </c>
      <c r="X50" s="425">
        <f>P50-P38</f>
        <v>0.0728123554749676</v>
      </c>
      <c r="Y50" s="425">
        <f>Q50-Q38</f>
        <v>0.1731402858259</v>
      </c>
      <c r="Z50" s="77" t="n"/>
      <c r="AA50" s="116">
        <f>S50-S38</f>
        <v>-0.100000000000001</v>
      </c>
      <c r="AB50" s="77" t="n"/>
      <c r="AC50" s="77" t="n"/>
      <c r="AD50" s="77" t="n"/>
      <c r="AE50" s="237" t="n"/>
      <c r="AG50" s="554">
        <f>N50</f>
        <v>26237.0</v>
      </c>
      <c r="AH50" s="435">
        <f>IFERROR(INDEX('RBA 5Y yield'!$B$5:$B$661,MATCH(N50,'RBA 5Y yield'!$A$5:$A$661,1))*100,"")</f>
      </c>
      <c r="AI50" s="435">
        <f>IF(AND(ISNUMBER(AH50),ISNUMBER(AH49)),AH50-AH49,"")</f>
      </c>
      <c r="AJ50" s="435">
        <f>IF(AND(ISNUMBER(AH50),ISNUMBER(AH38)),AH50-AH38,"")</f>
      </c>
      <c r="AK50" s="555" t="inlineStr"/>
      <c r="AL50" s="560">
        <f>IFERROR(LN(INDEX(Data!$B$2:$B$497,MATCH(N50,Data!$A$2:$A$497,1))/INDEX(Data!$B$2:$B$497,MATCH(N38,Data!$A$2:$A$497,1))),"")</f>
      </c>
      <c r="AM50" s="560">
        <f>IFERROR(LN(INDEX(Data!$C$2:$C$497,MATCH(N50,Data!$A$2:$A$497,1))/INDEX(Data!$C$2:$C$497,MATCH(N38,Data!$A$2:$A$497,1))),"")</f>
      </c>
      <c r="AN50" s="560">
        <f>IFERROR(LN(INDEX(Data!$D$2:$D$497,MATCH(N50,Data!$A$2:$A$497,1))/INDEX(Data!$D$2:$D$497,MATCH(N38,Data!$A$2:$A$497,1))),"")</f>
      </c>
      <c r="AO50" s="560">
        <f>IFERROR(LN(INDEX(Data!$E$2:$E$497,MATCH(N50,Data!$A$2:$A$497,1))/INDEX(Data!$E$2:$E$497,MATCH(N38,Data!$A$2:$A$497,1))),"")</f>
      </c>
      <c r="AP50" s="560">
        <f>IFERROR(LN(INDEX(Data!$F$2:$F$497,MATCH(N50,Data!$A$2:$A$497,1))/INDEX(Data!$F$2:$F$497,MATCH(N38,Data!$A$2:$A$497,1))),"")</f>
      </c>
      <c r="AQ50" s="560">
        <f>IFERROR(LN(INDEX(Data!$G$2:$G$497,MATCH(N50,Data!$A$2:$A$497,1))/INDEX(Data!$G$2:$G$497,MATCH(N38,Data!$A$2:$A$497,1))),"")</f>
      </c>
      <c r="AR50" s="560">
        <f>IFERROR(LN(INDEX(Data!$H$2:$H$497,MATCH(N50,Data!$A$2:$A$497,1))/INDEX(Data!$H$2:$H$497,MATCH(N38,Data!$A$2:$A$497,1))),"")</f>
      </c>
      <c r="AS50" s="560">
        <f>IFERROR(LN(INDEX(Data!$I$2:$I$497,MATCH(N50,Data!$A$2:$A$497,1))/INDEX(Data!$I$2:$I$497,MATCH(N38,Data!$A$2:$A$497,1))),"")</f>
      </c>
      <c r="AT50" s="560">
        <f>IFERROR(LN(INDEX(Data!$J$2:$J$497,MATCH(N50,Data!$A$2:$A$497,1))/INDEX(Data!$J$2:$J$497,MATCH(N38,Data!$A$2:$A$497,1))),"")</f>
      </c>
      <c r="AU50" s="560">
        <f>IFERROR(LN(INDEX(Data!$K$2:$K$497,MATCH(N50,Data!$A$2:$A$497,1))/INDEX(Data!$K$2:$K$497,MATCH(N38,Data!$A$2:$A$497,1))),"")</f>
      </c>
      <c r="AV50" s="561">
        <f>IFERROR(LN(INDEX(Data!$L$2:$L$497,MATCH(N50,Data!$A$2:$A$497,1))/INDEX(Data!$L$2:$L$497,MATCH(N38,Data!$A$2:$A$497,1))),"")</f>
      </c>
    </row>
    <row r="51">
      <c r="A51" s="187" t="inlineStr">
        <is>
          <t>12-month windows with a rise this large</t>
        </is>
      </c>
      <c r="B51" s="68">
        <f>COUNTIF($X$17:$X$701,"&gt;="&amp;$B$7)/COUNT($X$17:$X$701)</f>
        <v>0.106569343065693</v>
      </c>
      <c r="C51" s="269" t="n"/>
      <c r="N51" s="337" t="n">
        <v>26267</v>
      </c>
      <c r="O51" s="116">
        <f>INDEX('Additional data'!$B$2:$B$965,MATCH(DATE(YEAR(N51),MONTH(N51),1),'Additional data'!$A$2:$A$965,0))</f>
        <v>3.56</v>
      </c>
      <c r="P51" s="489">
        <f>LN(O51)</f>
        <v>1.26976054486394</v>
      </c>
      <c r="Q51" s="489">
        <f>Q50+LN(1+INDEX('Additional data'!$H$2:$H$1196,MATCH(N51,'Additional data'!$G$2:$G$1196,1))+INDEX('Additional data'!$I$2:$I$1196,MATCH(N51,'Additional data'!$G$2:$G$1196,1)))</f>
        <v>0.0800031996139953</v>
      </c>
      <c r="R51" s="77" t="n"/>
      <c r="S51" s="116">
        <f>IF(INDEX('Additional data'!$E$2:$E$699,MATCH(DATE(YEAR(N51),MONTH(N51),1),'Additional data'!$D$2:$D$699,0))=0,(INDEX('Additional data'!$E$2:$E$699,MATCH(DATE(YEAR(N51),MONTH(N51),1),'Additional data'!$D$2:$D$699,0)-1)+INDEX('Additional data'!$E$2:$E$699,MATCH(DATE(YEAR(N51),MONTH(N51),1),'Additional data'!$D$2:$D$699,0)+1))/2,INDEX('Additional data'!$E$2:$E$699,MATCH(DATE(YEAR(N51),MONTH(N51),1),'Additional data'!$D$2:$D$699,0)))</f>
        <v>6</v>
      </c>
      <c r="T51" s="425">
        <f>P51-P50</f>
        <v>0</v>
      </c>
      <c r="U51" s="425">
        <f>Q51-Q50</f>
        <v>-0.000900405243164149</v>
      </c>
      <c r="V51" s="77" t="n"/>
      <c r="W51" s="116">
        <f>S51-S50</f>
        <v>-0.3</v>
      </c>
      <c r="X51" s="425">
        <f>P51-P39</f>
        <v>0.0728123554749676</v>
      </c>
      <c r="Y51" s="425">
        <f>Q51-Q39</f>
        <v>0.122688101753488</v>
      </c>
      <c r="Z51" s="77" t="n"/>
      <c r="AA51" s="116">
        <f>S51-S39</f>
        <v>-0.2</v>
      </c>
      <c r="AB51" s="77" t="n"/>
      <c r="AC51" s="77" t="n"/>
      <c r="AD51" s="77" t="n"/>
      <c r="AE51" s="237" t="n"/>
      <c r="AG51" s="554">
        <f>N51</f>
        <v>26267.0</v>
      </c>
      <c r="AH51" s="435">
        <f>IFERROR(INDEX('RBA 5Y yield'!$B$5:$B$661,MATCH(N51,'RBA 5Y yield'!$A$5:$A$661,1))*100,"")</f>
      </c>
      <c r="AI51" s="435">
        <f>IF(AND(ISNUMBER(AH51),ISNUMBER(AH50)),AH51-AH50,"")</f>
      </c>
      <c r="AJ51" s="435">
        <f>IF(AND(ISNUMBER(AH51),ISNUMBER(AH39)),AH51-AH39,"")</f>
      </c>
      <c r="AK51" s="555" t="inlineStr"/>
      <c r="AL51" s="560">
        <f>IFERROR(LN(INDEX(Data!$B$2:$B$497,MATCH(N51,Data!$A$2:$A$497,1))/INDEX(Data!$B$2:$B$497,MATCH(N39,Data!$A$2:$A$497,1))),"")</f>
      </c>
      <c r="AM51" s="560">
        <f>IFERROR(LN(INDEX(Data!$C$2:$C$497,MATCH(N51,Data!$A$2:$A$497,1))/INDEX(Data!$C$2:$C$497,MATCH(N39,Data!$A$2:$A$497,1))),"")</f>
      </c>
      <c r="AN51" s="560">
        <f>IFERROR(LN(INDEX(Data!$D$2:$D$497,MATCH(N51,Data!$A$2:$A$497,1))/INDEX(Data!$D$2:$D$497,MATCH(N39,Data!$A$2:$A$497,1))),"")</f>
      </c>
      <c r="AO51" s="560">
        <f>IFERROR(LN(INDEX(Data!$E$2:$E$497,MATCH(N51,Data!$A$2:$A$497,1))/INDEX(Data!$E$2:$E$497,MATCH(N39,Data!$A$2:$A$497,1))),"")</f>
      </c>
      <c r="AP51" s="560">
        <f>IFERROR(LN(INDEX(Data!$F$2:$F$497,MATCH(N51,Data!$A$2:$A$497,1))/INDEX(Data!$F$2:$F$497,MATCH(N39,Data!$A$2:$A$497,1))),"")</f>
      </c>
      <c r="AQ51" s="560">
        <f>IFERROR(LN(INDEX(Data!$G$2:$G$497,MATCH(N51,Data!$A$2:$A$497,1))/INDEX(Data!$G$2:$G$497,MATCH(N39,Data!$A$2:$A$497,1))),"")</f>
      </c>
      <c r="AR51" s="560">
        <f>IFERROR(LN(INDEX(Data!$H$2:$H$497,MATCH(N51,Data!$A$2:$A$497,1))/INDEX(Data!$H$2:$H$497,MATCH(N39,Data!$A$2:$A$497,1))),"")</f>
      </c>
      <c r="AS51" s="560">
        <f>IFERROR(LN(INDEX(Data!$I$2:$I$497,MATCH(N51,Data!$A$2:$A$497,1))/INDEX(Data!$I$2:$I$497,MATCH(N39,Data!$A$2:$A$497,1))),"")</f>
      </c>
      <c r="AT51" s="560">
        <f>IFERROR(LN(INDEX(Data!$J$2:$J$497,MATCH(N51,Data!$A$2:$A$497,1))/INDEX(Data!$J$2:$J$497,MATCH(N39,Data!$A$2:$A$497,1))),"")</f>
      </c>
      <c r="AU51" s="560">
        <f>IFERROR(LN(INDEX(Data!$K$2:$K$497,MATCH(N51,Data!$A$2:$A$497,1))/INDEX(Data!$K$2:$K$497,MATCH(N39,Data!$A$2:$A$497,1))),"")</f>
      </c>
      <c r="AV51" s="561">
        <f>IFERROR(LN(INDEX(Data!$L$2:$L$497,MATCH(N51,Data!$A$2:$A$497,1))/INDEX(Data!$L$2:$L$497,MATCH(N39,Data!$A$2:$A$497,1))),"")</f>
      </c>
    </row>
    <row r="52">
      <c r="A52" s="187" t="inlineStr">
        <is>
          <t>12-month windows (count)</t>
        </is>
      </c>
      <c r="B52" s="342">
        <f>COUNT($X$17:$X$701)</f>
        <v>685</v>
      </c>
      <c r="C52" s="269" t="n"/>
      <c r="N52" s="337" t="n">
        <v>26298</v>
      </c>
      <c r="O52" s="116">
        <f>INDEX('Additional data'!$B$2:$B$965,MATCH(DATE(YEAR(N52),MONTH(N52),1),'Additional data'!$A$2:$A$965,0))</f>
        <v>3.56</v>
      </c>
      <c r="P52" s="489">
        <f>LN(O52)</f>
        <v>1.26976054486394</v>
      </c>
      <c r="Q52" s="489">
        <f>Q51+LN(1+INDEX('Additional data'!$H$2:$H$1196,MATCH(N52,'Additional data'!$G$2:$G$1196,1))+INDEX('Additional data'!$I$2:$I$1196,MATCH(N52,'Additional data'!$G$2:$G$1196,1)))</f>
        <v>0.166914571603292</v>
      </c>
      <c r="R52" s="77" t="n"/>
      <c r="S52" s="116">
        <f>IF(INDEX('Additional data'!$E$2:$E$699,MATCH(DATE(YEAR(N52),MONTH(N52),1),'Additional data'!$D$2:$D$699,0))=0,(INDEX('Additional data'!$E$2:$E$699,MATCH(DATE(YEAR(N52),MONTH(N52),1),'Additional data'!$D$2:$D$699,0)-1)+INDEX('Additional data'!$E$2:$E$699,MATCH(DATE(YEAR(N52),MONTH(N52),1),'Additional data'!$D$2:$D$699,0)+1))/2,INDEX('Additional data'!$E$2:$E$699,MATCH(DATE(YEAR(N52),MONTH(N52),1),'Additional data'!$D$2:$D$699,0)))</f>
        <v>5.9</v>
      </c>
      <c r="T52" s="425">
        <f>P52-P51</f>
        <v>0</v>
      </c>
      <c r="U52" s="425">
        <f>Q52-Q51</f>
        <v>0.0869113719892964</v>
      </c>
      <c r="V52" s="77" t="n"/>
      <c r="W52" s="116">
        <f>S52-S51</f>
        <v>-0.0999999999999996</v>
      </c>
      <c r="X52" s="425">
        <f>P52-P40</f>
        <v>0</v>
      </c>
      <c r="Y52" s="425">
        <f>Q52-Q40</f>
        <v>0.149822269706924</v>
      </c>
      <c r="Z52" s="77" t="n"/>
      <c r="AA52" s="116">
        <f>S52-S40</f>
        <v>-0.6</v>
      </c>
      <c r="AB52" s="77" t="n"/>
      <c r="AC52" s="77" t="n"/>
      <c r="AD52" s="77" t="n"/>
      <c r="AE52" s="237" t="n"/>
      <c r="AG52" s="554">
        <f>N52</f>
        <v>26298.0</v>
      </c>
      <c r="AH52" s="435">
        <f>IFERROR(INDEX('RBA 5Y yield'!$B$5:$B$661,MATCH(N52,'RBA 5Y yield'!$A$5:$A$661,1))*100,"")</f>
      </c>
      <c r="AI52" s="435">
        <f>IF(AND(ISNUMBER(AH52),ISNUMBER(AH51)),AH52-AH51,"")</f>
      </c>
      <c r="AJ52" s="435">
        <f>IF(AND(ISNUMBER(AH52),ISNUMBER(AH40)),AH52-AH40,"")</f>
      </c>
      <c r="AK52" s="555" t="inlineStr"/>
      <c r="AL52" s="560">
        <f>IFERROR(LN(INDEX(Data!$B$2:$B$497,MATCH(N52,Data!$A$2:$A$497,1))/INDEX(Data!$B$2:$B$497,MATCH(N40,Data!$A$2:$A$497,1))),"")</f>
      </c>
      <c r="AM52" s="560">
        <f>IFERROR(LN(INDEX(Data!$C$2:$C$497,MATCH(N52,Data!$A$2:$A$497,1))/INDEX(Data!$C$2:$C$497,MATCH(N40,Data!$A$2:$A$497,1))),"")</f>
      </c>
      <c r="AN52" s="560">
        <f>IFERROR(LN(INDEX(Data!$D$2:$D$497,MATCH(N52,Data!$A$2:$A$497,1))/INDEX(Data!$D$2:$D$497,MATCH(N40,Data!$A$2:$A$497,1))),"")</f>
      </c>
      <c r="AO52" s="560">
        <f>IFERROR(LN(INDEX(Data!$E$2:$E$497,MATCH(N52,Data!$A$2:$A$497,1))/INDEX(Data!$E$2:$E$497,MATCH(N40,Data!$A$2:$A$497,1))),"")</f>
      </c>
      <c r="AP52" s="560">
        <f>IFERROR(LN(INDEX(Data!$F$2:$F$497,MATCH(N52,Data!$A$2:$A$497,1))/INDEX(Data!$F$2:$F$497,MATCH(N40,Data!$A$2:$A$497,1))),"")</f>
      </c>
      <c r="AQ52" s="560">
        <f>IFERROR(LN(INDEX(Data!$G$2:$G$497,MATCH(N52,Data!$A$2:$A$497,1))/INDEX(Data!$G$2:$G$497,MATCH(N40,Data!$A$2:$A$497,1))),"")</f>
      </c>
      <c r="AR52" s="560">
        <f>IFERROR(LN(INDEX(Data!$H$2:$H$497,MATCH(N52,Data!$A$2:$A$497,1))/INDEX(Data!$H$2:$H$497,MATCH(N40,Data!$A$2:$A$497,1))),"")</f>
      </c>
      <c r="AS52" s="560">
        <f>IFERROR(LN(INDEX(Data!$I$2:$I$497,MATCH(N52,Data!$A$2:$A$497,1))/INDEX(Data!$I$2:$I$497,MATCH(N40,Data!$A$2:$A$497,1))),"")</f>
      </c>
      <c r="AT52" s="560">
        <f>IFERROR(LN(INDEX(Data!$J$2:$J$497,MATCH(N52,Data!$A$2:$A$497,1))/INDEX(Data!$J$2:$J$497,MATCH(N40,Data!$A$2:$A$497,1))),"")</f>
      </c>
      <c r="AU52" s="560">
        <f>IFERROR(LN(INDEX(Data!$K$2:$K$497,MATCH(N52,Data!$A$2:$A$497,1))/INDEX(Data!$K$2:$K$497,MATCH(N40,Data!$A$2:$A$497,1))),"")</f>
      </c>
      <c r="AV52" s="561">
        <f>IFERROR(LN(INDEX(Data!$L$2:$L$497,MATCH(N52,Data!$A$2:$A$497,1))/INDEX(Data!$L$2:$L$497,MATCH(N40,Data!$A$2:$A$497,1))),"")</f>
      </c>
    </row>
    <row r="53">
      <c r="A53" s="190" t="inlineStr">
        <is>
          <t>60-month windows with a rise this large</t>
        </is>
      </c>
      <c r="B53" s="306">
        <f>COUNTIF($AB$65:$AB$701,"&gt;="&amp;$B$7)/COUNT($AB$65:$AB$701)</f>
        <v>0.403453689167975</v>
      </c>
      <c r="C53" s="357" t="n"/>
      <c r="N53" s="337" t="n">
        <v>26329</v>
      </c>
      <c r="O53" s="116">
        <f>INDEX('Additional data'!$B$2:$B$965,MATCH(DATE(YEAR(N53),MONTH(N53),1),'Additional data'!$A$2:$A$965,0))</f>
        <v>3.56</v>
      </c>
      <c r="P53" s="489">
        <f>LN(O53)</f>
        <v>1.26976054486394</v>
      </c>
      <c r="Q53" s="489">
        <f>Q52+LN(1+INDEX('Additional data'!$H$2:$H$1196,MATCH(N53,'Additional data'!$G$2:$G$1196,1))+INDEX('Additional data'!$I$2:$I$1196,MATCH(N53,'Additional data'!$G$2:$G$1196,1)))</f>
        <v>0.194140557856883</v>
      </c>
      <c r="R53" s="77" t="n"/>
      <c r="S53" s="116">
        <f>IF(INDEX('Additional data'!$E$2:$E$699,MATCH(DATE(YEAR(N53),MONTH(N53),1),'Additional data'!$D$2:$D$699,0))=0,(INDEX('Additional data'!$E$2:$E$699,MATCH(DATE(YEAR(N53),MONTH(N53),1),'Additional data'!$D$2:$D$699,0)-1)+INDEX('Additional data'!$E$2:$E$699,MATCH(DATE(YEAR(N53),MONTH(N53),1),'Additional data'!$D$2:$D$699,0)+1))/2,INDEX('Additional data'!$E$2:$E$699,MATCH(DATE(YEAR(N53),MONTH(N53),1),'Additional data'!$D$2:$D$699,0)))</f>
        <v>5.6</v>
      </c>
      <c r="T53" s="425">
        <f>P53-P52</f>
        <v>0</v>
      </c>
      <c r="U53" s="425">
        <f>Q53-Q52</f>
        <v>0.0272259862535913</v>
      </c>
      <c r="V53" s="77" t="n"/>
      <c r="W53" s="116">
        <f>S53-S52</f>
        <v>-0.300000000000001</v>
      </c>
      <c r="X53" s="425">
        <f>P53-P41</f>
        <v>0</v>
      </c>
      <c r="Y53" s="425">
        <f>Q53-Q41</f>
        <v>0.12626008912841</v>
      </c>
      <c r="Z53" s="77" t="n"/>
      <c r="AA53" s="116">
        <f>S53-S41</f>
        <v>-1</v>
      </c>
      <c r="AB53" s="77" t="n"/>
      <c r="AC53" s="77" t="n"/>
      <c r="AD53" s="77" t="n"/>
      <c r="AE53" s="237" t="n"/>
      <c r="AG53" s="554">
        <f>N53</f>
        <v>26329.0</v>
      </c>
      <c r="AH53" s="435">
        <f>IFERROR(INDEX('RBA 5Y yield'!$B$5:$B$661,MATCH(N53,'RBA 5Y yield'!$A$5:$A$661,1))*100,"")</f>
        <v>5.65</v>
      </c>
      <c r="AI53" s="435">
        <f>IF(AND(ISNUMBER(AH53),ISNUMBER(AH52)),AH53-AH52,"")</f>
      </c>
      <c r="AJ53" s="435">
        <f>IF(AND(ISNUMBER(AH53),ISNUMBER(AH41)),AH53-AH41,"")</f>
      </c>
      <c r="AK53" s="555" t="inlineStr"/>
      <c r="AL53" s="560">
        <f>IFERROR(LN(INDEX(Data!$B$2:$B$497,MATCH(N53,Data!$A$2:$A$497,1))/INDEX(Data!$B$2:$B$497,MATCH(N41,Data!$A$2:$A$497,1))),"")</f>
      </c>
      <c r="AM53" s="560">
        <f>IFERROR(LN(INDEX(Data!$C$2:$C$497,MATCH(N53,Data!$A$2:$A$497,1))/INDEX(Data!$C$2:$C$497,MATCH(N41,Data!$A$2:$A$497,1))),"")</f>
      </c>
      <c r="AN53" s="560">
        <f>IFERROR(LN(INDEX(Data!$D$2:$D$497,MATCH(N53,Data!$A$2:$A$497,1))/INDEX(Data!$D$2:$D$497,MATCH(N41,Data!$A$2:$A$497,1))),"")</f>
      </c>
      <c r="AO53" s="560">
        <f>IFERROR(LN(INDEX(Data!$E$2:$E$497,MATCH(N53,Data!$A$2:$A$497,1))/INDEX(Data!$E$2:$E$497,MATCH(N41,Data!$A$2:$A$497,1))),"")</f>
      </c>
      <c r="AP53" s="560">
        <f>IFERROR(LN(INDEX(Data!$F$2:$F$497,MATCH(N53,Data!$A$2:$A$497,1))/INDEX(Data!$F$2:$F$497,MATCH(N41,Data!$A$2:$A$497,1))),"")</f>
      </c>
      <c r="AQ53" s="560">
        <f>IFERROR(LN(INDEX(Data!$G$2:$G$497,MATCH(N53,Data!$A$2:$A$497,1))/INDEX(Data!$G$2:$G$497,MATCH(N41,Data!$A$2:$A$497,1))),"")</f>
      </c>
      <c r="AR53" s="560">
        <f>IFERROR(LN(INDEX(Data!$H$2:$H$497,MATCH(N53,Data!$A$2:$A$497,1))/INDEX(Data!$H$2:$H$497,MATCH(N41,Data!$A$2:$A$497,1))),"")</f>
      </c>
      <c r="AS53" s="560">
        <f>IFERROR(LN(INDEX(Data!$I$2:$I$497,MATCH(N53,Data!$A$2:$A$497,1))/INDEX(Data!$I$2:$I$497,MATCH(N41,Data!$A$2:$A$497,1))),"")</f>
      </c>
      <c r="AT53" s="560">
        <f>IFERROR(LN(INDEX(Data!$J$2:$J$497,MATCH(N53,Data!$A$2:$A$497,1))/INDEX(Data!$J$2:$J$497,MATCH(N41,Data!$A$2:$A$497,1))),"")</f>
      </c>
      <c r="AU53" s="560">
        <f>IFERROR(LN(INDEX(Data!$K$2:$K$497,MATCH(N53,Data!$A$2:$A$497,1))/INDEX(Data!$K$2:$K$497,MATCH(N41,Data!$A$2:$A$497,1))),"")</f>
      </c>
      <c r="AV53" s="561">
        <f>IFERROR(LN(INDEX(Data!$L$2:$L$497,MATCH(N53,Data!$A$2:$A$497,1))/INDEX(Data!$L$2:$L$497,MATCH(N41,Data!$A$2:$A$497,1))),"")</f>
      </c>
    </row>
    <row r="54">
      <c r="N54" s="337" t="n">
        <v>26358</v>
      </c>
      <c r="O54" s="116">
        <f>INDEX('Additional data'!$B$2:$B$965,MATCH(DATE(YEAR(N54),MONTH(N54),1),'Additional data'!$A$2:$A$965,0))</f>
        <v>3.56</v>
      </c>
      <c r="P54" s="489">
        <f>LN(O54)</f>
        <v>1.26976054486394</v>
      </c>
      <c r="Q54" s="489">
        <f>Q53+LN(1+INDEX('Additional data'!$H$2:$H$1196,MATCH(N54,'Additional data'!$G$2:$G$1196,1))+INDEX('Additional data'!$I$2:$I$1196,MATCH(N54,'Additional data'!$G$2:$G$1196,1)))</f>
        <v>0.224863730499724</v>
      </c>
      <c r="R54" s="77" t="n"/>
      <c r="S54" s="116">
        <f>IF(INDEX('Additional data'!$E$2:$E$699,MATCH(DATE(YEAR(N54),MONTH(N54),1),'Additional data'!$D$2:$D$699,0))=0,(INDEX('Additional data'!$E$2:$E$699,MATCH(DATE(YEAR(N54),MONTH(N54),1),'Additional data'!$D$2:$D$699,0)-1)+INDEX('Additional data'!$E$2:$E$699,MATCH(DATE(YEAR(N54),MONTH(N54),1),'Additional data'!$D$2:$D$699,0)+1))/2,INDEX('Additional data'!$E$2:$E$699,MATCH(DATE(YEAR(N54),MONTH(N54),1),'Additional data'!$D$2:$D$699,0)))</f>
        <v>5.5</v>
      </c>
      <c r="T54" s="425">
        <f>P54-P53</f>
        <v>0</v>
      </c>
      <c r="U54" s="425">
        <f>Q54-Q53</f>
        <v>0.0307231726428405</v>
      </c>
      <c r="V54" s="77" t="n"/>
      <c r="W54" s="116">
        <f>S54-S53</f>
        <v>-0.0999999999999996</v>
      </c>
      <c r="X54" s="425">
        <f>P54-P42</f>
        <v>0</v>
      </c>
      <c r="Y54" s="425">
        <f>Q54-Q42</f>
        <v>0.139732908364723</v>
      </c>
      <c r="Z54" s="77" t="n"/>
      <c r="AA54" s="116">
        <f>S54-S42</f>
        <v>-2.1</v>
      </c>
      <c r="AB54" s="77" t="n"/>
      <c r="AC54" s="77" t="n"/>
      <c r="AD54" s="77" t="n"/>
      <c r="AE54" s="237" t="n"/>
      <c r="AG54" s="554">
        <f>N54</f>
        <v>26358.0</v>
      </c>
      <c r="AH54" s="435">
        <f>IFERROR(INDEX('RBA 5Y yield'!$B$5:$B$661,MATCH(N54,'RBA 5Y yield'!$A$5:$A$661,1))*100,"")</f>
        <v>5.46</v>
      </c>
      <c r="AI54" s="435">
        <f>IF(AND(ISNUMBER(AH54),ISNUMBER(AH53)),AH54-AH53,"")</f>
        <v>-0.19</v>
      </c>
      <c r="AJ54" s="435">
        <f>IF(AND(ISNUMBER(AH54),ISNUMBER(AH42)),AH54-AH42,"")</f>
      </c>
      <c r="AK54" s="555" t="inlineStr"/>
      <c r="AL54" s="560">
        <f>IFERROR(LN(INDEX(Data!$B$2:$B$497,MATCH(N54,Data!$A$2:$A$497,1))/INDEX(Data!$B$2:$B$497,MATCH(N42,Data!$A$2:$A$497,1))),"")</f>
      </c>
      <c r="AM54" s="560">
        <f>IFERROR(LN(INDEX(Data!$C$2:$C$497,MATCH(N54,Data!$A$2:$A$497,1))/INDEX(Data!$C$2:$C$497,MATCH(N42,Data!$A$2:$A$497,1))),"")</f>
      </c>
      <c r="AN54" s="560">
        <f>IFERROR(LN(INDEX(Data!$D$2:$D$497,MATCH(N54,Data!$A$2:$A$497,1))/INDEX(Data!$D$2:$D$497,MATCH(N42,Data!$A$2:$A$497,1))),"")</f>
      </c>
      <c r="AO54" s="560">
        <f>IFERROR(LN(INDEX(Data!$E$2:$E$497,MATCH(N54,Data!$A$2:$A$497,1))/INDEX(Data!$E$2:$E$497,MATCH(N42,Data!$A$2:$A$497,1))),"")</f>
      </c>
      <c r="AP54" s="560">
        <f>IFERROR(LN(INDEX(Data!$F$2:$F$497,MATCH(N54,Data!$A$2:$A$497,1))/INDEX(Data!$F$2:$F$497,MATCH(N42,Data!$A$2:$A$497,1))),"")</f>
      </c>
      <c r="AQ54" s="560">
        <f>IFERROR(LN(INDEX(Data!$G$2:$G$497,MATCH(N54,Data!$A$2:$A$497,1))/INDEX(Data!$G$2:$G$497,MATCH(N42,Data!$A$2:$A$497,1))),"")</f>
      </c>
      <c r="AR54" s="560">
        <f>IFERROR(LN(INDEX(Data!$H$2:$H$497,MATCH(N54,Data!$A$2:$A$497,1))/INDEX(Data!$H$2:$H$497,MATCH(N42,Data!$A$2:$A$497,1))),"")</f>
      </c>
      <c r="AS54" s="560">
        <f>IFERROR(LN(INDEX(Data!$I$2:$I$497,MATCH(N54,Data!$A$2:$A$497,1))/INDEX(Data!$I$2:$I$497,MATCH(N42,Data!$A$2:$A$497,1))),"")</f>
      </c>
      <c r="AT54" s="560">
        <f>IFERROR(LN(INDEX(Data!$J$2:$J$497,MATCH(N54,Data!$A$2:$A$497,1))/INDEX(Data!$J$2:$J$497,MATCH(N42,Data!$A$2:$A$497,1))),"")</f>
      </c>
      <c r="AU54" s="560">
        <f>IFERROR(LN(INDEX(Data!$K$2:$K$497,MATCH(N54,Data!$A$2:$A$497,1))/INDEX(Data!$K$2:$K$497,MATCH(N42,Data!$A$2:$A$497,1))),"")</f>
      </c>
      <c r="AV54" s="561">
        <f>IFERROR(LN(INDEX(Data!$L$2:$L$497,MATCH(N54,Data!$A$2:$A$497,1))/INDEX(Data!$L$2:$L$497,MATCH(N42,Data!$A$2:$A$497,1))),"")</f>
      </c>
    </row>
    <row r="55">
      <c r="N55" s="337" t="n">
        <v>26389</v>
      </c>
      <c r="O55" s="116">
        <f>INDEX('Additional data'!$B$2:$B$965,MATCH(DATE(YEAR(N55),MONTH(N55),1),'Additional data'!$A$2:$A$965,0))</f>
        <v>3.56</v>
      </c>
      <c r="P55" s="489">
        <f>LN(O55)</f>
        <v>1.26976054486394</v>
      </c>
      <c r="Q55" s="489">
        <f>Q54+LN(1+INDEX('Additional data'!$H$2:$H$1196,MATCH(N55,'Additional data'!$G$2:$G$1196,1))+INDEX('Additional data'!$I$2:$I$1196,MATCH(N55,'Additional data'!$G$2:$G$1196,1)))</f>
        <v>0.23372435893192</v>
      </c>
      <c r="R55" s="77" t="n"/>
      <c r="S55" s="116">
        <f>IF(INDEX('Additional data'!$E$2:$E$699,MATCH(DATE(YEAR(N55),MONTH(N55),1),'Additional data'!$D$2:$D$699,0))=0,(INDEX('Additional data'!$E$2:$E$699,MATCH(DATE(YEAR(N55),MONTH(N55),1),'Additional data'!$D$2:$D$699,0)-1)+INDEX('Additional data'!$E$2:$E$699,MATCH(DATE(YEAR(N55),MONTH(N55),1),'Additional data'!$D$2:$D$699,0)+1))/2,INDEX('Additional data'!$E$2:$E$699,MATCH(DATE(YEAR(N55),MONTH(N55),1),'Additional data'!$D$2:$D$699,0)))</f>
        <v>5.5</v>
      </c>
      <c r="T55" s="425">
        <f>P55-P54</f>
        <v>0</v>
      </c>
      <c r="U55" s="425">
        <f>Q55-Q54</f>
        <v>0.00886062843219646</v>
      </c>
      <c r="V55" s="77" t="n"/>
      <c r="W55" s="116">
        <f>S55-S54</f>
        <v>0</v>
      </c>
      <c r="X55" s="425">
        <f>P55-P43</f>
        <v>0</v>
      </c>
      <c r="Y55" s="425">
        <f>Q55-Q43</f>
        <v>0.105342494802605</v>
      </c>
      <c r="Z55" s="77" t="n"/>
      <c r="AA55" s="116">
        <f>S55-S43</f>
        <v>-2.5</v>
      </c>
      <c r="AB55" s="77" t="n"/>
      <c r="AC55" s="77" t="n"/>
      <c r="AD55" s="77" t="n"/>
      <c r="AE55" s="237" t="n"/>
      <c r="AG55" s="554">
        <f>N55</f>
        <v>26389.0</v>
      </c>
      <c r="AH55" s="435">
        <f>IFERROR(INDEX('RBA 5Y yield'!$B$5:$B$661,MATCH(N55,'RBA 5Y yield'!$A$5:$A$661,1))*100,"")</f>
        <v>5.52</v>
      </c>
      <c r="AI55" s="435">
        <f>IF(AND(ISNUMBER(AH55),ISNUMBER(AH54)),AH55-AH54,"")</f>
        <v>0.0599999999999996</v>
      </c>
      <c r="AJ55" s="435">
        <f>IF(AND(ISNUMBER(AH55),ISNUMBER(AH43)),AH55-AH43,"")</f>
      </c>
      <c r="AK55" s="555" t="inlineStr"/>
      <c r="AL55" s="560">
        <f>IFERROR(LN(INDEX(Data!$B$2:$B$497,MATCH(N55,Data!$A$2:$A$497,1))/INDEX(Data!$B$2:$B$497,MATCH(N43,Data!$A$2:$A$497,1))),"")</f>
      </c>
      <c r="AM55" s="560">
        <f>IFERROR(LN(INDEX(Data!$C$2:$C$497,MATCH(N55,Data!$A$2:$A$497,1))/INDEX(Data!$C$2:$C$497,MATCH(N43,Data!$A$2:$A$497,1))),"")</f>
      </c>
      <c r="AN55" s="560">
        <f>IFERROR(LN(INDEX(Data!$D$2:$D$497,MATCH(N55,Data!$A$2:$A$497,1))/INDEX(Data!$D$2:$D$497,MATCH(N43,Data!$A$2:$A$497,1))),"")</f>
      </c>
      <c r="AO55" s="560">
        <f>IFERROR(LN(INDEX(Data!$E$2:$E$497,MATCH(N55,Data!$A$2:$A$497,1))/INDEX(Data!$E$2:$E$497,MATCH(N43,Data!$A$2:$A$497,1))),"")</f>
      </c>
      <c r="AP55" s="560">
        <f>IFERROR(LN(INDEX(Data!$F$2:$F$497,MATCH(N55,Data!$A$2:$A$497,1))/INDEX(Data!$F$2:$F$497,MATCH(N43,Data!$A$2:$A$497,1))),"")</f>
      </c>
      <c r="AQ55" s="560">
        <f>IFERROR(LN(INDEX(Data!$G$2:$G$497,MATCH(N55,Data!$A$2:$A$497,1))/INDEX(Data!$G$2:$G$497,MATCH(N43,Data!$A$2:$A$497,1))),"")</f>
      </c>
      <c r="AR55" s="560">
        <f>IFERROR(LN(INDEX(Data!$H$2:$H$497,MATCH(N55,Data!$A$2:$A$497,1))/INDEX(Data!$H$2:$H$497,MATCH(N43,Data!$A$2:$A$497,1))),"")</f>
      </c>
      <c r="AS55" s="560">
        <f>IFERROR(LN(INDEX(Data!$I$2:$I$497,MATCH(N55,Data!$A$2:$A$497,1))/INDEX(Data!$I$2:$I$497,MATCH(N43,Data!$A$2:$A$497,1))),"")</f>
      </c>
      <c r="AT55" s="560">
        <f>IFERROR(LN(INDEX(Data!$J$2:$J$497,MATCH(N55,Data!$A$2:$A$497,1))/INDEX(Data!$J$2:$J$497,MATCH(N43,Data!$A$2:$A$497,1))),"")</f>
      </c>
      <c r="AU55" s="560">
        <f>IFERROR(LN(INDEX(Data!$K$2:$K$497,MATCH(N55,Data!$A$2:$A$497,1))/INDEX(Data!$K$2:$K$497,MATCH(N43,Data!$A$2:$A$497,1))),"")</f>
      </c>
      <c r="AV55" s="561">
        <f>IFERROR(LN(INDEX(Data!$L$2:$L$497,MATCH(N55,Data!$A$2:$A$497,1))/INDEX(Data!$L$2:$L$497,MATCH(N43,Data!$A$2:$A$497,1))),"")</f>
      </c>
    </row>
    <row r="56">
      <c r="A56" s="121" t="inlineStr">
        <is>
          <t>6. Mitigation: tilt from world equities to commodities</t>
        </is>
      </c>
      <c r="B56" s="122" t="n"/>
      <c r="C56" s="122" t="n"/>
      <c r="D56" s="122" t="n"/>
      <c r="E56" s="122" t="n"/>
      <c r="F56" s="122" t="n"/>
      <c r="G56" s="122" t="n"/>
      <c r="H56" s="122" t="n"/>
      <c r="I56" s="122" t="n"/>
      <c r="J56" s="122" t="n"/>
      <c r="K56" s="122" t="n"/>
      <c r="L56" s="123" t="n"/>
      <c r="N56" s="337" t="n">
        <v>26419</v>
      </c>
      <c r="O56" s="116">
        <f>INDEX('Additional data'!$B$2:$B$965,MATCH(DATE(YEAR(N56),MONTH(N56),1),'Additional data'!$A$2:$A$965,0))</f>
        <v>3.56</v>
      </c>
      <c r="P56" s="489">
        <f>LN(O56)</f>
        <v>1.26976054486394</v>
      </c>
      <c r="Q56" s="489">
        <f>Q55+LN(1+INDEX('Additional data'!$H$2:$H$1196,MATCH(N56,'Additional data'!$G$2:$G$1196,1))+INDEX('Additional data'!$I$2:$I$1196,MATCH(N56,'Additional data'!$G$2:$G$1196,1)))</f>
        <v>0.239507603687647</v>
      </c>
      <c r="R56" s="77" t="n"/>
      <c r="S56" s="116">
        <f>IF(INDEX('Additional data'!$E$2:$E$699,MATCH(DATE(YEAR(N56),MONTH(N56),1),'Additional data'!$D$2:$D$699,0))=0,(INDEX('Additional data'!$E$2:$E$699,MATCH(DATE(YEAR(N56),MONTH(N56),1),'Additional data'!$D$2:$D$699,0)-1)+INDEX('Additional data'!$E$2:$E$699,MATCH(DATE(YEAR(N56),MONTH(N56),1),'Additional data'!$D$2:$D$699,0)+1))/2,INDEX('Additional data'!$E$2:$E$699,MATCH(DATE(YEAR(N56),MONTH(N56),1),'Additional data'!$D$2:$D$699,0)))</f>
        <v>5.5</v>
      </c>
      <c r="T56" s="425">
        <f>P56-P55</f>
        <v>0</v>
      </c>
      <c r="U56" s="425">
        <f>Q56-Q55</f>
        <v>0.00578324475572714</v>
      </c>
      <c r="V56" s="77" t="n"/>
      <c r="W56" s="116">
        <f>S56-S55</f>
        <v>0</v>
      </c>
      <c r="X56" s="425">
        <f>P56-P44</f>
        <v>0</v>
      </c>
      <c r="Y56" s="425">
        <f>Q56-Q44</f>
        <v>0.077400870156711</v>
      </c>
      <c r="Z56" s="77" t="n"/>
      <c r="AA56" s="116">
        <f>S56-S44</f>
        <v>-2.3</v>
      </c>
      <c r="AB56" s="77" t="n"/>
      <c r="AC56" s="77" t="n"/>
      <c r="AD56" s="77" t="n"/>
      <c r="AE56" s="237" t="n"/>
      <c r="AG56" s="554">
        <f>N56</f>
        <v>26419.0</v>
      </c>
      <c r="AH56" s="435">
        <f>IFERROR(INDEX('RBA 5Y yield'!$B$5:$B$661,MATCH(N56,'RBA 5Y yield'!$A$5:$A$661,1))*100,"")</f>
        <v>5.4</v>
      </c>
      <c r="AI56" s="435">
        <f>IF(AND(ISNUMBER(AH56),ISNUMBER(AH55)),AH56-AH55,"")</f>
        <v>-0.119999999999999</v>
      </c>
      <c r="AJ56" s="435">
        <f>IF(AND(ISNUMBER(AH56),ISNUMBER(AH44)),AH56-AH44,"")</f>
      </c>
      <c r="AK56" s="555" t="inlineStr"/>
      <c r="AL56" s="560">
        <f>IFERROR(LN(INDEX(Data!$B$2:$B$497,MATCH(N56,Data!$A$2:$A$497,1))/INDEX(Data!$B$2:$B$497,MATCH(N44,Data!$A$2:$A$497,1))),"")</f>
      </c>
      <c r="AM56" s="560">
        <f>IFERROR(LN(INDEX(Data!$C$2:$C$497,MATCH(N56,Data!$A$2:$A$497,1))/INDEX(Data!$C$2:$C$497,MATCH(N44,Data!$A$2:$A$497,1))),"")</f>
      </c>
      <c r="AN56" s="560">
        <f>IFERROR(LN(INDEX(Data!$D$2:$D$497,MATCH(N56,Data!$A$2:$A$497,1))/INDEX(Data!$D$2:$D$497,MATCH(N44,Data!$A$2:$A$497,1))),"")</f>
      </c>
      <c r="AO56" s="560">
        <f>IFERROR(LN(INDEX(Data!$E$2:$E$497,MATCH(N56,Data!$A$2:$A$497,1))/INDEX(Data!$E$2:$E$497,MATCH(N44,Data!$A$2:$A$497,1))),"")</f>
      </c>
      <c r="AP56" s="560">
        <f>IFERROR(LN(INDEX(Data!$F$2:$F$497,MATCH(N56,Data!$A$2:$A$497,1))/INDEX(Data!$F$2:$F$497,MATCH(N44,Data!$A$2:$A$497,1))),"")</f>
      </c>
      <c r="AQ56" s="560">
        <f>IFERROR(LN(INDEX(Data!$G$2:$G$497,MATCH(N56,Data!$A$2:$A$497,1))/INDEX(Data!$G$2:$G$497,MATCH(N44,Data!$A$2:$A$497,1))),"")</f>
      </c>
      <c r="AR56" s="560">
        <f>IFERROR(LN(INDEX(Data!$H$2:$H$497,MATCH(N56,Data!$A$2:$A$497,1))/INDEX(Data!$H$2:$H$497,MATCH(N44,Data!$A$2:$A$497,1))),"")</f>
      </c>
      <c r="AS56" s="560">
        <f>IFERROR(LN(INDEX(Data!$I$2:$I$497,MATCH(N56,Data!$A$2:$A$497,1))/INDEX(Data!$I$2:$I$497,MATCH(N44,Data!$A$2:$A$497,1))),"")</f>
      </c>
      <c r="AT56" s="560">
        <f>IFERROR(LN(INDEX(Data!$J$2:$J$497,MATCH(N56,Data!$A$2:$A$497,1))/INDEX(Data!$J$2:$J$497,MATCH(N44,Data!$A$2:$A$497,1))),"")</f>
      </c>
      <c r="AU56" s="560">
        <f>IFERROR(LN(INDEX(Data!$K$2:$K$497,MATCH(N56,Data!$A$2:$A$497,1))/INDEX(Data!$K$2:$K$497,MATCH(N44,Data!$A$2:$A$497,1))),"")</f>
      </c>
      <c r="AV56" s="561">
        <f>IFERROR(LN(INDEX(Data!$L$2:$L$497,MATCH(N56,Data!$A$2:$A$497,1))/INDEX(Data!$L$2:$L$497,MATCH(N44,Data!$A$2:$A$497,1))),"")</f>
      </c>
    </row>
    <row r="57">
      <c r="A57" s="127" t="inlineStr">
        <is>
          <t>Tilt size</t>
        </is>
      </c>
      <c r="B57" s="173" t="n">
        <v>0.02</v>
      </c>
      <c r="C57" s="77" t="n"/>
      <c r="D57" s="77" t="n"/>
      <c r="E57" s="77" t="n"/>
      <c r="F57" s="77" t="n"/>
      <c r="G57" s="77" t="n"/>
      <c r="H57" s="77" t="n"/>
      <c r="I57" s="77" t="n"/>
      <c r="J57" s="77" t="n"/>
      <c r="K57" s="77" t="n"/>
      <c r="L57" s="222" t="n"/>
      <c r="N57" s="337" t="n">
        <v>26450</v>
      </c>
      <c r="O57" s="116">
        <f>INDEX('Additional data'!$B$2:$B$965,MATCH(DATE(YEAR(N57),MONTH(N57),1),'Additional data'!$A$2:$A$965,0))</f>
        <v>3.56</v>
      </c>
      <c r="P57" s="489">
        <f>LN(O57)</f>
        <v>1.26976054486394</v>
      </c>
      <c r="Q57" s="489">
        <f>Q56+LN(1+INDEX('Additional data'!$H$2:$H$1196,MATCH(N57,'Additional data'!$G$2:$G$1196,1))+INDEX('Additional data'!$I$2:$I$1196,MATCH(N57,'Additional data'!$G$2:$G$1196,1)))</f>
        <v>0.255282522803009</v>
      </c>
      <c r="R57" s="77" t="n"/>
      <c r="S57" s="116">
        <f>IF(INDEX('Additional data'!$E$2:$E$699,MATCH(DATE(YEAR(N57),MONTH(N57),1),'Additional data'!$D$2:$D$699,0))=0,(INDEX('Additional data'!$E$2:$E$699,MATCH(DATE(YEAR(N57),MONTH(N57),1),'Additional data'!$D$2:$D$699,0)-1)+INDEX('Additional data'!$E$2:$E$699,MATCH(DATE(YEAR(N57),MONTH(N57),1),'Additional data'!$D$2:$D$699,0)+1))/2,INDEX('Additional data'!$E$2:$E$699,MATCH(DATE(YEAR(N57),MONTH(N57),1),'Additional data'!$D$2:$D$699,0)))</f>
        <v>5.6</v>
      </c>
      <c r="T57" s="425">
        <f>P57-P56</f>
        <v>0</v>
      </c>
      <c r="U57" s="425">
        <f>Q57-Q56</f>
        <v>0.015774919115362</v>
      </c>
      <c r="V57" s="77" t="n"/>
      <c r="W57" s="116">
        <f>S57-S56</f>
        <v>0.0999999999999996</v>
      </c>
      <c r="X57" s="425">
        <f>P57-P45</f>
        <v>0</v>
      </c>
      <c r="Y57" s="425">
        <f>Q57-Q45</f>
        <v>0.130877656456085</v>
      </c>
      <c r="Z57" s="77" t="n"/>
      <c r="AA57" s="116">
        <f>S57-S45</f>
        <v>-2.2</v>
      </c>
      <c r="AB57" s="77" t="n"/>
      <c r="AC57" s="77" t="n"/>
      <c r="AD57" s="77" t="n"/>
      <c r="AE57" s="237" t="n"/>
      <c r="AG57" s="554">
        <f>N57</f>
        <v>26450.0</v>
      </c>
      <c r="AH57" s="435">
        <f>IFERROR(INDEX('RBA 5Y yield'!$B$5:$B$661,MATCH(N57,'RBA 5Y yield'!$A$5:$A$661,1))*100,"")</f>
        <v>5.43</v>
      </c>
      <c r="AI57" s="435">
        <f>IF(AND(ISNUMBER(AH57),ISNUMBER(AH56)),AH57-AH56,"")</f>
        <v>0.0299999999999994</v>
      </c>
      <c r="AJ57" s="435">
        <f>IF(AND(ISNUMBER(AH57),ISNUMBER(AH45)),AH57-AH45,"")</f>
      </c>
      <c r="AK57" s="555" t="inlineStr"/>
      <c r="AL57" s="560">
        <f>IFERROR(LN(INDEX(Data!$B$2:$B$497,MATCH(N57,Data!$A$2:$A$497,1))/INDEX(Data!$B$2:$B$497,MATCH(N45,Data!$A$2:$A$497,1))),"")</f>
      </c>
      <c r="AM57" s="560">
        <f>IFERROR(LN(INDEX(Data!$C$2:$C$497,MATCH(N57,Data!$A$2:$A$497,1))/INDEX(Data!$C$2:$C$497,MATCH(N45,Data!$A$2:$A$497,1))),"")</f>
      </c>
      <c r="AN57" s="560">
        <f>IFERROR(LN(INDEX(Data!$D$2:$D$497,MATCH(N57,Data!$A$2:$A$497,1))/INDEX(Data!$D$2:$D$497,MATCH(N45,Data!$A$2:$A$497,1))),"")</f>
      </c>
      <c r="AO57" s="560">
        <f>IFERROR(LN(INDEX(Data!$E$2:$E$497,MATCH(N57,Data!$A$2:$A$497,1))/INDEX(Data!$E$2:$E$497,MATCH(N45,Data!$A$2:$A$497,1))),"")</f>
      </c>
      <c r="AP57" s="560">
        <f>IFERROR(LN(INDEX(Data!$F$2:$F$497,MATCH(N57,Data!$A$2:$A$497,1))/INDEX(Data!$F$2:$F$497,MATCH(N45,Data!$A$2:$A$497,1))),"")</f>
      </c>
      <c r="AQ57" s="560">
        <f>IFERROR(LN(INDEX(Data!$G$2:$G$497,MATCH(N57,Data!$A$2:$A$497,1))/INDEX(Data!$G$2:$G$497,MATCH(N45,Data!$A$2:$A$497,1))),"")</f>
      </c>
      <c r="AR57" s="560">
        <f>IFERROR(LN(INDEX(Data!$H$2:$H$497,MATCH(N57,Data!$A$2:$A$497,1))/INDEX(Data!$H$2:$H$497,MATCH(N45,Data!$A$2:$A$497,1))),"")</f>
      </c>
      <c r="AS57" s="560">
        <f>IFERROR(LN(INDEX(Data!$I$2:$I$497,MATCH(N57,Data!$A$2:$A$497,1))/INDEX(Data!$I$2:$I$497,MATCH(N45,Data!$A$2:$A$497,1))),"")</f>
      </c>
      <c r="AT57" s="560">
        <f>IFERROR(LN(INDEX(Data!$J$2:$J$497,MATCH(N57,Data!$A$2:$A$497,1))/INDEX(Data!$J$2:$J$497,MATCH(N45,Data!$A$2:$A$497,1))),"")</f>
      </c>
      <c r="AU57" s="560">
        <f>IFERROR(LN(INDEX(Data!$K$2:$K$497,MATCH(N57,Data!$A$2:$A$497,1))/INDEX(Data!$K$2:$K$497,MATCH(N45,Data!$A$2:$A$497,1))),"")</f>
      </c>
      <c r="AV57" s="561">
        <f>IFERROR(LN(INDEX(Data!$L$2:$L$497,MATCH(N57,Data!$A$2:$A$497,1))/INDEX(Data!$L$2:$L$497,MATCH(N45,Data!$A$2:$A$497,1))),"")</f>
      </c>
    </row>
    <row r="58" ht="28" customHeight="1">
      <c r="A58" s="124" t="inlineStr">
        <is>
          <t>Portfolio</t>
        </is>
      </c>
      <c r="B58" s="125" t="inlineStr">
        <is>
          <t>Expected return</t>
        </is>
      </c>
      <c r="C58" s="125" t="inlineStr">
        <is>
          <t>Tracking error</t>
        </is>
      </c>
      <c r="D58" s="125" t="inlineStr">
        <is>
          <t>Oil central case</t>
        </is>
      </c>
      <c r="E58" s="77" t="n"/>
      <c r="F58" s="77" t="n"/>
      <c r="G58" s="77" t="n"/>
      <c r="H58" s="77" t="n"/>
      <c r="I58" s="77" t="n"/>
      <c r="J58" s="77" t="n"/>
      <c r="K58" s="77" t="n"/>
      <c r="L58" s="222" t="n"/>
      <c r="N58" s="337" t="n">
        <v>26480</v>
      </c>
      <c r="O58" s="116">
        <f>INDEX('Additional data'!$B$2:$B$965,MATCH(DATE(YEAR(N58),MONTH(N58),1),'Additional data'!$A$2:$A$965,0))</f>
        <v>3.56</v>
      </c>
      <c r="P58" s="489">
        <f>LN(O58)</f>
        <v>1.26976054486394</v>
      </c>
      <c r="Q58" s="489">
        <f>Q57+LN(1+INDEX('Additional data'!$H$2:$H$1196,MATCH(N58,'Additional data'!$G$2:$G$1196,1))+INDEX('Additional data'!$I$2:$I$1196,MATCH(N58,'Additional data'!$G$2:$G$1196,1)))</f>
        <v>0.233650222675895</v>
      </c>
      <c r="R58" s="77" t="n"/>
      <c r="S58" s="116">
        <f>IF(INDEX('Additional data'!$E$2:$E$699,MATCH(DATE(YEAR(N58),MONTH(N58),1),'Additional data'!$D$2:$D$699,0))=0,(INDEX('Additional data'!$E$2:$E$699,MATCH(DATE(YEAR(N58),MONTH(N58),1),'Additional data'!$D$2:$D$699,0)-1)+INDEX('Additional data'!$E$2:$E$699,MATCH(DATE(YEAR(N58),MONTH(N58),1),'Additional data'!$D$2:$D$699,0)+1))/2,INDEX('Additional data'!$E$2:$E$699,MATCH(DATE(YEAR(N58),MONTH(N58),1),'Additional data'!$D$2:$D$699,0)))</f>
        <v>5.75</v>
      </c>
      <c r="T58" s="425">
        <f>P58-P57</f>
        <v>0</v>
      </c>
      <c r="U58" s="425">
        <f>Q58-Q57</f>
        <v>-0.0216323001271138</v>
      </c>
      <c r="V58" s="77" t="n"/>
      <c r="W58" s="116">
        <f>S58-S57</f>
        <v>0.15</v>
      </c>
      <c r="X58" s="425">
        <f>P58-P46</f>
        <v>0</v>
      </c>
      <c r="Y58" s="425">
        <f>Q58-Q46</f>
        <v>0.10644926902697</v>
      </c>
      <c r="Z58" s="77" t="n"/>
      <c r="AA58" s="116">
        <f>S58-S46</f>
        <v>-2.4</v>
      </c>
      <c r="AB58" s="77" t="n"/>
      <c r="AC58" s="77" t="n"/>
      <c r="AD58" s="77" t="n"/>
      <c r="AE58" s="237" t="n"/>
      <c r="AG58" s="554">
        <f>N58</f>
        <v>26480.0</v>
      </c>
      <c r="AH58" s="435">
        <f>IFERROR(INDEX('RBA 5Y yield'!$B$5:$B$661,MATCH(N58,'RBA 5Y yield'!$A$5:$A$661,1))*100,"")</f>
        <v>5.5</v>
      </c>
      <c r="AI58" s="435">
        <f>IF(AND(ISNUMBER(AH58),ISNUMBER(AH57)),AH58-AH57,"")</f>
        <v>0.0700000000000003</v>
      </c>
      <c r="AJ58" s="435">
        <f>IF(AND(ISNUMBER(AH58),ISNUMBER(AH46)),AH58-AH46,"")</f>
      </c>
      <c r="AK58" s="555" t="inlineStr"/>
      <c r="AL58" s="560">
        <f>IFERROR(LN(INDEX(Data!$B$2:$B$497,MATCH(N58,Data!$A$2:$A$497,1))/INDEX(Data!$B$2:$B$497,MATCH(N46,Data!$A$2:$A$497,1))),"")</f>
      </c>
      <c r="AM58" s="560">
        <f>IFERROR(LN(INDEX(Data!$C$2:$C$497,MATCH(N58,Data!$A$2:$A$497,1))/INDEX(Data!$C$2:$C$497,MATCH(N46,Data!$A$2:$A$497,1))),"")</f>
      </c>
      <c r="AN58" s="560">
        <f>IFERROR(LN(INDEX(Data!$D$2:$D$497,MATCH(N58,Data!$A$2:$A$497,1))/INDEX(Data!$D$2:$D$497,MATCH(N46,Data!$A$2:$A$497,1))),"")</f>
      </c>
      <c r="AO58" s="560">
        <f>IFERROR(LN(INDEX(Data!$E$2:$E$497,MATCH(N58,Data!$A$2:$A$497,1))/INDEX(Data!$E$2:$E$497,MATCH(N46,Data!$A$2:$A$497,1))),"")</f>
      </c>
      <c r="AP58" s="560">
        <f>IFERROR(LN(INDEX(Data!$F$2:$F$497,MATCH(N58,Data!$A$2:$A$497,1))/INDEX(Data!$F$2:$F$497,MATCH(N46,Data!$A$2:$A$497,1))),"")</f>
      </c>
      <c r="AQ58" s="560">
        <f>IFERROR(LN(INDEX(Data!$G$2:$G$497,MATCH(N58,Data!$A$2:$A$497,1))/INDEX(Data!$G$2:$G$497,MATCH(N46,Data!$A$2:$A$497,1))),"")</f>
      </c>
      <c r="AR58" s="560">
        <f>IFERROR(LN(INDEX(Data!$H$2:$H$497,MATCH(N58,Data!$A$2:$A$497,1))/INDEX(Data!$H$2:$H$497,MATCH(N46,Data!$A$2:$A$497,1))),"")</f>
      </c>
      <c r="AS58" s="560">
        <f>IFERROR(LN(INDEX(Data!$I$2:$I$497,MATCH(N58,Data!$A$2:$A$497,1))/INDEX(Data!$I$2:$I$497,MATCH(N46,Data!$A$2:$A$497,1))),"")</f>
      </c>
      <c r="AT58" s="560">
        <f>IFERROR(LN(INDEX(Data!$J$2:$J$497,MATCH(N58,Data!$A$2:$A$497,1))/INDEX(Data!$J$2:$J$497,MATCH(N46,Data!$A$2:$A$497,1))),"")</f>
      </c>
      <c r="AU58" s="560">
        <f>IFERROR(LN(INDEX(Data!$K$2:$K$497,MATCH(N58,Data!$A$2:$A$497,1))/INDEX(Data!$K$2:$K$497,MATCH(N46,Data!$A$2:$A$497,1))),"")</f>
      </c>
      <c r="AV58" s="561">
        <f>IFERROR(LN(INDEX(Data!$L$2:$L$497,MATCH(N58,Data!$A$2:$A$497,1))/INDEX(Data!$L$2:$L$497,MATCH(N46,Data!$A$2:$A$497,1))),"")</f>
      </c>
    </row>
    <row r="59">
      <c r="A59" s="127" t="inlineStr">
        <is>
          <t>Recommended</t>
        </is>
      </c>
      <c r="B59" s="72">
        <f>SUMPRODUCT(Risk!$B$54:$L$54,B64:L64)</f>
        <v>0.0700321062587087</v>
      </c>
      <c r="C59" s="72">
        <f>SQRT(SUMPRODUCT(MMULT(B66:L66,Risk!$B$41:$L$51),B66:L66))</f>
        <v>0.0110023822192608</v>
      </c>
      <c r="D59" s="68">
        <f>SUMPRODUCT(MMULT(B64:L64,$F$28:$F$38))</f>
        <v>-0.0836389097568949</v>
      </c>
      <c r="E59" s="77" t="n"/>
      <c r="F59" s="77" t="n"/>
      <c r="G59" s="77" t="n"/>
      <c r="H59" s="77" t="n"/>
      <c r="I59" s="77" t="n"/>
      <c r="J59" s="77" t="n"/>
      <c r="K59" s="77" t="n"/>
      <c r="L59" s="222" t="n"/>
      <c r="N59" s="337" t="n">
        <v>26511</v>
      </c>
      <c r="O59" s="116">
        <f>INDEX('Additional data'!$B$2:$B$965,MATCH(DATE(YEAR(N59),MONTH(N59),1),'Additional data'!$A$2:$A$965,0))</f>
        <v>3.56</v>
      </c>
      <c r="P59" s="489">
        <f>LN(O59)</f>
        <v>1.26976054486394</v>
      </c>
      <c r="Q59" s="489">
        <f>Q58+LN(1+INDEX('Additional data'!$H$2:$H$1196,MATCH(N59,'Additional data'!$G$2:$G$1196,1))+INDEX('Additional data'!$I$2:$I$1196,MATCH(N59,'Additional data'!$G$2:$G$1196,1)))</f>
        <v>0.228738178314875</v>
      </c>
      <c r="R59" s="77" t="n"/>
      <c r="S59" s="116">
        <f>IF(INDEX('Additional data'!$E$2:$E$699,MATCH(DATE(YEAR(N59),MONTH(N59),1),'Additional data'!$D$2:$D$699,0))=0,(INDEX('Additional data'!$E$2:$E$699,MATCH(DATE(YEAR(N59),MONTH(N59),1),'Additional data'!$D$2:$D$699,0)-1)+INDEX('Additional data'!$E$2:$E$699,MATCH(DATE(YEAR(N59),MONTH(N59),1),'Additional data'!$D$2:$D$699,0)+1))/2,INDEX('Additional data'!$E$2:$E$699,MATCH(DATE(YEAR(N59),MONTH(N59),1),'Additional data'!$D$2:$D$699,0)))</f>
        <v>4.6</v>
      </c>
      <c r="T59" s="425">
        <f>P59-P58</f>
        <v>0</v>
      </c>
      <c r="U59" s="425">
        <f>Q59-Q58</f>
        <v>-0.00491204436102063</v>
      </c>
      <c r="V59" s="77" t="n"/>
      <c r="W59" s="116">
        <f>S59-S58</f>
        <v>-1.15</v>
      </c>
      <c r="X59" s="425">
        <f>P59-P47</f>
        <v>0</v>
      </c>
      <c r="Y59" s="425">
        <f>Q59-Q47</f>
        <v>0.143297158914181</v>
      </c>
      <c r="Z59" s="77" t="n"/>
      <c r="AA59" s="116">
        <f>S59-S47</f>
        <v>-2.2</v>
      </c>
      <c r="AB59" s="77" t="n"/>
      <c r="AC59" s="77" t="n"/>
      <c r="AD59" s="77" t="n"/>
      <c r="AE59" s="237" t="n"/>
      <c r="AG59" s="554">
        <f>N59</f>
        <v>26511.0</v>
      </c>
      <c r="AH59" s="435">
        <f>IFERROR(INDEX('RBA 5Y yield'!$B$5:$B$661,MATCH(N59,'RBA 5Y yield'!$A$5:$A$661,1))*100,"")</f>
        <v>5.19</v>
      </c>
      <c r="AI59" s="435">
        <f>IF(AND(ISNUMBER(AH59),ISNUMBER(AH58)),AH59-AH58,"")</f>
        <v>-0.31</v>
      </c>
      <c r="AJ59" s="435">
        <f>IF(AND(ISNUMBER(AH59),ISNUMBER(AH47)),AH59-AH47,"")</f>
      </c>
      <c r="AK59" s="555" t="inlineStr"/>
      <c r="AL59" s="560">
        <f>IFERROR(LN(INDEX(Data!$B$2:$B$497,MATCH(N59,Data!$A$2:$A$497,1))/INDEX(Data!$B$2:$B$497,MATCH(N47,Data!$A$2:$A$497,1))),"")</f>
      </c>
      <c r="AM59" s="560">
        <f>IFERROR(LN(INDEX(Data!$C$2:$C$497,MATCH(N59,Data!$A$2:$A$497,1))/INDEX(Data!$C$2:$C$497,MATCH(N47,Data!$A$2:$A$497,1))),"")</f>
      </c>
      <c r="AN59" s="560">
        <f>IFERROR(LN(INDEX(Data!$D$2:$D$497,MATCH(N59,Data!$A$2:$A$497,1))/INDEX(Data!$D$2:$D$497,MATCH(N47,Data!$A$2:$A$497,1))),"")</f>
      </c>
      <c r="AO59" s="560">
        <f>IFERROR(LN(INDEX(Data!$E$2:$E$497,MATCH(N59,Data!$A$2:$A$497,1))/INDEX(Data!$E$2:$E$497,MATCH(N47,Data!$A$2:$A$497,1))),"")</f>
      </c>
      <c r="AP59" s="560">
        <f>IFERROR(LN(INDEX(Data!$F$2:$F$497,MATCH(N59,Data!$A$2:$A$497,1))/INDEX(Data!$F$2:$F$497,MATCH(N47,Data!$A$2:$A$497,1))),"")</f>
      </c>
      <c r="AQ59" s="560">
        <f>IFERROR(LN(INDEX(Data!$G$2:$G$497,MATCH(N59,Data!$A$2:$A$497,1))/INDEX(Data!$G$2:$G$497,MATCH(N47,Data!$A$2:$A$497,1))),"")</f>
      </c>
      <c r="AR59" s="560">
        <f>IFERROR(LN(INDEX(Data!$H$2:$H$497,MATCH(N59,Data!$A$2:$A$497,1))/INDEX(Data!$H$2:$H$497,MATCH(N47,Data!$A$2:$A$497,1))),"")</f>
      </c>
      <c r="AS59" s="560">
        <f>IFERROR(LN(INDEX(Data!$I$2:$I$497,MATCH(N59,Data!$A$2:$A$497,1))/INDEX(Data!$I$2:$I$497,MATCH(N47,Data!$A$2:$A$497,1))),"")</f>
      </c>
      <c r="AT59" s="560">
        <f>IFERROR(LN(INDEX(Data!$J$2:$J$497,MATCH(N59,Data!$A$2:$A$497,1))/INDEX(Data!$J$2:$J$497,MATCH(N47,Data!$A$2:$A$497,1))),"")</f>
      </c>
      <c r="AU59" s="560">
        <f>IFERROR(LN(INDEX(Data!$K$2:$K$497,MATCH(N59,Data!$A$2:$A$497,1))/INDEX(Data!$K$2:$K$497,MATCH(N47,Data!$A$2:$A$497,1))),"")</f>
      </c>
      <c r="AV59" s="561">
        <f>IFERROR(LN(INDEX(Data!$L$2:$L$497,MATCH(N59,Data!$A$2:$A$497,1))/INDEX(Data!$L$2:$L$497,MATCH(N47,Data!$A$2:$A$497,1))),"")</f>
      </c>
    </row>
    <row r="60">
      <c r="A60" s="127" t="inlineStr">
        <is>
          <t>Recommended + tilt</t>
        </is>
      </c>
      <c r="B60" s="72">
        <f>SUMPRODUCT(Risk!$B$54:$L$54,B65:L65)</f>
        <v>0.0698842390859716</v>
      </c>
      <c r="C60" s="72">
        <f>SQRT(SUMPRODUCT(MMULT(B67:L67,Risk!$B$41:$L$51),B67:L67))</f>
        <v>0.0117101166722005</v>
      </c>
      <c r="D60" s="68">
        <f>SUMPRODUCT(MMULT(B65:L65,$F$28:$F$38))</f>
        <v>-0.0752375418703422</v>
      </c>
      <c r="E60" s="77" t="n"/>
      <c r="F60" s="77" t="n"/>
      <c r="G60" s="77" t="n"/>
      <c r="H60" s="77" t="n"/>
      <c r="I60" s="77" t="n"/>
      <c r="J60" s="77" t="n"/>
      <c r="K60" s="77" t="n"/>
      <c r="L60" s="222" t="n"/>
      <c r="N60" s="337" t="n">
        <v>26542</v>
      </c>
      <c r="O60" s="116">
        <f>INDEX('Additional data'!$B$2:$B$965,MATCH(DATE(YEAR(N60),MONTH(N60),1),'Additional data'!$A$2:$A$965,0))</f>
        <v>3.56</v>
      </c>
      <c r="P60" s="489">
        <f>LN(O60)</f>
        <v>1.26976054486394</v>
      </c>
      <c r="Q60" s="489">
        <f>Q59+LN(1+INDEX('Additional data'!$H$2:$H$1196,MATCH(N60,'Additional data'!$G$2:$G$1196,1))+INDEX('Additional data'!$I$2:$I$1196,MATCH(N60,'Additional data'!$G$2:$G$1196,1)))</f>
        <v>0.26371914721012</v>
      </c>
      <c r="R60" s="77" t="n"/>
      <c r="S60" s="116">
        <f>IF(INDEX('Additional data'!$E$2:$E$699,MATCH(DATE(YEAR(N60),MONTH(N60),1),'Additional data'!$D$2:$D$699,0))=0,(INDEX('Additional data'!$E$2:$E$699,MATCH(DATE(YEAR(N60),MONTH(N60),1),'Additional data'!$D$2:$D$699,0)-1)+INDEX('Additional data'!$E$2:$E$699,MATCH(DATE(YEAR(N60),MONTH(N60),1),'Additional data'!$D$2:$D$699,0)+1))/2,INDEX('Additional data'!$E$2:$E$699,MATCH(DATE(YEAR(N60),MONTH(N60),1),'Additional data'!$D$2:$D$699,0)))</f>
        <v>4.6</v>
      </c>
      <c r="T60" s="425">
        <f>P60-P59</f>
        <v>0</v>
      </c>
      <c r="U60" s="425">
        <f>Q60-Q59</f>
        <v>0.0349809688952454</v>
      </c>
      <c r="V60" s="77" t="n"/>
      <c r="W60" s="116">
        <f>S60-S59</f>
        <v>0</v>
      </c>
      <c r="X60" s="425">
        <f>P60-P48</f>
        <v>0</v>
      </c>
      <c r="Y60" s="425">
        <f>Q60-Q48</f>
        <v>0.136560534457557</v>
      </c>
      <c r="Z60" s="77" t="n"/>
      <c r="AA60" s="116">
        <f>S60-S48</f>
        <v>-2.1</v>
      </c>
      <c r="AB60" s="77" t="n"/>
      <c r="AC60" s="77" t="n"/>
      <c r="AD60" s="77" t="n"/>
      <c r="AE60" s="237" t="n"/>
      <c r="AG60" s="554">
        <f>N60</f>
        <v>26542.0</v>
      </c>
      <c r="AH60" s="435">
        <f>IFERROR(INDEX('RBA 5Y yield'!$B$5:$B$661,MATCH(N60,'RBA 5Y yield'!$A$5:$A$661,1))*100,"")</f>
        <v>5.22</v>
      </c>
      <c r="AI60" s="435">
        <f>IF(AND(ISNUMBER(AH60),ISNUMBER(AH59)),AH60-AH59,"")</f>
        <v>0.0300000000000003</v>
      </c>
      <c r="AJ60" s="435">
        <f>IF(AND(ISNUMBER(AH60),ISNUMBER(AH48)),AH60-AH48,"")</f>
      </c>
      <c r="AK60" s="555" t="inlineStr"/>
      <c r="AL60" s="560">
        <f>IFERROR(LN(INDEX(Data!$B$2:$B$497,MATCH(N60,Data!$A$2:$A$497,1))/INDEX(Data!$B$2:$B$497,MATCH(N48,Data!$A$2:$A$497,1))),"")</f>
      </c>
      <c r="AM60" s="560">
        <f>IFERROR(LN(INDEX(Data!$C$2:$C$497,MATCH(N60,Data!$A$2:$A$497,1))/INDEX(Data!$C$2:$C$497,MATCH(N48,Data!$A$2:$A$497,1))),"")</f>
      </c>
      <c r="AN60" s="560">
        <f>IFERROR(LN(INDEX(Data!$D$2:$D$497,MATCH(N60,Data!$A$2:$A$497,1))/INDEX(Data!$D$2:$D$497,MATCH(N48,Data!$A$2:$A$497,1))),"")</f>
      </c>
      <c r="AO60" s="560">
        <f>IFERROR(LN(INDEX(Data!$E$2:$E$497,MATCH(N60,Data!$A$2:$A$497,1))/INDEX(Data!$E$2:$E$497,MATCH(N48,Data!$A$2:$A$497,1))),"")</f>
      </c>
      <c r="AP60" s="560">
        <f>IFERROR(LN(INDEX(Data!$F$2:$F$497,MATCH(N60,Data!$A$2:$A$497,1))/INDEX(Data!$F$2:$F$497,MATCH(N48,Data!$A$2:$A$497,1))),"")</f>
      </c>
      <c r="AQ60" s="560">
        <f>IFERROR(LN(INDEX(Data!$G$2:$G$497,MATCH(N60,Data!$A$2:$A$497,1))/INDEX(Data!$G$2:$G$497,MATCH(N48,Data!$A$2:$A$497,1))),"")</f>
      </c>
      <c r="AR60" s="560">
        <f>IFERROR(LN(INDEX(Data!$H$2:$H$497,MATCH(N60,Data!$A$2:$A$497,1))/INDEX(Data!$H$2:$H$497,MATCH(N48,Data!$A$2:$A$497,1))),"")</f>
      </c>
      <c r="AS60" s="560">
        <f>IFERROR(LN(INDEX(Data!$I$2:$I$497,MATCH(N60,Data!$A$2:$A$497,1))/INDEX(Data!$I$2:$I$497,MATCH(N48,Data!$A$2:$A$497,1))),"")</f>
      </c>
      <c r="AT60" s="560">
        <f>IFERROR(LN(INDEX(Data!$J$2:$J$497,MATCH(N60,Data!$A$2:$A$497,1))/INDEX(Data!$J$2:$J$497,MATCH(N48,Data!$A$2:$A$497,1))),"")</f>
      </c>
      <c r="AU60" s="560">
        <f>IFERROR(LN(INDEX(Data!$K$2:$K$497,MATCH(N60,Data!$A$2:$A$497,1))/INDEX(Data!$K$2:$K$497,MATCH(N48,Data!$A$2:$A$497,1))),"")</f>
      </c>
      <c r="AV60" s="561">
        <f>IFERROR(LN(INDEX(Data!$L$2:$L$497,MATCH(N60,Data!$A$2:$A$497,1))/INDEX(Data!$L$2:$L$497,MATCH(N48,Data!$A$2:$A$497,1))),"")</f>
      </c>
    </row>
    <row r="61">
      <c r="A61" s="221" t="inlineStr">
        <is>
          <t>Difference</t>
        </is>
      </c>
      <c r="B61" s="96">
        <f>B60-B59</f>
        <v>-0.000147867172737112</v>
      </c>
      <c r="C61" s="96">
        <f>C60-C59</f>
        <v>0.000707734452939689</v>
      </c>
      <c r="D61" s="69">
        <f>D60-D59</f>
        <v>0.00840136788655273</v>
      </c>
      <c r="E61" s="77" t="n"/>
      <c r="F61" s="77" t="n"/>
      <c r="G61" s="77" t="n"/>
      <c r="H61" s="77" t="n"/>
      <c r="I61" s="77" t="n"/>
      <c r="J61" s="77" t="n"/>
      <c r="K61" s="77" t="n"/>
      <c r="L61" s="222" t="n"/>
      <c r="N61" s="337" t="n">
        <v>26572</v>
      </c>
      <c r="O61" s="116">
        <f>INDEX('Additional data'!$B$2:$B$965,MATCH(DATE(YEAR(N61),MONTH(N61),1),'Additional data'!$A$2:$A$965,0))</f>
        <v>3.56</v>
      </c>
      <c r="P61" s="489">
        <f>LN(O61)</f>
        <v>1.26976054486394</v>
      </c>
      <c r="Q61" s="489">
        <f>Q60+LN(1+INDEX('Additional data'!$H$2:$H$1196,MATCH(N61,'Additional data'!$G$2:$G$1196,1))+INDEX('Additional data'!$I$2:$I$1196,MATCH(N61,'Additional data'!$G$2:$G$1196,1)))</f>
        <v>0.255686975512856</v>
      </c>
      <c r="R61" s="77" t="n"/>
      <c r="S61" s="116">
        <f>IF(INDEX('Additional data'!$E$2:$E$699,MATCH(DATE(YEAR(N61),MONTH(N61),1),'Additional data'!$D$2:$D$699,0))=0,(INDEX('Additional data'!$E$2:$E$699,MATCH(DATE(YEAR(N61),MONTH(N61),1),'Additional data'!$D$2:$D$699,0)-1)+INDEX('Additional data'!$E$2:$E$699,MATCH(DATE(YEAR(N61),MONTH(N61),1),'Additional data'!$D$2:$D$699,0)+1))/2,INDEX('Additional data'!$E$2:$E$699,MATCH(DATE(YEAR(N61),MONTH(N61),1),'Additional data'!$D$2:$D$699,0)))</f>
        <v>4.5</v>
      </c>
      <c r="T61" s="425">
        <f>P61-P60</f>
        <v>0</v>
      </c>
      <c r="U61" s="425">
        <f>Q61-Q60</f>
        <v>-0.00803217169726428</v>
      </c>
      <c r="V61" s="77" t="n"/>
      <c r="W61" s="116">
        <f>S61-S60</f>
        <v>-0.0999999999999996</v>
      </c>
      <c r="X61" s="425">
        <f>P61-P49</f>
        <v>0</v>
      </c>
      <c r="Y61" s="425">
        <f>Q61-Q49</f>
        <v>0.133440407121314</v>
      </c>
      <c r="Z61" s="77" t="n"/>
      <c r="AA61" s="116">
        <f>S61-S49</f>
        <v>-1.95</v>
      </c>
      <c r="AB61" s="77" t="n"/>
      <c r="AC61" s="77" t="n"/>
      <c r="AD61" s="77" t="n"/>
      <c r="AE61" s="237" t="n"/>
      <c r="AG61" s="554">
        <f>N61</f>
        <v>26572.0</v>
      </c>
      <c r="AH61" s="435">
        <f>IFERROR(INDEX('RBA 5Y yield'!$B$5:$B$661,MATCH(N61,'RBA 5Y yield'!$A$5:$A$661,1))*100,"")</f>
        <v>5.2</v>
      </c>
      <c r="AI61" s="435">
        <f>IF(AND(ISNUMBER(AH61),ISNUMBER(AH60)),AH61-AH60,"")</f>
        <v>-0.0200000000000005</v>
      </c>
      <c r="AJ61" s="435">
        <f>IF(AND(ISNUMBER(AH61),ISNUMBER(AH49)),AH61-AH49,"")</f>
      </c>
      <c r="AK61" s="555" t="inlineStr"/>
      <c r="AL61" s="560">
        <f>IFERROR(LN(INDEX(Data!$B$2:$B$497,MATCH(N61,Data!$A$2:$A$497,1))/INDEX(Data!$B$2:$B$497,MATCH(N49,Data!$A$2:$A$497,1))),"")</f>
      </c>
      <c r="AM61" s="560">
        <f>IFERROR(LN(INDEX(Data!$C$2:$C$497,MATCH(N61,Data!$A$2:$A$497,1))/INDEX(Data!$C$2:$C$497,MATCH(N49,Data!$A$2:$A$497,1))),"")</f>
      </c>
      <c r="AN61" s="560">
        <f>IFERROR(LN(INDEX(Data!$D$2:$D$497,MATCH(N61,Data!$A$2:$A$497,1))/INDEX(Data!$D$2:$D$497,MATCH(N49,Data!$A$2:$A$497,1))),"")</f>
      </c>
      <c r="AO61" s="560">
        <f>IFERROR(LN(INDEX(Data!$E$2:$E$497,MATCH(N61,Data!$A$2:$A$497,1))/INDEX(Data!$E$2:$E$497,MATCH(N49,Data!$A$2:$A$497,1))),"")</f>
      </c>
      <c r="AP61" s="560">
        <f>IFERROR(LN(INDEX(Data!$F$2:$F$497,MATCH(N61,Data!$A$2:$A$497,1))/INDEX(Data!$F$2:$F$497,MATCH(N49,Data!$A$2:$A$497,1))),"")</f>
      </c>
      <c r="AQ61" s="560">
        <f>IFERROR(LN(INDEX(Data!$G$2:$G$497,MATCH(N61,Data!$A$2:$A$497,1))/INDEX(Data!$G$2:$G$497,MATCH(N49,Data!$A$2:$A$497,1))),"")</f>
      </c>
      <c r="AR61" s="560">
        <f>IFERROR(LN(INDEX(Data!$H$2:$H$497,MATCH(N61,Data!$A$2:$A$497,1))/INDEX(Data!$H$2:$H$497,MATCH(N49,Data!$A$2:$A$497,1))),"")</f>
      </c>
      <c r="AS61" s="560">
        <f>IFERROR(LN(INDEX(Data!$I$2:$I$497,MATCH(N61,Data!$A$2:$A$497,1))/INDEX(Data!$I$2:$I$497,MATCH(N49,Data!$A$2:$A$497,1))),"")</f>
      </c>
      <c r="AT61" s="560">
        <f>IFERROR(LN(INDEX(Data!$J$2:$J$497,MATCH(N61,Data!$A$2:$A$497,1))/INDEX(Data!$J$2:$J$497,MATCH(N49,Data!$A$2:$A$497,1))),"")</f>
      </c>
      <c r="AU61" s="560">
        <f>IFERROR(LN(INDEX(Data!$K$2:$K$497,MATCH(N61,Data!$A$2:$A$497,1))/INDEX(Data!$K$2:$K$497,MATCH(N49,Data!$A$2:$A$497,1))),"")</f>
      </c>
      <c r="AV61" s="561">
        <f>IFERROR(LN(INDEX(Data!$L$2:$L$497,MATCH(N61,Data!$A$2:$A$497,1))/INDEX(Data!$L$2:$L$497,MATCH(N49,Data!$A$2:$A$497,1))),"")</f>
      </c>
    </row>
    <row r="62">
      <c r="A62" s="227" t="n"/>
      <c r="B62" s="77" t="n"/>
      <c r="C62" s="77" t="n"/>
      <c r="D62" s="77" t="n"/>
      <c r="E62" s="77" t="n"/>
      <c r="F62" s="77" t="n"/>
      <c r="G62" s="77" t="n"/>
      <c r="H62" s="77" t="n"/>
      <c r="I62" s="77" t="n"/>
      <c r="J62" s="77" t="n"/>
      <c r="K62" s="77" t="n"/>
      <c r="L62" s="222" t="n"/>
      <c r="N62" s="337" t="n">
        <v>26603</v>
      </c>
      <c r="O62" s="116">
        <f>INDEX('Additional data'!$B$2:$B$965,MATCH(DATE(YEAR(N62),MONTH(N62),1),'Additional data'!$A$2:$A$965,0))</f>
        <v>3.56</v>
      </c>
      <c r="P62" s="489">
        <f>LN(O62)</f>
        <v>1.26976054486394</v>
      </c>
      <c r="Q62" s="489">
        <f>Q61+LN(1+INDEX('Additional data'!$H$2:$H$1196,MATCH(N62,'Additional data'!$G$2:$G$1196,1))+INDEX('Additional data'!$I$2:$I$1196,MATCH(N62,'Additional data'!$G$2:$G$1196,1)))</f>
        <v>0.264844913297621</v>
      </c>
      <c r="R62" s="77" t="n"/>
      <c r="S62" s="116">
        <f>IF(INDEX('Additional data'!$E$2:$E$699,MATCH(DATE(YEAR(N62),MONTH(N62),1),'Additional data'!$D$2:$D$699,0))=0,(INDEX('Additional data'!$E$2:$E$699,MATCH(DATE(YEAR(N62),MONTH(N62),1),'Additional data'!$D$2:$D$699,0)-1)+INDEX('Additional data'!$E$2:$E$699,MATCH(DATE(YEAR(N62),MONTH(N62),1),'Additional data'!$D$2:$D$699,0)+1))/2,INDEX('Additional data'!$E$2:$E$699,MATCH(DATE(YEAR(N62),MONTH(N62),1),'Additional data'!$D$2:$D$699,0)))</f>
        <v>4.3</v>
      </c>
      <c r="T62" s="425">
        <f>P62-P61</f>
        <v>0</v>
      </c>
      <c r="U62" s="425">
        <f>Q62-Q61</f>
        <v>0.0091579377847657</v>
      </c>
      <c r="V62" s="77" t="n"/>
      <c r="W62" s="116">
        <f>S62-S61</f>
        <v>-0.2</v>
      </c>
      <c r="X62" s="425">
        <f>P62-P50</f>
        <v>0</v>
      </c>
      <c r="Y62" s="425">
        <f>Q62-Q50</f>
        <v>0.183941308440462</v>
      </c>
      <c r="Z62" s="77" t="n"/>
      <c r="AA62" s="116">
        <f>S62-S50</f>
        <v>-2</v>
      </c>
      <c r="AB62" s="77" t="n"/>
      <c r="AC62" s="77" t="n"/>
      <c r="AD62" s="77" t="n"/>
      <c r="AE62" s="237" t="n"/>
      <c r="AG62" s="554">
        <f>N62</f>
        <v>26603.0</v>
      </c>
      <c r="AH62" s="435">
        <f>IFERROR(INDEX('RBA 5Y yield'!$B$5:$B$661,MATCH(N62,'RBA 5Y yield'!$A$5:$A$661,1))*100,"")</f>
        <v>5.27</v>
      </c>
      <c r="AI62" s="435">
        <f>IF(AND(ISNUMBER(AH62),ISNUMBER(AH61)),AH62-AH61,"")</f>
        <v>0.0699999999999994</v>
      </c>
      <c r="AJ62" s="435">
        <f>IF(AND(ISNUMBER(AH62),ISNUMBER(AH50)),AH62-AH50,"")</f>
      </c>
      <c r="AK62" s="555" t="inlineStr"/>
      <c r="AL62" s="560">
        <f>IFERROR(LN(INDEX(Data!$B$2:$B$497,MATCH(N62,Data!$A$2:$A$497,1))/INDEX(Data!$B$2:$B$497,MATCH(N50,Data!$A$2:$A$497,1))),"")</f>
      </c>
      <c r="AM62" s="560">
        <f>IFERROR(LN(INDEX(Data!$C$2:$C$497,MATCH(N62,Data!$A$2:$A$497,1))/INDEX(Data!$C$2:$C$497,MATCH(N50,Data!$A$2:$A$497,1))),"")</f>
      </c>
      <c r="AN62" s="560">
        <f>IFERROR(LN(INDEX(Data!$D$2:$D$497,MATCH(N62,Data!$A$2:$A$497,1))/INDEX(Data!$D$2:$D$497,MATCH(N50,Data!$A$2:$A$497,1))),"")</f>
      </c>
      <c r="AO62" s="560">
        <f>IFERROR(LN(INDEX(Data!$E$2:$E$497,MATCH(N62,Data!$A$2:$A$497,1))/INDEX(Data!$E$2:$E$497,MATCH(N50,Data!$A$2:$A$497,1))),"")</f>
      </c>
      <c r="AP62" s="560">
        <f>IFERROR(LN(INDEX(Data!$F$2:$F$497,MATCH(N62,Data!$A$2:$A$497,1))/INDEX(Data!$F$2:$F$497,MATCH(N50,Data!$A$2:$A$497,1))),"")</f>
      </c>
      <c r="AQ62" s="560">
        <f>IFERROR(LN(INDEX(Data!$G$2:$G$497,MATCH(N62,Data!$A$2:$A$497,1))/INDEX(Data!$G$2:$G$497,MATCH(N50,Data!$A$2:$A$497,1))),"")</f>
      </c>
      <c r="AR62" s="560">
        <f>IFERROR(LN(INDEX(Data!$H$2:$H$497,MATCH(N62,Data!$A$2:$A$497,1))/INDEX(Data!$H$2:$H$497,MATCH(N50,Data!$A$2:$A$497,1))),"")</f>
      </c>
      <c r="AS62" s="560">
        <f>IFERROR(LN(INDEX(Data!$I$2:$I$497,MATCH(N62,Data!$A$2:$A$497,1))/INDEX(Data!$I$2:$I$497,MATCH(N50,Data!$A$2:$A$497,1))),"")</f>
      </c>
      <c r="AT62" s="560">
        <f>IFERROR(LN(INDEX(Data!$J$2:$J$497,MATCH(N62,Data!$A$2:$A$497,1))/INDEX(Data!$J$2:$J$497,MATCH(N50,Data!$A$2:$A$497,1))),"")</f>
      </c>
      <c r="AU62" s="560">
        <f>IFERROR(LN(INDEX(Data!$K$2:$K$497,MATCH(N62,Data!$A$2:$A$497,1))/INDEX(Data!$K$2:$K$497,MATCH(N50,Data!$A$2:$A$497,1))),"")</f>
      </c>
      <c r="AV62" s="561">
        <f>IFERROR(LN(INDEX(Data!$L$2:$L$497,MATCH(N62,Data!$A$2:$A$497,1))/INDEX(Data!$L$2:$L$497,MATCH(N50,Data!$A$2:$A$497,1))),"")</f>
      </c>
    </row>
    <row r="63" ht="42" customHeight="1">
      <c r="A63" s="124" t="inlineStr">
        <is>
          <t>Weights (row form)</t>
        </is>
      </c>
      <c r="B63" s="125" t="inlineStr">
        <is>
          <t>Australian Equities</t>
        </is>
      </c>
      <c r="C63" s="125" t="inlineStr">
        <is>
          <t>World Equities</t>
        </is>
      </c>
      <c r="D63" s="125" t="inlineStr">
        <is>
          <t>Emerging Markets</t>
        </is>
      </c>
      <c r="E63" s="125" t="inlineStr">
        <is>
          <t>Listed Property</t>
        </is>
      </c>
      <c r="F63" s="125" t="inlineStr">
        <is>
          <t>Commodities</t>
        </is>
      </c>
      <c r="G63" s="125" t="inlineStr">
        <is>
          <t>Direct Property</t>
        </is>
      </c>
      <c r="H63" s="125" t="inlineStr">
        <is>
          <t>Hedge Funds</t>
        </is>
      </c>
      <c r="I63" s="125" t="inlineStr">
        <is>
          <t>Private Equity</t>
        </is>
      </c>
      <c r="J63" s="125" t="inlineStr">
        <is>
          <t>Australian Fixed Income</t>
        </is>
      </c>
      <c r="K63" s="125" t="inlineStr">
        <is>
          <t>World Fixed Income</t>
        </is>
      </c>
      <c r="L63" s="126" t="inlineStr">
        <is>
          <t>Cash</t>
        </is>
      </c>
      <c r="N63" s="337" t="n">
        <v>26633</v>
      </c>
      <c r="O63" s="116">
        <f>INDEX('Additional data'!$B$2:$B$965,MATCH(DATE(YEAR(N63),MONTH(N63),1),'Additional data'!$A$2:$A$965,0))</f>
        <v>3.56</v>
      </c>
      <c r="P63" s="489">
        <f>LN(O63)</f>
        <v>1.26976054486394</v>
      </c>
      <c r="Q63" s="489">
        <f>Q62+LN(1+INDEX('Additional data'!$H$2:$H$1196,MATCH(N63,'Additional data'!$G$2:$G$1196,1))+INDEX('Additional data'!$I$2:$I$1196,MATCH(N63,'Additional data'!$G$2:$G$1196,1)))</f>
        <v>0.313349322357237</v>
      </c>
      <c r="R63" s="77" t="n"/>
      <c r="S63" s="116">
        <f>IF(INDEX('Additional data'!$E$2:$E$699,MATCH(DATE(YEAR(N63),MONTH(N63),1),'Additional data'!$D$2:$D$699,0))=0,(INDEX('Additional data'!$E$2:$E$699,MATCH(DATE(YEAR(N63),MONTH(N63),1),'Additional data'!$D$2:$D$699,0)-1)+INDEX('Additional data'!$E$2:$E$699,MATCH(DATE(YEAR(N63),MONTH(N63),1),'Additional data'!$D$2:$D$699,0)+1))/2,INDEX('Additional data'!$E$2:$E$699,MATCH(DATE(YEAR(N63),MONTH(N63),1),'Additional data'!$D$2:$D$699,0)))</f>
        <v>5.1</v>
      </c>
      <c r="T63" s="425">
        <f>P63-P62</f>
        <v>0</v>
      </c>
      <c r="U63" s="425">
        <f>Q63-Q62</f>
        <v>0.0485044090596151</v>
      </c>
      <c r="V63" s="77" t="n"/>
      <c r="W63" s="116">
        <f>S63-S62</f>
        <v>0.8</v>
      </c>
      <c r="X63" s="425">
        <f>P63-P51</f>
        <v>0</v>
      </c>
      <c r="Y63" s="425">
        <f>Q63-Q51</f>
        <v>0.233346122743241</v>
      </c>
      <c r="Z63" s="77" t="n"/>
      <c r="AA63" s="116">
        <f>S63-S51</f>
        <v>-0.9</v>
      </c>
      <c r="AB63" s="77" t="n"/>
      <c r="AC63" s="77" t="n"/>
      <c r="AD63" s="77" t="n"/>
      <c r="AE63" s="237" t="n"/>
      <c r="AG63" s="554">
        <f>N63</f>
        <v>26633.0</v>
      </c>
      <c r="AH63" s="435">
        <f>IFERROR(INDEX('RBA 5Y yield'!$B$5:$B$661,MATCH(N63,'RBA 5Y yield'!$A$5:$A$661,1))*100,"")</f>
        <v>5.27</v>
      </c>
      <c r="AI63" s="435">
        <f>IF(AND(ISNUMBER(AH63),ISNUMBER(AH62)),AH63-AH62,"")</f>
        <v>0</v>
      </c>
      <c r="AJ63" s="435">
        <f>IF(AND(ISNUMBER(AH63),ISNUMBER(AH51)),AH63-AH51,"")</f>
      </c>
      <c r="AK63" s="555" t="inlineStr"/>
      <c r="AL63" s="560">
        <f>IFERROR(LN(INDEX(Data!$B$2:$B$497,MATCH(N63,Data!$A$2:$A$497,1))/INDEX(Data!$B$2:$B$497,MATCH(N51,Data!$A$2:$A$497,1))),"")</f>
      </c>
      <c r="AM63" s="560">
        <f>IFERROR(LN(INDEX(Data!$C$2:$C$497,MATCH(N63,Data!$A$2:$A$497,1))/INDEX(Data!$C$2:$C$497,MATCH(N51,Data!$A$2:$A$497,1))),"")</f>
      </c>
      <c r="AN63" s="560">
        <f>IFERROR(LN(INDEX(Data!$D$2:$D$497,MATCH(N63,Data!$A$2:$A$497,1))/INDEX(Data!$D$2:$D$497,MATCH(N51,Data!$A$2:$A$497,1))),"")</f>
      </c>
      <c r="AO63" s="560">
        <f>IFERROR(LN(INDEX(Data!$E$2:$E$497,MATCH(N63,Data!$A$2:$A$497,1))/INDEX(Data!$E$2:$E$497,MATCH(N51,Data!$A$2:$A$497,1))),"")</f>
      </c>
      <c r="AP63" s="560">
        <f>IFERROR(LN(INDEX(Data!$F$2:$F$497,MATCH(N63,Data!$A$2:$A$497,1))/INDEX(Data!$F$2:$F$497,MATCH(N51,Data!$A$2:$A$497,1))),"")</f>
      </c>
      <c r="AQ63" s="560">
        <f>IFERROR(LN(INDEX(Data!$G$2:$G$497,MATCH(N63,Data!$A$2:$A$497,1))/INDEX(Data!$G$2:$G$497,MATCH(N51,Data!$A$2:$A$497,1))),"")</f>
      </c>
      <c r="AR63" s="560">
        <f>IFERROR(LN(INDEX(Data!$H$2:$H$497,MATCH(N63,Data!$A$2:$A$497,1))/INDEX(Data!$H$2:$H$497,MATCH(N51,Data!$A$2:$A$497,1))),"")</f>
      </c>
      <c r="AS63" s="560">
        <f>IFERROR(LN(INDEX(Data!$I$2:$I$497,MATCH(N63,Data!$A$2:$A$497,1))/INDEX(Data!$I$2:$I$497,MATCH(N51,Data!$A$2:$A$497,1))),"")</f>
      </c>
      <c r="AT63" s="560">
        <f>IFERROR(LN(INDEX(Data!$J$2:$J$497,MATCH(N63,Data!$A$2:$A$497,1))/INDEX(Data!$J$2:$J$497,MATCH(N51,Data!$A$2:$A$497,1))),"")</f>
      </c>
      <c r="AU63" s="560">
        <f>IFERROR(LN(INDEX(Data!$K$2:$K$497,MATCH(N63,Data!$A$2:$A$497,1))/INDEX(Data!$K$2:$K$497,MATCH(N51,Data!$A$2:$A$497,1))),"")</f>
      </c>
      <c r="AV63" s="561">
        <f>IFERROR(LN(INDEX(Data!$L$2:$L$497,MATCH(N63,Data!$A$2:$A$497,1))/INDEX(Data!$L$2:$L$497,MATCH(N51,Data!$A$2:$A$497,1))),"")</f>
      </c>
    </row>
    <row r="64">
      <c r="A64" s="127" t="inlineStr">
        <is>
          <t>Recommended</t>
        </is>
      </c>
      <c r="B64" s="68">
        <f>Risk!B58</f>
        <v>0.2738</v>
      </c>
      <c r="C64" s="68">
        <f>Risk!C58</f>
        <v>0.279</v>
      </c>
      <c r="D64" s="68">
        <f>Risk!D58</f>
        <v>0.0672</v>
      </c>
      <c r="E64" s="68">
        <f>Risk!E58</f>
        <v>0.0867</v>
      </c>
      <c r="F64" s="68">
        <f>Risk!F58</f>
        <v>0.0244</v>
      </c>
      <c r="G64" s="68">
        <f>Risk!G58</f>
        <v>0</v>
      </c>
      <c r="H64" s="68">
        <f>Risk!H58</f>
        <v>0</v>
      </c>
      <c r="I64" s="68">
        <f>Risk!I58</f>
        <v>0</v>
      </c>
      <c r="J64" s="68">
        <f>Risk!J58</f>
        <v>0.12</v>
      </c>
      <c r="K64" s="68">
        <f>Risk!K58</f>
        <v>0.1289</v>
      </c>
      <c r="L64" s="133">
        <f>Risk!L58</f>
        <v>0.02</v>
      </c>
      <c r="N64" s="337" t="n">
        <v>26664</v>
      </c>
      <c r="O64" s="116">
        <f>INDEX('Additional data'!$B$2:$B$965,MATCH(DATE(YEAR(N64),MONTH(N64),1),'Additional data'!$A$2:$A$965,0))</f>
        <v>3.56</v>
      </c>
      <c r="P64" s="489">
        <f>LN(O64)</f>
        <v>1.26976054486394</v>
      </c>
      <c r="Q64" s="489">
        <f>Q63+LN(1+INDEX('Additional data'!$H$2:$H$1196,MATCH(N64,'Additional data'!$G$2:$G$1196,1))+INDEX('Additional data'!$I$2:$I$1196,MATCH(N64,'Additional data'!$G$2:$G$1196,1)))</f>
        <v>0.323200638407611</v>
      </c>
      <c r="R64" s="77" t="n"/>
      <c r="S64" s="116">
        <f>IF(INDEX('Additional data'!$E$2:$E$699,MATCH(DATE(YEAR(N64),MONTH(N64),1),'Additional data'!$D$2:$D$699,0))=0,(INDEX('Additional data'!$E$2:$E$699,MATCH(DATE(YEAR(N64),MONTH(N64),1),'Additional data'!$D$2:$D$699,0)-1)+INDEX('Additional data'!$E$2:$E$699,MATCH(DATE(YEAR(N64),MONTH(N64),1),'Additional data'!$D$2:$D$699,0)+1))/2,INDEX('Additional data'!$E$2:$E$699,MATCH(DATE(YEAR(N64),MONTH(N64),1),'Additional data'!$D$2:$D$699,0)))</f>
        <v>4.45</v>
      </c>
      <c r="T64" s="425">
        <f>P64-P63</f>
        <v>0</v>
      </c>
      <c r="U64" s="425">
        <f>Q64-Q63</f>
        <v>0.0098513160503742</v>
      </c>
      <c r="V64" s="77" t="n"/>
      <c r="W64" s="116">
        <f>S64-S63</f>
        <v>-0.65</v>
      </c>
      <c r="X64" s="425">
        <f>P64-P52</f>
        <v>0</v>
      </c>
      <c r="Y64" s="425">
        <f>Q64-Q52</f>
        <v>0.156286066804319</v>
      </c>
      <c r="Z64" s="77" t="n"/>
      <c r="AA64" s="116">
        <f>S64-S52</f>
        <v>-1.45</v>
      </c>
      <c r="AB64" s="77" t="n"/>
      <c r="AC64" s="77" t="n"/>
      <c r="AD64" s="77" t="n"/>
      <c r="AE64" s="237" t="n"/>
      <c r="AG64" s="554">
        <f>N64</f>
        <v>26664.0</v>
      </c>
      <c r="AH64" s="435">
        <f>IFERROR(INDEX('RBA 5Y yield'!$B$5:$B$661,MATCH(N64,'RBA 5Y yield'!$A$5:$A$661,1))*100,"")</f>
        <v>5.4</v>
      </c>
      <c r="AI64" s="435">
        <f>IF(AND(ISNUMBER(AH64),ISNUMBER(AH63)),AH64-AH63,"")</f>
        <v>0.130000000000001</v>
      </c>
      <c r="AJ64" s="435">
        <f>IF(AND(ISNUMBER(AH64),ISNUMBER(AH52)),AH64-AH52,"")</f>
      </c>
      <c r="AK64" s="555" t="inlineStr"/>
      <c r="AL64" s="560">
        <f>IFERROR(LN(INDEX(Data!$B$2:$B$497,MATCH(N64,Data!$A$2:$A$497,1))/INDEX(Data!$B$2:$B$497,MATCH(N52,Data!$A$2:$A$497,1))),"")</f>
      </c>
      <c r="AM64" s="560">
        <f>IFERROR(LN(INDEX(Data!$C$2:$C$497,MATCH(N64,Data!$A$2:$A$497,1))/INDEX(Data!$C$2:$C$497,MATCH(N52,Data!$A$2:$A$497,1))),"")</f>
      </c>
      <c r="AN64" s="560">
        <f>IFERROR(LN(INDEX(Data!$D$2:$D$497,MATCH(N64,Data!$A$2:$A$497,1))/INDEX(Data!$D$2:$D$497,MATCH(N52,Data!$A$2:$A$497,1))),"")</f>
      </c>
      <c r="AO64" s="560">
        <f>IFERROR(LN(INDEX(Data!$E$2:$E$497,MATCH(N64,Data!$A$2:$A$497,1))/INDEX(Data!$E$2:$E$497,MATCH(N52,Data!$A$2:$A$497,1))),"")</f>
      </c>
      <c r="AP64" s="560">
        <f>IFERROR(LN(INDEX(Data!$F$2:$F$497,MATCH(N64,Data!$A$2:$A$497,1))/INDEX(Data!$F$2:$F$497,MATCH(N52,Data!$A$2:$A$497,1))),"")</f>
      </c>
      <c r="AQ64" s="560">
        <f>IFERROR(LN(INDEX(Data!$G$2:$G$497,MATCH(N64,Data!$A$2:$A$497,1))/INDEX(Data!$G$2:$G$497,MATCH(N52,Data!$A$2:$A$497,1))),"")</f>
      </c>
      <c r="AR64" s="560">
        <f>IFERROR(LN(INDEX(Data!$H$2:$H$497,MATCH(N64,Data!$A$2:$A$497,1))/INDEX(Data!$H$2:$H$497,MATCH(N52,Data!$A$2:$A$497,1))),"")</f>
      </c>
      <c r="AS64" s="560">
        <f>IFERROR(LN(INDEX(Data!$I$2:$I$497,MATCH(N64,Data!$A$2:$A$497,1))/INDEX(Data!$I$2:$I$497,MATCH(N52,Data!$A$2:$A$497,1))),"")</f>
      </c>
      <c r="AT64" s="560">
        <f>IFERROR(LN(INDEX(Data!$J$2:$J$497,MATCH(N64,Data!$A$2:$A$497,1))/INDEX(Data!$J$2:$J$497,MATCH(N52,Data!$A$2:$A$497,1))),"")</f>
      </c>
      <c r="AU64" s="560">
        <f>IFERROR(LN(INDEX(Data!$K$2:$K$497,MATCH(N64,Data!$A$2:$A$497,1))/INDEX(Data!$K$2:$K$497,MATCH(N52,Data!$A$2:$A$497,1))),"")</f>
      </c>
      <c r="AV64" s="561">
        <f>IFERROR(LN(INDEX(Data!$L$2:$L$497,MATCH(N64,Data!$A$2:$A$497,1))/INDEX(Data!$L$2:$L$497,MATCH(N52,Data!$A$2:$A$497,1))),"")</f>
      </c>
    </row>
    <row r="65">
      <c r="A65" s="127" t="inlineStr">
        <is>
          <t>Recommended + tilt</t>
        </is>
      </c>
      <c r="B65" s="68">
        <f>B64</f>
        <v>0.2738</v>
      </c>
      <c r="C65" s="68">
        <f>C64-$B$57</f>
        <v>0.259</v>
      </c>
      <c r="D65" s="68">
        <f>D64</f>
        <v>0.0672</v>
      </c>
      <c r="E65" s="68">
        <f>E64</f>
        <v>0.0867</v>
      </c>
      <c r="F65" s="68">
        <f>F64+$B$57</f>
        <v>0.0444</v>
      </c>
      <c r="G65" s="68">
        <f>G64</f>
        <v>0</v>
      </c>
      <c r="H65" s="68">
        <f>H64</f>
        <v>0</v>
      </c>
      <c r="I65" s="68">
        <f>I64</f>
        <v>0</v>
      </c>
      <c r="J65" s="68">
        <f>J64</f>
        <v>0.12</v>
      </c>
      <c r="K65" s="68">
        <f>K64</f>
        <v>0.1289</v>
      </c>
      <c r="L65" s="133">
        <f>L64</f>
        <v>0.02</v>
      </c>
      <c r="N65" s="337" t="n">
        <v>26695</v>
      </c>
      <c r="O65" s="116">
        <f>INDEX('Additional data'!$B$2:$B$965,MATCH(DATE(YEAR(N65),MONTH(N65),1),'Additional data'!$A$2:$A$965,0))</f>
        <v>3.56</v>
      </c>
      <c r="P65" s="489">
        <f>LN(O65)</f>
        <v>1.26976054486394</v>
      </c>
      <c r="Q65" s="489">
        <f>Q64+LN(1+INDEX('Additional data'!$H$2:$H$1196,MATCH(N65,'Additional data'!$G$2:$G$1196,1))+INDEX('Additional data'!$I$2:$I$1196,MATCH(N65,'Additional data'!$G$2:$G$1196,1)))</f>
        <v>0.294492474270867</v>
      </c>
      <c r="R65" s="77" t="n"/>
      <c r="S65" s="116">
        <f>IF(INDEX('Additional data'!$E$2:$E$699,MATCH(DATE(YEAR(N65),MONTH(N65),1),'Additional data'!$D$2:$D$699,0))=0,(INDEX('Additional data'!$E$2:$E$699,MATCH(DATE(YEAR(N65),MONTH(N65),1),'Additional data'!$D$2:$D$699,0)-1)+INDEX('Additional data'!$E$2:$E$699,MATCH(DATE(YEAR(N65),MONTH(N65),1),'Additional data'!$D$2:$D$699,0)+1))/2,INDEX('Additional data'!$E$2:$E$699,MATCH(DATE(YEAR(N65),MONTH(N65),1),'Additional data'!$D$2:$D$699,0)))</f>
        <v>4.7</v>
      </c>
      <c r="T65" s="425">
        <f>P65-P64</f>
        <v>0</v>
      </c>
      <c r="U65" s="425">
        <f>Q65-Q64</f>
        <v>-0.0287081641367438</v>
      </c>
      <c r="V65" s="77" t="n"/>
      <c r="W65" s="116">
        <f>S65-S64</f>
        <v>0.25</v>
      </c>
      <c r="X65" s="425">
        <f>P65-P53</f>
        <v>0</v>
      </c>
      <c r="Y65" s="425">
        <f>Q65-Q53</f>
        <v>0.100351916413984</v>
      </c>
      <c r="Z65" s="77" t="n"/>
      <c r="AA65" s="116">
        <f>S65-S53</f>
        <v>-0.9</v>
      </c>
      <c r="AB65" s="425">
        <f>P65-P5</f>
        <v>0.148082983264833</v>
      </c>
      <c r="AC65" s="425">
        <f>Q65-Q5</f>
        <v>0.331467710395762</v>
      </c>
      <c r="AD65" s="77" t="n"/>
      <c r="AE65" s="235">
        <f>S65-S5</f>
        <v>-0.399999999999999</v>
      </c>
      <c r="AG65" s="554">
        <f>N65</f>
        <v>26695.0</v>
      </c>
      <c r="AH65" s="435">
        <f>IFERROR(INDEX('RBA 5Y yield'!$B$5:$B$661,MATCH(N65,'RBA 5Y yield'!$A$5:$A$661,1))*100,"")</f>
        <v>5.24</v>
      </c>
      <c r="AI65" s="435">
        <f>IF(AND(ISNUMBER(AH65),ISNUMBER(AH64)),AH65-AH64,"")</f>
        <v>-0.16</v>
      </c>
      <c r="AJ65" s="435">
        <f>IF(AND(ISNUMBER(AH65),ISNUMBER(AH53)),AH65-AH53,"")</f>
        <v>-0.41</v>
      </c>
      <c r="AK65" s="435">
        <f>IF(AND(ISNUMBER(AH65),ISNUMBER(AH5)),AH65-AH5,"")</f>
      </c>
      <c r="AL65" s="560">
        <f>IFERROR(LN(INDEX(Data!$B$2:$B$497,MATCH(N65,Data!$A$2:$A$497,1))/INDEX(Data!$B$2:$B$497,MATCH(N53,Data!$A$2:$A$497,1))),"")</f>
      </c>
      <c r="AM65" s="560">
        <f>IFERROR(LN(INDEX(Data!$C$2:$C$497,MATCH(N65,Data!$A$2:$A$497,1))/INDEX(Data!$C$2:$C$497,MATCH(N53,Data!$A$2:$A$497,1))),"")</f>
      </c>
      <c r="AN65" s="560">
        <f>IFERROR(LN(INDEX(Data!$D$2:$D$497,MATCH(N65,Data!$A$2:$A$497,1))/INDEX(Data!$D$2:$D$497,MATCH(N53,Data!$A$2:$A$497,1))),"")</f>
      </c>
      <c r="AO65" s="560">
        <f>IFERROR(LN(INDEX(Data!$E$2:$E$497,MATCH(N65,Data!$A$2:$A$497,1))/INDEX(Data!$E$2:$E$497,MATCH(N53,Data!$A$2:$A$497,1))),"")</f>
      </c>
      <c r="AP65" s="560">
        <f>IFERROR(LN(INDEX(Data!$F$2:$F$497,MATCH(N65,Data!$A$2:$A$497,1))/INDEX(Data!$F$2:$F$497,MATCH(N53,Data!$A$2:$A$497,1))),"")</f>
      </c>
      <c r="AQ65" s="560">
        <f>IFERROR(LN(INDEX(Data!$G$2:$G$497,MATCH(N65,Data!$A$2:$A$497,1))/INDEX(Data!$G$2:$G$497,MATCH(N53,Data!$A$2:$A$497,1))),"")</f>
      </c>
      <c r="AR65" s="560">
        <f>IFERROR(LN(INDEX(Data!$H$2:$H$497,MATCH(N65,Data!$A$2:$A$497,1))/INDEX(Data!$H$2:$H$497,MATCH(N53,Data!$A$2:$A$497,1))),"")</f>
      </c>
      <c r="AS65" s="560">
        <f>IFERROR(LN(INDEX(Data!$I$2:$I$497,MATCH(N65,Data!$A$2:$A$497,1))/INDEX(Data!$I$2:$I$497,MATCH(N53,Data!$A$2:$A$497,1))),"")</f>
      </c>
      <c r="AT65" s="560">
        <f>IFERROR(LN(INDEX(Data!$J$2:$J$497,MATCH(N65,Data!$A$2:$A$497,1))/INDEX(Data!$J$2:$J$497,MATCH(N53,Data!$A$2:$A$497,1))),"")</f>
      </c>
      <c r="AU65" s="560">
        <f>IFERROR(LN(INDEX(Data!$K$2:$K$497,MATCH(N65,Data!$A$2:$A$497,1))/INDEX(Data!$K$2:$K$497,MATCH(N53,Data!$A$2:$A$497,1))),"")</f>
      </c>
      <c r="AV65" s="561">
        <f>IFERROR(LN(INDEX(Data!$L$2:$L$497,MATCH(N65,Data!$A$2:$A$497,1))/INDEX(Data!$L$2:$L$497,MATCH(N53,Data!$A$2:$A$497,1))),"")</f>
      </c>
    </row>
    <row r="66">
      <c r="A66" s="127" t="inlineStr">
        <is>
          <t>Active: recommended</t>
        </is>
      </c>
      <c r="B66" s="68">
        <f>B64-Risk!B57</f>
        <v>0.0238</v>
      </c>
      <c r="C66" s="68">
        <f>C64-Risk!C57</f>
        <v>0.039</v>
      </c>
      <c r="D66" s="68">
        <f>D64-Risk!D57</f>
        <v>0.0372</v>
      </c>
      <c r="E66" s="68">
        <f>E64-Risk!E57</f>
        <v>0.0167</v>
      </c>
      <c r="F66" s="68">
        <f>F64-Risk!F57</f>
        <v>0.0044</v>
      </c>
      <c r="G66" s="68">
        <f>G64-Risk!G57</f>
        <v>-0.05</v>
      </c>
      <c r="H66" s="68">
        <f>H64-Risk!H57</f>
        <v>-0.03</v>
      </c>
      <c r="I66" s="68">
        <f>I64-Risk!I57</f>
        <v>-0.03</v>
      </c>
      <c r="J66" s="68">
        <f>J64-Risk!J57</f>
        <v>-0.02</v>
      </c>
      <c r="K66" s="68">
        <f>K64-Risk!K57</f>
        <v>0.0189</v>
      </c>
      <c r="L66" s="133">
        <f>L64-Risk!L57</f>
        <v>-0.01</v>
      </c>
      <c r="N66" s="337" t="n">
        <v>26723</v>
      </c>
      <c r="O66" s="116">
        <f>INDEX('Additional data'!$B$2:$B$965,MATCH(DATE(YEAR(N66),MONTH(N66),1),'Additional data'!$A$2:$A$965,0))</f>
        <v>3.56</v>
      </c>
      <c r="P66" s="489">
        <f>LN(O66)</f>
        <v>1.26976054486394</v>
      </c>
      <c r="Q66" s="489">
        <f>Q65+LN(1+INDEX('Additional data'!$H$2:$H$1196,MATCH(N66,'Additional data'!$G$2:$G$1196,1))+INDEX('Additional data'!$I$2:$I$1196,MATCH(N66,'Additional data'!$G$2:$G$1196,1)))</f>
        <v>0.249181251560864</v>
      </c>
      <c r="R66" s="77" t="n"/>
      <c r="S66" s="116">
        <f>IF(INDEX('Additional data'!$E$2:$E$699,MATCH(DATE(YEAR(N66),MONTH(N66),1),'Additional data'!$D$2:$D$699,0))=0,(INDEX('Additional data'!$E$2:$E$699,MATCH(DATE(YEAR(N66),MONTH(N66),1),'Additional data'!$D$2:$D$699,0)-1)+INDEX('Additional data'!$E$2:$E$699,MATCH(DATE(YEAR(N66),MONTH(N66),1),'Additional data'!$D$2:$D$699,0)+1))/2,INDEX('Additional data'!$E$2:$E$699,MATCH(DATE(YEAR(N66),MONTH(N66),1),'Additional data'!$D$2:$D$699,0)))</f>
        <v>4.8</v>
      </c>
      <c r="T66" s="425">
        <f>P66-P65</f>
        <v>0</v>
      </c>
      <c r="U66" s="425">
        <f>Q66-Q65</f>
        <v>-0.0453112227100031</v>
      </c>
      <c r="V66" s="77" t="n"/>
      <c r="W66" s="116">
        <f>S66-S65</f>
        <v>0.0999999999999996</v>
      </c>
      <c r="X66" s="425">
        <f>P66-P54</f>
        <v>0</v>
      </c>
      <c r="Y66" s="425">
        <f>Q66-Q54</f>
        <v>0.0243175210611404</v>
      </c>
      <c r="Z66" s="77" t="n"/>
      <c r="AA66" s="116">
        <f>S66-S54</f>
        <v>-0.7</v>
      </c>
      <c r="AB66" s="425">
        <f>P66-P6</f>
        <v>0.148082983264833</v>
      </c>
      <c r="AC66" s="425">
        <f>Q66-Q6</f>
        <v>0.320230468019511</v>
      </c>
      <c r="AD66" s="77" t="n"/>
      <c r="AE66" s="235">
        <f>S66-S6</f>
        <v>-0.350000000000001</v>
      </c>
      <c r="AG66" s="554">
        <f>N66</f>
        <v>26723.0</v>
      </c>
      <c r="AH66" s="435">
        <f>IFERROR(INDEX('RBA 5Y yield'!$B$5:$B$661,MATCH(N66,'RBA 5Y yield'!$A$5:$A$661,1))*100,"")</f>
        <v>5.31</v>
      </c>
      <c r="AI66" s="435">
        <f>IF(AND(ISNUMBER(AH66),ISNUMBER(AH65)),AH66-AH65,"")</f>
        <v>0.0700000000000003</v>
      </c>
      <c r="AJ66" s="435">
        <f>IF(AND(ISNUMBER(AH66),ISNUMBER(AH54)),AH66-AH54,"")</f>
        <v>-0.149999999999999</v>
      </c>
      <c r="AK66" s="435">
        <f>IF(AND(ISNUMBER(AH66),ISNUMBER(AH6)),AH66-AH6,"")</f>
      </c>
      <c r="AL66" s="560">
        <f>IFERROR(LN(INDEX(Data!$B$2:$B$497,MATCH(N66,Data!$A$2:$A$497,1))/INDEX(Data!$B$2:$B$497,MATCH(N54,Data!$A$2:$A$497,1))),"")</f>
      </c>
      <c r="AM66" s="560">
        <f>IFERROR(LN(INDEX(Data!$C$2:$C$497,MATCH(N66,Data!$A$2:$A$497,1))/INDEX(Data!$C$2:$C$497,MATCH(N54,Data!$A$2:$A$497,1))),"")</f>
      </c>
      <c r="AN66" s="560">
        <f>IFERROR(LN(INDEX(Data!$D$2:$D$497,MATCH(N66,Data!$A$2:$A$497,1))/INDEX(Data!$D$2:$D$497,MATCH(N54,Data!$A$2:$A$497,1))),"")</f>
      </c>
      <c r="AO66" s="560">
        <f>IFERROR(LN(INDEX(Data!$E$2:$E$497,MATCH(N66,Data!$A$2:$A$497,1))/INDEX(Data!$E$2:$E$497,MATCH(N54,Data!$A$2:$A$497,1))),"")</f>
      </c>
      <c r="AP66" s="560">
        <f>IFERROR(LN(INDEX(Data!$F$2:$F$497,MATCH(N66,Data!$A$2:$A$497,1))/INDEX(Data!$F$2:$F$497,MATCH(N54,Data!$A$2:$A$497,1))),"")</f>
      </c>
      <c r="AQ66" s="560">
        <f>IFERROR(LN(INDEX(Data!$G$2:$G$497,MATCH(N66,Data!$A$2:$A$497,1))/INDEX(Data!$G$2:$G$497,MATCH(N54,Data!$A$2:$A$497,1))),"")</f>
      </c>
      <c r="AR66" s="560">
        <f>IFERROR(LN(INDEX(Data!$H$2:$H$497,MATCH(N66,Data!$A$2:$A$497,1))/INDEX(Data!$H$2:$H$497,MATCH(N54,Data!$A$2:$A$497,1))),"")</f>
      </c>
      <c r="AS66" s="560">
        <f>IFERROR(LN(INDEX(Data!$I$2:$I$497,MATCH(N66,Data!$A$2:$A$497,1))/INDEX(Data!$I$2:$I$497,MATCH(N54,Data!$A$2:$A$497,1))),"")</f>
      </c>
      <c r="AT66" s="560">
        <f>IFERROR(LN(INDEX(Data!$J$2:$J$497,MATCH(N66,Data!$A$2:$A$497,1))/INDEX(Data!$J$2:$J$497,MATCH(N54,Data!$A$2:$A$497,1))),"")</f>
      </c>
      <c r="AU66" s="560">
        <f>IFERROR(LN(INDEX(Data!$K$2:$K$497,MATCH(N66,Data!$A$2:$A$497,1))/INDEX(Data!$K$2:$K$497,MATCH(N54,Data!$A$2:$A$497,1))),"")</f>
      </c>
      <c r="AV66" s="561">
        <f>IFERROR(LN(INDEX(Data!$L$2:$L$497,MATCH(N66,Data!$A$2:$A$497,1))/INDEX(Data!$L$2:$L$497,MATCH(N54,Data!$A$2:$A$497,1))),"")</f>
      </c>
    </row>
    <row r="67">
      <c r="A67" s="130" t="inlineStr">
        <is>
          <t>Active: + tilt</t>
        </is>
      </c>
      <c r="B67" s="358">
        <f>B65-Risk!B57</f>
        <v>0.0238</v>
      </c>
      <c r="C67" s="358">
        <f>C65-Risk!C57</f>
        <v>0.019</v>
      </c>
      <c r="D67" s="358">
        <f>D65-Risk!D57</f>
        <v>0.0372</v>
      </c>
      <c r="E67" s="358">
        <f>E65-Risk!E57</f>
        <v>0.0167</v>
      </c>
      <c r="F67" s="358">
        <f>F65-Risk!F57</f>
        <v>0.0244</v>
      </c>
      <c r="G67" s="358">
        <f>G65-Risk!G57</f>
        <v>-0.05</v>
      </c>
      <c r="H67" s="358">
        <f>H65-Risk!H57</f>
        <v>-0.03</v>
      </c>
      <c r="I67" s="358">
        <f>I65-Risk!I57</f>
        <v>-0.03</v>
      </c>
      <c r="J67" s="358">
        <f>J65-Risk!J57</f>
        <v>-0.02</v>
      </c>
      <c r="K67" s="358">
        <f>K65-Risk!K57</f>
        <v>0.0189</v>
      </c>
      <c r="L67" s="132">
        <f>L65-Risk!L57</f>
        <v>-0.01</v>
      </c>
      <c r="N67" s="337" t="n">
        <v>26754</v>
      </c>
      <c r="O67" s="116">
        <f>INDEX('Additional data'!$B$2:$B$965,MATCH(DATE(YEAR(N67),MONTH(N67),1),'Additional data'!$A$2:$A$965,0))</f>
        <v>3.56</v>
      </c>
      <c r="P67" s="489">
        <f>LN(O67)</f>
        <v>1.26976054486394</v>
      </c>
      <c r="Q67" s="489">
        <f>Q66+LN(1+INDEX('Additional data'!$H$2:$H$1196,MATCH(N67,'Additional data'!$G$2:$G$1196,1))+INDEX('Additional data'!$I$2:$I$1196,MATCH(N67,'Additional data'!$G$2:$G$1196,1)))</f>
        <v>0.240745772739762</v>
      </c>
      <c r="R67" s="77" t="n"/>
      <c r="S67" s="116">
        <f>IF(INDEX('Additional data'!$E$2:$E$699,MATCH(DATE(YEAR(N67),MONTH(N67),1),'Additional data'!$D$2:$D$699,0))=0,(INDEX('Additional data'!$E$2:$E$699,MATCH(DATE(YEAR(N67),MONTH(N67),1),'Additional data'!$D$2:$D$699,0)-1)+INDEX('Additional data'!$E$2:$E$699,MATCH(DATE(YEAR(N67),MONTH(N67),1),'Additional data'!$D$2:$D$699,0)+1))/2,INDEX('Additional data'!$E$2:$E$699,MATCH(DATE(YEAR(N67),MONTH(N67),1),'Additional data'!$D$2:$D$699,0)))</f>
        <v>5.45</v>
      </c>
      <c r="T67" s="425">
        <f>P67-P66</f>
        <v>0</v>
      </c>
      <c r="U67" s="425">
        <f>Q67-Q66</f>
        <v>-0.00843547882110157</v>
      </c>
      <c r="V67" s="77" t="n"/>
      <c r="W67" s="116">
        <f>S67-S66</f>
        <v>0.65</v>
      </c>
      <c r="X67" s="425">
        <f>P67-P55</f>
        <v>0</v>
      </c>
      <c r="Y67" s="425">
        <f>Q67-Q55</f>
        <v>0.00702141380784235</v>
      </c>
      <c r="Z67" s="77" t="n"/>
      <c r="AA67" s="116">
        <f>S67-S55</f>
        <v>-0.0499999999999998</v>
      </c>
      <c r="AB67" s="425">
        <f>P67-P7</f>
        <v>0.148082983264833</v>
      </c>
      <c r="AC67" s="425">
        <f>Q67-Q7</f>
        <v>0.305912326040254</v>
      </c>
      <c r="AD67" s="77" t="n"/>
      <c r="AE67" s="235">
        <f>S67-S7</f>
        <v>0.3</v>
      </c>
      <c r="AG67" s="554">
        <f>N67</f>
        <v>26754.0</v>
      </c>
      <c r="AH67" s="435">
        <f>IFERROR(INDEX('RBA 5Y yield'!$B$5:$B$661,MATCH(N67,'RBA 5Y yield'!$A$5:$A$661,1))*100,"")</f>
        <v>5.4</v>
      </c>
      <c r="AI67" s="435">
        <f>IF(AND(ISNUMBER(AH67),ISNUMBER(AH66)),AH67-AH66,"")</f>
        <v>0.0899999999999999</v>
      </c>
      <c r="AJ67" s="435">
        <f>IF(AND(ISNUMBER(AH67),ISNUMBER(AH55)),AH67-AH55,"")</f>
        <v>-0.119999999999999</v>
      </c>
      <c r="AK67" s="435">
        <f>IF(AND(ISNUMBER(AH67),ISNUMBER(AH7)),AH67-AH7,"")</f>
      </c>
      <c r="AL67" s="560">
        <f>IFERROR(LN(INDEX(Data!$B$2:$B$497,MATCH(N67,Data!$A$2:$A$497,1))/INDEX(Data!$B$2:$B$497,MATCH(N55,Data!$A$2:$A$497,1))),"")</f>
      </c>
      <c r="AM67" s="560">
        <f>IFERROR(LN(INDEX(Data!$C$2:$C$497,MATCH(N67,Data!$A$2:$A$497,1))/INDEX(Data!$C$2:$C$497,MATCH(N55,Data!$A$2:$A$497,1))),"")</f>
      </c>
      <c r="AN67" s="560">
        <f>IFERROR(LN(INDEX(Data!$D$2:$D$497,MATCH(N67,Data!$A$2:$A$497,1))/INDEX(Data!$D$2:$D$497,MATCH(N55,Data!$A$2:$A$497,1))),"")</f>
      </c>
      <c r="AO67" s="560">
        <f>IFERROR(LN(INDEX(Data!$E$2:$E$497,MATCH(N67,Data!$A$2:$A$497,1))/INDEX(Data!$E$2:$E$497,MATCH(N55,Data!$A$2:$A$497,1))),"")</f>
      </c>
      <c r="AP67" s="560">
        <f>IFERROR(LN(INDEX(Data!$F$2:$F$497,MATCH(N67,Data!$A$2:$A$497,1))/INDEX(Data!$F$2:$F$497,MATCH(N55,Data!$A$2:$A$497,1))),"")</f>
      </c>
      <c r="AQ67" s="560">
        <f>IFERROR(LN(INDEX(Data!$G$2:$G$497,MATCH(N67,Data!$A$2:$A$497,1))/INDEX(Data!$G$2:$G$497,MATCH(N55,Data!$A$2:$A$497,1))),"")</f>
      </c>
      <c r="AR67" s="560">
        <f>IFERROR(LN(INDEX(Data!$H$2:$H$497,MATCH(N67,Data!$A$2:$A$497,1))/INDEX(Data!$H$2:$H$497,MATCH(N55,Data!$A$2:$A$497,1))),"")</f>
      </c>
      <c r="AS67" s="560">
        <f>IFERROR(LN(INDEX(Data!$I$2:$I$497,MATCH(N67,Data!$A$2:$A$497,1))/INDEX(Data!$I$2:$I$497,MATCH(N55,Data!$A$2:$A$497,1))),"")</f>
      </c>
      <c r="AT67" s="560">
        <f>IFERROR(LN(INDEX(Data!$J$2:$J$497,MATCH(N67,Data!$A$2:$A$497,1))/INDEX(Data!$J$2:$J$497,MATCH(N55,Data!$A$2:$A$497,1))),"")</f>
      </c>
      <c r="AU67" s="560">
        <f>IFERROR(LN(INDEX(Data!$K$2:$K$497,MATCH(N67,Data!$A$2:$A$497,1))/INDEX(Data!$K$2:$K$497,MATCH(N55,Data!$A$2:$A$497,1))),"")</f>
      </c>
      <c r="AV67" s="561">
        <f>IFERROR(LN(INDEX(Data!$L$2:$L$497,MATCH(N67,Data!$A$2:$A$497,1))/INDEX(Data!$L$2:$L$497,MATCH(N55,Data!$A$2:$A$497,1))),"")</f>
      </c>
    </row>
    <row r="68">
      <c r="N68" s="337" t="n">
        <v>26784</v>
      </c>
      <c r="O68" s="116">
        <f>INDEX('Additional data'!$B$2:$B$965,MATCH(DATE(YEAR(N68),MONTH(N68),1),'Additional data'!$A$2:$A$965,0))</f>
        <v>3.56</v>
      </c>
      <c r="P68" s="489">
        <f>LN(O68)</f>
        <v>1.26976054486394</v>
      </c>
      <c r="Q68" s="489">
        <f>Q67+LN(1+INDEX('Additional data'!$H$2:$H$1196,MATCH(N68,'Additional data'!$G$2:$G$1196,1))+INDEX('Additional data'!$I$2:$I$1196,MATCH(N68,'Additional data'!$G$2:$G$1196,1)))</f>
        <v>0.187766847948876</v>
      </c>
      <c r="R68" s="77" t="n"/>
      <c r="S68" s="116">
        <f>IF(INDEX('Additional data'!$E$2:$E$699,MATCH(DATE(YEAR(N68),MONTH(N68),1),'Additional data'!$D$2:$D$699,0))=0,(INDEX('Additional data'!$E$2:$E$699,MATCH(DATE(YEAR(N68),MONTH(N68),1),'Additional data'!$D$2:$D$699,0)-1)+INDEX('Additional data'!$E$2:$E$699,MATCH(DATE(YEAR(N68),MONTH(N68),1),'Additional data'!$D$2:$D$699,0)+1))/2,INDEX('Additional data'!$E$2:$E$699,MATCH(DATE(YEAR(N68),MONTH(N68),1),'Additional data'!$D$2:$D$699,0)))</f>
        <v>5.8</v>
      </c>
      <c r="T68" s="425">
        <f>P68-P67</f>
        <v>0</v>
      </c>
      <c r="U68" s="425">
        <f>Q68-Q67</f>
        <v>-0.0529789247908866</v>
      </c>
      <c r="V68" s="77" t="n"/>
      <c r="W68" s="116">
        <f>S68-S67</f>
        <v>0.35</v>
      </c>
      <c r="X68" s="425">
        <f>P68-P56</f>
        <v>0</v>
      </c>
      <c r="Y68" s="425">
        <f>Q68-Q56</f>
        <v>-0.0517407557387714</v>
      </c>
      <c r="Z68" s="77" t="n"/>
      <c r="AA68" s="116">
        <f>S68-S56</f>
        <v>0.3</v>
      </c>
      <c r="AB68" s="425">
        <f>P68-P8</f>
        <v>0.148082983264833</v>
      </c>
      <c r="AC68" s="425">
        <f>Q68-Q8</f>
        <v>0.162635763268586</v>
      </c>
      <c r="AD68" s="77" t="n"/>
      <c r="AE68" s="235">
        <f>S68-S8</f>
        <v>0.65</v>
      </c>
      <c r="AG68" s="554">
        <f>N68</f>
        <v>26784.0</v>
      </c>
      <c r="AH68" s="435">
        <f>IFERROR(INDEX('RBA 5Y yield'!$B$5:$B$661,MATCH(N68,'RBA 5Y yield'!$A$5:$A$661,1))*100,"")</f>
        <v>5.8</v>
      </c>
      <c r="AI68" s="435">
        <f>IF(AND(ISNUMBER(AH68),ISNUMBER(AH67)),AH68-AH67,"")</f>
        <v>0.4</v>
      </c>
      <c r="AJ68" s="435">
        <f>IF(AND(ISNUMBER(AH68),ISNUMBER(AH56)),AH68-AH56,"")</f>
        <v>0.4</v>
      </c>
      <c r="AK68" s="435">
        <f>IF(AND(ISNUMBER(AH68),ISNUMBER(AH8)),AH68-AH8,"")</f>
      </c>
      <c r="AL68" s="560">
        <f>IFERROR(LN(INDEX(Data!$B$2:$B$497,MATCH(N68,Data!$A$2:$A$497,1))/INDEX(Data!$B$2:$B$497,MATCH(N56,Data!$A$2:$A$497,1))),"")</f>
      </c>
      <c r="AM68" s="560">
        <f>IFERROR(LN(INDEX(Data!$C$2:$C$497,MATCH(N68,Data!$A$2:$A$497,1))/INDEX(Data!$C$2:$C$497,MATCH(N56,Data!$A$2:$A$497,1))),"")</f>
      </c>
      <c r="AN68" s="560">
        <f>IFERROR(LN(INDEX(Data!$D$2:$D$497,MATCH(N68,Data!$A$2:$A$497,1))/INDEX(Data!$D$2:$D$497,MATCH(N56,Data!$A$2:$A$497,1))),"")</f>
      </c>
      <c r="AO68" s="560">
        <f>IFERROR(LN(INDEX(Data!$E$2:$E$497,MATCH(N68,Data!$A$2:$A$497,1))/INDEX(Data!$E$2:$E$497,MATCH(N56,Data!$A$2:$A$497,1))),"")</f>
      </c>
      <c r="AP68" s="560">
        <f>IFERROR(LN(INDEX(Data!$F$2:$F$497,MATCH(N68,Data!$A$2:$A$497,1))/INDEX(Data!$F$2:$F$497,MATCH(N56,Data!$A$2:$A$497,1))),"")</f>
      </c>
      <c r="AQ68" s="560">
        <f>IFERROR(LN(INDEX(Data!$G$2:$G$497,MATCH(N68,Data!$A$2:$A$497,1))/INDEX(Data!$G$2:$G$497,MATCH(N56,Data!$A$2:$A$497,1))),"")</f>
      </c>
      <c r="AR68" s="560">
        <f>IFERROR(LN(INDEX(Data!$H$2:$H$497,MATCH(N68,Data!$A$2:$A$497,1))/INDEX(Data!$H$2:$H$497,MATCH(N56,Data!$A$2:$A$497,1))),"")</f>
      </c>
      <c r="AS68" s="560">
        <f>IFERROR(LN(INDEX(Data!$I$2:$I$497,MATCH(N68,Data!$A$2:$A$497,1))/INDEX(Data!$I$2:$I$497,MATCH(N56,Data!$A$2:$A$497,1))),"")</f>
      </c>
      <c r="AT68" s="560">
        <f>IFERROR(LN(INDEX(Data!$J$2:$J$497,MATCH(N68,Data!$A$2:$A$497,1))/INDEX(Data!$J$2:$J$497,MATCH(N56,Data!$A$2:$A$497,1))),"")</f>
      </c>
      <c r="AU68" s="560">
        <f>IFERROR(LN(INDEX(Data!$K$2:$K$497,MATCH(N68,Data!$A$2:$A$497,1))/INDEX(Data!$K$2:$K$497,MATCH(N56,Data!$A$2:$A$497,1))),"")</f>
      </c>
      <c r="AV68" s="561">
        <f>IFERROR(LN(INDEX(Data!$L$2:$L$497,MATCH(N68,Data!$A$2:$A$497,1))/INDEX(Data!$L$2:$L$497,MATCH(N56,Data!$A$2:$A$497,1))),"")</f>
      </c>
    </row>
    <row r="69">
      <c r="N69" s="337" t="n">
        <v>26815</v>
      </c>
      <c r="O69" s="116">
        <f>INDEX('Additional data'!$B$2:$B$965,MATCH(DATE(YEAR(N69),MONTH(N69),1),'Additional data'!$A$2:$A$965,0))</f>
        <v>3.56</v>
      </c>
      <c r="P69" s="489">
        <f>LN(O69)</f>
        <v>1.26976054486394</v>
      </c>
      <c r="Q69" s="489">
        <f>Q68+LN(1+INDEX('Additional data'!$H$2:$H$1196,MATCH(N69,'Additional data'!$G$2:$G$1196,1))+INDEX('Additional data'!$I$2:$I$1196,MATCH(N69,'Additional data'!$G$2:$G$1196,1)))</f>
        <v>0.162859212242691</v>
      </c>
      <c r="R69" s="77" t="n"/>
      <c r="S69" s="116">
        <f>IF(INDEX('Additional data'!$E$2:$E$699,MATCH(DATE(YEAR(N69),MONTH(N69),1),'Additional data'!$D$2:$D$699,0))=0,(INDEX('Additional data'!$E$2:$E$699,MATCH(DATE(YEAR(N69),MONTH(N69),1),'Additional data'!$D$2:$D$699,0)-1)+INDEX('Additional data'!$E$2:$E$699,MATCH(DATE(YEAR(N69),MONTH(N69),1),'Additional data'!$D$2:$D$699,0)+1))/2,INDEX('Additional data'!$E$2:$E$699,MATCH(DATE(YEAR(N69),MONTH(N69),1),'Additional data'!$D$2:$D$699,0)))</f>
        <v>6.4</v>
      </c>
      <c r="T69" s="425">
        <f>P69-P68</f>
        <v>0</v>
      </c>
      <c r="U69" s="425">
        <f>Q69-Q68</f>
        <v>-0.0249076357061848</v>
      </c>
      <c r="V69" s="77" t="n"/>
      <c r="W69" s="116">
        <f>S69-S68</f>
        <v>0.600000000000001</v>
      </c>
      <c r="X69" s="425">
        <f>P69-P57</f>
        <v>0</v>
      </c>
      <c r="Y69" s="425">
        <f>Q69-Q57</f>
        <v>-0.0924233105603182</v>
      </c>
      <c r="Z69" s="77" t="n"/>
      <c r="AA69" s="116">
        <f>S69-S57</f>
        <v>0.800000000000001</v>
      </c>
      <c r="AB69" s="425">
        <f>P69-P9</f>
        <v>0.148082983264833</v>
      </c>
      <c r="AC69" s="425">
        <f>Q69-Q9</f>
        <v>0.110794126322321</v>
      </c>
      <c r="AD69" s="77" t="n"/>
      <c r="AE69" s="235">
        <f>S69-S9</f>
        <v>1.1</v>
      </c>
      <c r="AG69" s="554">
        <f>N69</f>
        <v>26815.0</v>
      </c>
      <c r="AH69" s="435">
        <f>IFERROR(INDEX('RBA 5Y yield'!$B$5:$B$661,MATCH(N69,'RBA 5Y yield'!$A$5:$A$661,1))*100,"")</f>
        <v>5.92</v>
      </c>
      <c r="AI69" s="435">
        <f>IF(AND(ISNUMBER(AH69),ISNUMBER(AH68)),AH69-AH68,"")</f>
        <v>0.119999999999999</v>
      </c>
      <c r="AJ69" s="435">
        <f>IF(AND(ISNUMBER(AH69),ISNUMBER(AH57)),AH69-AH57,"")</f>
        <v>0.49</v>
      </c>
      <c r="AK69" s="435">
        <f>IF(AND(ISNUMBER(AH69),ISNUMBER(AH9)),AH69-AH9,"")</f>
      </c>
      <c r="AL69" s="560">
        <f>IFERROR(LN(INDEX(Data!$B$2:$B$497,MATCH(N69,Data!$A$2:$A$497,1))/INDEX(Data!$B$2:$B$497,MATCH(N57,Data!$A$2:$A$497,1))),"")</f>
      </c>
      <c r="AM69" s="560">
        <f>IFERROR(LN(INDEX(Data!$C$2:$C$497,MATCH(N69,Data!$A$2:$A$497,1))/INDEX(Data!$C$2:$C$497,MATCH(N57,Data!$A$2:$A$497,1))),"")</f>
      </c>
      <c r="AN69" s="560">
        <f>IFERROR(LN(INDEX(Data!$D$2:$D$497,MATCH(N69,Data!$A$2:$A$497,1))/INDEX(Data!$D$2:$D$497,MATCH(N57,Data!$A$2:$A$497,1))),"")</f>
      </c>
      <c r="AO69" s="560">
        <f>IFERROR(LN(INDEX(Data!$E$2:$E$497,MATCH(N69,Data!$A$2:$A$497,1))/INDEX(Data!$E$2:$E$497,MATCH(N57,Data!$A$2:$A$497,1))),"")</f>
      </c>
      <c r="AP69" s="560">
        <f>IFERROR(LN(INDEX(Data!$F$2:$F$497,MATCH(N69,Data!$A$2:$A$497,1))/INDEX(Data!$F$2:$F$497,MATCH(N57,Data!$A$2:$A$497,1))),"")</f>
      </c>
      <c r="AQ69" s="560">
        <f>IFERROR(LN(INDEX(Data!$G$2:$G$497,MATCH(N69,Data!$A$2:$A$497,1))/INDEX(Data!$G$2:$G$497,MATCH(N57,Data!$A$2:$A$497,1))),"")</f>
      </c>
      <c r="AR69" s="560">
        <f>IFERROR(LN(INDEX(Data!$H$2:$H$497,MATCH(N69,Data!$A$2:$A$497,1))/INDEX(Data!$H$2:$H$497,MATCH(N57,Data!$A$2:$A$497,1))),"")</f>
      </c>
      <c r="AS69" s="560">
        <f>IFERROR(LN(INDEX(Data!$I$2:$I$497,MATCH(N69,Data!$A$2:$A$497,1))/INDEX(Data!$I$2:$I$497,MATCH(N57,Data!$A$2:$A$497,1))),"")</f>
      </c>
      <c r="AT69" s="560">
        <f>IFERROR(LN(INDEX(Data!$J$2:$J$497,MATCH(N69,Data!$A$2:$A$497,1))/INDEX(Data!$J$2:$J$497,MATCH(N57,Data!$A$2:$A$497,1))),"")</f>
      </c>
      <c r="AU69" s="560">
        <f>IFERROR(LN(INDEX(Data!$K$2:$K$497,MATCH(N69,Data!$A$2:$A$497,1))/INDEX(Data!$K$2:$K$497,MATCH(N57,Data!$A$2:$A$497,1))),"")</f>
      </c>
      <c r="AV69" s="561">
        <f>IFERROR(LN(INDEX(Data!$L$2:$L$497,MATCH(N69,Data!$A$2:$A$497,1))/INDEX(Data!$L$2:$L$497,MATCH(N57,Data!$A$2:$A$497,1))),"")</f>
      </c>
    </row>
    <row r="70">
      <c r="N70" s="337" t="n">
        <v>26845</v>
      </c>
      <c r="O70" s="116">
        <f>INDEX('Additional data'!$B$2:$B$965,MATCH(DATE(YEAR(N70),MONTH(N70),1),'Additional data'!$A$2:$A$965,0))</f>
        <v>3.56</v>
      </c>
      <c r="P70" s="489">
        <f>LN(O70)</f>
        <v>1.26976054486394</v>
      </c>
      <c r="Q70" s="489">
        <f>Q69+LN(1+INDEX('Additional data'!$H$2:$H$1196,MATCH(N70,'Additional data'!$G$2:$G$1196,1))+INDEX('Additional data'!$I$2:$I$1196,MATCH(N70,'Additional data'!$G$2:$G$1196,1)))</f>
        <v>0.152202632054162</v>
      </c>
      <c r="R70" s="77" t="n"/>
      <c r="S70" s="116">
        <f>IF(INDEX('Additional data'!$E$2:$E$699,MATCH(DATE(YEAR(N70),MONTH(N70),1),'Additional data'!$D$2:$D$699,0))=0,(INDEX('Additional data'!$E$2:$E$699,MATCH(DATE(YEAR(N70),MONTH(N70),1),'Additional data'!$D$2:$D$699,0)-1)+INDEX('Additional data'!$E$2:$E$699,MATCH(DATE(YEAR(N70),MONTH(N70),1),'Additional data'!$D$2:$D$699,0)+1))/2,INDEX('Additional data'!$E$2:$E$699,MATCH(DATE(YEAR(N70),MONTH(N70),1),'Additional data'!$D$2:$D$699,0)))</f>
        <v>6.4</v>
      </c>
      <c r="T70" s="425">
        <f>P70-P69</f>
        <v>0</v>
      </c>
      <c r="U70" s="425">
        <f>Q70-Q69</f>
        <v>-0.0106565801885289</v>
      </c>
      <c r="V70" s="77" t="n"/>
      <c r="W70" s="116">
        <f>S70-S69</f>
        <v>0</v>
      </c>
      <c r="X70" s="425">
        <f>P70-P58</f>
        <v>0</v>
      </c>
      <c r="Y70" s="425">
        <f>Q70-Q58</f>
        <v>-0.0814475906217333</v>
      </c>
      <c r="Z70" s="77" t="n"/>
      <c r="AA70" s="116">
        <f>S70-S58</f>
        <v>0.65</v>
      </c>
      <c r="AB70" s="425">
        <f>P70-P10</f>
        <v>0.148082983264833</v>
      </c>
      <c r="AC70" s="425">
        <f>Q70-Q10</f>
        <v>0.0889009142078043</v>
      </c>
      <c r="AD70" s="77" t="n"/>
      <c r="AE70" s="235">
        <f>S70-S10</f>
        <v>0.9</v>
      </c>
      <c r="AG70" s="554">
        <f>N70</f>
        <v>26845.0</v>
      </c>
      <c r="AH70" s="435">
        <f>IFERROR(INDEX('RBA 5Y yield'!$B$5:$B$661,MATCH(N70,'RBA 5Y yield'!$A$5:$A$661,1))*100,"")</f>
        <v>6.42</v>
      </c>
      <c r="AI70" s="435">
        <f>IF(AND(ISNUMBER(AH70),ISNUMBER(AH69)),AH70-AH69,"")</f>
        <v>0.499999999999999</v>
      </c>
      <c r="AJ70" s="435">
        <f>IF(AND(ISNUMBER(AH70),ISNUMBER(AH58)),AH70-AH58,"")</f>
        <v>0.919999999999999</v>
      </c>
      <c r="AK70" s="435">
        <f>IF(AND(ISNUMBER(AH70),ISNUMBER(AH10)),AH70-AH10,"")</f>
      </c>
      <c r="AL70" s="560">
        <f>IFERROR(LN(INDEX(Data!$B$2:$B$497,MATCH(N70,Data!$A$2:$A$497,1))/INDEX(Data!$B$2:$B$497,MATCH(N58,Data!$A$2:$A$497,1))),"")</f>
      </c>
      <c r="AM70" s="560">
        <f>IFERROR(LN(INDEX(Data!$C$2:$C$497,MATCH(N70,Data!$A$2:$A$497,1))/INDEX(Data!$C$2:$C$497,MATCH(N58,Data!$A$2:$A$497,1))),"")</f>
      </c>
      <c r="AN70" s="560">
        <f>IFERROR(LN(INDEX(Data!$D$2:$D$497,MATCH(N70,Data!$A$2:$A$497,1))/INDEX(Data!$D$2:$D$497,MATCH(N58,Data!$A$2:$A$497,1))),"")</f>
      </c>
      <c r="AO70" s="560">
        <f>IFERROR(LN(INDEX(Data!$E$2:$E$497,MATCH(N70,Data!$A$2:$A$497,1))/INDEX(Data!$E$2:$E$497,MATCH(N58,Data!$A$2:$A$497,1))),"")</f>
      </c>
      <c r="AP70" s="560">
        <f>IFERROR(LN(INDEX(Data!$F$2:$F$497,MATCH(N70,Data!$A$2:$A$497,1))/INDEX(Data!$F$2:$F$497,MATCH(N58,Data!$A$2:$A$497,1))),"")</f>
      </c>
      <c r="AQ70" s="560">
        <f>IFERROR(LN(INDEX(Data!$G$2:$G$497,MATCH(N70,Data!$A$2:$A$497,1))/INDEX(Data!$G$2:$G$497,MATCH(N58,Data!$A$2:$A$497,1))),"")</f>
      </c>
      <c r="AR70" s="560">
        <f>IFERROR(LN(INDEX(Data!$H$2:$H$497,MATCH(N70,Data!$A$2:$A$497,1))/INDEX(Data!$H$2:$H$497,MATCH(N58,Data!$A$2:$A$497,1))),"")</f>
      </c>
      <c r="AS70" s="560">
        <f>IFERROR(LN(INDEX(Data!$I$2:$I$497,MATCH(N70,Data!$A$2:$A$497,1))/INDEX(Data!$I$2:$I$497,MATCH(N58,Data!$A$2:$A$497,1))),"")</f>
      </c>
      <c r="AT70" s="560">
        <f>IFERROR(LN(INDEX(Data!$J$2:$J$497,MATCH(N70,Data!$A$2:$A$497,1))/INDEX(Data!$J$2:$J$497,MATCH(N58,Data!$A$2:$A$497,1))),"")</f>
      </c>
      <c r="AU70" s="560">
        <f>IFERROR(LN(INDEX(Data!$K$2:$K$497,MATCH(N70,Data!$A$2:$A$497,1))/INDEX(Data!$K$2:$K$497,MATCH(N58,Data!$A$2:$A$497,1))),"")</f>
      </c>
      <c r="AV70" s="561">
        <f>IFERROR(LN(INDEX(Data!$L$2:$L$497,MATCH(N70,Data!$A$2:$A$497,1))/INDEX(Data!$L$2:$L$497,MATCH(N58,Data!$A$2:$A$497,1))),"")</f>
      </c>
    </row>
    <row r="71">
      <c r="N71" s="337" t="n">
        <v>26876</v>
      </c>
      <c r="O71" s="116">
        <f>INDEX('Additional data'!$B$2:$B$965,MATCH(DATE(YEAR(N71),MONTH(N71),1),'Additional data'!$A$2:$A$965,0))</f>
        <v>3.56</v>
      </c>
      <c r="P71" s="489">
        <f>LN(O71)</f>
        <v>1.26976054486394</v>
      </c>
      <c r="Q71" s="489">
        <f>Q70+LN(1+INDEX('Additional data'!$H$2:$H$1196,MATCH(N71,'Additional data'!$G$2:$G$1196,1))+INDEX('Additional data'!$I$2:$I$1196,MATCH(N71,'Additional data'!$G$2:$G$1196,1)))</f>
        <v>0.207448106280141</v>
      </c>
      <c r="R71" s="77" t="n"/>
      <c r="S71" s="116">
        <f>IF(INDEX('Additional data'!$E$2:$E$699,MATCH(DATE(YEAR(N71),MONTH(N71),1),'Additional data'!$D$2:$D$699,0))=0,(INDEX('Additional data'!$E$2:$E$699,MATCH(DATE(YEAR(N71),MONTH(N71),1),'Additional data'!$D$2:$D$699,0)-1)+INDEX('Additional data'!$E$2:$E$699,MATCH(DATE(YEAR(N71),MONTH(N71),1),'Additional data'!$D$2:$D$699,0)+1))/2,INDEX('Additional data'!$E$2:$E$699,MATCH(DATE(YEAR(N71),MONTH(N71),1),'Additional data'!$D$2:$D$699,0)))</f>
        <v>6.5</v>
      </c>
      <c r="T71" s="425">
        <f>P71-P70</f>
        <v>0</v>
      </c>
      <c r="U71" s="425">
        <f>Q71-Q70</f>
        <v>0.0552454742259785</v>
      </c>
      <c r="V71" s="77" t="n"/>
      <c r="W71" s="116">
        <f>S71-S70</f>
        <v>0.0999999999999996</v>
      </c>
      <c r="X71" s="425">
        <f>P71-P59</f>
        <v>0</v>
      </c>
      <c r="Y71" s="425">
        <f>Q71-Q59</f>
        <v>-0.0212900720347342</v>
      </c>
      <c r="Z71" s="77" t="n"/>
      <c r="AA71" s="116">
        <f>S71-S59</f>
        <v>1.9</v>
      </c>
      <c r="AB71" s="425">
        <f>P71-P11</f>
        <v>0.148082983264833</v>
      </c>
      <c r="AC71" s="425">
        <f>Q71-Q11</f>
        <v>0.16649425209769</v>
      </c>
      <c r="AD71" s="77" t="n"/>
      <c r="AE71" s="235">
        <f>S71-S11</f>
        <v>1.4</v>
      </c>
      <c r="AG71" s="554">
        <f>N71</f>
        <v>26876.0</v>
      </c>
      <c r="AH71" s="435">
        <f>IFERROR(INDEX('RBA 5Y yield'!$B$5:$B$661,MATCH(N71,'RBA 5Y yield'!$A$5:$A$661,1))*100,"")</f>
        <v>6.44</v>
      </c>
      <c r="AI71" s="435">
        <f>IF(AND(ISNUMBER(AH71),ISNUMBER(AH70)),AH71-AH70,"")</f>
        <v>0.0200000000000005</v>
      </c>
      <c r="AJ71" s="435">
        <f>IF(AND(ISNUMBER(AH71),ISNUMBER(AH59)),AH71-AH59,"")</f>
        <v>1.25</v>
      </c>
      <c r="AK71" s="435">
        <f>IF(AND(ISNUMBER(AH71),ISNUMBER(AH11)),AH71-AH11,"")</f>
      </c>
      <c r="AL71" s="560">
        <f>IFERROR(LN(INDEX(Data!$B$2:$B$497,MATCH(N71,Data!$A$2:$A$497,1))/INDEX(Data!$B$2:$B$497,MATCH(N59,Data!$A$2:$A$497,1))),"")</f>
      </c>
      <c r="AM71" s="560">
        <f>IFERROR(LN(INDEX(Data!$C$2:$C$497,MATCH(N71,Data!$A$2:$A$497,1))/INDEX(Data!$C$2:$C$497,MATCH(N59,Data!$A$2:$A$497,1))),"")</f>
      </c>
      <c r="AN71" s="560">
        <f>IFERROR(LN(INDEX(Data!$D$2:$D$497,MATCH(N71,Data!$A$2:$A$497,1))/INDEX(Data!$D$2:$D$497,MATCH(N59,Data!$A$2:$A$497,1))),"")</f>
      </c>
      <c r="AO71" s="560">
        <f>IFERROR(LN(INDEX(Data!$E$2:$E$497,MATCH(N71,Data!$A$2:$A$497,1))/INDEX(Data!$E$2:$E$497,MATCH(N59,Data!$A$2:$A$497,1))),"")</f>
      </c>
      <c r="AP71" s="560">
        <f>IFERROR(LN(INDEX(Data!$F$2:$F$497,MATCH(N71,Data!$A$2:$A$497,1))/INDEX(Data!$F$2:$F$497,MATCH(N59,Data!$A$2:$A$497,1))),"")</f>
      </c>
      <c r="AQ71" s="560">
        <f>IFERROR(LN(INDEX(Data!$G$2:$G$497,MATCH(N71,Data!$A$2:$A$497,1))/INDEX(Data!$G$2:$G$497,MATCH(N59,Data!$A$2:$A$497,1))),"")</f>
      </c>
      <c r="AR71" s="560">
        <f>IFERROR(LN(INDEX(Data!$H$2:$H$497,MATCH(N71,Data!$A$2:$A$497,1))/INDEX(Data!$H$2:$H$497,MATCH(N59,Data!$A$2:$A$497,1))),"")</f>
      </c>
      <c r="AS71" s="560">
        <f>IFERROR(LN(INDEX(Data!$I$2:$I$497,MATCH(N71,Data!$A$2:$A$497,1))/INDEX(Data!$I$2:$I$497,MATCH(N59,Data!$A$2:$A$497,1))),"")</f>
      </c>
      <c r="AT71" s="560">
        <f>IFERROR(LN(INDEX(Data!$J$2:$J$497,MATCH(N71,Data!$A$2:$A$497,1))/INDEX(Data!$J$2:$J$497,MATCH(N59,Data!$A$2:$A$497,1))),"")</f>
      </c>
      <c r="AU71" s="560">
        <f>IFERROR(LN(INDEX(Data!$K$2:$K$497,MATCH(N71,Data!$A$2:$A$497,1))/INDEX(Data!$K$2:$K$497,MATCH(N59,Data!$A$2:$A$497,1))),"")</f>
      </c>
      <c r="AV71" s="561">
        <f>IFERROR(LN(INDEX(Data!$L$2:$L$497,MATCH(N71,Data!$A$2:$A$497,1))/INDEX(Data!$L$2:$L$497,MATCH(N59,Data!$A$2:$A$497,1))),"")</f>
      </c>
    </row>
    <row r="72">
      <c r="N72" s="337" t="n">
        <v>26907</v>
      </c>
      <c r="O72" s="116">
        <f>INDEX('Additional data'!$B$2:$B$965,MATCH(DATE(YEAR(N72),MONTH(N72),1),'Additional data'!$A$2:$A$965,0))</f>
        <v>4.31</v>
      </c>
      <c r="P72" s="489">
        <f>LN(O72)</f>
        <v>1.46093790411566</v>
      </c>
      <c r="Q72" s="489">
        <f>Q71+LN(1+INDEX('Additional data'!$H$2:$H$1196,MATCH(N72,'Additional data'!$G$2:$G$1196,1))+INDEX('Additional data'!$I$2:$I$1196,MATCH(N72,'Additional data'!$G$2:$G$1196,1)))</f>
        <v>0.175751019536886</v>
      </c>
      <c r="R72" s="77" t="n"/>
      <c r="S72" s="116">
        <f>IF(INDEX('Additional data'!$E$2:$E$699,MATCH(DATE(YEAR(N72),MONTH(N72),1),'Additional data'!$D$2:$D$699,0))=0,(INDEX('Additional data'!$E$2:$E$699,MATCH(DATE(YEAR(N72),MONTH(N72),1),'Additional data'!$D$2:$D$699,0)-1)+INDEX('Additional data'!$E$2:$E$699,MATCH(DATE(YEAR(N72),MONTH(N72),1),'Additional data'!$D$2:$D$699,0)+1))/2,INDEX('Additional data'!$E$2:$E$699,MATCH(DATE(YEAR(N72),MONTH(N72),1),'Additional data'!$D$2:$D$699,0)))</f>
        <v>6.4</v>
      </c>
      <c r="T72" s="425">
        <f>P72-P71</f>
        <v>0.191177359251717</v>
      </c>
      <c r="U72" s="425">
        <f>Q72-Q71</f>
        <v>-0.0316970867432546</v>
      </c>
      <c r="V72" s="77" t="n"/>
      <c r="W72" s="116">
        <f>S72-S71</f>
        <v>-0.0999999999999996</v>
      </c>
      <c r="X72" s="425">
        <f>P72-P60</f>
        <v>0.191177359251717</v>
      </c>
      <c r="Y72" s="425">
        <f>Q72-Q60</f>
        <v>-0.0879681276732341</v>
      </c>
      <c r="Z72" s="77" t="n"/>
      <c r="AA72" s="116">
        <f>S72-S60</f>
        <v>1.8</v>
      </c>
      <c r="AB72" s="425">
        <f>P72-P12</f>
        <v>0.339260342516551</v>
      </c>
      <c r="AC72" s="425">
        <f>Q72-Q12</f>
        <v>0.117251986138687</v>
      </c>
      <c r="AD72" s="77" t="n"/>
      <c r="AE72" s="235">
        <f>S72-S12</f>
        <v>1.3</v>
      </c>
      <c r="AG72" s="554">
        <f>N72</f>
        <v>26907.0</v>
      </c>
      <c r="AH72" s="435">
        <f>IFERROR(INDEX('RBA 5Y yield'!$B$5:$B$661,MATCH(N72,'RBA 5Y yield'!$A$5:$A$661,1))*100,"")</f>
        <v>6.42</v>
      </c>
      <c r="AI72" s="435">
        <f>IF(AND(ISNUMBER(AH72),ISNUMBER(AH71)),AH72-AH71,"")</f>
        <v>-0.0200000000000005</v>
      </c>
      <c r="AJ72" s="435">
        <f>IF(AND(ISNUMBER(AH72),ISNUMBER(AH60)),AH72-AH60,"")</f>
        <v>1.2</v>
      </c>
      <c r="AK72" s="435">
        <f>IF(AND(ISNUMBER(AH72),ISNUMBER(AH12)),AH72-AH12,"")</f>
      </c>
      <c r="AL72" s="560">
        <f>IFERROR(LN(INDEX(Data!$B$2:$B$497,MATCH(N72,Data!$A$2:$A$497,1))/INDEX(Data!$B$2:$B$497,MATCH(N60,Data!$A$2:$A$497,1))),"")</f>
      </c>
      <c r="AM72" s="560">
        <f>IFERROR(LN(INDEX(Data!$C$2:$C$497,MATCH(N72,Data!$A$2:$A$497,1))/INDEX(Data!$C$2:$C$497,MATCH(N60,Data!$A$2:$A$497,1))),"")</f>
      </c>
      <c r="AN72" s="560">
        <f>IFERROR(LN(INDEX(Data!$D$2:$D$497,MATCH(N72,Data!$A$2:$A$497,1))/INDEX(Data!$D$2:$D$497,MATCH(N60,Data!$A$2:$A$497,1))),"")</f>
      </c>
      <c r="AO72" s="560">
        <f>IFERROR(LN(INDEX(Data!$E$2:$E$497,MATCH(N72,Data!$A$2:$A$497,1))/INDEX(Data!$E$2:$E$497,MATCH(N60,Data!$A$2:$A$497,1))),"")</f>
      </c>
      <c r="AP72" s="560">
        <f>IFERROR(LN(INDEX(Data!$F$2:$F$497,MATCH(N72,Data!$A$2:$A$497,1))/INDEX(Data!$F$2:$F$497,MATCH(N60,Data!$A$2:$A$497,1))),"")</f>
      </c>
      <c r="AQ72" s="560">
        <f>IFERROR(LN(INDEX(Data!$G$2:$G$497,MATCH(N72,Data!$A$2:$A$497,1))/INDEX(Data!$G$2:$G$497,MATCH(N60,Data!$A$2:$A$497,1))),"")</f>
      </c>
      <c r="AR72" s="560">
        <f>IFERROR(LN(INDEX(Data!$H$2:$H$497,MATCH(N72,Data!$A$2:$A$497,1))/INDEX(Data!$H$2:$H$497,MATCH(N60,Data!$A$2:$A$497,1))),"")</f>
      </c>
      <c r="AS72" s="560">
        <f>IFERROR(LN(INDEX(Data!$I$2:$I$497,MATCH(N72,Data!$A$2:$A$497,1))/INDEX(Data!$I$2:$I$497,MATCH(N60,Data!$A$2:$A$497,1))),"")</f>
      </c>
      <c r="AT72" s="560">
        <f>IFERROR(LN(INDEX(Data!$J$2:$J$497,MATCH(N72,Data!$A$2:$A$497,1))/INDEX(Data!$J$2:$J$497,MATCH(N60,Data!$A$2:$A$497,1))),"")</f>
      </c>
      <c r="AU72" s="560">
        <f>IFERROR(LN(INDEX(Data!$K$2:$K$497,MATCH(N72,Data!$A$2:$A$497,1))/INDEX(Data!$K$2:$K$497,MATCH(N60,Data!$A$2:$A$497,1))),"")</f>
      </c>
      <c r="AV72" s="561">
        <f>IFERROR(LN(INDEX(Data!$L$2:$L$497,MATCH(N72,Data!$A$2:$A$497,1))/INDEX(Data!$L$2:$L$497,MATCH(N60,Data!$A$2:$A$497,1))),"")</f>
      </c>
    </row>
    <row r="73">
      <c r="N73" s="337" t="n">
        <v>26937</v>
      </c>
      <c r="O73" s="116">
        <f>INDEX('Additional data'!$B$2:$B$965,MATCH(DATE(YEAR(N73),MONTH(N73),1),'Additional data'!$A$2:$A$965,0))</f>
        <v>4.31</v>
      </c>
      <c r="P73" s="489">
        <f>LN(O73)</f>
        <v>1.46093790411566</v>
      </c>
      <c r="Q73" s="489">
        <f>Q72+LN(1+INDEX('Additional data'!$H$2:$H$1196,MATCH(N73,'Additional data'!$G$2:$G$1196,1))+INDEX('Additional data'!$I$2:$I$1196,MATCH(N73,'Additional data'!$G$2:$G$1196,1)))</f>
        <v>0.228533204975855</v>
      </c>
      <c r="R73" s="77" t="n"/>
      <c r="S73" s="116">
        <f>IF(INDEX('Additional data'!$E$2:$E$699,MATCH(DATE(YEAR(N73),MONTH(N73),1),'Additional data'!$D$2:$D$699,0))=0,(INDEX('Additional data'!$E$2:$E$699,MATCH(DATE(YEAR(N73),MONTH(N73),1),'Additional data'!$D$2:$D$699,0)-1)+INDEX('Additional data'!$E$2:$E$699,MATCH(DATE(YEAR(N73),MONTH(N73),1),'Additional data'!$D$2:$D$699,0)+1))/2,INDEX('Additional data'!$E$2:$E$699,MATCH(DATE(YEAR(N73),MONTH(N73),1),'Additional data'!$D$2:$D$699,0)))</f>
        <v>9.25</v>
      </c>
      <c r="T73" s="425">
        <f>P73-P72</f>
        <v>0</v>
      </c>
      <c r="U73" s="425">
        <f>Q73-Q72</f>
        <v>0.0527821854389695</v>
      </c>
      <c r="V73" s="77" t="n"/>
      <c r="W73" s="116">
        <f>S73-S72</f>
        <v>2.85</v>
      </c>
      <c r="X73" s="425">
        <f>P73-P61</f>
        <v>0.191177359251717</v>
      </c>
      <c r="Y73" s="425">
        <f>Q73-Q61</f>
        <v>-0.0271537705370003</v>
      </c>
      <c r="Z73" s="77" t="n"/>
      <c r="AA73" s="116">
        <f>S73-S61</f>
        <v>4.75</v>
      </c>
      <c r="AB73" s="425">
        <f>P73-P13</f>
        <v>0.339260342516551</v>
      </c>
      <c r="AC73" s="425">
        <f>Q73-Q13</f>
        <v>0.126208692037627</v>
      </c>
      <c r="AD73" s="77" t="n"/>
      <c r="AE73" s="235">
        <f>S73-S13</f>
        <v>4.2</v>
      </c>
      <c r="AG73" s="554">
        <f>N73</f>
        <v>26937.0</v>
      </c>
      <c r="AH73" s="435">
        <f>IFERROR(INDEX('RBA 5Y yield'!$B$5:$B$661,MATCH(N73,'RBA 5Y yield'!$A$5:$A$661,1))*100,"")</f>
        <v>8.25</v>
      </c>
      <c r="AI73" s="435">
        <f>IF(AND(ISNUMBER(AH73),ISNUMBER(AH72)),AH73-AH72,"")</f>
        <v>1.83</v>
      </c>
      <c r="AJ73" s="435">
        <f>IF(AND(ISNUMBER(AH73),ISNUMBER(AH61)),AH73-AH61,"")</f>
        <v>3.05</v>
      </c>
      <c r="AK73" s="435">
        <f>IF(AND(ISNUMBER(AH73),ISNUMBER(AH13)),AH73-AH13,"")</f>
      </c>
      <c r="AL73" s="560">
        <f>IFERROR(LN(INDEX(Data!$B$2:$B$497,MATCH(N73,Data!$A$2:$A$497,1))/INDEX(Data!$B$2:$B$497,MATCH(N61,Data!$A$2:$A$497,1))),"")</f>
      </c>
      <c r="AM73" s="560">
        <f>IFERROR(LN(INDEX(Data!$C$2:$C$497,MATCH(N73,Data!$A$2:$A$497,1))/INDEX(Data!$C$2:$C$497,MATCH(N61,Data!$A$2:$A$497,1))),"")</f>
      </c>
      <c r="AN73" s="560">
        <f>IFERROR(LN(INDEX(Data!$D$2:$D$497,MATCH(N73,Data!$A$2:$A$497,1))/INDEX(Data!$D$2:$D$497,MATCH(N61,Data!$A$2:$A$497,1))),"")</f>
      </c>
      <c r="AO73" s="560">
        <f>IFERROR(LN(INDEX(Data!$E$2:$E$497,MATCH(N73,Data!$A$2:$A$497,1))/INDEX(Data!$E$2:$E$497,MATCH(N61,Data!$A$2:$A$497,1))),"")</f>
      </c>
      <c r="AP73" s="560">
        <f>IFERROR(LN(INDEX(Data!$F$2:$F$497,MATCH(N73,Data!$A$2:$A$497,1))/INDEX(Data!$F$2:$F$497,MATCH(N61,Data!$A$2:$A$497,1))),"")</f>
      </c>
      <c r="AQ73" s="560">
        <f>IFERROR(LN(INDEX(Data!$G$2:$G$497,MATCH(N73,Data!$A$2:$A$497,1))/INDEX(Data!$G$2:$G$497,MATCH(N61,Data!$A$2:$A$497,1))),"")</f>
      </c>
      <c r="AR73" s="560">
        <f>IFERROR(LN(INDEX(Data!$H$2:$H$497,MATCH(N73,Data!$A$2:$A$497,1))/INDEX(Data!$H$2:$H$497,MATCH(N61,Data!$A$2:$A$497,1))),"")</f>
      </c>
      <c r="AS73" s="560">
        <f>IFERROR(LN(INDEX(Data!$I$2:$I$497,MATCH(N73,Data!$A$2:$A$497,1))/INDEX(Data!$I$2:$I$497,MATCH(N61,Data!$A$2:$A$497,1))),"")</f>
      </c>
      <c r="AT73" s="560">
        <f>IFERROR(LN(INDEX(Data!$J$2:$J$497,MATCH(N73,Data!$A$2:$A$497,1))/INDEX(Data!$J$2:$J$497,MATCH(N61,Data!$A$2:$A$497,1))),"")</f>
      </c>
      <c r="AU73" s="560">
        <f>IFERROR(LN(INDEX(Data!$K$2:$K$497,MATCH(N73,Data!$A$2:$A$497,1))/INDEX(Data!$K$2:$K$497,MATCH(N61,Data!$A$2:$A$497,1))),"")</f>
      </c>
      <c r="AV73" s="561">
        <f>IFERROR(LN(INDEX(Data!$L$2:$L$497,MATCH(N73,Data!$A$2:$A$497,1))/INDEX(Data!$L$2:$L$497,MATCH(N61,Data!$A$2:$A$497,1))),"")</f>
      </c>
    </row>
    <row r="74">
      <c r="N74" s="337" t="n">
        <v>26968</v>
      </c>
      <c r="O74" s="116">
        <f>INDEX('Additional data'!$B$2:$B$965,MATCH(DATE(YEAR(N74),MONTH(N74),1),'Additional data'!$A$2:$A$965,0))</f>
        <v>4.31</v>
      </c>
      <c r="P74" s="489">
        <f>LN(O74)</f>
        <v>1.46093790411566</v>
      </c>
      <c r="Q74" s="489">
        <f>Q73+LN(1+INDEX('Additional data'!$H$2:$H$1196,MATCH(N74,'Additional data'!$G$2:$G$1196,1))+INDEX('Additional data'!$I$2:$I$1196,MATCH(N74,'Additional data'!$G$2:$G$1196,1)))</f>
        <v>0.226731583029227</v>
      </c>
      <c r="R74" s="77" t="n"/>
      <c r="S74" s="116">
        <f>IF(INDEX('Additional data'!$E$2:$E$699,MATCH(DATE(YEAR(N74),MONTH(N74),1),'Additional data'!$D$2:$D$699,0))=0,(INDEX('Additional data'!$E$2:$E$699,MATCH(DATE(YEAR(N74),MONTH(N74),1),'Additional data'!$D$2:$D$699,0)-1)+INDEX('Additional data'!$E$2:$E$699,MATCH(DATE(YEAR(N74),MONTH(N74),1),'Additional data'!$D$2:$D$699,0)+1))/2,INDEX('Additional data'!$E$2:$E$699,MATCH(DATE(YEAR(N74),MONTH(N74),1),'Additional data'!$D$2:$D$699,0)))</f>
        <v>9.65</v>
      </c>
      <c r="T74" s="425">
        <f>P74-P73</f>
        <v>0</v>
      </c>
      <c r="U74" s="425">
        <f>Q74-Q73</f>
        <v>-0.0018016219466282</v>
      </c>
      <c r="V74" s="77" t="n"/>
      <c r="W74" s="116">
        <f>S74-S73</f>
        <v>0.4</v>
      </c>
      <c r="X74" s="425">
        <f>P74-P62</f>
        <v>0.191177359251717</v>
      </c>
      <c r="Y74" s="425">
        <f>Q74-Q62</f>
        <v>-0.0381133302683942</v>
      </c>
      <c r="Z74" s="77" t="n"/>
      <c r="AA74" s="116">
        <f>S74-S62</f>
        <v>5.35</v>
      </c>
      <c r="AB74" s="425">
        <f>P74-P14</f>
        <v>0.339260342516551</v>
      </c>
      <c r="AC74" s="425">
        <f>Q74-Q14</f>
        <v>0.115744697012346</v>
      </c>
      <c r="AD74" s="77" t="n"/>
      <c r="AE74" s="235">
        <f>S74-S14</f>
        <v>4.65</v>
      </c>
      <c r="AG74" s="554">
        <f>N74</f>
        <v>26968.0</v>
      </c>
      <c r="AH74" s="435">
        <f>IFERROR(INDEX('RBA 5Y yield'!$B$5:$B$661,MATCH(N74,'RBA 5Y yield'!$A$5:$A$661,1))*100,"")</f>
        <v>8.24</v>
      </c>
      <c r="AI74" s="435">
        <f>IF(AND(ISNUMBER(AH74),ISNUMBER(AH73)),AH74-AH73,"")</f>
        <v>-0.00999999999999979</v>
      </c>
      <c r="AJ74" s="435">
        <f>IF(AND(ISNUMBER(AH74),ISNUMBER(AH62)),AH74-AH62,"")</f>
        <v>2.97</v>
      </c>
      <c r="AK74" s="435">
        <f>IF(AND(ISNUMBER(AH74),ISNUMBER(AH14)),AH74-AH14,"")</f>
      </c>
      <c r="AL74" s="560">
        <f>IFERROR(LN(INDEX(Data!$B$2:$B$497,MATCH(N74,Data!$A$2:$A$497,1))/INDEX(Data!$B$2:$B$497,MATCH(N62,Data!$A$2:$A$497,1))),"")</f>
      </c>
      <c r="AM74" s="560">
        <f>IFERROR(LN(INDEX(Data!$C$2:$C$497,MATCH(N74,Data!$A$2:$A$497,1))/INDEX(Data!$C$2:$C$497,MATCH(N62,Data!$A$2:$A$497,1))),"")</f>
      </c>
      <c r="AN74" s="560">
        <f>IFERROR(LN(INDEX(Data!$D$2:$D$497,MATCH(N74,Data!$A$2:$A$497,1))/INDEX(Data!$D$2:$D$497,MATCH(N62,Data!$A$2:$A$497,1))),"")</f>
      </c>
      <c r="AO74" s="560">
        <f>IFERROR(LN(INDEX(Data!$E$2:$E$497,MATCH(N74,Data!$A$2:$A$497,1))/INDEX(Data!$E$2:$E$497,MATCH(N62,Data!$A$2:$A$497,1))),"")</f>
      </c>
      <c r="AP74" s="560">
        <f>IFERROR(LN(INDEX(Data!$F$2:$F$497,MATCH(N74,Data!$A$2:$A$497,1))/INDEX(Data!$F$2:$F$497,MATCH(N62,Data!$A$2:$A$497,1))),"")</f>
      </c>
      <c r="AQ74" s="560">
        <f>IFERROR(LN(INDEX(Data!$G$2:$G$497,MATCH(N74,Data!$A$2:$A$497,1))/INDEX(Data!$G$2:$G$497,MATCH(N62,Data!$A$2:$A$497,1))),"")</f>
      </c>
      <c r="AR74" s="560">
        <f>IFERROR(LN(INDEX(Data!$H$2:$H$497,MATCH(N74,Data!$A$2:$A$497,1))/INDEX(Data!$H$2:$H$497,MATCH(N62,Data!$A$2:$A$497,1))),"")</f>
      </c>
      <c r="AS74" s="560">
        <f>IFERROR(LN(INDEX(Data!$I$2:$I$497,MATCH(N74,Data!$A$2:$A$497,1))/INDEX(Data!$I$2:$I$497,MATCH(N62,Data!$A$2:$A$497,1))),"")</f>
      </c>
      <c r="AT74" s="560">
        <f>IFERROR(LN(INDEX(Data!$J$2:$J$497,MATCH(N74,Data!$A$2:$A$497,1))/INDEX(Data!$J$2:$J$497,MATCH(N62,Data!$A$2:$A$497,1))),"")</f>
      </c>
      <c r="AU74" s="560">
        <f>IFERROR(LN(INDEX(Data!$K$2:$K$497,MATCH(N74,Data!$A$2:$A$497,1))/INDEX(Data!$K$2:$K$497,MATCH(N62,Data!$A$2:$A$497,1))),"")</f>
      </c>
      <c r="AV74" s="561">
        <f>IFERROR(LN(INDEX(Data!$L$2:$L$497,MATCH(N74,Data!$A$2:$A$497,1))/INDEX(Data!$L$2:$L$497,MATCH(N62,Data!$A$2:$A$497,1))),"")</f>
      </c>
    </row>
    <row r="75">
      <c r="N75" s="337" t="n">
        <v>26998</v>
      </c>
      <c r="O75" s="116">
        <f>INDEX('Additional data'!$B$2:$B$965,MATCH(DATE(YEAR(N75),MONTH(N75),1),'Additional data'!$A$2:$A$965,0))</f>
        <v>4.31</v>
      </c>
      <c r="P75" s="489">
        <f>LN(O75)</f>
        <v>1.46093790411566</v>
      </c>
      <c r="Q75" s="489">
        <f>Q74+LN(1+INDEX('Additional data'!$H$2:$H$1196,MATCH(N75,'Additional data'!$G$2:$G$1196,1))+INDEX('Additional data'!$I$2:$I$1196,MATCH(N75,'Additional data'!$G$2:$G$1196,1)))</f>
        <v>0.0963950813012238</v>
      </c>
      <c r="R75" s="77" t="n"/>
      <c r="S75" s="116">
        <f>IF(INDEX('Additional data'!$E$2:$E$699,MATCH(DATE(YEAR(N75),MONTH(N75),1),'Additional data'!$D$2:$D$699,0))=0,(INDEX('Additional data'!$E$2:$E$699,MATCH(DATE(YEAR(N75),MONTH(N75),1),'Additional data'!$D$2:$D$699,0)-1)+INDEX('Additional data'!$E$2:$E$699,MATCH(DATE(YEAR(N75),MONTH(N75),1),'Additional data'!$D$2:$D$699,0)+1))/2,INDEX('Additional data'!$E$2:$E$699,MATCH(DATE(YEAR(N75),MONTH(N75),1),'Additional data'!$D$2:$D$699,0)))</f>
        <v>9.2</v>
      </c>
      <c r="T75" s="425">
        <f>P75-P74</f>
        <v>0</v>
      </c>
      <c r="U75" s="425">
        <f>Q75-Q74</f>
        <v>-0.130336501728003</v>
      </c>
      <c r="V75" s="77" t="n"/>
      <c r="W75" s="116">
        <f>S75-S74</f>
        <v>-0.450000000000001</v>
      </c>
      <c r="X75" s="425">
        <f>P75-P63</f>
        <v>0.191177359251717</v>
      </c>
      <c r="Y75" s="425">
        <f>Q75-Q63</f>
        <v>-0.216954241056013</v>
      </c>
      <c r="Z75" s="77" t="n"/>
      <c r="AA75" s="116">
        <f>S75-S63</f>
        <v>4.1</v>
      </c>
      <c r="AB75" s="425">
        <f>P75-P15</f>
        <v>0.339260342516551</v>
      </c>
      <c r="AC75" s="425">
        <f>Q75-Q15</f>
        <v>-0.0714446163084401</v>
      </c>
      <c r="AD75" s="77" t="n"/>
      <c r="AE75" s="235">
        <f>S75-S15</f>
        <v>4.3</v>
      </c>
      <c r="AG75" s="554">
        <f>N75</f>
        <v>26998.0</v>
      </c>
      <c r="AH75" s="435">
        <f>IFERROR(INDEX('RBA 5Y yield'!$B$5:$B$661,MATCH(N75,'RBA 5Y yield'!$A$5:$A$661,1))*100,"")</f>
        <v>8.24</v>
      </c>
      <c r="AI75" s="435">
        <f>IF(AND(ISNUMBER(AH75),ISNUMBER(AH74)),AH75-AH74,"")</f>
        <v>0</v>
      </c>
      <c r="AJ75" s="435">
        <f>IF(AND(ISNUMBER(AH75),ISNUMBER(AH63)),AH75-AH63,"")</f>
        <v>2.97</v>
      </c>
      <c r="AK75" s="435">
        <f>IF(AND(ISNUMBER(AH75),ISNUMBER(AH15)),AH75-AH15,"")</f>
      </c>
      <c r="AL75" s="560">
        <f>IFERROR(LN(INDEX(Data!$B$2:$B$497,MATCH(N75,Data!$A$2:$A$497,1))/INDEX(Data!$B$2:$B$497,MATCH(N63,Data!$A$2:$A$497,1))),"")</f>
      </c>
      <c r="AM75" s="560">
        <f>IFERROR(LN(INDEX(Data!$C$2:$C$497,MATCH(N75,Data!$A$2:$A$497,1))/INDEX(Data!$C$2:$C$497,MATCH(N63,Data!$A$2:$A$497,1))),"")</f>
      </c>
      <c r="AN75" s="560">
        <f>IFERROR(LN(INDEX(Data!$D$2:$D$497,MATCH(N75,Data!$A$2:$A$497,1))/INDEX(Data!$D$2:$D$497,MATCH(N63,Data!$A$2:$A$497,1))),"")</f>
      </c>
      <c r="AO75" s="560">
        <f>IFERROR(LN(INDEX(Data!$E$2:$E$497,MATCH(N75,Data!$A$2:$A$497,1))/INDEX(Data!$E$2:$E$497,MATCH(N63,Data!$A$2:$A$497,1))),"")</f>
      </c>
      <c r="AP75" s="560">
        <f>IFERROR(LN(INDEX(Data!$F$2:$F$497,MATCH(N75,Data!$A$2:$A$497,1))/INDEX(Data!$F$2:$F$497,MATCH(N63,Data!$A$2:$A$497,1))),"")</f>
      </c>
      <c r="AQ75" s="560">
        <f>IFERROR(LN(INDEX(Data!$G$2:$G$497,MATCH(N75,Data!$A$2:$A$497,1))/INDEX(Data!$G$2:$G$497,MATCH(N63,Data!$A$2:$A$497,1))),"")</f>
      </c>
      <c r="AR75" s="560">
        <f>IFERROR(LN(INDEX(Data!$H$2:$H$497,MATCH(N75,Data!$A$2:$A$497,1))/INDEX(Data!$H$2:$H$497,MATCH(N63,Data!$A$2:$A$497,1))),"")</f>
      </c>
      <c r="AS75" s="560">
        <f>IFERROR(LN(INDEX(Data!$I$2:$I$497,MATCH(N75,Data!$A$2:$A$497,1))/INDEX(Data!$I$2:$I$497,MATCH(N63,Data!$A$2:$A$497,1))),"")</f>
      </c>
      <c r="AT75" s="560">
        <f>IFERROR(LN(INDEX(Data!$J$2:$J$497,MATCH(N75,Data!$A$2:$A$497,1))/INDEX(Data!$J$2:$J$497,MATCH(N63,Data!$A$2:$A$497,1))),"")</f>
      </c>
      <c r="AU75" s="560">
        <f>IFERROR(LN(INDEX(Data!$K$2:$K$497,MATCH(N75,Data!$A$2:$A$497,1))/INDEX(Data!$K$2:$K$497,MATCH(N63,Data!$A$2:$A$497,1))),"")</f>
      </c>
      <c r="AV75" s="561">
        <f>IFERROR(LN(INDEX(Data!$L$2:$L$497,MATCH(N75,Data!$A$2:$A$497,1))/INDEX(Data!$L$2:$L$497,MATCH(N63,Data!$A$2:$A$497,1))),"")</f>
      </c>
    </row>
    <row r="76">
      <c r="N76" s="337" t="n">
        <v>27029</v>
      </c>
      <c r="O76" s="116">
        <f>INDEX('Additional data'!$B$2:$B$965,MATCH(DATE(YEAR(N76),MONTH(N76),1),'Additional data'!$A$2:$A$965,0))</f>
        <v>4.31</v>
      </c>
      <c r="P76" s="489">
        <f>LN(O76)</f>
        <v>1.46093790411566</v>
      </c>
      <c r="Q76" s="489">
        <f>Q75+LN(1+INDEX('Additional data'!$H$2:$H$1196,MATCH(N76,'Additional data'!$G$2:$G$1196,1))+INDEX('Additional data'!$I$2:$I$1196,MATCH(N76,'Additional data'!$G$2:$G$1196,1)))</f>
        <v>0.108620050923793</v>
      </c>
      <c r="R76" s="77" t="n"/>
      <c r="S76" s="116">
        <f>IF(INDEX('Additional data'!$E$2:$E$699,MATCH(DATE(YEAR(N76),MONTH(N76),1),'Additional data'!$D$2:$D$699,0))=0,(INDEX('Additional data'!$E$2:$E$699,MATCH(DATE(YEAR(N76),MONTH(N76),1),'Additional data'!$D$2:$D$699,0)-1)+INDEX('Additional data'!$E$2:$E$699,MATCH(DATE(YEAR(N76),MONTH(N76),1),'Additional data'!$D$2:$D$699,0)+1))/2,INDEX('Additional data'!$E$2:$E$699,MATCH(DATE(YEAR(N76),MONTH(N76),1),'Additional data'!$D$2:$D$699,0)))</f>
        <v>9.25</v>
      </c>
      <c r="T76" s="425">
        <f>P76-P75</f>
        <v>0</v>
      </c>
      <c r="U76" s="425">
        <f>Q76-Q75</f>
        <v>0.0122249696225689</v>
      </c>
      <c r="V76" s="77" t="n"/>
      <c r="W76" s="116">
        <f>S76-S75</f>
        <v>0.0500000000000007</v>
      </c>
      <c r="X76" s="425">
        <f>P76-P64</f>
        <v>0.191177359251717</v>
      </c>
      <c r="Y76" s="425">
        <f>Q76-Q64</f>
        <v>-0.214580587483818</v>
      </c>
      <c r="Z76" s="77" t="n"/>
      <c r="AA76" s="116">
        <f>S76-S64</f>
        <v>4.8</v>
      </c>
      <c r="AB76" s="425">
        <f>P76-P16</f>
        <v>0.339260342516551</v>
      </c>
      <c r="AC76" s="425">
        <f>Q76-Q16</f>
        <v>-0.02359246904272</v>
      </c>
      <c r="AD76" s="77" t="n"/>
      <c r="AE76" s="235">
        <f>S76-S16</f>
        <v>4.35</v>
      </c>
      <c r="AG76" s="554">
        <f>N76</f>
        <v>27029.0</v>
      </c>
      <c r="AH76" s="435">
        <f>IFERROR(INDEX('RBA 5Y yield'!$B$5:$B$661,MATCH(N76,'RBA 5Y yield'!$A$5:$A$661,1))*100,"")</f>
        <v>8.24</v>
      </c>
      <c r="AI76" s="435">
        <f>IF(AND(ISNUMBER(AH76),ISNUMBER(AH75)),AH76-AH75,"")</f>
        <v>0</v>
      </c>
      <c r="AJ76" s="435">
        <f>IF(AND(ISNUMBER(AH76),ISNUMBER(AH64)),AH76-AH64,"")</f>
        <v>2.84</v>
      </c>
      <c r="AK76" s="435">
        <f>IF(AND(ISNUMBER(AH76),ISNUMBER(AH16)),AH76-AH16,"")</f>
      </c>
      <c r="AL76" s="560">
        <f>IFERROR(LN(INDEX(Data!$B$2:$B$497,MATCH(N76,Data!$A$2:$A$497,1))/INDEX(Data!$B$2:$B$497,MATCH(N64,Data!$A$2:$A$497,1))),"")</f>
      </c>
      <c r="AM76" s="560">
        <f>IFERROR(LN(INDEX(Data!$C$2:$C$497,MATCH(N76,Data!$A$2:$A$497,1))/INDEX(Data!$C$2:$C$497,MATCH(N64,Data!$A$2:$A$497,1))),"")</f>
      </c>
      <c r="AN76" s="560">
        <f>IFERROR(LN(INDEX(Data!$D$2:$D$497,MATCH(N76,Data!$A$2:$A$497,1))/INDEX(Data!$D$2:$D$497,MATCH(N64,Data!$A$2:$A$497,1))),"")</f>
      </c>
      <c r="AO76" s="560">
        <f>IFERROR(LN(INDEX(Data!$E$2:$E$497,MATCH(N76,Data!$A$2:$A$497,1))/INDEX(Data!$E$2:$E$497,MATCH(N64,Data!$A$2:$A$497,1))),"")</f>
      </c>
      <c r="AP76" s="560">
        <f>IFERROR(LN(INDEX(Data!$F$2:$F$497,MATCH(N76,Data!$A$2:$A$497,1))/INDEX(Data!$F$2:$F$497,MATCH(N64,Data!$A$2:$A$497,1))),"")</f>
      </c>
      <c r="AQ76" s="560">
        <f>IFERROR(LN(INDEX(Data!$G$2:$G$497,MATCH(N76,Data!$A$2:$A$497,1))/INDEX(Data!$G$2:$G$497,MATCH(N64,Data!$A$2:$A$497,1))),"")</f>
      </c>
      <c r="AR76" s="560">
        <f>IFERROR(LN(INDEX(Data!$H$2:$H$497,MATCH(N76,Data!$A$2:$A$497,1))/INDEX(Data!$H$2:$H$497,MATCH(N64,Data!$A$2:$A$497,1))),"")</f>
      </c>
      <c r="AS76" s="560">
        <f>IFERROR(LN(INDEX(Data!$I$2:$I$497,MATCH(N76,Data!$A$2:$A$497,1))/INDEX(Data!$I$2:$I$497,MATCH(N64,Data!$A$2:$A$497,1))),"")</f>
      </c>
      <c r="AT76" s="560">
        <f>IFERROR(LN(INDEX(Data!$J$2:$J$497,MATCH(N76,Data!$A$2:$A$497,1))/INDEX(Data!$J$2:$J$497,MATCH(N64,Data!$A$2:$A$497,1))),"")</f>
      </c>
      <c r="AU76" s="560">
        <f>IFERROR(LN(INDEX(Data!$K$2:$K$497,MATCH(N76,Data!$A$2:$A$497,1))/INDEX(Data!$K$2:$K$497,MATCH(N64,Data!$A$2:$A$497,1))),"")</f>
      </c>
      <c r="AV76" s="561">
        <f>IFERROR(LN(INDEX(Data!$L$2:$L$497,MATCH(N76,Data!$A$2:$A$497,1))/INDEX(Data!$L$2:$L$497,MATCH(N64,Data!$A$2:$A$497,1))),"")</f>
      </c>
    </row>
    <row r="77">
      <c r="N77" s="337" t="n">
        <v>27060</v>
      </c>
      <c r="O77" s="116">
        <f>INDEX('Additional data'!$B$2:$B$965,MATCH(DATE(YEAR(N77),MONTH(N77),1),'Additional data'!$A$2:$A$965,0))</f>
        <v>10.11</v>
      </c>
      <c r="P77" s="489">
        <f>LN(O77)</f>
        <v>2.31352503303238</v>
      </c>
      <c r="Q77" s="489">
        <f>Q76+LN(1+INDEX('Additional data'!$H$2:$H$1196,MATCH(N77,'Additional data'!$G$2:$G$1196,1))+INDEX('Additional data'!$I$2:$I$1196,MATCH(N77,'Additional data'!$G$2:$G$1196,1)))</f>
        <v>0.113309040409924</v>
      </c>
      <c r="R77" s="77" t="n"/>
      <c r="S77" s="116">
        <f>IF(INDEX('Additional data'!$E$2:$E$699,MATCH(DATE(YEAR(N77),MONTH(N77),1),'Additional data'!$D$2:$D$699,0))=0,(INDEX('Additional data'!$E$2:$E$699,MATCH(DATE(YEAR(N77),MONTH(N77),1),'Additional data'!$D$2:$D$699,0)-1)+INDEX('Additional data'!$E$2:$E$699,MATCH(DATE(YEAR(N77),MONTH(N77),1),'Additional data'!$D$2:$D$699,0)+1))/2,INDEX('Additional data'!$E$2:$E$699,MATCH(DATE(YEAR(N77),MONTH(N77),1),'Additional data'!$D$2:$D$699,0)))</f>
        <v>9.25</v>
      </c>
      <c r="T77" s="425">
        <f>P77-P76</f>
        <v>0.852587128916724</v>
      </c>
      <c r="U77" s="425">
        <f>Q77-Q76</f>
        <v>0.00468898948613147</v>
      </c>
      <c r="V77" s="77" t="n"/>
      <c r="W77" s="116">
        <f>S77-S76</f>
        <v>0</v>
      </c>
      <c r="X77" s="425">
        <f>P77-P65</f>
        <v>1.04376448816844</v>
      </c>
      <c r="Y77" s="425">
        <f>Q77-Q65</f>
        <v>-0.181183433860943</v>
      </c>
      <c r="Z77" s="77" t="n"/>
      <c r="AA77" s="116">
        <f>S77-S65</f>
        <v>4.55</v>
      </c>
      <c r="AB77" s="425">
        <f>P77-P17</f>
        <v>1.19184747143327</v>
      </c>
      <c r="AC77" s="425">
        <f>Q77-Q17</f>
        <v>-0.0116774344648489</v>
      </c>
      <c r="AD77" s="77" t="n"/>
      <c r="AE77" s="235">
        <f>S77-S17</f>
        <v>4.15</v>
      </c>
      <c r="AG77" s="554">
        <f>N77</f>
        <v>27060.0</v>
      </c>
      <c r="AH77" s="435">
        <f>IFERROR(INDEX('RBA 5Y yield'!$B$5:$B$661,MATCH(N77,'RBA 5Y yield'!$A$5:$A$661,1))*100,"")</f>
        <v>8.24</v>
      </c>
      <c r="AI77" s="435">
        <f>IF(AND(ISNUMBER(AH77),ISNUMBER(AH76)),AH77-AH76,"")</f>
        <v>0</v>
      </c>
      <c r="AJ77" s="435">
        <f>IF(AND(ISNUMBER(AH77),ISNUMBER(AH65)),AH77-AH65,"")</f>
        <v>3</v>
      </c>
      <c r="AK77" s="435">
        <f>IF(AND(ISNUMBER(AH77),ISNUMBER(AH17)),AH77-AH17,"")</f>
      </c>
      <c r="AL77" s="560">
        <f>IFERROR(LN(INDEX(Data!$B$2:$B$497,MATCH(N77,Data!$A$2:$A$497,1))/INDEX(Data!$B$2:$B$497,MATCH(N65,Data!$A$2:$A$497,1))),"")</f>
      </c>
      <c r="AM77" s="560">
        <f>IFERROR(LN(INDEX(Data!$C$2:$C$497,MATCH(N77,Data!$A$2:$A$497,1))/INDEX(Data!$C$2:$C$497,MATCH(N65,Data!$A$2:$A$497,1))),"")</f>
      </c>
      <c r="AN77" s="560">
        <f>IFERROR(LN(INDEX(Data!$D$2:$D$497,MATCH(N77,Data!$A$2:$A$497,1))/INDEX(Data!$D$2:$D$497,MATCH(N65,Data!$A$2:$A$497,1))),"")</f>
      </c>
      <c r="AO77" s="560">
        <f>IFERROR(LN(INDEX(Data!$E$2:$E$497,MATCH(N77,Data!$A$2:$A$497,1))/INDEX(Data!$E$2:$E$497,MATCH(N65,Data!$A$2:$A$497,1))),"")</f>
      </c>
      <c r="AP77" s="560">
        <f>IFERROR(LN(INDEX(Data!$F$2:$F$497,MATCH(N77,Data!$A$2:$A$497,1))/INDEX(Data!$F$2:$F$497,MATCH(N65,Data!$A$2:$A$497,1))),"")</f>
      </c>
      <c r="AQ77" s="560">
        <f>IFERROR(LN(INDEX(Data!$G$2:$G$497,MATCH(N77,Data!$A$2:$A$497,1))/INDEX(Data!$G$2:$G$497,MATCH(N65,Data!$A$2:$A$497,1))),"")</f>
      </c>
      <c r="AR77" s="560">
        <f>IFERROR(LN(INDEX(Data!$H$2:$H$497,MATCH(N77,Data!$A$2:$A$497,1))/INDEX(Data!$H$2:$H$497,MATCH(N65,Data!$A$2:$A$497,1))),"")</f>
      </c>
      <c r="AS77" s="560">
        <f>IFERROR(LN(INDEX(Data!$I$2:$I$497,MATCH(N77,Data!$A$2:$A$497,1))/INDEX(Data!$I$2:$I$497,MATCH(N65,Data!$A$2:$A$497,1))),"")</f>
      </c>
      <c r="AT77" s="560">
        <f>IFERROR(LN(INDEX(Data!$J$2:$J$497,MATCH(N77,Data!$A$2:$A$497,1))/INDEX(Data!$J$2:$J$497,MATCH(N65,Data!$A$2:$A$497,1))),"")</f>
      </c>
      <c r="AU77" s="560">
        <f>IFERROR(LN(INDEX(Data!$K$2:$K$497,MATCH(N77,Data!$A$2:$A$497,1))/INDEX(Data!$K$2:$K$497,MATCH(N65,Data!$A$2:$A$497,1))),"")</f>
      </c>
      <c r="AV77" s="561">
        <f>IFERROR(LN(INDEX(Data!$L$2:$L$497,MATCH(N77,Data!$A$2:$A$497,1))/INDEX(Data!$L$2:$L$497,MATCH(N65,Data!$A$2:$A$497,1))),"")</f>
      </c>
    </row>
    <row r="78">
      <c r="N78" s="337" t="n">
        <v>27088</v>
      </c>
      <c r="O78" s="116">
        <f>INDEX('Additional data'!$B$2:$B$965,MATCH(DATE(YEAR(N78),MONTH(N78),1),'Additional data'!$A$2:$A$965,0))</f>
        <v>10.11</v>
      </c>
      <c r="P78" s="489">
        <f>LN(O78)</f>
        <v>2.31352503303238</v>
      </c>
      <c r="Q78" s="489">
        <f>Q77+LN(1+INDEX('Additional data'!$H$2:$H$1196,MATCH(N78,'Additional data'!$G$2:$G$1196,1))+INDEX('Additional data'!$I$2:$I$1196,MATCH(N78,'Additional data'!$G$2:$G$1196,1)))</f>
        <v>0.114508320985406</v>
      </c>
      <c r="R78" s="77" t="n"/>
      <c r="S78" s="116">
        <f>IF(INDEX('Additional data'!$E$2:$E$699,MATCH(DATE(YEAR(N78),MONTH(N78),1),'Additional data'!$D$2:$D$699,0))=0,(INDEX('Additional data'!$E$2:$E$699,MATCH(DATE(YEAR(N78),MONTH(N78),1),'Additional data'!$D$2:$D$699,0)-1)+INDEX('Additional data'!$E$2:$E$699,MATCH(DATE(YEAR(N78),MONTH(N78),1),'Additional data'!$D$2:$D$699,0)+1))/2,INDEX('Additional data'!$E$2:$E$699,MATCH(DATE(YEAR(N78),MONTH(N78),1),'Additional data'!$D$2:$D$699,0)))</f>
        <v>9.5</v>
      </c>
      <c r="T78" s="425">
        <f>P78-P77</f>
        <v>0</v>
      </c>
      <c r="U78" s="425">
        <f>Q78-Q77</f>
        <v>0.00119928057548196</v>
      </c>
      <c r="V78" s="77" t="n"/>
      <c r="W78" s="116">
        <f>S78-S77</f>
        <v>0.25</v>
      </c>
      <c r="X78" s="425">
        <f>P78-P66</f>
        <v>1.04376448816844</v>
      </c>
      <c r="Y78" s="425">
        <f>Q78-Q66</f>
        <v>-0.134672930575458</v>
      </c>
      <c r="Z78" s="77" t="n"/>
      <c r="AA78" s="116">
        <f>S78-S66</f>
        <v>4.7</v>
      </c>
      <c r="AB78" s="425">
        <f>P78-P18</f>
        <v>1.19184747143327</v>
      </c>
      <c r="AC78" s="425">
        <f>Q78-Q18</f>
        <v>0.0450345560408918</v>
      </c>
      <c r="AD78" s="77" t="n"/>
      <c r="AE78" s="235">
        <f>S78-S18</f>
        <v>4.4</v>
      </c>
      <c r="AG78" s="554">
        <f>N78</f>
        <v>27088.0</v>
      </c>
      <c r="AH78" s="435">
        <f>IFERROR(INDEX('RBA 5Y yield'!$B$5:$B$661,MATCH(N78,'RBA 5Y yield'!$A$5:$A$661,1))*100,"")</f>
        <v>8.25</v>
      </c>
      <c r="AI78" s="435">
        <f>IF(AND(ISNUMBER(AH78),ISNUMBER(AH77)),AH78-AH77,"")</f>
        <v>0.00999999999999979</v>
      </c>
      <c r="AJ78" s="435">
        <f>IF(AND(ISNUMBER(AH78),ISNUMBER(AH66)),AH78-AH66,"")</f>
        <v>2.94</v>
      </c>
      <c r="AK78" s="435">
        <f>IF(AND(ISNUMBER(AH78),ISNUMBER(AH18)),AH78-AH18,"")</f>
      </c>
      <c r="AL78" s="560">
        <f>IFERROR(LN(INDEX(Data!$B$2:$B$497,MATCH(N78,Data!$A$2:$A$497,1))/INDEX(Data!$B$2:$B$497,MATCH(N66,Data!$A$2:$A$497,1))),"")</f>
      </c>
      <c r="AM78" s="560">
        <f>IFERROR(LN(INDEX(Data!$C$2:$C$497,MATCH(N78,Data!$A$2:$A$497,1))/INDEX(Data!$C$2:$C$497,MATCH(N66,Data!$A$2:$A$497,1))),"")</f>
      </c>
      <c r="AN78" s="560">
        <f>IFERROR(LN(INDEX(Data!$D$2:$D$497,MATCH(N78,Data!$A$2:$A$497,1))/INDEX(Data!$D$2:$D$497,MATCH(N66,Data!$A$2:$A$497,1))),"")</f>
      </c>
      <c r="AO78" s="560">
        <f>IFERROR(LN(INDEX(Data!$E$2:$E$497,MATCH(N78,Data!$A$2:$A$497,1))/INDEX(Data!$E$2:$E$497,MATCH(N66,Data!$A$2:$A$497,1))),"")</f>
      </c>
      <c r="AP78" s="560">
        <f>IFERROR(LN(INDEX(Data!$F$2:$F$497,MATCH(N78,Data!$A$2:$A$497,1))/INDEX(Data!$F$2:$F$497,MATCH(N66,Data!$A$2:$A$497,1))),"")</f>
      </c>
      <c r="AQ78" s="560">
        <f>IFERROR(LN(INDEX(Data!$G$2:$G$497,MATCH(N78,Data!$A$2:$A$497,1))/INDEX(Data!$G$2:$G$497,MATCH(N66,Data!$A$2:$A$497,1))),"")</f>
      </c>
      <c r="AR78" s="560">
        <f>IFERROR(LN(INDEX(Data!$H$2:$H$497,MATCH(N78,Data!$A$2:$A$497,1))/INDEX(Data!$H$2:$H$497,MATCH(N66,Data!$A$2:$A$497,1))),"")</f>
      </c>
      <c r="AS78" s="560">
        <f>IFERROR(LN(INDEX(Data!$I$2:$I$497,MATCH(N78,Data!$A$2:$A$497,1))/INDEX(Data!$I$2:$I$497,MATCH(N66,Data!$A$2:$A$497,1))),"")</f>
      </c>
      <c r="AT78" s="560">
        <f>IFERROR(LN(INDEX(Data!$J$2:$J$497,MATCH(N78,Data!$A$2:$A$497,1))/INDEX(Data!$J$2:$J$497,MATCH(N66,Data!$A$2:$A$497,1))),"")</f>
      </c>
      <c r="AU78" s="560">
        <f>IFERROR(LN(INDEX(Data!$K$2:$K$497,MATCH(N78,Data!$A$2:$A$497,1))/INDEX(Data!$K$2:$K$497,MATCH(N66,Data!$A$2:$A$497,1))),"")</f>
      </c>
      <c r="AV78" s="561">
        <f>IFERROR(LN(INDEX(Data!$L$2:$L$497,MATCH(N78,Data!$A$2:$A$497,1))/INDEX(Data!$L$2:$L$497,MATCH(N66,Data!$A$2:$A$497,1))),"")</f>
      </c>
    </row>
    <row r="79">
      <c r="N79" s="337" t="n">
        <v>27119</v>
      </c>
      <c r="O79" s="116">
        <f>INDEX('Additional data'!$B$2:$B$965,MATCH(DATE(YEAR(N79),MONTH(N79),1),'Additional data'!$A$2:$A$965,0))</f>
        <v>10.11</v>
      </c>
      <c r="P79" s="489">
        <f>LN(O79)</f>
        <v>2.31352503303238</v>
      </c>
      <c r="Q79" s="489">
        <f>Q78+LN(1+INDEX('Additional data'!$H$2:$H$1196,MATCH(N79,'Additional data'!$G$2:$G$1196,1))+INDEX('Additional data'!$I$2:$I$1196,MATCH(N79,'Additional data'!$G$2:$G$1196,1)))</f>
        <v>0.0916490268393236</v>
      </c>
      <c r="R79" s="77" t="n"/>
      <c r="S79" s="116">
        <f>IF(INDEX('Additional data'!$E$2:$E$699,MATCH(DATE(YEAR(N79),MONTH(N79),1),'Additional data'!$D$2:$D$699,0))=0,(INDEX('Additional data'!$E$2:$E$699,MATCH(DATE(YEAR(N79),MONTH(N79),1),'Additional data'!$D$2:$D$699,0)-1)+INDEX('Additional data'!$E$2:$E$699,MATCH(DATE(YEAR(N79),MONTH(N79),1),'Additional data'!$D$2:$D$699,0)+1))/2,INDEX('Additional data'!$E$2:$E$699,MATCH(DATE(YEAR(N79),MONTH(N79),1),'Additional data'!$D$2:$D$699,0)))</f>
        <v>10.1</v>
      </c>
      <c r="T79" s="425">
        <f>P79-P78</f>
        <v>0</v>
      </c>
      <c r="U79" s="425">
        <f>Q79-Q78</f>
        <v>-0.0228592941460826</v>
      </c>
      <c r="V79" s="77" t="n"/>
      <c r="W79" s="116">
        <f>S79-S78</f>
        <v>0.6</v>
      </c>
      <c r="X79" s="425">
        <f>P79-P67</f>
        <v>1.04376448816844</v>
      </c>
      <c r="Y79" s="425">
        <f>Q79-Q67</f>
        <v>-0.149096745900439</v>
      </c>
      <c r="Z79" s="77" t="n"/>
      <c r="AA79" s="116">
        <f>S79-S67</f>
        <v>4.65</v>
      </c>
      <c r="AB79" s="425">
        <f>P79-P19</f>
        <v>1.13487003669073</v>
      </c>
      <c r="AC79" s="425">
        <f>Q79-Q19</f>
        <v>-0.00854791074803128</v>
      </c>
      <c r="AD79" s="77" t="n"/>
      <c r="AE79" s="235">
        <f>S79-S19</f>
        <v>4.95</v>
      </c>
      <c r="AG79" s="554">
        <f>N79</f>
        <v>27119.0</v>
      </c>
      <c r="AH79" s="435">
        <f>IFERROR(INDEX('RBA 5Y yield'!$B$5:$B$661,MATCH(N79,'RBA 5Y yield'!$A$5:$A$661,1))*100,"")</f>
        <v>8.25</v>
      </c>
      <c r="AI79" s="435">
        <f>IF(AND(ISNUMBER(AH79),ISNUMBER(AH78)),AH79-AH78,"")</f>
        <v>0</v>
      </c>
      <c r="AJ79" s="435">
        <f>IF(AND(ISNUMBER(AH79),ISNUMBER(AH67)),AH79-AH67,"")</f>
        <v>2.85</v>
      </c>
      <c r="AK79" s="435">
        <f>IF(AND(ISNUMBER(AH79),ISNUMBER(AH19)),AH79-AH19,"")</f>
      </c>
      <c r="AL79" s="560">
        <f>IFERROR(LN(INDEX(Data!$B$2:$B$497,MATCH(N79,Data!$A$2:$A$497,1))/INDEX(Data!$B$2:$B$497,MATCH(N67,Data!$A$2:$A$497,1))),"")</f>
      </c>
      <c r="AM79" s="560">
        <f>IFERROR(LN(INDEX(Data!$C$2:$C$497,MATCH(N79,Data!$A$2:$A$497,1))/INDEX(Data!$C$2:$C$497,MATCH(N67,Data!$A$2:$A$497,1))),"")</f>
      </c>
      <c r="AN79" s="560">
        <f>IFERROR(LN(INDEX(Data!$D$2:$D$497,MATCH(N79,Data!$A$2:$A$497,1))/INDEX(Data!$D$2:$D$497,MATCH(N67,Data!$A$2:$A$497,1))),"")</f>
      </c>
      <c r="AO79" s="560">
        <f>IFERROR(LN(INDEX(Data!$E$2:$E$497,MATCH(N79,Data!$A$2:$A$497,1))/INDEX(Data!$E$2:$E$497,MATCH(N67,Data!$A$2:$A$497,1))),"")</f>
      </c>
      <c r="AP79" s="560">
        <f>IFERROR(LN(INDEX(Data!$F$2:$F$497,MATCH(N79,Data!$A$2:$A$497,1))/INDEX(Data!$F$2:$F$497,MATCH(N67,Data!$A$2:$A$497,1))),"")</f>
      </c>
      <c r="AQ79" s="560">
        <f>IFERROR(LN(INDEX(Data!$G$2:$G$497,MATCH(N79,Data!$A$2:$A$497,1))/INDEX(Data!$G$2:$G$497,MATCH(N67,Data!$A$2:$A$497,1))),"")</f>
      </c>
      <c r="AR79" s="560">
        <f>IFERROR(LN(INDEX(Data!$H$2:$H$497,MATCH(N79,Data!$A$2:$A$497,1))/INDEX(Data!$H$2:$H$497,MATCH(N67,Data!$A$2:$A$497,1))),"")</f>
      </c>
      <c r="AS79" s="560">
        <f>IFERROR(LN(INDEX(Data!$I$2:$I$497,MATCH(N79,Data!$A$2:$A$497,1))/INDEX(Data!$I$2:$I$497,MATCH(N67,Data!$A$2:$A$497,1))),"")</f>
      </c>
      <c r="AT79" s="560">
        <f>IFERROR(LN(INDEX(Data!$J$2:$J$497,MATCH(N79,Data!$A$2:$A$497,1))/INDEX(Data!$J$2:$J$497,MATCH(N67,Data!$A$2:$A$497,1))),"")</f>
      </c>
      <c r="AU79" s="560">
        <f>IFERROR(LN(INDEX(Data!$K$2:$K$497,MATCH(N79,Data!$A$2:$A$497,1))/INDEX(Data!$K$2:$K$497,MATCH(N67,Data!$A$2:$A$497,1))),"")</f>
      </c>
      <c r="AV79" s="561">
        <f>IFERROR(LN(INDEX(Data!$L$2:$L$497,MATCH(N79,Data!$A$2:$A$497,1))/INDEX(Data!$L$2:$L$497,MATCH(N67,Data!$A$2:$A$497,1))),"")</f>
      </c>
    </row>
    <row r="80">
      <c r="N80" s="337" t="n">
        <v>27149</v>
      </c>
      <c r="O80" s="116">
        <f>INDEX('Additional data'!$B$2:$B$965,MATCH(DATE(YEAR(N80),MONTH(N80),1),'Additional data'!$A$2:$A$965,0))</f>
        <v>10.11</v>
      </c>
      <c r="P80" s="489">
        <f>LN(O80)</f>
        <v>2.31352503303238</v>
      </c>
      <c r="Q80" s="489">
        <f>Q79+LN(1+INDEX('Additional data'!$H$2:$H$1196,MATCH(N80,'Additional data'!$G$2:$G$1196,1))+INDEX('Additional data'!$I$2:$I$1196,MATCH(N80,'Additional data'!$G$2:$G$1196,1)))</f>
        <v>0.0452909028611741</v>
      </c>
      <c r="R80" s="77" t="n"/>
      <c r="S80" s="116">
        <f>IF(INDEX('Additional data'!$E$2:$E$699,MATCH(DATE(YEAR(N80),MONTH(N80),1),'Additional data'!$D$2:$D$699,0))=0,(INDEX('Additional data'!$E$2:$E$699,MATCH(DATE(YEAR(N80),MONTH(N80),1),'Additional data'!$D$2:$D$699,0)-1)+INDEX('Additional data'!$E$2:$E$699,MATCH(DATE(YEAR(N80),MONTH(N80),1),'Additional data'!$D$2:$D$699,0)+1))/2,INDEX('Additional data'!$E$2:$E$699,MATCH(DATE(YEAR(N80),MONTH(N80),1),'Additional data'!$D$2:$D$699,0)))</f>
        <v>16.25</v>
      </c>
      <c r="T80" s="425">
        <f>P80-P79</f>
        <v>0</v>
      </c>
      <c r="U80" s="425">
        <f>Q80-Q79</f>
        <v>-0.0463581239781496</v>
      </c>
      <c r="V80" s="77" t="n"/>
      <c r="W80" s="116">
        <f>S80-S79</f>
        <v>6.15</v>
      </c>
      <c r="X80" s="425">
        <f>P80-P68</f>
        <v>1.04376448816844</v>
      </c>
      <c r="Y80" s="425">
        <f>Q80-Q68</f>
        <v>-0.142475945087702</v>
      </c>
      <c r="Z80" s="77" t="n"/>
      <c r="AA80" s="116">
        <f>S80-S68</f>
        <v>10.45</v>
      </c>
      <c r="AB80" s="425">
        <f>P80-P20</f>
        <v>1.1045646871954</v>
      </c>
      <c r="AC80" s="425">
        <f>Q80-Q20</f>
        <v>-0.0746106180005163</v>
      </c>
      <c r="AD80" s="77" t="n"/>
      <c r="AE80" s="235">
        <f>S80-S20</f>
        <v>10.85</v>
      </c>
      <c r="AG80" s="554">
        <f>N80</f>
        <v>27149.0</v>
      </c>
      <c r="AH80" s="435">
        <f>IFERROR(INDEX('RBA 5Y yield'!$B$5:$B$661,MATCH(N80,'RBA 5Y yield'!$A$5:$A$661,1))*100,"")</f>
        <v>8.25</v>
      </c>
      <c r="AI80" s="435">
        <f>IF(AND(ISNUMBER(AH80),ISNUMBER(AH79)),AH80-AH79,"")</f>
        <v>0</v>
      </c>
      <c r="AJ80" s="435">
        <f>IF(AND(ISNUMBER(AH80),ISNUMBER(AH68)),AH80-AH68,"")</f>
        <v>2.45</v>
      </c>
      <c r="AK80" s="435">
        <f>IF(AND(ISNUMBER(AH80),ISNUMBER(AH20)),AH80-AH20,"")</f>
      </c>
      <c r="AL80" s="560">
        <f>IFERROR(LN(INDEX(Data!$B$2:$B$497,MATCH(N80,Data!$A$2:$A$497,1))/INDEX(Data!$B$2:$B$497,MATCH(N68,Data!$A$2:$A$497,1))),"")</f>
      </c>
      <c r="AM80" s="560">
        <f>IFERROR(LN(INDEX(Data!$C$2:$C$497,MATCH(N80,Data!$A$2:$A$497,1))/INDEX(Data!$C$2:$C$497,MATCH(N68,Data!$A$2:$A$497,1))),"")</f>
      </c>
      <c r="AN80" s="560">
        <f>IFERROR(LN(INDEX(Data!$D$2:$D$497,MATCH(N80,Data!$A$2:$A$497,1))/INDEX(Data!$D$2:$D$497,MATCH(N68,Data!$A$2:$A$497,1))),"")</f>
      </c>
      <c r="AO80" s="560">
        <f>IFERROR(LN(INDEX(Data!$E$2:$E$497,MATCH(N80,Data!$A$2:$A$497,1))/INDEX(Data!$E$2:$E$497,MATCH(N68,Data!$A$2:$A$497,1))),"")</f>
      </c>
      <c r="AP80" s="560">
        <f>IFERROR(LN(INDEX(Data!$F$2:$F$497,MATCH(N80,Data!$A$2:$A$497,1))/INDEX(Data!$F$2:$F$497,MATCH(N68,Data!$A$2:$A$497,1))),"")</f>
      </c>
      <c r="AQ80" s="560">
        <f>IFERROR(LN(INDEX(Data!$G$2:$G$497,MATCH(N80,Data!$A$2:$A$497,1))/INDEX(Data!$G$2:$G$497,MATCH(N68,Data!$A$2:$A$497,1))),"")</f>
      </c>
      <c r="AR80" s="560">
        <f>IFERROR(LN(INDEX(Data!$H$2:$H$497,MATCH(N80,Data!$A$2:$A$497,1))/INDEX(Data!$H$2:$H$497,MATCH(N68,Data!$A$2:$A$497,1))),"")</f>
      </c>
      <c r="AS80" s="560">
        <f>IFERROR(LN(INDEX(Data!$I$2:$I$497,MATCH(N80,Data!$A$2:$A$497,1))/INDEX(Data!$I$2:$I$497,MATCH(N68,Data!$A$2:$A$497,1))),"")</f>
      </c>
      <c r="AT80" s="560">
        <f>IFERROR(LN(INDEX(Data!$J$2:$J$497,MATCH(N80,Data!$A$2:$A$497,1))/INDEX(Data!$J$2:$J$497,MATCH(N68,Data!$A$2:$A$497,1))),"")</f>
      </c>
      <c r="AU80" s="560">
        <f>IFERROR(LN(INDEX(Data!$K$2:$K$497,MATCH(N80,Data!$A$2:$A$497,1))/INDEX(Data!$K$2:$K$497,MATCH(N68,Data!$A$2:$A$497,1))),"")</f>
      </c>
      <c r="AV80" s="561">
        <f>IFERROR(LN(INDEX(Data!$L$2:$L$497,MATCH(N80,Data!$A$2:$A$497,1))/INDEX(Data!$L$2:$L$497,MATCH(N68,Data!$A$2:$A$497,1))),"")</f>
      </c>
    </row>
    <row r="81">
      <c r="N81" s="337" t="n">
        <v>27180</v>
      </c>
      <c r="O81" s="116">
        <f>INDEX('Additional data'!$B$2:$B$965,MATCH(DATE(YEAR(N81),MONTH(N81),1),'Additional data'!$A$2:$A$965,0))</f>
        <v>10.11</v>
      </c>
      <c r="P81" s="489">
        <f>LN(O81)</f>
        <v>2.31352503303238</v>
      </c>
      <c r="Q81" s="489">
        <f>Q80+LN(1+INDEX('Additional data'!$H$2:$H$1196,MATCH(N81,'Additional data'!$G$2:$G$1196,1))+INDEX('Additional data'!$I$2:$I$1196,MATCH(N81,'Additional data'!$G$2:$G$1196,1)))</f>
        <v>0.00498960608764826</v>
      </c>
      <c r="R81" s="77" t="n"/>
      <c r="S81" s="116">
        <f>IF(INDEX('Additional data'!$E$2:$E$699,MATCH(DATE(YEAR(N81),MONTH(N81),1),'Additional data'!$D$2:$D$699,0))=0,(INDEX('Additional data'!$E$2:$E$699,MATCH(DATE(YEAR(N81),MONTH(N81),1),'Additional data'!$D$2:$D$699,0)-1)+INDEX('Additional data'!$E$2:$E$699,MATCH(DATE(YEAR(N81),MONTH(N81),1),'Additional data'!$D$2:$D$699,0)+1))/2,INDEX('Additional data'!$E$2:$E$699,MATCH(DATE(YEAR(N81),MONTH(N81),1),'Additional data'!$D$2:$D$699,0)))</f>
        <v>21.75</v>
      </c>
      <c r="T81" s="425">
        <f>P81-P80</f>
        <v>0</v>
      </c>
      <c r="U81" s="425">
        <f>Q81-Q80</f>
        <v>-0.0403012967735258</v>
      </c>
      <c r="V81" s="77" t="n"/>
      <c r="W81" s="116">
        <f>S81-S80</f>
        <v>5.5</v>
      </c>
      <c r="X81" s="425">
        <f>P81-P69</f>
        <v>1.04376448816844</v>
      </c>
      <c r="Y81" s="425">
        <f>Q81-Q69</f>
        <v>-0.157869606155043</v>
      </c>
      <c r="Z81" s="77" t="n"/>
      <c r="AA81" s="116">
        <f>S81-S69</f>
        <v>15.35</v>
      </c>
      <c r="AB81" s="425">
        <f>P81-P21</f>
        <v>1.1045646871954</v>
      </c>
      <c r="AC81" s="425">
        <f>Q81-Q21</f>
        <v>-0.118804329489386</v>
      </c>
      <c r="AD81" s="77" t="n"/>
      <c r="AE81" s="235">
        <f>S81-S21</f>
        <v>16.25</v>
      </c>
      <c r="AG81" s="554">
        <f>N81</f>
        <v>27180.0</v>
      </c>
      <c r="AH81" s="435">
        <f>IFERROR(INDEX('RBA 5Y yield'!$B$5:$B$661,MATCH(N81,'RBA 5Y yield'!$A$5:$A$661,1))*100,"")</f>
        <v>8.6</v>
      </c>
      <c r="AI81" s="435">
        <f>IF(AND(ISNUMBER(AH81),ISNUMBER(AH80)),AH81-AH80,"")</f>
        <v>0.35</v>
      </c>
      <c r="AJ81" s="435">
        <f>IF(AND(ISNUMBER(AH81),ISNUMBER(AH69)),AH81-AH69,"")</f>
        <v>2.68</v>
      </c>
      <c r="AK81" s="435">
        <f>IF(AND(ISNUMBER(AH81),ISNUMBER(AH21)),AH81-AH21,"")</f>
      </c>
      <c r="AL81" s="560">
        <f>IFERROR(LN(INDEX(Data!$B$2:$B$497,MATCH(N81,Data!$A$2:$A$497,1))/INDEX(Data!$B$2:$B$497,MATCH(N69,Data!$A$2:$A$497,1))),"")</f>
      </c>
      <c r="AM81" s="560">
        <f>IFERROR(LN(INDEX(Data!$C$2:$C$497,MATCH(N81,Data!$A$2:$A$497,1))/INDEX(Data!$C$2:$C$497,MATCH(N69,Data!$A$2:$A$497,1))),"")</f>
      </c>
      <c r="AN81" s="560">
        <f>IFERROR(LN(INDEX(Data!$D$2:$D$497,MATCH(N81,Data!$A$2:$A$497,1))/INDEX(Data!$D$2:$D$497,MATCH(N69,Data!$A$2:$A$497,1))),"")</f>
      </c>
      <c r="AO81" s="560">
        <f>IFERROR(LN(INDEX(Data!$E$2:$E$497,MATCH(N81,Data!$A$2:$A$497,1))/INDEX(Data!$E$2:$E$497,MATCH(N69,Data!$A$2:$A$497,1))),"")</f>
      </c>
      <c r="AP81" s="560">
        <f>IFERROR(LN(INDEX(Data!$F$2:$F$497,MATCH(N81,Data!$A$2:$A$497,1))/INDEX(Data!$F$2:$F$497,MATCH(N69,Data!$A$2:$A$497,1))),"")</f>
      </c>
      <c r="AQ81" s="560">
        <f>IFERROR(LN(INDEX(Data!$G$2:$G$497,MATCH(N81,Data!$A$2:$A$497,1))/INDEX(Data!$G$2:$G$497,MATCH(N69,Data!$A$2:$A$497,1))),"")</f>
      </c>
      <c r="AR81" s="560">
        <f>IFERROR(LN(INDEX(Data!$H$2:$H$497,MATCH(N81,Data!$A$2:$A$497,1))/INDEX(Data!$H$2:$H$497,MATCH(N69,Data!$A$2:$A$497,1))),"")</f>
      </c>
      <c r="AS81" s="560">
        <f>IFERROR(LN(INDEX(Data!$I$2:$I$497,MATCH(N81,Data!$A$2:$A$497,1))/INDEX(Data!$I$2:$I$497,MATCH(N69,Data!$A$2:$A$497,1))),"")</f>
      </c>
      <c r="AT81" s="560">
        <f>IFERROR(LN(INDEX(Data!$J$2:$J$497,MATCH(N81,Data!$A$2:$A$497,1))/INDEX(Data!$J$2:$J$497,MATCH(N69,Data!$A$2:$A$497,1))),"")</f>
      </c>
      <c r="AU81" s="560">
        <f>IFERROR(LN(INDEX(Data!$K$2:$K$497,MATCH(N81,Data!$A$2:$A$497,1))/INDEX(Data!$K$2:$K$497,MATCH(N69,Data!$A$2:$A$497,1))),"")</f>
      </c>
      <c r="AV81" s="561">
        <f>IFERROR(LN(INDEX(Data!$L$2:$L$497,MATCH(N81,Data!$A$2:$A$497,1))/INDEX(Data!$L$2:$L$497,MATCH(N69,Data!$A$2:$A$497,1))),"")</f>
      </c>
    </row>
    <row r="82">
      <c r="N82" s="337" t="n">
        <v>27210</v>
      </c>
      <c r="O82" s="116">
        <f>INDEX('Additional data'!$B$2:$B$965,MATCH(DATE(YEAR(N82),MONTH(N82),1),'Additional data'!$A$2:$A$965,0))</f>
        <v>10.11</v>
      </c>
      <c r="P82" s="489">
        <f>LN(O82)</f>
        <v>2.31352503303238</v>
      </c>
      <c r="Q82" s="489">
        <f>Q81+LN(1+INDEX('Additional data'!$H$2:$H$1196,MATCH(N82,'Additional data'!$G$2:$G$1196,1))+INDEX('Additional data'!$I$2:$I$1196,MATCH(N82,'Additional data'!$G$2:$G$1196,1)))</f>
        <v>-0.0176650844771579</v>
      </c>
      <c r="R82" s="77" t="n"/>
      <c r="S82" s="116">
        <f>IF(INDEX('Additional data'!$E$2:$E$699,MATCH(DATE(YEAR(N82),MONTH(N82),1),'Additional data'!$D$2:$D$699,0))=0,(INDEX('Additional data'!$E$2:$E$699,MATCH(DATE(YEAR(N82),MONTH(N82),1),'Additional data'!$D$2:$D$699,0)-1)+INDEX('Additional data'!$E$2:$E$699,MATCH(DATE(YEAR(N82),MONTH(N82),1),'Additional data'!$D$2:$D$699,0)+1))/2,INDEX('Additional data'!$E$2:$E$699,MATCH(DATE(YEAR(N82),MONTH(N82),1),'Additional data'!$D$2:$D$699,0)))</f>
        <v>18.8</v>
      </c>
      <c r="T82" s="425">
        <f>P82-P81</f>
        <v>0</v>
      </c>
      <c r="U82" s="425">
        <f>Q82-Q81</f>
        <v>-0.0226546905648062</v>
      </c>
      <c r="V82" s="77" t="n"/>
      <c r="W82" s="116">
        <f>S82-S81</f>
        <v>-2.95</v>
      </c>
      <c r="X82" s="425">
        <f>P82-P70</f>
        <v>1.04376448816844</v>
      </c>
      <c r="Y82" s="425">
        <f>Q82-Q70</f>
        <v>-0.16986771653132</v>
      </c>
      <c r="Z82" s="77" t="n"/>
      <c r="AA82" s="116">
        <f>S82-S70</f>
        <v>12.4</v>
      </c>
      <c r="AB82" s="425">
        <f>P82-P22</f>
        <v>1.1045646871954</v>
      </c>
      <c r="AC82" s="425">
        <f>Q82-Q22</f>
        <v>-0.07232328121933</v>
      </c>
      <c r="AD82" s="77" t="n"/>
      <c r="AE82" s="235">
        <f>S82-S22</f>
        <v>12.9</v>
      </c>
      <c r="AG82" s="554">
        <f>N82</f>
        <v>27210.0</v>
      </c>
      <c r="AH82" s="435">
        <f>IFERROR(INDEX('RBA 5Y yield'!$B$5:$B$661,MATCH(N82,'RBA 5Y yield'!$A$5:$A$661,1))*100,"")</f>
        <v>9.92</v>
      </c>
      <c r="AI82" s="435">
        <f>IF(AND(ISNUMBER(AH82),ISNUMBER(AH81)),AH82-AH81,"")</f>
        <v>1.32</v>
      </c>
      <c r="AJ82" s="435">
        <f>IF(AND(ISNUMBER(AH82),ISNUMBER(AH70)),AH82-AH70,"")</f>
        <v>3.5</v>
      </c>
      <c r="AK82" s="435">
        <f>IF(AND(ISNUMBER(AH82),ISNUMBER(AH22)),AH82-AH22,"")</f>
      </c>
      <c r="AL82" s="560">
        <f>IFERROR(LN(INDEX(Data!$B$2:$B$497,MATCH(N82,Data!$A$2:$A$497,1))/INDEX(Data!$B$2:$B$497,MATCH(N70,Data!$A$2:$A$497,1))),"")</f>
      </c>
      <c r="AM82" s="560">
        <f>IFERROR(LN(INDEX(Data!$C$2:$C$497,MATCH(N82,Data!$A$2:$A$497,1))/INDEX(Data!$C$2:$C$497,MATCH(N70,Data!$A$2:$A$497,1))),"")</f>
      </c>
      <c r="AN82" s="560">
        <f>IFERROR(LN(INDEX(Data!$D$2:$D$497,MATCH(N82,Data!$A$2:$A$497,1))/INDEX(Data!$D$2:$D$497,MATCH(N70,Data!$A$2:$A$497,1))),"")</f>
      </c>
      <c r="AO82" s="560">
        <f>IFERROR(LN(INDEX(Data!$E$2:$E$497,MATCH(N82,Data!$A$2:$A$497,1))/INDEX(Data!$E$2:$E$497,MATCH(N70,Data!$A$2:$A$497,1))),"")</f>
      </c>
      <c r="AP82" s="560">
        <f>IFERROR(LN(INDEX(Data!$F$2:$F$497,MATCH(N82,Data!$A$2:$A$497,1))/INDEX(Data!$F$2:$F$497,MATCH(N70,Data!$A$2:$A$497,1))),"")</f>
      </c>
      <c r="AQ82" s="560">
        <f>IFERROR(LN(INDEX(Data!$G$2:$G$497,MATCH(N82,Data!$A$2:$A$497,1))/INDEX(Data!$G$2:$G$497,MATCH(N70,Data!$A$2:$A$497,1))),"")</f>
      </c>
      <c r="AR82" s="560">
        <f>IFERROR(LN(INDEX(Data!$H$2:$H$497,MATCH(N82,Data!$A$2:$A$497,1))/INDEX(Data!$H$2:$H$497,MATCH(N70,Data!$A$2:$A$497,1))),"")</f>
      </c>
      <c r="AS82" s="560">
        <f>IFERROR(LN(INDEX(Data!$I$2:$I$497,MATCH(N82,Data!$A$2:$A$497,1))/INDEX(Data!$I$2:$I$497,MATCH(N70,Data!$A$2:$A$497,1))),"")</f>
      </c>
      <c r="AT82" s="560">
        <f>IFERROR(LN(INDEX(Data!$J$2:$J$497,MATCH(N82,Data!$A$2:$A$497,1))/INDEX(Data!$J$2:$J$497,MATCH(N70,Data!$A$2:$A$497,1))),"")</f>
      </c>
      <c r="AU82" s="560">
        <f>IFERROR(LN(INDEX(Data!$K$2:$K$497,MATCH(N82,Data!$A$2:$A$497,1))/INDEX(Data!$K$2:$K$497,MATCH(N70,Data!$A$2:$A$497,1))),"")</f>
      </c>
      <c r="AV82" s="561">
        <f>IFERROR(LN(INDEX(Data!$L$2:$L$497,MATCH(N82,Data!$A$2:$A$497,1))/INDEX(Data!$L$2:$L$497,MATCH(N70,Data!$A$2:$A$497,1))),"")</f>
      </c>
    </row>
    <row r="83">
      <c r="N83" s="337" t="n">
        <v>27241</v>
      </c>
      <c r="O83" s="116">
        <f>INDEX('Additional data'!$B$2:$B$965,MATCH(DATE(YEAR(N83),MONTH(N83),1),'Additional data'!$A$2:$A$965,0))</f>
        <v>10.11</v>
      </c>
      <c r="P83" s="489">
        <f>LN(O83)</f>
        <v>2.31352503303238</v>
      </c>
      <c r="Q83" s="489">
        <f>Q82+LN(1+INDEX('Additional data'!$H$2:$H$1196,MATCH(N83,'Additional data'!$G$2:$G$1196,1))+INDEX('Additional data'!$I$2:$I$1196,MATCH(N83,'Additional data'!$G$2:$G$1196,1)))</f>
        <v>-0.0941142566405641</v>
      </c>
      <c r="R83" s="77" t="n"/>
      <c r="S83" s="116">
        <f>IF(INDEX('Additional data'!$E$2:$E$699,MATCH(DATE(YEAR(N83),MONTH(N83),1),'Additional data'!$D$2:$D$699,0))=0,(INDEX('Additional data'!$E$2:$E$699,MATCH(DATE(YEAR(N83),MONTH(N83),1),'Additional data'!$D$2:$D$699,0)-1)+INDEX('Additional data'!$E$2:$E$699,MATCH(DATE(YEAR(N83),MONTH(N83),1),'Additional data'!$D$2:$D$699,0)+1))/2,INDEX('Additional data'!$E$2:$E$699,MATCH(DATE(YEAR(N83),MONTH(N83),1),'Additional data'!$D$2:$D$699,0)))</f>
        <v>15</v>
      </c>
      <c r="T83" s="425">
        <f>P83-P82</f>
        <v>0</v>
      </c>
      <c r="U83" s="425">
        <f>Q83-Q82</f>
        <v>-0.0764491721634062</v>
      </c>
      <c r="V83" s="77" t="n"/>
      <c r="W83" s="116">
        <f>S83-S82</f>
        <v>-3.8</v>
      </c>
      <c r="X83" s="425">
        <f>P83-P71</f>
        <v>1.04376448816844</v>
      </c>
      <c r="Y83" s="425">
        <f>Q83-Q71</f>
        <v>-0.301562362920705</v>
      </c>
      <c r="Z83" s="77" t="n"/>
      <c r="AA83" s="116">
        <f>S83-S71</f>
        <v>8.5</v>
      </c>
      <c r="AB83" s="425">
        <f>P83-P23</f>
        <v>1.1045646871954</v>
      </c>
      <c r="AC83" s="425">
        <f>Q83-Q23</f>
        <v>-0.0818845078411044</v>
      </c>
      <c r="AD83" s="77" t="n"/>
      <c r="AE83" s="235">
        <f>S83-S23</f>
        <v>9.2</v>
      </c>
      <c r="AG83" s="554">
        <f>N83</f>
        <v>27241.0</v>
      </c>
      <c r="AH83" s="435">
        <f>IFERROR(INDEX('RBA 5Y yield'!$B$5:$B$661,MATCH(N83,'RBA 5Y yield'!$A$5:$A$661,1))*100,"")</f>
        <v>9.91</v>
      </c>
      <c r="AI83" s="435">
        <f>IF(AND(ISNUMBER(AH83),ISNUMBER(AH82)),AH83-AH82,"")</f>
        <v>-0.00999999999999979</v>
      </c>
      <c r="AJ83" s="435">
        <f>IF(AND(ISNUMBER(AH83),ISNUMBER(AH71)),AH83-AH71,"")</f>
        <v>3.47</v>
      </c>
      <c r="AK83" s="435">
        <f>IF(AND(ISNUMBER(AH83),ISNUMBER(AH23)),AH83-AH23,"")</f>
      </c>
      <c r="AL83" s="560">
        <f>IFERROR(LN(INDEX(Data!$B$2:$B$497,MATCH(N83,Data!$A$2:$A$497,1))/INDEX(Data!$B$2:$B$497,MATCH(N71,Data!$A$2:$A$497,1))),"")</f>
      </c>
      <c r="AM83" s="560">
        <f>IFERROR(LN(INDEX(Data!$C$2:$C$497,MATCH(N83,Data!$A$2:$A$497,1))/INDEX(Data!$C$2:$C$497,MATCH(N71,Data!$A$2:$A$497,1))),"")</f>
      </c>
      <c r="AN83" s="560">
        <f>IFERROR(LN(INDEX(Data!$D$2:$D$497,MATCH(N83,Data!$A$2:$A$497,1))/INDEX(Data!$D$2:$D$497,MATCH(N71,Data!$A$2:$A$497,1))),"")</f>
      </c>
      <c r="AO83" s="560">
        <f>IFERROR(LN(INDEX(Data!$E$2:$E$497,MATCH(N83,Data!$A$2:$A$497,1))/INDEX(Data!$E$2:$E$497,MATCH(N71,Data!$A$2:$A$497,1))),"")</f>
      </c>
      <c r="AP83" s="560">
        <f>IFERROR(LN(INDEX(Data!$F$2:$F$497,MATCH(N83,Data!$A$2:$A$497,1))/INDEX(Data!$F$2:$F$497,MATCH(N71,Data!$A$2:$A$497,1))),"")</f>
      </c>
      <c r="AQ83" s="560">
        <f>IFERROR(LN(INDEX(Data!$G$2:$G$497,MATCH(N83,Data!$A$2:$A$497,1))/INDEX(Data!$G$2:$G$497,MATCH(N71,Data!$A$2:$A$497,1))),"")</f>
      </c>
      <c r="AR83" s="560">
        <f>IFERROR(LN(INDEX(Data!$H$2:$H$497,MATCH(N83,Data!$A$2:$A$497,1))/INDEX(Data!$H$2:$H$497,MATCH(N71,Data!$A$2:$A$497,1))),"")</f>
      </c>
      <c r="AS83" s="560">
        <f>IFERROR(LN(INDEX(Data!$I$2:$I$497,MATCH(N83,Data!$A$2:$A$497,1))/INDEX(Data!$I$2:$I$497,MATCH(N71,Data!$A$2:$A$497,1))),"")</f>
      </c>
      <c r="AT83" s="560">
        <f>IFERROR(LN(INDEX(Data!$J$2:$J$497,MATCH(N83,Data!$A$2:$A$497,1))/INDEX(Data!$J$2:$J$497,MATCH(N71,Data!$A$2:$A$497,1))),"")</f>
      </c>
      <c r="AU83" s="560">
        <f>IFERROR(LN(INDEX(Data!$K$2:$K$497,MATCH(N83,Data!$A$2:$A$497,1))/INDEX(Data!$K$2:$K$497,MATCH(N71,Data!$A$2:$A$497,1))),"")</f>
      </c>
      <c r="AV83" s="561">
        <f>IFERROR(LN(INDEX(Data!$L$2:$L$497,MATCH(N83,Data!$A$2:$A$497,1))/INDEX(Data!$L$2:$L$497,MATCH(N71,Data!$A$2:$A$497,1))),"")</f>
      </c>
    </row>
    <row r="84">
      <c r="N84" s="337" t="n">
        <v>27272</v>
      </c>
      <c r="O84" s="116">
        <f>INDEX('Additional data'!$B$2:$B$965,MATCH(DATE(YEAR(N84),MONTH(N84),1),'Additional data'!$A$2:$A$965,0))</f>
        <v>10.11</v>
      </c>
      <c r="P84" s="489">
        <f>LN(O84)</f>
        <v>2.31352503303238</v>
      </c>
      <c r="Q84" s="489">
        <f>Q83+LN(1+INDEX('Additional data'!$H$2:$H$1196,MATCH(N84,'Additional data'!$G$2:$G$1196,1))+INDEX('Additional data'!$I$2:$I$1196,MATCH(N84,'Additional data'!$G$2:$G$1196,1)))</f>
        <v>-0.186119902436588</v>
      </c>
      <c r="R84" s="77" t="n"/>
      <c r="S84" s="116">
        <f>IF(INDEX('Additional data'!$E$2:$E$699,MATCH(DATE(YEAR(N84),MONTH(N84),1),'Additional data'!$D$2:$D$699,0))=0,(INDEX('Additional data'!$E$2:$E$699,MATCH(DATE(YEAR(N84),MONTH(N84),1),'Additional data'!$D$2:$D$699,0)-1)+INDEX('Additional data'!$E$2:$E$699,MATCH(DATE(YEAR(N84),MONTH(N84),1),'Additional data'!$D$2:$D$699,0)+1))/2,INDEX('Additional data'!$E$2:$E$699,MATCH(DATE(YEAR(N84),MONTH(N84),1),'Additional data'!$D$2:$D$699,0)))</f>
        <v>14.2</v>
      </c>
      <c r="T84" s="425">
        <f>P84-P83</f>
        <v>0</v>
      </c>
      <c r="U84" s="425">
        <f>Q84-Q83</f>
        <v>-0.0920056457960243</v>
      </c>
      <c r="V84" s="77" t="n"/>
      <c r="W84" s="116">
        <f>S84-S83</f>
        <v>-0.800000000000001</v>
      </c>
      <c r="X84" s="425">
        <f>P84-P72</f>
        <v>0.852587128916724</v>
      </c>
      <c r="Y84" s="425">
        <f>Q84-Q72</f>
        <v>-0.361870921973474</v>
      </c>
      <c r="Z84" s="77" t="n"/>
      <c r="AA84" s="116">
        <f>S84-S72</f>
        <v>7.8</v>
      </c>
      <c r="AB84" s="425">
        <f>P84-P24</f>
        <v>1.1045646871954</v>
      </c>
      <c r="AC84" s="425">
        <f>Q84-Q24</f>
        <v>-0.22448820640022</v>
      </c>
      <c r="AD84" s="77" t="n"/>
      <c r="AE84" s="235">
        <f>S84-S24</f>
        <v>8.1</v>
      </c>
      <c r="AG84" s="554">
        <f>N84</f>
        <v>27272.0</v>
      </c>
      <c r="AH84" s="435">
        <f>IFERROR(INDEX('RBA 5Y yield'!$B$5:$B$661,MATCH(N84,'RBA 5Y yield'!$A$5:$A$661,1))*100,"")</f>
        <v>9.93</v>
      </c>
      <c r="AI84" s="435">
        <f>IF(AND(ISNUMBER(AH84),ISNUMBER(AH83)),AH84-AH83,"")</f>
        <v>0.0199999999999996</v>
      </c>
      <c r="AJ84" s="435">
        <f>IF(AND(ISNUMBER(AH84),ISNUMBER(AH72)),AH84-AH72,"")</f>
        <v>3.51</v>
      </c>
      <c r="AK84" s="435">
        <f>IF(AND(ISNUMBER(AH84),ISNUMBER(AH24)),AH84-AH24,"")</f>
      </c>
      <c r="AL84" s="560">
        <f>IFERROR(LN(INDEX(Data!$B$2:$B$497,MATCH(N84,Data!$A$2:$A$497,1))/INDEX(Data!$B$2:$B$497,MATCH(N72,Data!$A$2:$A$497,1))),"")</f>
      </c>
      <c r="AM84" s="560">
        <f>IFERROR(LN(INDEX(Data!$C$2:$C$497,MATCH(N84,Data!$A$2:$A$497,1))/INDEX(Data!$C$2:$C$497,MATCH(N72,Data!$A$2:$A$497,1))),"")</f>
      </c>
      <c r="AN84" s="560">
        <f>IFERROR(LN(INDEX(Data!$D$2:$D$497,MATCH(N84,Data!$A$2:$A$497,1))/INDEX(Data!$D$2:$D$497,MATCH(N72,Data!$A$2:$A$497,1))),"")</f>
      </c>
      <c r="AO84" s="560">
        <f>IFERROR(LN(INDEX(Data!$E$2:$E$497,MATCH(N84,Data!$A$2:$A$497,1))/INDEX(Data!$E$2:$E$497,MATCH(N72,Data!$A$2:$A$497,1))),"")</f>
      </c>
      <c r="AP84" s="560">
        <f>IFERROR(LN(INDEX(Data!$F$2:$F$497,MATCH(N84,Data!$A$2:$A$497,1))/INDEX(Data!$F$2:$F$497,MATCH(N72,Data!$A$2:$A$497,1))),"")</f>
      </c>
      <c r="AQ84" s="560">
        <f>IFERROR(LN(INDEX(Data!$G$2:$G$497,MATCH(N84,Data!$A$2:$A$497,1))/INDEX(Data!$G$2:$G$497,MATCH(N72,Data!$A$2:$A$497,1))),"")</f>
      </c>
      <c r="AR84" s="560">
        <f>IFERROR(LN(INDEX(Data!$H$2:$H$497,MATCH(N84,Data!$A$2:$A$497,1))/INDEX(Data!$H$2:$H$497,MATCH(N72,Data!$A$2:$A$497,1))),"")</f>
      </c>
      <c r="AS84" s="560">
        <f>IFERROR(LN(INDEX(Data!$I$2:$I$497,MATCH(N84,Data!$A$2:$A$497,1))/INDEX(Data!$I$2:$I$497,MATCH(N72,Data!$A$2:$A$497,1))),"")</f>
      </c>
      <c r="AT84" s="560">
        <f>IFERROR(LN(INDEX(Data!$J$2:$J$497,MATCH(N84,Data!$A$2:$A$497,1))/INDEX(Data!$J$2:$J$497,MATCH(N72,Data!$A$2:$A$497,1))),"")</f>
      </c>
      <c r="AU84" s="560">
        <f>IFERROR(LN(INDEX(Data!$K$2:$K$497,MATCH(N84,Data!$A$2:$A$497,1))/INDEX(Data!$K$2:$K$497,MATCH(N72,Data!$A$2:$A$497,1))),"")</f>
      </c>
      <c r="AV84" s="561">
        <f>IFERROR(LN(INDEX(Data!$L$2:$L$497,MATCH(N84,Data!$A$2:$A$497,1))/INDEX(Data!$L$2:$L$497,MATCH(N72,Data!$A$2:$A$497,1))),"")</f>
      </c>
    </row>
    <row r="85">
      <c r="N85" s="337" t="n">
        <v>27302</v>
      </c>
      <c r="O85" s="116">
        <f>INDEX('Additional data'!$B$2:$B$965,MATCH(DATE(YEAR(N85),MONTH(N85),1),'Additional data'!$A$2:$A$965,0))</f>
        <v>10.11</v>
      </c>
      <c r="P85" s="489">
        <f>LN(O85)</f>
        <v>2.31352503303238</v>
      </c>
      <c r="Q85" s="489">
        <f>Q84+LN(1+INDEX('Additional data'!$H$2:$H$1196,MATCH(N85,'Additional data'!$G$2:$G$1196,1))+INDEX('Additional data'!$I$2:$I$1196,MATCH(N85,'Additional data'!$G$2:$G$1196,1)))</f>
        <v>-0.302429024836972</v>
      </c>
      <c r="R85" s="77" t="n"/>
      <c r="S85" s="116">
        <f>IF(INDEX('Additional data'!$E$2:$E$699,MATCH(DATE(YEAR(N85),MONTH(N85),1),'Additional data'!$D$2:$D$699,0))=0,(INDEX('Additional data'!$E$2:$E$699,MATCH(DATE(YEAR(N85),MONTH(N85),1),'Additional data'!$D$2:$D$699,0)-1)+INDEX('Additional data'!$E$2:$E$699,MATCH(DATE(YEAR(N85),MONTH(N85),1),'Additional data'!$D$2:$D$699,0)+1))/2,INDEX('Additional data'!$E$2:$E$699,MATCH(DATE(YEAR(N85),MONTH(N85),1),'Additional data'!$D$2:$D$699,0)))</f>
        <v>12.6</v>
      </c>
      <c r="T85" s="425">
        <f>P85-P84</f>
        <v>0</v>
      </c>
      <c r="U85" s="425">
        <f>Q85-Q84</f>
        <v>-0.116309122400383</v>
      </c>
      <c r="V85" s="77" t="n"/>
      <c r="W85" s="116">
        <f>S85-S84</f>
        <v>-1.6</v>
      </c>
      <c r="X85" s="425">
        <f>P85-P73</f>
        <v>0.852587128916724</v>
      </c>
      <c r="Y85" s="425">
        <f>Q85-Q73</f>
        <v>-0.530962229812827</v>
      </c>
      <c r="Z85" s="77" t="n"/>
      <c r="AA85" s="116">
        <f>S85-S73</f>
        <v>3.35</v>
      </c>
      <c r="AB85" s="425">
        <f>P85-P25</f>
        <v>1.1045646871954</v>
      </c>
      <c r="AC85" s="425">
        <f>Q85-Q25</f>
        <v>-0.3170168001352</v>
      </c>
      <c r="AD85" s="77" t="n"/>
      <c r="AE85" s="235">
        <f>S85-S25</f>
        <v>6.8</v>
      </c>
      <c r="AG85" s="554">
        <f>N85</f>
        <v>27302.0</v>
      </c>
      <c r="AH85" s="435">
        <f>IFERROR(INDEX('RBA 5Y yield'!$B$5:$B$661,MATCH(N85,'RBA 5Y yield'!$A$5:$A$661,1))*100,"")</f>
        <v>9.94</v>
      </c>
      <c r="AI85" s="435">
        <f>IF(AND(ISNUMBER(AH85),ISNUMBER(AH84)),AH85-AH84,"")</f>
        <v>0.00999999999999979</v>
      </c>
      <c r="AJ85" s="435">
        <f>IF(AND(ISNUMBER(AH85),ISNUMBER(AH73)),AH85-AH73,"")</f>
        <v>1.69</v>
      </c>
      <c r="AK85" s="435">
        <f>IF(AND(ISNUMBER(AH85),ISNUMBER(AH25)),AH85-AH25,"")</f>
      </c>
      <c r="AL85" s="560">
        <f>IFERROR(LN(INDEX(Data!$B$2:$B$497,MATCH(N85,Data!$A$2:$A$497,1))/INDEX(Data!$B$2:$B$497,MATCH(N73,Data!$A$2:$A$497,1))),"")</f>
      </c>
      <c r="AM85" s="560">
        <f>IFERROR(LN(INDEX(Data!$C$2:$C$497,MATCH(N85,Data!$A$2:$A$497,1))/INDEX(Data!$C$2:$C$497,MATCH(N73,Data!$A$2:$A$497,1))),"")</f>
      </c>
      <c r="AN85" s="560">
        <f>IFERROR(LN(INDEX(Data!$D$2:$D$497,MATCH(N85,Data!$A$2:$A$497,1))/INDEX(Data!$D$2:$D$497,MATCH(N73,Data!$A$2:$A$497,1))),"")</f>
      </c>
      <c r="AO85" s="560">
        <f>IFERROR(LN(INDEX(Data!$E$2:$E$497,MATCH(N85,Data!$A$2:$A$497,1))/INDEX(Data!$E$2:$E$497,MATCH(N73,Data!$A$2:$A$497,1))),"")</f>
      </c>
      <c r="AP85" s="560">
        <f>IFERROR(LN(INDEX(Data!$F$2:$F$497,MATCH(N85,Data!$A$2:$A$497,1))/INDEX(Data!$F$2:$F$497,MATCH(N73,Data!$A$2:$A$497,1))),"")</f>
      </c>
      <c r="AQ85" s="560">
        <f>IFERROR(LN(INDEX(Data!$G$2:$G$497,MATCH(N85,Data!$A$2:$A$497,1))/INDEX(Data!$G$2:$G$497,MATCH(N73,Data!$A$2:$A$497,1))),"")</f>
      </c>
      <c r="AR85" s="560">
        <f>IFERROR(LN(INDEX(Data!$H$2:$H$497,MATCH(N85,Data!$A$2:$A$497,1))/INDEX(Data!$H$2:$H$497,MATCH(N73,Data!$A$2:$A$497,1))),"")</f>
      </c>
      <c r="AS85" s="560">
        <f>IFERROR(LN(INDEX(Data!$I$2:$I$497,MATCH(N85,Data!$A$2:$A$497,1))/INDEX(Data!$I$2:$I$497,MATCH(N73,Data!$A$2:$A$497,1))),"")</f>
      </c>
      <c r="AT85" s="560">
        <f>IFERROR(LN(INDEX(Data!$J$2:$J$497,MATCH(N85,Data!$A$2:$A$497,1))/INDEX(Data!$J$2:$J$497,MATCH(N73,Data!$A$2:$A$497,1))),"")</f>
      </c>
      <c r="AU85" s="560">
        <f>IFERROR(LN(INDEX(Data!$K$2:$K$497,MATCH(N85,Data!$A$2:$A$497,1))/INDEX(Data!$K$2:$K$497,MATCH(N73,Data!$A$2:$A$497,1))),"")</f>
      </c>
      <c r="AV85" s="561">
        <f>IFERROR(LN(INDEX(Data!$L$2:$L$497,MATCH(N85,Data!$A$2:$A$497,1))/INDEX(Data!$L$2:$L$497,MATCH(N73,Data!$A$2:$A$497,1))),"")</f>
      </c>
    </row>
    <row r="86">
      <c r="N86" s="337" t="n">
        <v>27333</v>
      </c>
      <c r="O86" s="116">
        <f>INDEX('Additional data'!$B$2:$B$965,MATCH(DATE(YEAR(N86),MONTH(N86),1),'Additional data'!$A$2:$A$965,0))</f>
        <v>11.16</v>
      </c>
      <c r="P86" s="489">
        <f>LN(O86)</f>
        <v>2.41233595695317</v>
      </c>
      <c r="Q86" s="489">
        <f>Q85+LN(1+INDEX('Additional data'!$H$2:$H$1196,MATCH(N86,'Additional data'!$G$2:$G$1196,1))+INDEX('Additional data'!$I$2:$I$1196,MATCH(N86,'Additional data'!$G$2:$G$1196,1)))</f>
        <v>-0.148678425031053</v>
      </c>
      <c r="R86" s="77" t="n"/>
      <c r="S86" s="116">
        <f>IF(INDEX('Additional data'!$E$2:$E$699,MATCH(DATE(YEAR(N86),MONTH(N86),1),'Additional data'!$D$2:$D$699,0))=0,(INDEX('Additional data'!$E$2:$E$699,MATCH(DATE(YEAR(N86),MONTH(N86),1),'Additional data'!$D$2:$D$699,0)-1)+INDEX('Additional data'!$E$2:$E$699,MATCH(DATE(YEAR(N86),MONTH(N86),1),'Additional data'!$D$2:$D$699,0)+1))/2,INDEX('Additional data'!$E$2:$E$699,MATCH(DATE(YEAR(N86),MONTH(N86),1),'Additional data'!$D$2:$D$699,0)))</f>
        <v>10.4</v>
      </c>
      <c r="T86" s="425">
        <f>P86-P85</f>
        <v>0.0988109239207851</v>
      </c>
      <c r="U86" s="425">
        <f>Q86-Q85</f>
        <v>0.153750599805919</v>
      </c>
      <c r="V86" s="77" t="n"/>
      <c r="W86" s="116">
        <f>S86-S85</f>
        <v>-2.2</v>
      </c>
      <c r="X86" s="425">
        <f>P86-P74</f>
        <v>0.951398052837509</v>
      </c>
      <c r="Y86" s="425">
        <f>Q86-Q74</f>
        <v>-0.37541000806028</v>
      </c>
      <c r="Z86" s="77" t="n"/>
      <c r="AA86" s="116">
        <f>S86-S74</f>
        <v>0.75</v>
      </c>
      <c r="AB86" s="425">
        <f>P86-P26</f>
        <v>1.20337561111619</v>
      </c>
      <c r="AC86" s="425">
        <f>Q86-Q26</f>
        <v>-0.218322406077359</v>
      </c>
      <c r="AD86" s="77" t="n"/>
      <c r="AE86" s="235">
        <f>S86-S26</f>
        <v>4.8</v>
      </c>
      <c r="AG86" s="554">
        <f>N86</f>
        <v>27333.0</v>
      </c>
      <c r="AH86" s="435">
        <f>IFERROR(INDEX('RBA 5Y yield'!$B$5:$B$661,MATCH(N86,'RBA 5Y yield'!$A$5:$A$661,1))*100,"")</f>
        <v>9.5</v>
      </c>
      <c r="AI86" s="435">
        <f>IF(AND(ISNUMBER(AH86),ISNUMBER(AH85)),AH86-AH85,"")</f>
        <v>-0.44</v>
      </c>
      <c r="AJ86" s="435">
        <f>IF(AND(ISNUMBER(AH86),ISNUMBER(AH74)),AH86-AH74,"")</f>
        <v>1.26</v>
      </c>
      <c r="AK86" s="435">
        <f>IF(AND(ISNUMBER(AH86),ISNUMBER(AH26)),AH86-AH26,"")</f>
      </c>
      <c r="AL86" s="560">
        <f>IFERROR(LN(INDEX(Data!$B$2:$B$497,MATCH(N86,Data!$A$2:$A$497,1))/INDEX(Data!$B$2:$B$497,MATCH(N74,Data!$A$2:$A$497,1))),"")</f>
      </c>
      <c r="AM86" s="560">
        <f>IFERROR(LN(INDEX(Data!$C$2:$C$497,MATCH(N86,Data!$A$2:$A$497,1))/INDEX(Data!$C$2:$C$497,MATCH(N74,Data!$A$2:$A$497,1))),"")</f>
      </c>
      <c r="AN86" s="560">
        <f>IFERROR(LN(INDEX(Data!$D$2:$D$497,MATCH(N86,Data!$A$2:$A$497,1))/INDEX(Data!$D$2:$D$497,MATCH(N74,Data!$A$2:$A$497,1))),"")</f>
      </c>
      <c r="AO86" s="560">
        <f>IFERROR(LN(INDEX(Data!$E$2:$E$497,MATCH(N86,Data!$A$2:$A$497,1))/INDEX(Data!$E$2:$E$497,MATCH(N74,Data!$A$2:$A$497,1))),"")</f>
      </c>
      <c r="AP86" s="560">
        <f>IFERROR(LN(INDEX(Data!$F$2:$F$497,MATCH(N86,Data!$A$2:$A$497,1))/INDEX(Data!$F$2:$F$497,MATCH(N74,Data!$A$2:$A$497,1))),"")</f>
      </c>
      <c r="AQ86" s="560">
        <f>IFERROR(LN(INDEX(Data!$G$2:$G$497,MATCH(N86,Data!$A$2:$A$497,1))/INDEX(Data!$G$2:$G$497,MATCH(N74,Data!$A$2:$A$497,1))),"")</f>
      </c>
      <c r="AR86" s="560">
        <f>IFERROR(LN(INDEX(Data!$H$2:$H$497,MATCH(N86,Data!$A$2:$A$497,1))/INDEX(Data!$H$2:$H$497,MATCH(N74,Data!$A$2:$A$497,1))),"")</f>
      </c>
      <c r="AS86" s="560">
        <f>IFERROR(LN(INDEX(Data!$I$2:$I$497,MATCH(N86,Data!$A$2:$A$497,1))/INDEX(Data!$I$2:$I$497,MATCH(N74,Data!$A$2:$A$497,1))),"")</f>
      </c>
      <c r="AT86" s="560">
        <f>IFERROR(LN(INDEX(Data!$J$2:$J$497,MATCH(N86,Data!$A$2:$A$497,1))/INDEX(Data!$J$2:$J$497,MATCH(N74,Data!$A$2:$A$497,1))),"")</f>
      </c>
      <c r="AU86" s="560">
        <f>IFERROR(LN(INDEX(Data!$K$2:$K$497,MATCH(N86,Data!$A$2:$A$497,1))/INDEX(Data!$K$2:$K$497,MATCH(N74,Data!$A$2:$A$497,1))),"")</f>
      </c>
      <c r="AV86" s="561">
        <f>IFERROR(LN(INDEX(Data!$L$2:$L$497,MATCH(N86,Data!$A$2:$A$497,1))/INDEX(Data!$L$2:$L$497,MATCH(N74,Data!$A$2:$A$497,1))),"")</f>
      </c>
    </row>
    <row r="87">
      <c r="N87" s="337" t="n">
        <v>27363</v>
      </c>
      <c r="O87" s="116">
        <f>INDEX('Additional data'!$B$2:$B$965,MATCH(DATE(YEAR(N87),MONTH(N87),1),'Additional data'!$A$2:$A$965,0))</f>
        <v>11.16</v>
      </c>
      <c r="P87" s="489">
        <f>LN(O87)</f>
        <v>2.41233595695317</v>
      </c>
      <c r="Q87" s="489">
        <f>Q86+LN(1+INDEX('Additional data'!$H$2:$H$1196,MATCH(N87,'Additional data'!$G$2:$G$1196,1))+INDEX('Additional data'!$I$2:$I$1196,MATCH(N87,'Additional data'!$G$2:$G$1196,1)))</f>
        <v>-0.189396258309612</v>
      </c>
      <c r="R87" s="77" t="n"/>
      <c r="S87" s="116">
        <f>IF(INDEX('Additional data'!$E$2:$E$699,MATCH(DATE(YEAR(N87),MONTH(N87),1),'Additional data'!$D$2:$D$699,0))=0,(INDEX('Additional data'!$E$2:$E$699,MATCH(DATE(YEAR(N87),MONTH(N87),1),'Additional data'!$D$2:$D$699,0)-1)+INDEX('Additional data'!$E$2:$E$699,MATCH(DATE(YEAR(N87),MONTH(N87),1),'Additional data'!$D$2:$D$699,0)+1))/2,INDEX('Additional data'!$E$2:$E$699,MATCH(DATE(YEAR(N87),MONTH(N87),1),'Additional data'!$D$2:$D$699,0)))</f>
        <v>10.3</v>
      </c>
      <c r="T87" s="425">
        <f>P87-P86</f>
        <v>0</v>
      </c>
      <c r="U87" s="425">
        <f>Q87-Q86</f>
        <v>-0.040717833278559</v>
      </c>
      <c r="V87" s="77" t="n"/>
      <c r="W87" s="116">
        <f>S87-S86</f>
        <v>-0.0999999999999996</v>
      </c>
      <c r="X87" s="425">
        <f>P87-P75</f>
        <v>0.951398052837509</v>
      </c>
      <c r="Y87" s="425">
        <f>Q87-Q75</f>
        <v>-0.285791339610836</v>
      </c>
      <c r="Z87" s="77" t="n"/>
      <c r="AA87" s="116">
        <f>S87-S75</f>
        <v>1.1</v>
      </c>
      <c r="AB87" s="425">
        <f>P87-P27</f>
        <v>1.20337561111619</v>
      </c>
      <c r="AC87" s="425">
        <f>Q87-Q27</f>
        <v>-0.225690259674364</v>
      </c>
      <c r="AD87" s="77" t="n"/>
      <c r="AE87" s="235">
        <f>S87-S27</f>
        <v>4.675</v>
      </c>
      <c r="AG87" s="554">
        <f>N87</f>
        <v>27363.0</v>
      </c>
      <c r="AH87" s="435">
        <f>IFERROR(INDEX('RBA 5Y yield'!$B$5:$B$661,MATCH(N87,'RBA 5Y yield'!$A$5:$A$661,1))*100,"")</f>
        <v>9.43</v>
      </c>
      <c r="AI87" s="435">
        <f>IF(AND(ISNUMBER(AH87),ISNUMBER(AH86)),AH87-AH86,"")</f>
        <v>-0.0700000000000003</v>
      </c>
      <c r="AJ87" s="435">
        <f>IF(AND(ISNUMBER(AH87),ISNUMBER(AH75)),AH87-AH75,"")</f>
        <v>1.19</v>
      </c>
      <c r="AK87" s="435">
        <f>IF(AND(ISNUMBER(AH87),ISNUMBER(AH27)),AH87-AH27,"")</f>
      </c>
      <c r="AL87" s="560">
        <f>IFERROR(LN(INDEX(Data!$B$2:$B$497,MATCH(N87,Data!$A$2:$A$497,1))/INDEX(Data!$B$2:$B$497,MATCH(N75,Data!$A$2:$A$497,1))),"")</f>
      </c>
      <c r="AM87" s="560">
        <f>IFERROR(LN(INDEX(Data!$C$2:$C$497,MATCH(N87,Data!$A$2:$A$497,1))/INDEX(Data!$C$2:$C$497,MATCH(N75,Data!$A$2:$A$497,1))),"")</f>
      </c>
      <c r="AN87" s="560">
        <f>IFERROR(LN(INDEX(Data!$D$2:$D$497,MATCH(N87,Data!$A$2:$A$497,1))/INDEX(Data!$D$2:$D$497,MATCH(N75,Data!$A$2:$A$497,1))),"")</f>
      </c>
      <c r="AO87" s="560">
        <f>IFERROR(LN(INDEX(Data!$E$2:$E$497,MATCH(N87,Data!$A$2:$A$497,1))/INDEX(Data!$E$2:$E$497,MATCH(N75,Data!$A$2:$A$497,1))),"")</f>
      </c>
      <c r="AP87" s="560">
        <f>IFERROR(LN(INDEX(Data!$F$2:$F$497,MATCH(N87,Data!$A$2:$A$497,1))/INDEX(Data!$F$2:$F$497,MATCH(N75,Data!$A$2:$A$497,1))),"")</f>
      </c>
      <c r="AQ87" s="560">
        <f>IFERROR(LN(INDEX(Data!$G$2:$G$497,MATCH(N87,Data!$A$2:$A$497,1))/INDEX(Data!$G$2:$G$497,MATCH(N75,Data!$A$2:$A$497,1))),"")</f>
      </c>
      <c r="AR87" s="560">
        <f>IFERROR(LN(INDEX(Data!$H$2:$H$497,MATCH(N87,Data!$A$2:$A$497,1))/INDEX(Data!$H$2:$H$497,MATCH(N75,Data!$A$2:$A$497,1))),"")</f>
      </c>
      <c r="AS87" s="560">
        <f>IFERROR(LN(INDEX(Data!$I$2:$I$497,MATCH(N87,Data!$A$2:$A$497,1))/INDEX(Data!$I$2:$I$497,MATCH(N75,Data!$A$2:$A$497,1))),"")</f>
      </c>
      <c r="AT87" s="560">
        <f>IFERROR(LN(INDEX(Data!$J$2:$J$497,MATCH(N87,Data!$A$2:$A$497,1))/INDEX(Data!$J$2:$J$497,MATCH(N75,Data!$A$2:$A$497,1))),"")</f>
      </c>
      <c r="AU87" s="560">
        <f>IFERROR(LN(INDEX(Data!$K$2:$K$497,MATCH(N87,Data!$A$2:$A$497,1))/INDEX(Data!$K$2:$K$497,MATCH(N75,Data!$A$2:$A$497,1))),"")</f>
      </c>
      <c r="AV87" s="561">
        <f>IFERROR(LN(INDEX(Data!$L$2:$L$497,MATCH(N87,Data!$A$2:$A$497,1))/INDEX(Data!$L$2:$L$497,MATCH(N75,Data!$A$2:$A$497,1))),"")</f>
      </c>
    </row>
    <row r="88">
      <c r="N88" s="337" t="n">
        <v>27394</v>
      </c>
      <c r="O88" s="116">
        <f>INDEX('Additional data'!$B$2:$B$965,MATCH(DATE(YEAR(N88),MONTH(N88),1),'Additional data'!$A$2:$A$965,0))</f>
        <v>11.16</v>
      </c>
      <c r="P88" s="489">
        <f>LN(O88)</f>
        <v>2.41233595695317</v>
      </c>
      <c r="Q88" s="489">
        <f>Q87+LN(1+INDEX('Additional data'!$H$2:$H$1196,MATCH(N88,'Additional data'!$G$2:$G$1196,1))+INDEX('Additional data'!$I$2:$I$1196,MATCH(N88,'Additional data'!$G$2:$G$1196,1)))</f>
        <v>-0.217178639322064</v>
      </c>
      <c r="R88" s="77" t="n"/>
      <c r="S88" s="116">
        <f>IF(INDEX('Additional data'!$E$2:$E$699,MATCH(DATE(YEAR(N88),MONTH(N88),1),'Additional data'!$D$2:$D$699,0))=0,(INDEX('Additional data'!$E$2:$E$699,MATCH(DATE(YEAR(N88),MONTH(N88),1),'Additional data'!$D$2:$D$699,0)-1)+INDEX('Additional data'!$E$2:$E$699,MATCH(DATE(YEAR(N88),MONTH(N88),1),'Additional data'!$D$2:$D$699,0)+1))/2,INDEX('Additional data'!$E$2:$E$699,MATCH(DATE(YEAR(N88),MONTH(N88),1),'Additional data'!$D$2:$D$699,0)))</f>
        <v>9.75</v>
      </c>
      <c r="T88" s="425">
        <f>P88-P87</f>
        <v>0</v>
      </c>
      <c r="U88" s="425">
        <f>Q88-Q87</f>
        <v>-0.0277823810124516</v>
      </c>
      <c r="V88" s="77" t="n"/>
      <c r="W88" s="116">
        <f>S88-S87</f>
        <v>-0.550000000000001</v>
      </c>
      <c r="X88" s="425">
        <f>P88-P76</f>
        <v>0.951398052837509</v>
      </c>
      <c r="Y88" s="425">
        <f>Q88-Q76</f>
        <v>-0.325798690245856</v>
      </c>
      <c r="Z88" s="77" t="n"/>
      <c r="AA88" s="116">
        <f>S88-S76</f>
        <v>0.5</v>
      </c>
      <c r="AB88" s="425">
        <f>P88-P28</f>
        <v>1.20337561111619</v>
      </c>
      <c r="AC88" s="425">
        <f>Q88-Q28</f>
        <v>-0.233371968979813</v>
      </c>
      <c r="AD88" s="77" t="n"/>
      <c r="AE88" s="235">
        <f>S88-S28</f>
        <v>4.1</v>
      </c>
      <c r="AG88" s="554">
        <f>N88</f>
        <v>27394.0</v>
      </c>
      <c r="AH88" s="435">
        <f>IFERROR(INDEX('RBA 5Y yield'!$B$5:$B$661,MATCH(N88,'RBA 5Y yield'!$A$5:$A$661,1))*100,"")</f>
        <v>9.15</v>
      </c>
      <c r="AI88" s="435">
        <f>IF(AND(ISNUMBER(AH88),ISNUMBER(AH87)),AH88-AH87,"")</f>
        <v>-0.279999999999999</v>
      </c>
      <c r="AJ88" s="435">
        <f>IF(AND(ISNUMBER(AH88),ISNUMBER(AH76)),AH88-AH76,"")</f>
        <v>0.91</v>
      </c>
      <c r="AK88" s="435">
        <f>IF(AND(ISNUMBER(AH88),ISNUMBER(AH28)),AH88-AH28,"")</f>
      </c>
      <c r="AL88" s="560">
        <f>IFERROR(LN(INDEX(Data!$B$2:$B$497,MATCH(N88,Data!$A$2:$A$497,1))/INDEX(Data!$B$2:$B$497,MATCH(N76,Data!$A$2:$A$497,1))),"")</f>
      </c>
      <c r="AM88" s="560">
        <f>IFERROR(LN(INDEX(Data!$C$2:$C$497,MATCH(N88,Data!$A$2:$A$497,1))/INDEX(Data!$C$2:$C$497,MATCH(N76,Data!$A$2:$A$497,1))),"")</f>
      </c>
      <c r="AN88" s="560">
        <f>IFERROR(LN(INDEX(Data!$D$2:$D$497,MATCH(N88,Data!$A$2:$A$497,1))/INDEX(Data!$D$2:$D$497,MATCH(N76,Data!$A$2:$A$497,1))),"")</f>
      </c>
      <c r="AO88" s="560">
        <f>IFERROR(LN(INDEX(Data!$E$2:$E$497,MATCH(N88,Data!$A$2:$A$497,1))/INDEX(Data!$E$2:$E$497,MATCH(N76,Data!$A$2:$A$497,1))),"")</f>
      </c>
      <c r="AP88" s="560">
        <f>IFERROR(LN(INDEX(Data!$F$2:$F$497,MATCH(N88,Data!$A$2:$A$497,1))/INDEX(Data!$F$2:$F$497,MATCH(N76,Data!$A$2:$A$497,1))),"")</f>
      </c>
      <c r="AQ88" s="560">
        <f>IFERROR(LN(INDEX(Data!$G$2:$G$497,MATCH(N88,Data!$A$2:$A$497,1))/INDEX(Data!$G$2:$G$497,MATCH(N76,Data!$A$2:$A$497,1))),"")</f>
      </c>
      <c r="AR88" s="560">
        <f>IFERROR(LN(INDEX(Data!$H$2:$H$497,MATCH(N88,Data!$A$2:$A$497,1))/INDEX(Data!$H$2:$H$497,MATCH(N76,Data!$A$2:$A$497,1))),"")</f>
      </c>
      <c r="AS88" s="560">
        <f>IFERROR(LN(INDEX(Data!$I$2:$I$497,MATCH(N88,Data!$A$2:$A$497,1))/INDEX(Data!$I$2:$I$497,MATCH(N76,Data!$A$2:$A$497,1))),"")</f>
      </c>
      <c r="AT88" s="560">
        <f>IFERROR(LN(INDEX(Data!$J$2:$J$497,MATCH(N88,Data!$A$2:$A$497,1))/INDEX(Data!$J$2:$J$497,MATCH(N76,Data!$A$2:$A$497,1))),"")</f>
      </c>
      <c r="AU88" s="560">
        <f>IFERROR(LN(INDEX(Data!$K$2:$K$497,MATCH(N88,Data!$A$2:$A$497,1))/INDEX(Data!$K$2:$K$497,MATCH(N76,Data!$A$2:$A$497,1))),"")</f>
      </c>
      <c r="AV88" s="561">
        <f>IFERROR(LN(INDEX(Data!$L$2:$L$497,MATCH(N88,Data!$A$2:$A$497,1))/INDEX(Data!$L$2:$L$497,MATCH(N76,Data!$A$2:$A$497,1))),"")</f>
      </c>
    </row>
    <row r="89">
      <c r="A89" s="440" t="inlineStr">
        <is>
          <t>7. Robustness: post-1986 sample (oil price deregulated) and the 5-year bond yield</t>
        </is>
      </c>
      <c r="B89" s="441" t="n"/>
      <c r="C89" s="441" t="n"/>
      <c r="D89" s="441" t="n"/>
      <c r="E89" s="441" t="n"/>
      <c r="F89" s="441" t="n"/>
      <c r="G89" s="441" t="n"/>
      <c r="H89" s="441" t="n"/>
      <c r="I89" s="442" t="n"/>
      <c r="N89" s="337" t="n">
        <v>27425</v>
      </c>
      <c r="O89" s="116">
        <f>INDEX('Additional data'!$B$2:$B$965,MATCH(DATE(YEAR(N89),MONTH(N89),1),'Additional data'!$A$2:$A$965,0))</f>
        <v>11.16</v>
      </c>
      <c r="P89" s="489">
        <f>LN(O89)</f>
        <v>2.41233595695317</v>
      </c>
      <c r="Q89" s="489">
        <f>Q88+LN(1+INDEX('Additional data'!$H$2:$H$1196,MATCH(N89,'Additional data'!$G$2:$G$1196,1))+INDEX('Additional data'!$I$2:$I$1196,MATCH(N89,'Additional data'!$G$2:$G$1196,1)))</f>
        <v>-0.0839597955358407</v>
      </c>
      <c r="R89" s="77" t="n"/>
      <c r="S89" s="116">
        <f>IF(INDEX('Additional data'!$E$2:$E$699,MATCH(DATE(YEAR(N89),MONTH(N89),1),'Additional data'!$D$2:$D$699,0))=0,(INDEX('Additional data'!$E$2:$E$699,MATCH(DATE(YEAR(N89),MONTH(N89),1),'Additional data'!$D$2:$D$699,0)-1)+INDEX('Additional data'!$E$2:$E$699,MATCH(DATE(YEAR(N89),MONTH(N89),1),'Additional data'!$D$2:$D$699,0)+1))/2,INDEX('Additional data'!$E$2:$E$699,MATCH(DATE(YEAR(N89),MONTH(N89),1),'Additional data'!$D$2:$D$699,0)))</f>
        <v>8.95</v>
      </c>
      <c r="T89" s="425">
        <f>P89-P88</f>
        <v>0</v>
      </c>
      <c r="U89" s="425">
        <f>Q89-Q88</f>
        <v>0.133218843786223</v>
      </c>
      <c r="V89" s="77" t="n"/>
      <c r="W89" s="116">
        <f>S89-S88</f>
        <v>-0.800000000000001</v>
      </c>
      <c r="X89" s="425">
        <f>P89-P77</f>
        <v>0.0988109239207851</v>
      </c>
      <c r="Y89" s="425">
        <f>Q89-Q77</f>
        <v>-0.197268835945765</v>
      </c>
      <c r="Z89" s="77" t="n"/>
      <c r="AA89" s="116">
        <f>S89-S77</f>
        <v>-0.300000000000001</v>
      </c>
      <c r="AB89" s="425">
        <f>P89-P29</f>
        <v>1.20337561111619</v>
      </c>
      <c r="AC89" s="425">
        <f>Q89-Q29</f>
        <v>-0.0221915837238783</v>
      </c>
      <c r="AD89" s="77" t="n"/>
      <c r="AE89" s="235">
        <f>S89-S29</f>
        <v>3.15</v>
      </c>
      <c r="AG89" s="554">
        <f>N89</f>
        <v>27425.0</v>
      </c>
      <c r="AH89" s="435">
        <f>IFERROR(INDEX('RBA 5Y yield'!$B$5:$B$661,MATCH(N89,'RBA 5Y yield'!$A$5:$A$661,1))*100,"")</f>
        <v>8.93</v>
      </c>
      <c r="AI89" s="435">
        <f>IF(AND(ISNUMBER(AH89),ISNUMBER(AH88)),AH89-AH88,"")</f>
        <v>-0.220000000000001</v>
      </c>
      <c r="AJ89" s="435">
        <f>IF(AND(ISNUMBER(AH89),ISNUMBER(AH77)),AH89-AH77,"")</f>
        <v>0.69</v>
      </c>
      <c r="AK89" s="435">
        <f>IF(AND(ISNUMBER(AH89),ISNUMBER(AH29)),AH89-AH29,"")</f>
      </c>
      <c r="AL89" s="560">
        <f>IFERROR(LN(INDEX(Data!$B$2:$B$497,MATCH(N89,Data!$A$2:$A$497,1))/INDEX(Data!$B$2:$B$497,MATCH(N77,Data!$A$2:$A$497,1))),"")</f>
      </c>
      <c r="AM89" s="560">
        <f>IFERROR(LN(INDEX(Data!$C$2:$C$497,MATCH(N89,Data!$A$2:$A$497,1))/INDEX(Data!$C$2:$C$497,MATCH(N77,Data!$A$2:$A$497,1))),"")</f>
      </c>
      <c r="AN89" s="560">
        <f>IFERROR(LN(INDEX(Data!$D$2:$D$497,MATCH(N89,Data!$A$2:$A$497,1))/INDEX(Data!$D$2:$D$497,MATCH(N77,Data!$A$2:$A$497,1))),"")</f>
      </c>
      <c r="AO89" s="560">
        <f>IFERROR(LN(INDEX(Data!$E$2:$E$497,MATCH(N89,Data!$A$2:$A$497,1))/INDEX(Data!$E$2:$E$497,MATCH(N77,Data!$A$2:$A$497,1))),"")</f>
      </c>
      <c r="AP89" s="560">
        <f>IFERROR(LN(INDEX(Data!$F$2:$F$497,MATCH(N89,Data!$A$2:$A$497,1))/INDEX(Data!$F$2:$F$497,MATCH(N77,Data!$A$2:$A$497,1))),"")</f>
      </c>
      <c r="AQ89" s="560">
        <f>IFERROR(LN(INDEX(Data!$G$2:$G$497,MATCH(N89,Data!$A$2:$A$497,1))/INDEX(Data!$G$2:$G$497,MATCH(N77,Data!$A$2:$A$497,1))),"")</f>
      </c>
      <c r="AR89" s="560">
        <f>IFERROR(LN(INDEX(Data!$H$2:$H$497,MATCH(N89,Data!$A$2:$A$497,1))/INDEX(Data!$H$2:$H$497,MATCH(N77,Data!$A$2:$A$497,1))),"")</f>
      </c>
      <c r="AS89" s="560">
        <f>IFERROR(LN(INDEX(Data!$I$2:$I$497,MATCH(N89,Data!$A$2:$A$497,1))/INDEX(Data!$I$2:$I$497,MATCH(N77,Data!$A$2:$A$497,1))),"")</f>
      </c>
      <c r="AT89" s="560">
        <f>IFERROR(LN(INDEX(Data!$J$2:$J$497,MATCH(N89,Data!$A$2:$A$497,1))/INDEX(Data!$J$2:$J$497,MATCH(N77,Data!$A$2:$A$497,1))),"")</f>
      </c>
      <c r="AU89" s="560">
        <f>IFERROR(LN(INDEX(Data!$K$2:$K$497,MATCH(N89,Data!$A$2:$A$497,1))/INDEX(Data!$K$2:$K$497,MATCH(N77,Data!$A$2:$A$497,1))),"")</f>
      </c>
      <c r="AV89" s="561">
        <f>IFERROR(LN(INDEX(Data!$L$2:$L$497,MATCH(N89,Data!$A$2:$A$497,1))/INDEX(Data!$L$2:$L$497,MATCH(N77,Data!$A$2:$A$497,1))),"")</f>
      </c>
    </row>
    <row r="90" ht="40" customHeight="1">
      <c r="A90" s="443" t="inlineStr">
        <is>
          <t>Series</t>
        </is>
      </c>
      <c r="B90" s="444" t="inlineStr">
        <is>
          <t>Horizon (months)</t>
        </is>
      </c>
      <c r="C90" s="444" t="inlineStr">
        <is>
          <t>Beta: full sample</t>
        </is>
      </c>
      <c r="D90" s="444" t="inlineStr">
        <is>
          <t>t-stat (adj.): full</t>
        </is>
      </c>
      <c r="E90" s="444" t="inlineStr">
        <is>
          <t>Beta: since 1986</t>
        </is>
      </c>
      <c r="F90" s="444" t="inlineStr">
        <is>
          <t>t-stat (adj.): since 1986</t>
        </is>
      </c>
      <c r="G90" s="444" t="inlineStr">
        <is>
          <t>R-squared: since 1986</t>
        </is>
      </c>
      <c r="H90" s="444" t="inlineStr">
        <is>
          <t>Obs: since 1986</t>
        </is>
      </c>
      <c r="I90" s="445" t="inlineStr">
        <is>
          <t>Response to scenario (since 1986)</t>
        </is>
      </c>
      <c r="N90" s="337" t="n">
        <v>27453</v>
      </c>
      <c r="O90" s="116">
        <f>INDEX('Additional data'!$B$2:$B$965,MATCH(DATE(YEAR(N90),MONTH(N90),1),'Additional data'!$A$2:$A$965,0))</f>
        <v>11.16</v>
      </c>
      <c r="P90" s="489">
        <f>LN(O90)</f>
        <v>2.41233595695317</v>
      </c>
      <c r="Q90" s="489">
        <f>Q89+LN(1+INDEX('Additional data'!$H$2:$H$1196,MATCH(N90,'Additional data'!$G$2:$G$1196,1))+INDEX('Additional data'!$I$2:$I$1196,MATCH(N90,'Additional data'!$G$2:$G$1196,1)))</f>
        <v>-0.0257852314847685</v>
      </c>
      <c r="R90" s="77" t="n"/>
      <c r="S90" s="116">
        <f>IF(INDEX('Additional data'!$E$2:$E$699,MATCH(DATE(YEAR(N90),MONTH(N90),1),'Additional data'!$D$2:$D$699,0))=0,(INDEX('Additional data'!$E$2:$E$699,MATCH(DATE(YEAR(N90),MONTH(N90),1),'Additional data'!$D$2:$D$699,0)-1)+INDEX('Additional data'!$E$2:$E$699,MATCH(DATE(YEAR(N90),MONTH(N90),1),'Additional data'!$D$2:$D$699,0)+1))/2,INDEX('Additional data'!$E$2:$E$699,MATCH(DATE(YEAR(N90),MONTH(N90),1),'Additional data'!$D$2:$D$699,0)))</f>
        <v>9</v>
      </c>
      <c r="T90" s="425">
        <f>P90-P89</f>
        <v>0</v>
      </c>
      <c r="U90" s="425">
        <f>Q90-Q89</f>
        <v>0.0581745640510722</v>
      </c>
      <c r="V90" s="77" t="n"/>
      <c r="W90" s="116">
        <f>S90-S89</f>
        <v>0.0500000000000007</v>
      </c>
      <c r="X90" s="425">
        <f>P90-P78</f>
        <v>0.0988109239207851</v>
      </c>
      <c r="Y90" s="425">
        <f>Q90-Q78</f>
        <v>-0.140293552470175</v>
      </c>
      <c r="Z90" s="77" t="n"/>
      <c r="AA90" s="116">
        <f>S90-S78</f>
        <v>-0.5</v>
      </c>
      <c r="AB90" s="425">
        <f>P90-P30</f>
        <v>1.20337561111619</v>
      </c>
      <c r="AC90" s="425">
        <f>Q90-Q30</f>
        <v>-0.0200192097880909</v>
      </c>
      <c r="AD90" s="77" t="n"/>
      <c r="AE90" s="235">
        <f>S90-S30</f>
        <v>2.7</v>
      </c>
      <c r="AG90" s="554">
        <f>N90</f>
        <v>27453.0</v>
      </c>
      <c r="AH90" s="435">
        <f>IFERROR(INDEX('RBA 5Y yield'!$B$5:$B$661,MATCH(N90,'RBA 5Y yield'!$A$5:$A$661,1))*100,"")</f>
        <v>9</v>
      </c>
      <c r="AI90" s="435">
        <f>IF(AND(ISNUMBER(AH90),ISNUMBER(AH89)),AH90-AH89,"")</f>
        <v>0.0700000000000003</v>
      </c>
      <c r="AJ90" s="435">
        <f>IF(AND(ISNUMBER(AH90),ISNUMBER(AH78)),AH90-AH78,"")</f>
        <v>0.75</v>
      </c>
      <c r="AK90" s="435">
        <f>IF(AND(ISNUMBER(AH90),ISNUMBER(AH30)),AH90-AH30,"")</f>
      </c>
      <c r="AL90" s="560">
        <f>IFERROR(LN(INDEX(Data!$B$2:$B$497,MATCH(N90,Data!$A$2:$A$497,1))/INDEX(Data!$B$2:$B$497,MATCH(N78,Data!$A$2:$A$497,1))),"")</f>
      </c>
      <c r="AM90" s="560">
        <f>IFERROR(LN(INDEX(Data!$C$2:$C$497,MATCH(N90,Data!$A$2:$A$497,1))/INDEX(Data!$C$2:$C$497,MATCH(N78,Data!$A$2:$A$497,1))),"")</f>
      </c>
      <c r="AN90" s="560">
        <f>IFERROR(LN(INDEX(Data!$D$2:$D$497,MATCH(N90,Data!$A$2:$A$497,1))/INDEX(Data!$D$2:$D$497,MATCH(N78,Data!$A$2:$A$497,1))),"")</f>
      </c>
      <c r="AO90" s="560">
        <f>IFERROR(LN(INDEX(Data!$E$2:$E$497,MATCH(N90,Data!$A$2:$A$497,1))/INDEX(Data!$E$2:$E$497,MATCH(N78,Data!$A$2:$A$497,1))),"")</f>
      </c>
      <c r="AP90" s="560">
        <f>IFERROR(LN(INDEX(Data!$F$2:$F$497,MATCH(N90,Data!$A$2:$A$497,1))/INDEX(Data!$F$2:$F$497,MATCH(N78,Data!$A$2:$A$497,1))),"")</f>
      </c>
      <c r="AQ90" s="560">
        <f>IFERROR(LN(INDEX(Data!$G$2:$G$497,MATCH(N90,Data!$A$2:$A$497,1))/INDEX(Data!$G$2:$G$497,MATCH(N78,Data!$A$2:$A$497,1))),"")</f>
      </c>
      <c r="AR90" s="560">
        <f>IFERROR(LN(INDEX(Data!$H$2:$H$497,MATCH(N90,Data!$A$2:$A$497,1))/INDEX(Data!$H$2:$H$497,MATCH(N78,Data!$A$2:$A$497,1))),"")</f>
      </c>
      <c r="AS90" s="560">
        <f>IFERROR(LN(INDEX(Data!$I$2:$I$497,MATCH(N90,Data!$A$2:$A$497,1))/INDEX(Data!$I$2:$I$497,MATCH(N78,Data!$A$2:$A$497,1))),"")</f>
      </c>
      <c r="AT90" s="560">
        <f>IFERROR(LN(INDEX(Data!$J$2:$J$497,MATCH(N90,Data!$A$2:$A$497,1))/INDEX(Data!$J$2:$J$497,MATCH(N78,Data!$A$2:$A$497,1))),"")</f>
      </c>
      <c r="AU90" s="560">
        <f>IFERROR(LN(INDEX(Data!$K$2:$K$497,MATCH(N90,Data!$A$2:$A$497,1))/INDEX(Data!$K$2:$K$497,MATCH(N78,Data!$A$2:$A$497,1))),"")</f>
      </c>
      <c r="AV90" s="561">
        <f>IFERROR(LN(INDEX(Data!$L$2:$L$497,MATCH(N90,Data!$A$2:$A$497,1))/INDEX(Data!$L$2:$L$497,MATCH(N78,Data!$A$2:$A$497,1))),"")</f>
      </c>
    </row>
    <row r="91">
      <c r="A91" s="446" t="inlineStr">
        <is>
          <t>US equities</t>
        </is>
      </c>
      <c r="B91" s="564" t="n">
        <v>1</v>
      </c>
      <c r="C91" s="560">
        <f>SLOPE($U$5:$U$701,$T$5:$T$701)</f>
        <v>0.0332915764868484</v>
      </c>
      <c r="D91" s="435">
        <f>CORREL($U$5:$U$701,$T$5:$T$701)*SQRT((COUNT($U$5:$U$701)-2)/(1-RSQ($U$5:$U$701,$T$5:$T$701)))/SQRT(B91)</f>
        <v>1.70558634611111</v>
      </c>
      <c r="E91" s="560">
        <f>SLOPE($U$221:$U$701,$T$221:$T$701)</f>
        <v>0.0361542493173311</v>
      </c>
      <c r="F91" s="435">
        <f>CORREL($U$221:$U$701,$T$221:$T$701)*SQRT((H91-2)/(1-G91))/SQRT(B91)</f>
        <v>1.67985461195948</v>
      </c>
      <c r="G91" s="560">
        <f>RSQ($U$221:$U$701,$T$221:$T$701)</f>
        <v>0.00585675215233564</v>
      </c>
      <c r="H91" s="564">
        <f>COUNT($U$221:$U$701)</f>
        <v>481</v>
      </c>
      <c r="I91" s="565">
        <f>EXP(E91*$B$7)-1</f>
        <v>0.0161094758716671</v>
      </c>
      <c r="N91" s="337" t="n">
        <v>27484</v>
      </c>
      <c r="O91" s="116">
        <f>INDEX('Additional data'!$B$2:$B$965,MATCH(DATE(YEAR(N91),MONTH(N91),1),'Additional data'!$A$2:$A$965,0))</f>
        <v>11.16</v>
      </c>
      <c r="P91" s="489">
        <f>LN(O91)</f>
        <v>2.41233595695317</v>
      </c>
      <c r="Q91" s="489">
        <f>Q90+LN(1+INDEX('Additional data'!$H$2:$H$1196,MATCH(N91,'Additional data'!$G$2:$G$1196,1))+INDEX('Additional data'!$I$2:$I$1196,MATCH(N91,'Additional data'!$G$2:$G$1196,1)))</f>
        <v>0.00445295157584147</v>
      </c>
      <c r="R91" s="77" t="n"/>
      <c r="S91" s="116">
        <f>IF(INDEX('Additional data'!$E$2:$E$699,MATCH(DATE(YEAR(N91),MONTH(N91),1),'Additional data'!$D$2:$D$699,0))=0,(INDEX('Additional data'!$E$2:$E$699,MATCH(DATE(YEAR(N91),MONTH(N91),1),'Additional data'!$D$2:$D$699,0)-1)+INDEX('Additional data'!$E$2:$E$699,MATCH(DATE(YEAR(N91),MONTH(N91),1),'Additional data'!$D$2:$D$699,0)+1))/2,INDEX('Additional data'!$E$2:$E$699,MATCH(DATE(YEAR(N91),MONTH(N91),1),'Additional data'!$D$2:$D$699,0)))</f>
        <v>8.75</v>
      </c>
      <c r="T91" s="425">
        <f>P91-P90</f>
        <v>0</v>
      </c>
      <c r="U91" s="425">
        <f>Q91-Q90</f>
        <v>0.0302381830606099</v>
      </c>
      <c r="V91" s="77" t="n"/>
      <c r="W91" s="116">
        <f>S91-S90</f>
        <v>-0.25</v>
      </c>
      <c r="X91" s="425">
        <f>P91-P79</f>
        <v>0.0988109239207851</v>
      </c>
      <c r="Y91" s="425">
        <f>Q91-Q79</f>
        <v>-0.0871960752634822</v>
      </c>
      <c r="Z91" s="77" t="n"/>
      <c r="AA91" s="116">
        <f>S91-S79</f>
        <v>-1.35</v>
      </c>
      <c r="AB91" s="425">
        <f>P91-P31</f>
        <v>1.20337561111619</v>
      </c>
      <c r="AC91" s="425">
        <f>Q91-Q31</f>
        <v>0.0151310176335397</v>
      </c>
      <c r="AD91" s="77" t="n"/>
      <c r="AE91" s="235">
        <f>S91-S31</f>
        <v>1.6</v>
      </c>
      <c r="AG91" s="554">
        <f>N91</f>
        <v>27484.0</v>
      </c>
      <c r="AH91" s="435">
        <f>IFERROR(INDEX('RBA 5Y yield'!$B$5:$B$661,MATCH(N91,'RBA 5Y yield'!$A$5:$A$661,1))*100,"")</f>
        <v>9</v>
      </c>
      <c r="AI91" s="435">
        <f>IF(AND(ISNUMBER(AH91),ISNUMBER(AH90)),AH91-AH90,"")</f>
        <v>0</v>
      </c>
      <c r="AJ91" s="435">
        <f>IF(AND(ISNUMBER(AH91),ISNUMBER(AH79)),AH91-AH79,"")</f>
        <v>0.75</v>
      </c>
      <c r="AK91" s="435">
        <f>IF(AND(ISNUMBER(AH91),ISNUMBER(AH31)),AH91-AH31,"")</f>
      </c>
      <c r="AL91" s="560">
        <f>IFERROR(LN(INDEX(Data!$B$2:$B$497,MATCH(N91,Data!$A$2:$A$497,1))/INDEX(Data!$B$2:$B$497,MATCH(N79,Data!$A$2:$A$497,1))),"")</f>
      </c>
      <c r="AM91" s="560">
        <f>IFERROR(LN(INDEX(Data!$C$2:$C$497,MATCH(N91,Data!$A$2:$A$497,1))/INDEX(Data!$C$2:$C$497,MATCH(N79,Data!$A$2:$A$497,1))),"")</f>
      </c>
      <c r="AN91" s="560">
        <f>IFERROR(LN(INDEX(Data!$D$2:$D$497,MATCH(N91,Data!$A$2:$A$497,1))/INDEX(Data!$D$2:$D$497,MATCH(N79,Data!$A$2:$A$497,1))),"")</f>
      </c>
      <c r="AO91" s="560">
        <f>IFERROR(LN(INDEX(Data!$E$2:$E$497,MATCH(N91,Data!$A$2:$A$497,1))/INDEX(Data!$E$2:$E$497,MATCH(N79,Data!$A$2:$A$497,1))),"")</f>
      </c>
      <c r="AP91" s="560">
        <f>IFERROR(LN(INDEX(Data!$F$2:$F$497,MATCH(N91,Data!$A$2:$A$497,1))/INDEX(Data!$F$2:$F$497,MATCH(N79,Data!$A$2:$A$497,1))),"")</f>
      </c>
      <c r="AQ91" s="560">
        <f>IFERROR(LN(INDEX(Data!$G$2:$G$497,MATCH(N91,Data!$A$2:$A$497,1))/INDEX(Data!$G$2:$G$497,MATCH(N79,Data!$A$2:$A$497,1))),"")</f>
      </c>
      <c r="AR91" s="560">
        <f>IFERROR(LN(INDEX(Data!$H$2:$H$497,MATCH(N91,Data!$A$2:$A$497,1))/INDEX(Data!$H$2:$H$497,MATCH(N79,Data!$A$2:$A$497,1))),"")</f>
      </c>
      <c r="AS91" s="560">
        <f>IFERROR(LN(INDEX(Data!$I$2:$I$497,MATCH(N91,Data!$A$2:$A$497,1))/INDEX(Data!$I$2:$I$497,MATCH(N79,Data!$A$2:$A$497,1))),"")</f>
      </c>
      <c r="AT91" s="560">
        <f>IFERROR(LN(INDEX(Data!$J$2:$J$497,MATCH(N91,Data!$A$2:$A$497,1))/INDEX(Data!$J$2:$J$497,MATCH(N79,Data!$A$2:$A$497,1))),"")</f>
      </c>
      <c r="AU91" s="560">
        <f>IFERROR(LN(INDEX(Data!$K$2:$K$497,MATCH(N91,Data!$A$2:$A$497,1))/INDEX(Data!$K$2:$K$497,MATCH(N79,Data!$A$2:$A$497,1))),"")</f>
      </c>
      <c r="AV91" s="561">
        <f>IFERROR(LN(INDEX(Data!$L$2:$L$497,MATCH(N91,Data!$A$2:$A$497,1))/INDEX(Data!$L$2:$L$497,MATCH(N79,Data!$A$2:$A$497,1))),"")</f>
      </c>
    </row>
    <row r="92">
      <c r="A92" s="446" t="inlineStr">
        <is>
          <t>US equities</t>
        </is>
      </c>
      <c r="B92" s="564" t="n">
        <v>12</v>
      </c>
      <c r="C92" s="560">
        <f>SLOPE($Y$5:$Y$701,$X$5:$X$701)</f>
        <v>0.0203019386459009</v>
      </c>
      <c r="D92" s="435">
        <f>CORREL($Y$5:$Y$701,$X$5:$X$701)*SQRT((COUNT($Y$5:$Y$701)-2)/(1-RSQ($Y$5:$Y$701,$X$5:$X$701)))/SQRT(B92)</f>
        <v>0.308885088886545</v>
      </c>
      <c r="E92" s="560">
        <f>SLOPE($Y$221:$Y$701,$X$221:$X$701)</f>
        <v>0.0937838369302644</v>
      </c>
      <c r="F92" s="435">
        <f>CORREL($Y$221:$Y$701,$X$221:$X$701)*SQRT((H92-2)/(1-G92))/SQRT(B92)</f>
        <v>1.30311219584459</v>
      </c>
      <c r="G92" s="560">
        <f>RSQ($Y$221:$Y$701,$X$221:$X$701)</f>
        <v>0.0408052591436836</v>
      </c>
      <c r="H92" s="564">
        <f>COUNT($Y$221:$Y$701)</f>
        <v>481</v>
      </c>
      <c r="I92" s="565">
        <f>EXP(E92*$B$7)-1</f>
        <v>0.0423260837159332</v>
      </c>
      <c r="N92" s="337" t="n">
        <v>27514</v>
      </c>
      <c r="O92" s="116">
        <f>INDEX('Additional data'!$B$2:$B$965,MATCH(DATE(YEAR(N92),MONTH(N92),1),'Additional data'!$A$2:$A$965,0))</f>
        <v>11.16</v>
      </c>
      <c r="P92" s="489">
        <f>LN(O92)</f>
        <v>2.41233595695317</v>
      </c>
      <c r="Q92" s="489">
        <f>Q91+LN(1+INDEX('Additional data'!$H$2:$H$1196,MATCH(N92,'Additional data'!$G$2:$G$1196,1))+INDEX('Additional data'!$I$2:$I$1196,MATCH(N92,'Additional data'!$G$2:$G$1196,1)))</f>
        <v>0.0499997665318118</v>
      </c>
      <c r="R92" s="77" t="n"/>
      <c r="S92" s="116">
        <f>IF(INDEX('Additional data'!$E$2:$E$699,MATCH(DATE(YEAR(N92),MONTH(N92),1),'Additional data'!$D$2:$D$699,0))=0,(INDEX('Additional data'!$E$2:$E$699,MATCH(DATE(YEAR(N92),MONTH(N92),1),'Additional data'!$D$2:$D$699,0)-1)+INDEX('Additional data'!$E$2:$E$699,MATCH(DATE(YEAR(N92),MONTH(N92),1),'Additional data'!$D$2:$D$699,0)+1))/2,INDEX('Additional data'!$E$2:$E$699,MATCH(DATE(YEAR(N92),MONTH(N92),1),'Additional data'!$D$2:$D$699,0)))</f>
        <v>9.8</v>
      </c>
      <c r="T92" s="425">
        <f>P92-P91</f>
        <v>0</v>
      </c>
      <c r="U92" s="425">
        <f>Q92-Q91</f>
        <v>0.0455468149559704</v>
      </c>
      <c r="V92" s="77" t="n"/>
      <c r="W92" s="116">
        <f>S92-S91</f>
        <v>1.05</v>
      </c>
      <c r="X92" s="425">
        <f>P92-P80</f>
        <v>0.0988109239207851</v>
      </c>
      <c r="Y92" s="425">
        <f>Q92-Q80</f>
        <v>0.00470886367063776</v>
      </c>
      <c r="Z92" s="77" t="n"/>
      <c r="AA92" s="116">
        <f>S92-S80</f>
        <v>-6.45</v>
      </c>
      <c r="AB92" s="425">
        <f>P92-P32</f>
        <v>1.20337561111619</v>
      </c>
      <c r="AC92" s="425">
        <f>Q92-Q32</f>
        <v>0.171497667694754</v>
      </c>
      <c r="AD92" s="77" t="n"/>
      <c r="AE92" s="235">
        <f>S92-S32</f>
        <v>1.2</v>
      </c>
      <c r="AG92" s="554">
        <f>N92</f>
        <v>27514.0</v>
      </c>
      <c r="AH92" s="435">
        <f>IFERROR(INDEX('RBA 5Y yield'!$B$5:$B$661,MATCH(N92,'RBA 5Y yield'!$A$5:$A$661,1))*100,"")</f>
        <v>9.03</v>
      </c>
      <c r="AI92" s="435">
        <f>IF(AND(ISNUMBER(AH92),ISNUMBER(AH91)),AH92-AH91,"")</f>
        <v>0.0300000000000011</v>
      </c>
      <c r="AJ92" s="435">
        <f>IF(AND(ISNUMBER(AH92),ISNUMBER(AH80)),AH92-AH80,"")</f>
        <v>0.780000000000001</v>
      </c>
      <c r="AK92" s="435">
        <f>IF(AND(ISNUMBER(AH92),ISNUMBER(AH32)),AH92-AH32,"")</f>
      </c>
      <c r="AL92" s="560">
        <f>IFERROR(LN(INDEX(Data!$B$2:$B$497,MATCH(N92,Data!$A$2:$A$497,1))/INDEX(Data!$B$2:$B$497,MATCH(N80,Data!$A$2:$A$497,1))),"")</f>
      </c>
      <c r="AM92" s="560">
        <f>IFERROR(LN(INDEX(Data!$C$2:$C$497,MATCH(N92,Data!$A$2:$A$497,1))/INDEX(Data!$C$2:$C$497,MATCH(N80,Data!$A$2:$A$497,1))),"")</f>
      </c>
      <c r="AN92" s="560">
        <f>IFERROR(LN(INDEX(Data!$D$2:$D$497,MATCH(N92,Data!$A$2:$A$497,1))/INDEX(Data!$D$2:$D$497,MATCH(N80,Data!$A$2:$A$497,1))),"")</f>
      </c>
      <c r="AO92" s="560">
        <f>IFERROR(LN(INDEX(Data!$E$2:$E$497,MATCH(N92,Data!$A$2:$A$497,1))/INDEX(Data!$E$2:$E$497,MATCH(N80,Data!$A$2:$A$497,1))),"")</f>
      </c>
      <c r="AP92" s="560">
        <f>IFERROR(LN(INDEX(Data!$F$2:$F$497,MATCH(N92,Data!$A$2:$A$497,1))/INDEX(Data!$F$2:$F$497,MATCH(N80,Data!$A$2:$A$497,1))),"")</f>
      </c>
      <c r="AQ92" s="560">
        <f>IFERROR(LN(INDEX(Data!$G$2:$G$497,MATCH(N92,Data!$A$2:$A$497,1))/INDEX(Data!$G$2:$G$497,MATCH(N80,Data!$A$2:$A$497,1))),"")</f>
      </c>
      <c r="AR92" s="560">
        <f>IFERROR(LN(INDEX(Data!$H$2:$H$497,MATCH(N92,Data!$A$2:$A$497,1))/INDEX(Data!$H$2:$H$497,MATCH(N80,Data!$A$2:$A$497,1))),"")</f>
      </c>
      <c r="AS92" s="560">
        <f>IFERROR(LN(INDEX(Data!$I$2:$I$497,MATCH(N92,Data!$A$2:$A$497,1))/INDEX(Data!$I$2:$I$497,MATCH(N80,Data!$A$2:$A$497,1))),"")</f>
      </c>
      <c r="AT92" s="560">
        <f>IFERROR(LN(INDEX(Data!$J$2:$J$497,MATCH(N92,Data!$A$2:$A$497,1))/INDEX(Data!$J$2:$J$497,MATCH(N80,Data!$A$2:$A$497,1))),"")</f>
      </c>
      <c r="AU92" s="560">
        <f>IFERROR(LN(INDEX(Data!$K$2:$K$497,MATCH(N92,Data!$A$2:$A$497,1))/INDEX(Data!$K$2:$K$497,MATCH(N80,Data!$A$2:$A$497,1))),"")</f>
      </c>
      <c r="AV92" s="561">
        <f>IFERROR(LN(INDEX(Data!$L$2:$L$497,MATCH(N92,Data!$A$2:$A$497,1))/INDEX(Data!$L$2:$L$497,MATCH(N80,Data!$A$2:$A$497,1))),"")</f>
      </c>
    </row>
    <row r="93">
      <c r="A93" s="446" t="inlineStr">
        <is>
          <t>US equities</t>
        </is>
      </c>
      <c r="B93" s="564" t="n">
        <v>60</v>
      </c>
      <c r="C93" s="560">
        <f>SLOPE($AC$5:$AC$701,$AB$5:$AB$701)</f>
        <v>-0.229981268370374</v>
      </c>
      <c r="D93" s="435">
        <f>CORREL($AC$5:$AC$701,$AB$5:$AB$701)*SQRT((COUNT($AC$5:$AC$701)-2)/(1-RSQ($AC$5:$AC$701,$AB$5:$AB$701)))/SQRT(B93)</f>
        <v>-1.55423325828416</v>
      </c>
      <c r="E93" s="560">
        <f>SLOPE($AC$221:$AC$701,$AB$221:$AB$701)</f>
        <v>-0.234248881446753</v>
      </c>
      <c r="F93" s="435">
        <f>CORREL($AC$221:$AC$701,$AB$221:$AB$701)*SQRT((H93-2)/(1-G93))/SQRT(B93)</f>
        <v>-1.18031563796136</v>
      </c>
      <c r="G93" s="560">
        <f>RSQ($AC$221:$AC$701,$AB$221:$AB$701)</f>
        <v>0.148578704596214</v>
      </c>
      <c r="H93" s="564">
        <f>COUNT($AC$221:$AC$701)</f>
        <v>481</v>
      </c>
      <c r="I93" s="565">
        <f>EXP(E93*$B$7)-1</f>
        <v>-0.098363602300529</v>
      </c>
      <c r="N93" s="337" t="n">
        <v>27545</v>
      </c>
      <c r="O93" s="116">
        <f>INDEX('Additional data'!$B$2:$B$965,MATCH(DATE(YEAR(N93),MONTH(N93),1),'Additional data'!$A$2:$A$965,0))</f>
        <v>11.16</v>
      </c>
      <c r="P93" s="489">
        <f>LN(O93)</f>
        <v>2.41233595695317</v>
      </c>
      <c r="Q93" s="489">
        <f>Q92+LN(1+INDEX('Additional data'!$H$2:$H$1196,MATCH(N93,'Additional data'!$G$2:$G$1196,1))+INDEX('Additional data'!$I$2:$I$1196,MATCH(N93,'Additional data'!$G$2:$G$1196,1)))</f>
        <v>0.104866667972652</v>
      </c>
      <c r="R93" s="77" t="n"/>
      <c r="S93" s="116">
        <f>IF(INDEX('Additional data'!$E$2:$E$699,MATCH(DATE(YEAR(N93),MONTH(N93),1),'Additional data'!$D$2:$D$699,0))=0,(INDEX('Additional data'!$E$2:$E$699,MATCH(DATE(YEAR(N93),MONTH(N93),1),'Additional data'!$D$2:$D$699,0)-1)+INDEX('Additional data'!$E$2:$E$699,MATCH(DATE(YEAR(N93),MONTH(N93),1),'Additional data'!$D$2:$D$699,0)+1))/2,INDEX('Additional data'!$E$2:$E$699,MATCH(DATE(YEAR(N93),MONTH(N93),1),'Additional data'!$D$2:$D$699,0)))</f>
        <v>8.9</v>
      </c>
      <c r="T93" s="425">
        <f>P93-P92</f>
        <v>0</v>
      </c>
      <c r="U93" s="425">
        <f>Q93-Q92</f>
        <v>0.0548669014408401</v>
      </c>
      <c r="V93" s="77" t="n"/>
      <c r="W93" s="116">
        <f>S93-S92</f>
        <v>-0.9</v>
      </c>
      <c r="X93" s="425">
        <f>P93-P81</f>
        <v>0.0988109239207851</v>
      </c>
      <c r="Y93" s="425">
        <f>Q93-Q81</f>
        <v>0.0998770618850037</v>
      </c>
      <c r="Z93" s="77" t="n"/>
      <c r="AA93" s="116">
        <f>S93-S81</f>
        <v>-12.85</v>
      </c>
      <c r="AB93" s="425">
        <f>P93-P33</f>
        <v>1.20337561111619</v>
      </c>
      <c r="AC93" s="425">
        <f>Q93-Q33</f>
        <v>0.292183910172888</v>
      </c>
      <c r="AD93" s="77" t="n"/>
      <c r="AE93" s="235">
        <f>S93-S33</f>
        <v>-0.199999999999999</v>
      </c>
      <c r="AG93" s="554">
        <f>N93</f>
        <v>27545.0</v>
      </c>
      <c r="AH93" s="435">
        <f>IFERROR(INDEX('RBA 5Y yield'!$B$5:$B$661,MATCH(N93,'RBA 5Y yield'!$A$5:$A$661,1))*100,"")</f>
        <v>9.02</v>
      </c>
      <c r="AI93" s="435">
        <f>IF(AND(ISNUMBER(AH93),ISNUMBER(AH92)),AH93-AH92,"")</f>
        <v>-0.0100000000000016</v>
      </c>
      <c r="AJ93" s="435">
        <f>IF(AND(ISNUMBER(AH93),ISNUMBER(AH81)),AH93-AH81,"")</f>
        <v>0.42</v>
      </c>
      <c r="AK93" s="435">
        <f>IF(AND(ISNUMBER(AH93),ISNUMBER(AH33)),AH93-AH33,"")</f>
      </c>
      <c r="AL93" s="560">
        <f>IFERROR(LN(INDEX(Data!$B$2:$B$497,MATCH(N93,Data!$A$2:$A$497,1))/INDEX(Data!$B$2:$B$497,MATCH(N81,Data!$A$2:$A$497,1))),"")</f>
      </c>
      <c r="AM93" s="560">
        <f>IFERROR(LN(INDEX(Data!$C$2:$C$497,MATCH(N93,Data!$A$2:$A$497,1))/INDEX(Data!$C$2:$C$497,MATCH(N81,Data!$A$2:$A$497,1))),"")</f>
      </c>
      <c r="AN93" s="560">
        <f>IFERROR(LN(INDEX(Data!$D$2:$D$497,MATCH(N93,Data!$A$2:$A$497,1))/INDEX(Data!$D$2:$D$497,MATCH(N81,Data!$A$2:$A$497,1))),"")</f>
      </c>
      <c r="AO93" s="560">
        <f>IFERROR(LN(INDEX(Data!$E$2:$E$497,MATCH(N93,Data!$A$2:$A$497,1))/INDEX(Data!$E$2:$E$497,MATCH(N81,Data!$A$2:$A$497,1))),"")</f>
      </c>
      <c r="AP93" s="560">
        <f>IFERROR(LN(INDEX(Data!$F$2:$F$497,MATCH(N93,Data!$A$2:$A$497,1))/INDEX(Data!$F$2:$F$497,MATCH(N81,Data!$A$2:$A$497,1))),"")</f>
      </c>
      <c r="AQ93" s="560">
        <f>IFERROR(LN(INDEX(Data!$G$2:$G$497,MATCH(N93,Data!$A$2:$A$497,1))/INDEX(Data!$G$2:$G$497,MATCH(N81,Data!$A$2:$A$497,1))),"")</f>
      </c>
      <c r="AR93" s="560">
        <f>IFERROR(LN(INDEX(Data!$H$2:$H$497,MATCH(N93,Data!$A$2:$A$497,1))/INDEX(Data!$H$2:$H$497,MATCH(N81,Data!$A$2:$A$497,1))),"")</f>
      </c>
      <c r="AS93" s="560">
        <f>IFERROR(LN(INDEX(Data!$I$2:$I$497,MATCH(N93,Data!$A$2:$A$497,1))/INDEX(Data!$I$2:$I$497,MATCH(N81,Data!$A$2:$A$497,1))),"")</f>
      </c>
      <c r="AT93" s="560">
        <f>IFERROR(LN(INDEX(Data!$J$2:$J$497,MATCH(N93,Data!$A$2:$A$497,1))/INDEX(Data!$J$2:$J$497,MATCH(N81,Data!$A$2:$A$497,1))),"")</f>
      </c>
      <c r="AU93" s="560">
        <f>IFERROR(LN(INDEX(Data!$K$2:$K$497,MATCH(N93,Data!$A$2:$A$497,1))/INDEX(Data!$K$2:$K$497,MATCH(N81,Data!$A$2:$A$497,1))),"")</f>
      </c>
      <c r="AV93" s="561">
        <f>IFERROR(LN(INDEX(Data!$L$2:$L$497,MATCH(N93,Data!$A$2:$A$497,1))/INDEX(Data!$L$2:$L$497,MATCH(N81,Data!$A$2:$A$497,1))),"")</f>
      </c>
    </row>
    <row r="94">
      <c r="A94" s="446" t="inlineStr">
        <is>
          <t>Australian equities</t>
        </is>
      </c>
      <c r="B94" s="564" t="n">
        <v>1</v>
      </c>
      <c r="C94" s="560">
        <f>SLOPE($V$5:$V$701,$T$5:$T$701)</f>
        <v>0.067087054081971</v>
      </c>
      <c r="D94" s="435">
        <f>CORREL($V$5:$V$701,$T$5:$T$701)*SQRT((COUNT($V$5:$V$701)-2)/(1-RSQ($V$5:$V$701,$T$5:$T$701)))/SQRT(B94)</f>
        <v>3.00352206898345</v>
      </c>
      <c r="E94" s="560">
        <f>SLOPE($V$221:$V$701,$T$221:$T$701)</f>
        <v>0.0664042284961016</v>
      </c>
      <c r="F94" s="435">
        <f>CORREL($V$221:$V$701,$T$221:$T$701)*SQRT((H94-2)/(1-G94))/SQRT(B94)</f>
        <v>2.95417978294708</v>
      </c>
      <c r="G94" s="560">
        <f>RSQ($V$221:$V$701,$T$221:$T$701)</f>
        <v>0.0178935654608404</v>
      </c>
      <c r="H94" s="564">
        <f>COUNT($V$221:$V$701)</f>
        <v>481</v>
      </c>
      <c r="I94" s="565">
        <f>EXP(E94*$B$7)-1</f>
        <v>0.0297873794702332</v>
      </c>
      <c r="N94" s="337" t="n">
        <v>27575</v>
      </c>
      <c r="O94" s="116">
        <f>INDEX('Additional data'!$B$2:$B$965,MATCH(DATE(YEAR(N94),MONTH(N94),1),'Additional data'!$A$2:$A$965,0))</f>
        <v>11.16</v>
      </c>
      <c r="P94" s="489">
        <f>LN(O94)</f>
        <v>2.41233595695317</v>
      </c>
      <c r="Q94" s="489">
        <f>Q93+LN(1+INDEX('Additional data'!$H$2:$H$1196,MATCH(N94,'Additional data'!$G$2:$G$1196,1))+INDEX('Additional data'!$I$2:$I$1196,MATCH(N94,'Additional data'!$G$2:$G$1196,1)))</f>
        <v>0.156319949561568</v>
      </c>
      <c r="R94" s="77" t="n"/>
      <c r="S94" s="116">
        <f>IF(INDEX('Additional data'!$E$2:$E$699,MATCH(DATE(YEAR(N94),MONTH(N94),1),'Additional data'!$D$2:$D$699,0))=0,(INDEX('Additional data'!$E$2:$E$699,MATCH(DATE(YEAR(N94),MONTH(N94),1),'Additional data'!$D$2:$D$699,0)-1)+INDEX('Additional data'!$E$2:$E$699,MATCH(DATE(YEAR(N94),MONTH(N94),1),'Additional data'!$D$2:$D$699,0)+1))/2,INDEX('Additional data'!$E$2:$E$699,MATCH(DATE(YEAR(N94),MONTH(N94),1),'Additional data'!$D$2:$D$699,0)))</f>
        <v>8.8</v>
      </c>
      <c r="T94" s="425">
        <f>P94-P93</f>
        <v>0</v>
      </c>
      <c r="U94" s="425">
        <f>Q94-Q93</f>
        <v>0.0514532815889157</v>
      </c>
      <c r="V94" s="77" t="n"/>
      <c r="W94" s="116">
        <f>S94-S93</f>
        <v>-0.0999999999999996</v>
      </c>
      <c r="X94" s="425">
        <f>P94-P82</f>
        <v>0.0988109239207851</v>
      </c>
      <c r="Y94" s="425">
        <f>Q94-Q82</f>
        <v>0.173985034038725</v>
      </c>
      <c r="Z94" s="77" t="n"/>
      <c r="AA94" s="116">
        <f>S94-S82</f>
        <v>-10</v>
      </c>
      <c r="AB94" s="425">
        <f>P94-P34</f>
        <v>1.20337561111619</v>
      </c>
      <c r="AC94" s="425">
        <f>Q94-Q34</f>
        <v>0.397248961210452</v>
      </c>
      <c r="AD94" s="77" t="n"/>
      <c r="AE94" s="235">
        <f>S94-S34</f>
        <v>0.100000000000001</v>
      </c>
      <c r="AG94" s="554">
        <f>N94</f>
        <v>27575.0</v>
      </c>
      <c r="AH94" s="435">
        <f>IFERROR(INDEX('RBA 5Y yield'!$B$5:$B$661,MATCH(N94,'RBA 5Y yield'!$A$5:$A$661,1))*100,"")</f>
        <v>9.03</v>
      </c>
      <c r="AI94" s="435">
        <f>IF(AND(ISNUMBER(AH94),ISNUMBER(AH93)),AH94-AH93,"")</f>
        <v>0.0100000000000016</v>
      </c>
      <c r="AJ94" s="435">
        <f>IF(AND(ISNUMBER(AH94),ISNUMBER(AH82)),AH94-AH82,"")</f>
        <v>-0.889999999999999</v>
      </c>
      <c r="AK94" s="435">
        <f>IF(AND(ISNUMBER(AH94),ISNUMBER(AH34)),AH94-AH34,"")</f>
      </c>
      <c r="AL94" s="560">
        <f>IFERROR(LN(INDEX(Data!$B$2:$B$497,MATCH(N94,Data!$A$2:$A$497,1))/INDEX(Data!$B$2:$B$497,MATCH(N82,Data!$A$2:$A$497,1))),"")</f>
      </c>
      <c r="AM94" s="560">
        <f>IFERROR(LN(INDEX(Data!$C$2:$C$497,MATCH(N94,Data!$A$2:$A$497,1))/INDEX(Data!$C$2:$C$497,MATCH(N82,Data!$A$2:$A$497,1))),"")</f>
      </c>
      <c r="AN94" s="560">
        <f>IFERROR(LN(INDEX(Data!$D$2:$D$497,MATCH(N94,Data!$A$2:$A$497,1))/INDEX(Data!$D$2:$D$497,MATCH(N82,Data!$A$2:$A$497,1))),"")</f>
      </c>
      <c r="AO94" s="560">
        <f>IFERROR(LN(INDEX(Data!$E$2:$E$497,MATCH(N94,Data!$A$2:$A$497,1))/INDEX(Data!$E$2:$E$497,MATCH(N82,Data!$A$2:$A$497,1))),"")</f>
      </c>
      <c r="AP94" s="560">
        <f>IFERROR(LN(INDEX(Data!$F$2:$F$497,MATCH(N94,Data!$A$2:$A$497,1))/INDEX(Data!$F$2:$F$497,MATCH(N82,Data!$A$2:$A$497,1))),"")</f>
      </c>
      <c r="AQ94" s="560">
        <f>IFERROR(LN(INDEX(Data!$G$2:$G$497,MATCH(N94,Data!$A$2:$A$497,1))/INDEX(Data!$G$2:$G$497,MATCH(N82,Data!$A$2:$A$497,1))),"")</f>
      </c>
      <c r="AR94" s="560">
        <f>IFERROR(LN(INDEX(Data!$H$2:$H$497,MATCH(N94,Data!$A$2:$A$497,1))/INDEX(Data!$H$2:$H$497,MATCH(N82,Data!$A$2:$A$497,1))),"")</f>
      </c>
      <c r="AS94" s="560">
        <f>IFERROR(LN(INDEX(Data!$I$2:$I$497,MATCH(N94,Data!$A$2:$A$497,1))/INDEX(Data!$I$2:$I$497,MATCH(N82,Data!$A$2:$A$497,1))),"")</f>
      </c>
      <c r="AT94" s="560">
        <f>IFERROR(LN(INDEX(Data!$J$2:$J$497,MATCH(N94,Data!$A$2:$A$497,1))/INDEX(Data!$J$2:$J$497,MATCH(N82,Data!$A$2:$A$497,1))),"")</f>
      </c>
      <c r="AU94" s="560">
        <f>IFERROR(LN(INDEX(Data!$K$2:$K$497,MATCH(N94,Data!$A$2:$A$497,1))/INDEX(Data!$K$2:$K$497,MATCH(N82,Data!$A$2:$A$497,1))),"")</f>
      </c>
      <c r="AV94" s="561">
        <f>IFERROR(LN(INDEX(Data!$L$2:$L$497,MATCH(N94,Data!$A$2:$A$497,1))/INDEX(Data!$L$2:$L$497,MATCH(N82,Data!$A$2:$A$497,1))),"")</f>
      </c>
    </row>
    <row r="95">
      <c r="A95" s="446" t="inlineStr">
        <is>
          <t>Australian equities</t>
        </is>
      </c>
      <c r="B95" s="564" t="n">
        <v>12</v>
      </c>
      <c r="C95" s="560">
        <f>SLOPE($Z$5:$Z$701,$X$5:$X$701)</f>
        <v>0.100821792475989</v>
      </c>
      <c r="D95" s="435">
        <f>CORREL($Z$5:$Z$701,$X$5:$X$701)*SQRT((COUNT($Z$5:$Z$701)-2)/(1-RSQ($Z$5:$Z$701,$X$5:$X$701)))/SQRT(B95)</f>
        <v>1.47582380834466</v>
      </c>
      <c r="E95" s="560">
        <f>SLOPE($Z$221:$Z$701,$X$221:$X$701)</f>
        <v>0.100598405242679</v>
      </c>
      <c r="F95" s="435">
        <f>CORREL($Z$221:$Z$701,$X$221:$X$701)*SQRT((H95-2)/(1-G95))/SQRT(B95)</f>
        <v>1.47586854390713</v>
      </c>
      <c r="G95" s="560">
        <f>RSQ($Z$221:$Z$701,$X$221:$X$701)</f>
        <v>0.0517447554640536</v>
      </c>
      <c r="H95" s="564">
        <f>COUNT($Z$221:$Z$701)</f>
        <v>481</v>
      </c>
      <c r="I95" s="565">
        <f>EXP(E95*$B$7)-1</f>
        <v>0.0454705243729612</v>
      </c>
      <c r="N95" s="337" t="n">
        <v>27606</v>
      </c>
      <c r="O95" s="116">
        <f>INDEX('Additional data'!$B$2:$B$965,MATCH(DATE(YEAR(N95),MONTH(N95),1),'Additional data'!$A$2:$A$965,0))</f>
        <v>11.16</v>
      </c>
      <c r="P95" s="489">
        <f>LN(O95)</f>
        <v>2.41233595695317</v>
      </c>
      <c r="Q95" s="489">
        <f>Q94+LN(1+INDEX('Additional data'!$H$2:$H$1196,MATCH(N95,'Additional data'!$G$2:$G$1196,1))+INDEX('Additional data'!$I$2:$I$1196,MATCH(N95,'Additional data'!$G$2:$G$1196,1)))</f>
        <v>0.093167134556299</v>
      </c>
      <c r="R95" s="77" t="n"/>
      <c r="S95" s="116">
        <f>IF(INDEX('Additional data'!$E$2:$E$699,MATCH(DATE(YEAR(N95),MONTH(N95),1),'Additional data'!$D$2:$D$699,0))=0,(INDEX('Additional data'!$E$2:$E$699,MATCH(DATE(YEAR(N95),MONTH(N95),1),'Additional data'!$D$2:$D$699,0)-1)+INDEX('Additional data'!$E$2:$E$699,MATCH(DATE(YEAR(N95),MONTH(N95),1),'Additional data'!$D$2:$D$699,0)+1))/2,INDEX('Additional data'!$E$2:$E$699,MATCH(DATE(YEAR(N95),MONTH(N95),1),'Additional data'!$D$2:$D$699,0)))</f>
        <v>8.15</v>
      </c>
      <c r="T95" s="425">
        <f>P95-P94</f>
        <v>0</v>
      </c>
      <c r="U95" s="425">
        <f>Q95-Q94</f>
        <v>-0.0631528150052686</v>
      </c>
      <c r="V95" s="77" t="n"/>
      <c r="W95" s="116">
        <f>S95-S94</f>
        <v>-0.65</v>
      </c>
      <c r="X95" s="425">
        <f>P95-P83</f>
        <v>0.0988109239207851</v>
      </c>
      <c r="Y95" s="425">
        <f>Q95-Q83</f>
        <v>0.187281391196863</v>
      </c>
      <c r="Z95" s="77" t="n"/>
      <c r="AA95" s="116">
        <f>S95-S83</f>
        <v>-6.85</v>
      </c>
      <c r="AB95" s="425">
        <f>P95-P35</f>
        <v>1.21538776756419</v>
      </c>
      <c r="AC95" s="425">
        <f>Q95-Q35</f>
        <v>0.262333779978293</v>
      </c>
      <c r="AD95" s="77" t="n"/>
      <c r="AE95" s="235">
        <f>S95-S35</f>
        <v>0.75</v>
      </c>
      <c r="AG95" s="554">
        <f>N95</f>
        <v>27606.0</v>
      </c>
      <c r="AH95" s="435">
        <f>IFERROR(INDEX('RBA 5Y yield'!$B$5:$B$661,MATCH(N95,'RBA 5Y yield'!$A$5:$A$661,1))*100,"")</f>
        <v>9.4</v>
      </c>
      <c r="AI95" s="435">
        <f>IF(AND(ISNUMBER(AH95),ISNUMBER(AH94)),AH95-AH94,"")</f>
        <v>0.369999999999999</v>
      </c>
      <c r="AJ95" s="435">
        <f>IF(AND(ISNUMBER(AH95),ISNUMBER(AH83)),AH95-AH83,"")</f>
        <v>-0.51</v>
      </c>
      <c r="AK95" s="435">
        <f>IF(AND(ISNUMBER(AH95),ISNUMBER(AH35)),AH95-AH35,"")</f>
      </c>
      <c r="AL95" s="560">
        <f>IFERROR(LN(INDEX(Data!$B$2:$B$497,MATCH(N95,Data!$A$2:$A$497,1))/INDEX(Data!$B$2:$B$497,MATCH(N83,Data!$A$2:$A$497,1))),"")</f>
      </c>
      <c r="AM95" s="560">
        <f>IFERROR(LN(INDEX(Data!$C$2:$C$497,MATCH(N95,Data!$A$2:$A$497,1))/INDEX(Data!$C$2:$C$497,MATCH(N83,Data!$A$2:$A$497,1))),"")</f>
      </c>
      <c r="AN95" s="560">
        <f>IFERROR(LN(INDEX(Data!$D$2:$D$497,MATCH(N95,Data!$A$2:$A$497,1))/INDEX(Data!$D$2:$D$497,MATCH(N83,Data!$A$2:$A$497,1))),"")</f>
      </c>
      <c r="AO95" s="560">
        <f>IFERROR(LN(INDEX(Data!$E$2:$E$497,MATCH(N95,Data!$A$2:$A$497,1))/INDEX(Data!$E$2:$E$497,MATCH(N83,Data!$A$2:$A$497,1))),"")</f>
      </c>
      <c r="AP95" s="560">
        <f>IFERROR(LN(INDEX(Data!$F$2:$F$497,MATCH(N95,Data!$A$2:$A$497,1))/INDEX(Data!$F$2:$F$497,MATCH(N83,Data!$A$2:$A$497,1))),"")</f>
      </c>
      <c r="AQ95" s="560">
        <f>IFERROR(LN(INDEX(Data!$G$2:$G$497,MATCH(N95,Data!$A$2:$A$497,1))/INDEX(Data!$G$2:$G$497,MATCH(N83,Data!$A$2:$A$497,1))),"")</f>
      </c>
      <c r="AR95" s="560">
        <f>IFERROR(LN(INDEX(Data!$H$2:$H$497,MATCH(N95,Data!$A$2:$A$497,1))/INDEX(Data!$H$2:$H$497,MATCH(N83,Data!$A$2:$A$497,1))),"")</f>
      </c>
      <c r="AS95" s="560">
        <f>IFERROR(LN(INDEX(Data!$I$2:$I$497,MATCH(N95,Data!$A$2:$A$497,1))/INDEX(Data!$I$2:$I$497,MATCH(N83,Data!$A$2:$A$497,1))),"")</f>
      </c>
      <c r="AT95" s="560">
        <f>IFERROR(LN(INDEX(Data!$J$2:$J$497,MATCH(N95,Data!$A$2:$A$497,1))/INDEX(Data!$J$2:$J$497,MATCH(N83,Data!$A$2:$A$497,1))),"")</f>
      </c>
      <c r="AU95" s="560">
        <f>IFERROR(LN(INDEX(Data!$K$2:$K$497,MATCH(N95,Data!$A$2:$A$497,1))/INDEX(Data!$K$2:$K$497,MATCH(N83,Data!$A$2:$A$497,1))),"")</f>
      </c>
      <c r="AV95" s="561">
        <f>IFERROR(LN(INDEX(Data!$L$2:$L$497,MATCH(N95,Data!$A$2:$A$497,1))/INDEX(Data!$L$2:$L$497,MATCH(N83,Data!$A$2:$A$497,1))),"")</f>
      </c>
    </row>
    <row r="96">
      <c r="A96" s="446" t="inlineStr">
        <is>
          <t>Australian equities</t>
        </is>
      </c>
      <c r="B96" s="564" t="n">
        <v>60</v>
      </c>
      <c r="C96" s="560">
        <f>SLOPE($AD$5:$AD$701,$AB$5:$AB$701)</f>
        <v>0.0875718078465469</v>
      </c>
      <c r="D96" s="435">
        <f>CORREL($AD$5:$AD$701,$AB$5:$AB$701)*SQRT((COUNT($AD$5:$AD$701)-2)/(1-RSQ($AD$5:$AD$701,$AB$5:$AB$701)))/SQRT(B96)</f>
        <v>0.578735073703811</v>
      </c>
      <c r="E96" s="560">
        <f>SLOPE($AD$221:$AD$701,$AB$221:$AB$701)</f>
        <v>0.0875718078465469</v>
      </c>
      <c r="F96" s="435">
        <f>CORREL($AD$221:$AD$701,$AB$221:$AB$701)*SQRT((H96-2)/(1-G96))/SQRT(B96)</f>
        <v>0.578735073703811</v>
      </c>
      <c r="G96" s="560">
        <f>RSQ($AD$221:$AD$701,$AB$221:$AB$701)</f>
        <v>0.0444508568811196</v>
      </c>
      <c r="H96" s="564">
        <f>COUNT($AD$221:$AD$701)</f>
        <v>434</v>
      </c>
      <c r="I96" s="565">
        <f>EXP(E96*$B$7)-1</f>
        <v>0.0394679130769919</v>
      </c>
      <c r="N96" s="337" t="n">
        <v>27637</v>
      </c>
      <c r="O96" s="116">
        <f>INDEX('Additional data'!$B$2:$B$965,MATCH(DATE(YEAR(N96),MONTH(N96),1),'Additional data'!$A$2:$A$965,0))</f>
        <v>11.16</v>
      </c>
      <c r="P96" s="489">
        <f>LN(O96)</f>
        <v>2.41233595695317</v>
      </c>
      <c r="Q96" s="489">
        <f>Q95+LN(1+INDEX('Additional data'!$H$2:$H$1196,MATCH(N96,'Additional data'!$G$2:$G$1196,1))+INDEX('Additional data'!$I$2:$I$1196,MATCH(N96,'Additional data'!$G$2:$G$1196,1)))</f>
        <v>0.069284194092967</v>
      </c>
      <c r="R96" s="77" t="n"/>
      <c r="S96" s="116">
        <f>IF(INDEX('Additional data'!$E$2:$E$699,MATCH(DATE(YEAR(N96),MONTH(N96),1),'Additional data'!$D$2:$D$699,0))=0,(INDEX('Additional data'!$E$2:$E$699,MATCH(DATE(YEAR(N96),MONTH(N96),1),'Additional data'!$D$2:$D$699,0)-1)+INDEX('Additional data'!$E$2:$E$699,MATCH(DATE(YEAR(N96),MONTH(N96),1),'Additional data'!$D$2:$D$699,0)+1))/2,INDEX('Additional data'!$E$2:$E$699,MATCH(DATE(YEAR(N96),MONTH(N96),1),'Additional data'!$D$2:$D$699,0)))</f>
        <v>8.15</v>
      </c>
      <c r="T96" s="425">
        <f>P96-P95</f>
        <v>0</v>
      </c>
      <c r="U96" s="425">
        <f>Q96-Q95</f>
        <v>-0.023882940463332</v>
      </c>
      <c r="V96" s="77" t="n"/>
      <c r="W96" s="116">
        <f>S96-S95</f>
        <v>0</v>
      </c>
      <c r="X96" s="425">
        <f>P96-P84</f>
        <v>0.0988109239207851</v>
      </c>
      <c r="Y96" s="425">
        <f>Q96-Q84</f>
        <v>0.255404096529555</v>
      </c>
      <c r="Z96" s="77" t="n"/>
      <c r="AA96" s="116">
        <f>S96-S84</f>
        <v>-6.05</v>
      </c>
      <c r="AB96" s="425">
        <f>P96-P36</f>
        <v>1.21538776756419</v>
      </c>
      <c r="AC96" s="425">
        <f>Q96-Q36</f>
        <v>0.189375001868368</v>
      </c>
      <c r="AD96" s="77" t="n"/>
      <c r="AE96" s="235">
        <f>S96-S36</f>
        <v>1.35</v>
      </c>
      <c r="AG96" s="554">
        <f>N96</f>
        <v>27637.0</v>
      </c>
      <c r="AH96" s="435">
        <f>IFERROR(INDEX('RBA 5Y yield'!$B$5:$B$661,MATCH(N96,'RBA 5Y yield'!$A$5:$A$661,1))*100,"")</f>
        <v>9.41</v>
      </c>
      <c r="AI96" s="435">
        <f>IF(AND(ISNUMBER(AH96),ISNUMBER(AH95)),AH96-AH95,"")</f>
        <v>0.00999999999999979</v>
      </c>
      <c r="AJ96" s="435">
        <f>IF(AND(ISNUMBER(AH96),ISNUMBER(AH84)),AH96-AH84,"")</f>
        <v>-0.52</v>
      </c>
      <c r="AK96" s="435">
        <f>IF(AND(ISNUMBER(AH96),ISNUMBER(AH36)),AH96-AH36,"")</f>
      </c>
      <c r="AL96" s="560">
        <f>IFERROR(LN(INDEX(Data!$B$2:$B$497,MATCH(N96,Data!$A$2:$A$497,1))/INDEX(Data!$B$2:$B$497,MATCH(N84,Data!$A$2:$A$497,1))),"")</f>
      </c>
      <c r="AM96" s="560">
        <f>IFERROR(LN(INDEX(Data!$C$2:$C$497,MATCH(N96,Data!$A$2:$A$497,1))/INDEX(Data!$C$2:$C$497,MATCH(N84,Data!$A$2:$A$497,1))),"")</f>
      </c>
      <c r="AN96" s="560">
        <f>IFERROR(LN(INDEX(Data!$D$2:$D$497,MATCH(N96,Data!$A$2:$A$497,1))/INDEX(Data!$D$2:$D$497,MATCH(N84,Data!$A$2:$A$497,1))),"")</f>
      </c>
      <c r="AO96" s="560">
        <f>IFERROR(LN(INDEX(Data!$E$2:$E$497,MATCH(N96,Data!$A$2:$A$497,1))/INDEX(Data!$E$2:$E$497,MATCH(N84,Data!$A$2:$A$497,1))),"")</f>
      </c>
      <c r="AP96" s="560">
        <f>IFERROR(LN(INDEX(Data!$F$2:$F$497,MATCH(N96,Data!$A$2:$A$497,1))/INDEX(Data!$F$2:$F$497,MATCH(N84,Data!$A$2:$A$497,1))),"")</f>
      </c>
      <c r="AQ96" s="560">
        <f>IFERROR(LN(INDEX(Data!$G$2:$G$497,MATCH(N96,Data!$A$2:$A$497,1))/INDEX(Data!$G$2:$G$497,MATCH(N84,Data!$A$2:$A$497,1))),"")</f>
      </c>
      <c r="AR96" s="560">
        <f>IFERROR(LN(INDEX(Data!$H$2:$H$497,MATCH(N96,Data!$A$2:$A$497,1))/INDEX(Data!$H$2:$H$497,MATCH(N84,Data!$A$2:$A$497,1))),"")</f>
      </c>
      <c r="AS96" s="560">
        <f>IFERROR(LN(INDEX(Data!$I$2:$I$497,MATCH(N96,Data!$A$2:$A$497,1))/INDEX(Data!$I$2:$I$497,MATCH(N84,Data!$A$2:$A$497,1))),"")</f>
      </c>
      <c r="AT96" s="560">
        <f>IFERROR(LN(INDEX(Data!$J$2:$J$497,MATCH(N96,Data!$A$2:$A$497,1))/INDEX(Data!$J$2:$J$497,MATCH(N84,Data!$A$2:$A$497,1))),"")</f>
      </c>
      <c r="AU96" s="560">
        <f>IFERROR(LN(INDEX(Data!$K$2:$K$497,MATCH(N96,Data!$A$2:$A$497,1))/INDEX(Data!$K$2:$K$497,MATCH(N84,Data!$A$2:$A$497,1))),"")</f>
      </c>
      <c r="AV96" s="561">
        <f>IFERROR(LN(INDEX(Data!$L$2:$L$497,MATCH(N96,Data!$A$2:$A$497,1))/INDEX(Data!$L$2:$L$497,MATCH(N84,Data!$A$2:$A$497,1))),"")</f>
      </c>
    </row>
    <row r="97">
      <c r="A97" s="446" t="inlineStr">
        <is>
          <t>AU 3-month rate (pp)</t>
        </is>
      </c>
      <c r="B97" s="564" t="n">
        <v>1</v>
      </c>
      <c r="C97" s="560">
        <f>SLOPE($W$5:$W$701,$T$5:$T$701)</f>
        <v>0.462611788218959</v>
      </c>
      <c r="D97" s="435">
        <f>CORREL($W$5:$W$701,$T$5:$T$701)*SQRT((COUNT($W$5:$W$701)-2)/(1-RSQ($W$5:$W$701,$T$5:$T$701)))/SQRT(B97)</f>
        <v>1.68430211209085</v>
      </c>
      <c r="E97" s="560">
        <f>SLOPE($W$221:$W$701,$T$221:$T$701)</f>
        <v>0.582715320824816</v>
      </c>
      <c r="F97" s="435">
        <f>CORREL($W$221:$W$701,$T$221:$T$701)*SQRT((H97-2)/(1-G97))/SQRT(B97)</f>
        <v>3.92846979260288</v>
      </c>
      <c r="G97" s="560">
        <f>RSQ($W$221:$W$701,$T$221:$T$701)</f>
        <v>0.031213286361994</v>
      </c>
      <c r="H97" s="564">
        <f>COUNT($W$221:$W$701)</f>
        <v>481</v>
      </c>
      <c r="I97" s="452">
        <f>E97*$B$7</f>
        <v>0.257574951457972</v>
      </c>
      <c r="N97" s="337" t="n">
        <v>27667</v>
      </c>
      <c r="O97" s="116">
        <f>INDEX('Additional data'!$B$2:$B$965,MATCH(DATE(YEAR(N97),MONTH(N97),1),'Additional data'!$A$2:$A$965,0))</f>
        <v>11.16</v>
      </c>
      <c r="P97" s="489">
        <f>LN(O97)</f>
        <v>2.41233595695317</v>
      </c>
      <c r="Q97" s="489">
        <f>Q96+LN(1+INDEX('Additional data'!$H$2:$H$1196,MATCH(N97,'Additional data'!$G$2:$G$1196,1))+INDEX('Additional data'!$I$2:$I$1196,MATCH(N97,'Additional data'!$G$2:$G$1196,1)))</f>
        <v>0.0312707518947508</v>
      </c>
      <c r="R97" s="77" t="n"/>
      <c r="S97" s="116">
        <f>IF(INDEX('Additional data'!$E$2:$E$699,MATCH(DATE(YEAR(N97),MONTH(N97),1),'Additional data'!$D$2:$D$699,0))=0,(INDEX('Additional data'!$E$2:$E$699,MATCH(DATE(YEAR(N97),MONTH(N97),1),'Additional data'!$D$2:$D$699,0)-1)+INDEX('Additional data'!$E$2:$E$699,MATCH(DATE(YEAR(N97),MONTH(N97),1),'Additional data'!$D$2:$D$699,0)+1))/2,INDEX('Additional data'!$E$2:$E$699,MATCH(DATE(YEAR(N97),MONTH(N97),1),'Additional data'!$D$2:$D$699,0)))</f>
        <v>8.1</v>
      </c>
      <c r="T97" s="425">
        <f>P97-P96</f>
        <v>0</v>
      </c>
      <c r="U97" s="425">
        <f>Q97-Q96</f>
        <v>-0.0380134421982162</v>
      </c>
      <c r="V97" s="77" t="n"/>
      <c r="W97" s="116">
        <f>S97-S96</f>
        <v>-0.0500000000000007</v>
      </c>
      <c r="X97" s="425">
        <f>P97-P85</f>
        <v>0.0988109239207851</v>
      </c>
      <c r="Y97" s="425">
        <f>Q97-Q85</f>
        <v>0.333699776731722</v>
      </c>
      <c r="Z97" s="77" t="n"/>
      <c r="AA97" s="116">
        <f>S97-S85</f>
        <v>-4.5</v>
      </c>
      <c r="AB97" s="425">
        <f>P97-P37</f>
        <v>1.21538776756419</v>
      </c>
      <c r="AC97" s="425">
        <f>Q97-Q37</f>
        <v>0.105241624056599</v>
      </c>
      <c r="AD97" s="77" t="n"/>
      <c r="AE97" s="235">
        <f>S97-S37</f>
        <v>1.75</v>
      </c>
      <c r="AG97" s="554">
        <f>N97</f>
        <v>27667.0</v>
      </c>
      <c r="AH97" s="435">
        <f>IFERROR(INDEX('RBA 5Y yield'!$B$5:$B$661,MATCH(N97,'RBA 5Y yield'!$A$5:$A$661,1))*100,"")</f>
        <v>9.44</v>
      </c>
      <c r="AI97" s="435">
        <f>IF(AND(ISNUMBER(AH97),ISNUMBER(AH96)),AH97-AH96,"")</f>
        <v>0.0299999999999994</v>
      </c>
      <c r="AJ97" s="435">
        <f>IF(AND(ISNUMBER(AH97),ISNUMBER(AH85)),AH97-AH85,"")</f>
        <v>-0.5</v>
      </c>
      <c r="AK97" s="435">
        <f>IF(AND(ISNUMBER(AH97),ISNUMBER(AH37)),AH97-AH37,"")</f>
      </c>
      <c r="AL97" s="560">
        <f>IFERROR(LN(INDEX(Data!$B$2:$B$497,MATCH(N97,Data!$A$2:$A$497,1))/INDEX(Data!$B$2:$B$497,MATCH(N85,Data!$A$2:$A$497,1))),"")</f>
      </c>
      <c r="AM97" s="560">
        <f>IFERROR(LN(INDEX(Data!$C$2:$C$497,MATCH(N97,Data!$A$2:$A$497,1))/INDEX(Data!$C$2:$C$497,MATCH(N85,Data!$A$2:$A$497,1))),"")</f>
      </c>
      <c r="AN97" s="560">
        <f>IFERROR(LN(INDEX(Data!$D$2:$D$497,MATCH(N97,Data!$A$2:$A$497,1))/INDEX(Data!$D$2:$D$497,MATCH(N85,Data!$A$2:$A$497,1))),"")</f>
      </c>
      <c r="AO97" s="560">
        <f>IFERROR(LN(INDEX(Data!$E$2:$E$497,MATCH(N97,Data!$A$2:$A$497,1))/INDEX(Data!$E$2:$E$497,MATCH(N85,Data!$A$2:$A$497,1))),"")</f>
      </c>
      <c r="AP97" s="560">
        <f>IFERROR(LN(INDEX(Data!$F$2:$F$497,MATCH(N97,Data!$A$2:$A$497,1))/INDEX(Data!$F$2:$F$497,MATCH(N85,Data!$A$2:$A$497,1))),"")</f>
      </c>
      <c r="AQ97" s="560">
        <f>IFERROR(LN(INDEX(Data!$G$2:$G$497,MATCH(N97,Data!$A$2:$A$497,1))/INDEX(Data!$G$2:$G$497,MATCH(N85,Data!$A$2:$A$497,1))),"")</f>
      </c>
      <c r="AR97" s="560">
        <f>IFERROR(LN(INDEX(Data!$H$2:$H$497,MATCH(N97,Data!$A$2:$A$497,1))/INDEX(Data!$H$2:$H$497,MATCH(N85,Data!$A$2:$A$497,1))),"")</f>
      </c>
      <c r="AS97" s="560">
        <f>IFERROR(LN(INDEX(Data!$I$2:$I$497,MATCH(N97,Data!$A$2:$A$497,1))/INDEX(Data!$I$2:$I$497,MATCH(N85,Data!$A$2:$A$497,1))),"")</f>
      </c>
      <c r="AT97" s="560">
        <f>IFERROR(LN(INDEX(Data!$J$2:$J$497,MATCH(N97,Data!$A$2:$A$497,1))/INDEX(Data!$J$2:$J$497,MATCH(N85,Data!$A$2:$A$497,1))),"")</f>
      </c>
      <c r="AU97" s="560">
        <f>IFERROR(LN(INDEX(Data!$K$2:$K$497,MATCH(N97,Data!$A$2:$A$497,1))/INDEX(Data!$K$2:$K$497,MATCH(N85,Data!$A$2:$A$497,1))),"")</f>
      </c>
      <c r="AV97" s="561">
        <f>IFERROR(LN(INDEX(Data!$L$2:$L$497,MATCH(N97,Data!$A$2:$A$497,1))/INDEX(Data!$L$2:$L$497,MATCH(N85,Data!$A$2:$A$497,1))),"")</f>
      </c>
    </row>
    <row r="98">
      <c r="A98" s="446" t="inlineStr">
        <is>
          <t>AU 3-month rate (pp)</t>
        </is>
      </c>
      <c r="B98" s="564" t="n">
        <v>12</v>
      </c>
      <c r="C98" s="560">
        <f>SLOPE($AA$5:$AA$701,$X$5:$X$701)</f>
        <v>2.2803786874362</v>
      </c>
      <c r="D98" s="435">
        <f>CORREL($AA$5:$AA$701,$X$5:$X$701)*SQRT((COUNT($AA$5:$AA$701)-2)/(1-RSQ($AA$5:$AA$701,$X$5:$X$701)))/SQRT(B98)</f>
        <v>2.46203723306496</v>
      </c>
      <c r="E98" s="560">
        <f>SLOPE($AA$221:$AA$701,$X$221:$X$701)</f>
        <v>1.35597467818486</v>
      </c>
      <c r="F98" s="435">
        <f>CORREL($AA$221:$AA$701,$X$221:$X$701)*SQRT((H98-2)/(1-G98))/SQRT(B98)</f>
        <v>1.5521414459691</v>
      </c>
      <c r="G98" s="560">
        <f>RSQ($AA$221:$AA$701,$X$221:$X$701)</f>
        <v>0.0569190071821609</v>
      </c>
      <c r="H98" s="564">
        <f>COUNT($AA$221:$AA$701)</f>
        <v>481</v>
      </c>
      <c r="I98" s="452">
        <f>E98*$B$7</f>
        <v>0.599375199912934</v>
      </c>
      <c r="N98" s="337" t="n">
        <v>27698</v>
      </c>
      <c r="O98" s="116">
        <f>INDEX('Additional data'!$B$2:$B$965,MATCH(DATE(YEAR(N98),MONTH(N98),1),'Additional data'!$A$2:$A$965,0))</f>
        <v>11.16</v>
      </c>
      <c r="P98" s="489">
        <f>LN(O98)</f>
        <v>2.41233595695317</v>
      </c>
      <c r="Q98" s="489">
        <f>Q97+LN(1+INDEX('Additional data'!$H$2:$H$1196,MATCH(N98,'Additional data'!$G$2:$G$1196,1))+INDEX('Additional data'!$I$2:$I$1196,MATCH(N98,'Additional data'!$G$2:$G$1196,1)))</f>
        <v>0.0884069432655599</v>
      </c>
      <c r="R98" s="77" t="n"/>
      <c r="S98" s="116">
        <f>IF(INDEX('Additional data'!$E$2:$E$699,MATCH(DATE(YEAR(N98),MONTH(N98),1),'Additional data'!$D$2:$D$699,0))=0,(INDEX('Additional data'!$E$2:$E$699,MATCH(DATE(YEAR(N98),MONTH(N98),1),'Additional data'!$D$2:$D$699,0)-1)+INDEX('Additional data'!$E$2:$E$699,MATCH(DATE(YEAR(N98),MONTH(N98),1),'Additional data'!$D$2:$D$699,0)+1))/2,INDEX('Additional data'!$E$2:$E$699,MATCH(DATE(YEAR(N98),MONTH(N98),1),'Additional data'!$D$2:$D$699,0)))</f>
        <v>7.95</v>
      </c>
      <c r="T98" s="425">
        <f>P98-P97</f>
        <v>0</v>
      </c>
      <c r="U98" s="425">
        <f>Q98-Q97</f>
        <v>0.0571361913708091</v>
      </c>
      <c r="V98" s="77" t="n"/>
      <c r="W98" s="116">
        <f>S98-S97</f>
        <v>-0.149999999999999</v>
      </c>
      <c r="X98" s="425">
        <f>P98-P86</f>
        <v>0</v>
      </c>
      <c r="Y98" s="425">
        <f>Q98-Q86</f>
        <v>0.237085368296613</v>
      </c>
      <c r="Z98" s="77" t="n"/>
      <c r="AA98" s="116">
        <f>S98-S86</f>
        <v>-2.45</v>
      </c>
      <c r="AB98" s="425">
        <f>P98-P38</f>
        <v>1.21538776756419</v>
      </c>
      <c r="AC98" s="425">
        <f>Q98-Q38</f>
        <v>0.180643624234301</v>
      </c>
      <c r="AD98" s="77" t="n"/>
      <c r="AE98" s="235">
        <f>S98-S38</f>
        <v>1.55</v>
      </c>
      <c r="AG98" s="554">
        <f>N98</f>
        <v>27698.0</v>
      </c>
      <c r="AH98" s="435">
        <f>IFERROR(INDEX('RBA 5Y yield'!$B$5:$B$661,MATCH(N98,'RBA 5Y yield'!$A$5:$A$661,1))*100,"")</f>
        <v>9.4</v>
      </c>
      <c r="AI98" s="435">
        <f>IF(AND(ISNUMBER(AH98),ISNUMBER(AH97)),AH98-AH97,"")</f>
        <v>-0.0399999999999992</v>
      </c>
      <c r="AJ98" s="435">
        <f>IF(AND(ISNUMBER(AH98),ISNUMBER(AH86)),AH98-AH86,"")</f>
        <v>-0.0999999999999996</v>
      </c>
      <c r="AK98" s="435">
        <f>IF(AND(ISNUMBER(AH98),ISNUMBER(AH38)),AH98-AH38,"")</f>
      </c>
      <c r="AL98" s="560">
        <f>IFERROR(LN(INDEX(Data!$B$2:$B$497,MATCH(N98,Data!$A$2:$A$497,1))/INDEX(Data!$B$2:$B$497,MATCH(N86,Data!$A$2:$A$497,1))),"")</f>
      </c>
      <c r="AM98" s="560">
        <f>IFERROR(LN(INDEX(Data!$C$2:$C$497,MATCH(N98,Data!$A$2:$A$497,1))/INDEX(Data!$C$2:$C$497,MATCH(N86,Data!$A$2:$A$497,1))),"")</f>
      </c>
      <c r="AN98" s="560">
        <f>IFERROR(LN(INDEX(Data!$D$2:$D$497,MATCH(N98,Data!$A$2:$A$497,1))/INDEX(Data!$D$2:$D$497,MATCH(N86,Data!$A$2:$A$497,1))),"")</f>
      </c>
      <c r="AO98" s="560">
        <f>IFERROR(LN(INDEX(Data!$E$2:$E$497,MATCH(N98,Data!$A$2:$A$497,1))/INDEX(Data!$E$2:$E$497,MATCH(N86,Data!$A$2:$A$497,1))),"")</f>
      </c>
      <c r="AP98" s="560">
        <f>IFERROR(LN(INDEX(Data!$F$2:$F$497,MATCH(N98,Data!$A$2:$A$497,1))/INDEX(Data!$F$2:$F$497,MATCH(N86,Data!$A$2:$A$497,1))),"")</f>
      </c>
      <c r="AQ98" s="560">
        <f>IFERROR(LN(INDEX(Data!$G$2:$G$497,MATCH(N98,Data!$A$2:$A$497,1))/INDEX(Data!$G$2:$G$497,MATCH(N86,Data!$A$2:$A$497,1))),"")</f>
      </c>
      <c r="AR98" s="560">
        <f>IFERROR(LN(INDEX(Data!$H$2:$H$497,MATCH(N98,Data!$A$2:$A$497,1))/INDEX(Data!$H$2:$H$497,MATCH(N86,Data!$A$2:$A$497,1))),"")</f>
      </c>
      <c r="AS98" s="560">
        <f>IFERROR(LN(INDEX(Data!$I$2:$I$497,MATCH(N98,Data!$A$2:$A$497,1))/INDEX(Data!$I$2:$I$497,MATCH(N86,Data!$A$2:$A$497,1))),"")</f>
      </c>
      <c r="AT98" s="560">
        <f>IFERROR(LN(INDEX(Data!$J$2:$J$497,MATCH(N98,Data!$A$2:$A$497,1))/INDEX(Data!$J$2:$J$497,MATCH(N86,Data!$A$2:$A$497,1))),"")</f>
      </c>
      <c r="AU98" s="560">
        <f>IFERROR(LN(INDEX(Data!$K$2:$K$497,MATCH(N98,Data!$A$2:$A$497,1))/INDEX(Data!$K$2:$K$497,MATCH(N86,Data!$A$2:$A$497,1))),"")</f>
      </c>
      <c r="AV98" s="561">
        <f>IFERROR(LN(INDEX(Data!$L$2:$L$497,MATCH(N98,Data!$A$2:$A$497,1))/INDEX(Data!$L$2:$L$497,MATCH(N86,Data!$A$2:$A$497,1))),"")</f>
      </c>
    </row>
    <row r="99">
      <c r="A99" s="446" t="inlineStr">
        <is>
          <t>AU 3-month rate (pp)</t>
        </is>
      </c>
      <c r="B99" s="564" t="n">
        <v>60</v>
      </c>
      <c r="C99" s="560">
        <f>SLOPE($AE$5:$AE$701,$AB$5:$AB$701)</f>
        <v>2.6117925302358</v>
      </c>
      <c r="D99" s="435">
        <f>CORREL($AE$5:$AE$701,$AB$5:$AB$701)*SQRT((COUNT($AE$5:$AE$701)-2)/(1-RSQ($AE$5:$AE$701,$AB$5:$AB$701)))/SQRT(B99)</f>
        <v>1.45698152400625</v>
      </c>
      <c r="E99" s="560">
        <f>SLOPE($AE$221:$AE$701,$AB$221:$AB$701)</f>
        <v>1.24819071402256</v>
      </c>
      <c r="F99" s="435">
        <f>CORREL($AE$221:$AE$701,$AB$221:$AB$701)*SQRT((H99-2)/(1-G99))/SQRT(B99)</f>
        <v>0.562065471755522</v>
      </c>
      <c r="G99" s="560">
        <f>RSQ($AE$221:$AE$701,$AB$221:$AB$701)</f>
        <v>0.0380657962128541</v>
      </c>
      <c r="H99" s="564">
        <f>COUNT($AE$221:$AE$701)</f>
        <v>481</v>
      </c>
      <c r="I99" s="452">
        <f>E99*$B$7</f>
        <v>0.551731953983251</v>
      </c>
      <c r="N99" s="337" t="n">
        <v>27728</v>
      </c>
      <c r="O99" s="116">
        <f>INDEX('Additional data'!$B$2:$B$965,MATCH(DATE(YEAR(N99),MONTH(N99),1),'Additional data'!$A$2:$A$965,0))</f>
        <v>11.16</v>
      </c>
      <c r="P99" s="489">
        <f>LN(O99)</f>
        <v>2.41233595695317</v>
      </c>
      <c r="Q99" s="489">
        <f>Q98+LN(1+INDEX('Additional data'!$H$2:$H$1196,MATCH(N99,'Additional data'!$G$2:$G$1196,1))+INDEX('Additional data'!$I$2:$I$1196,MATCH(N99,'Additional data'!$G$2:$G$1196,1)))</f>
        <v>0.118548100177547</v>
      </c>
      <c r="R99" s="77" t="n"/>
      <c r="S99" s="116">
        <f>IF(INDEX('Additional data'!$E$2:$E$699,MATCH(DATE(YEAR(N99),MONTH(N99),1),'Additional data'!$D$2:$D$699,0))=0,(INDEX('Additional data'!$E$2:$E$699,MATCH(DATE(YEAR(N99),MONTH(N99),1),'Additional data'!$D$2:$D$699,0)-1)+INDEX('Additional data'!$E$2:$E$699,MATCH(DATE(YEAR(N99),MONTH(N99),1),'Additional data'!$D$2:$D$699,0)+1))/2,INDEX('Additional data'!$E$2:$E$699,MATCH(DATE(YEAR(N99),MONTH(N99),1),'Additional data'!$D$2:$D$699,0)))</f>
        <v>8.05</v>
      </c>
      <c r="T99" s="425">
        <f>P99-P98</f>
        <v>0</v>
      </c>
      <c r="U99" s="425">
        <f>Q99-Q98</f>
        <v>0.0301411569119868</v>
      </c>
      <c r="V99" s="77" t="n"/>
      <c r="W99" s="116">
        <f>S99-S98</f>
        <v>0.100000000000001</v>
      </c>
      <c r="X99" s="425">
        <f>P99-P87</f>
        <v>0</v>
      </c>
      <c r="Y99" s="425">
        <f>Q99-Q87</f>
        <v>0.307944358487159</v>
      </c>
      <c r="Z99" s="77" t="n"/>
      <c r="AA99" s="116">
        <f>S99-S87</f>
        <v>-2.25</v>
      </c>
      <c r="AB99" s="425">
        <f>P99-P39</f>
        <v>1.21538776756419</v>
      </c>
      <c r="AC99" s="425">
        <f>Q99-Q39</f>
        <v>0.16123300231704</v>
      </c>
      <c r="AD99" s="77" t="n"/>
      <c r="AE99" s="235">
        <f>S99-S39</f>
        <v>1.85</v>
      </c>
      <c r="AG99" s="554">
        <f>N99</f>
        <v>27728.0</v>
      </c>
      <c r="AH99" s="435">
        <f>IFERROR(INDEX('RBA 5Y yield'!$B$5:$B$661,MATCH(N99,'RBA 5Y yield'!$A$5:$A$661,1))*100,"")</f>
        <v>9.41</v>
      </c>
      <c r="AI99" s="435">
        <f>IF(AND(ISNUMBER(AH99),ISNUMBER(AH98)),AH99-AH98,"")</f>
        <v>0.00999999999999979</v>
      </c>
      <c r="AJ99" s="435">
        <f>IF(AND(ISNUMBER(AH99),ISNUMBER(AH87)),AH99-AH87,"")</f>
        <v>-0.0199999999999996</v>
      </c>
      <c r="AK99" s="435">
        <f>IF(AND(ISNUMBER(AH99),ISNUMBER(AH39)),AH99-AH39,"")</f>
      </c>
      <c r="AL99" s="560">
        <f>IFERROR(LN(INDEX(Data!$B$2:$B$497,MATCH(N99,Data!$A$2:$A$497,1))/INDEX(Data!$B$2:$B$497,MATCH(N87,Data!$A$2:$A$497,1))),"")</f>
      </c>
      <c r="AM99" s="560">
        <f>IFERROR(LN(INDEX(Data!$C$2:$C$497,MATCH(N99,Data!$A$2:$A$497,1))/INDEX(Data!$C$2:$C$497,MATCH(N87,Data!$A$2:$A$497,1))),"")</f>
      </c>
      <c r="AN99" s="560">
        <f>IFERROR(LN(INDEX(Data!$D$2:$D$497,MATCH(N99,Data!$A$2:$A$497,1))/INDEX(Data!$D$2:$D$497,MATCH(N87,Data!$A$2:$A$497,1))),"")</f>
      </c>
      <c r="AO99" s="560">
        <f>IFERROR(LN(INDEX(Data!$E$2:$E$497,MATCH(N99,Data!$A$2:$A$497,1))/INDEX(Data!$E$2:$E$497,MATCH(N87,Data!$A$2:$A$497,1))),"")</f>
      </c>
      <c r="AP99" s="560">
        <f>IFERROR(LN(INDEX(Data!$F$2:$F$497,MATCH(N99,Data!$A$2:$A$497,1))/INDEX(Data!$F$2:$F$497,MATCH(N87,Data!$A$2:$A$497,1))),"")</f>
      </c>
      <c r="AQ99" s="560">
        <f>IFERROR(LN(INDEX(Data!$G$2:$G$497,MATCH(N99,Data!$A$2:$A$497,1))/INDEX(Data!$G$2:$G$497,MATCH(N87,Data!$A$2:$A$497,1))),"")</f>
      </c>
      <c r="AR99" s="560">
        <f>IFERROR(LN(INDEX(Data!$H$2:$H$497,MATCH(N99,Data!$A$2:$A$497,1))/INDEX(Data!$H$2:$H$497,MATCH(N87,Data!$A$2:$A$497,1))),"")</f>
      </c>
      <c r="AS99" s="560">
        <f>IFERROR(LN(INDEX(Data!$I$2:$I$497,MATCH(N99,Data!$A$2:$A$497,1))/INDEX(Data!$I$2:$I$497,MATCH(N87,Data!$A$2:$A$497,1))),"")</f>
      </c>
      <c r="AT99" s="560">
        <f>IFERROR(LN(INDEX(Data!$J$2:$J$497,MATCH(N99,Data!$A$2:$A$497,1))/INDEX(Data!$J$2:$J$497,MATCH(N87,Data!$A$2:$A$497,1))),"")</f>
      </c>
      <c r="AU99" s="560">
        <f>IFERROR(LN(INDEX(Data!$K$2:$K$497,MATCH(N99,Data!$A$2:$A$497,1))/INDEX(Data!$K$2:$K$497,MATCH(N87,Data!$A$2:$A$497,1))),"")</f>
      </c>
      <c r="AV99" s="561">
        <f>IFERROR(LN(INDEX(Data!$L$2:$L$497,MATCH(N99,Data!$A$2:$A$497,1))/INDEX(Data!$L$2:$L$497,MATCH(N87,Data!$A$2:$A$497,1))),"")</f>
      </c>
    </row>
    <row r="100">
      <c r="A100" s="446" t="inlineStr">
        <is>
          <t>AU 5-year yield (pp)</t>
        </is>
      </c>
      <c r="B100" s="564" t="n">
        <v>1</v>
      </c>
      <c r="C100" s="560">
        <f>SLOPE($AI$5:$AI$701,$T$5:$T$701)</f>
        <v>0.571892677524914</v>
      </c>
      <c r="D100" s="435">
        <f>CORREL($AI$5:$AI$701,$T$5:$T$701)*SQRT((COUNT($AI$5:$AI$701)-2)/(1-RSQ($AI$5:$AI$701,$T$5:$T$701)))/SQRT(B100)</f>
        <v>3.97148037028348</v>
      </c>
      <c r="E100" s="560">
        <f>SLOPE($AI$221:$AI$701,$T$221:$T$701)</f>
        <v>0.650745783638256</v>
      </c>
      <c r="F100" s="435">
        <f>CORREL($AI$221:$AI$701,$T$221:$T$701)*SQRT((H100-2)/(1-G100))/SQRT(B100)</f>
        <v>4.46150399190245</v>
      </c>
      <c r="G100" s="560">
        <f>RSQ($AI$221:$AI$701,$T$221:$T$701)</f>
        <v>0.0398974096407218</v>
      </c>
      <c r="H100" s="564">
        <f>COUNT($AI$221:$AI$701)</f>
        <v>481</v>
      </c>
      <c r="I100" s="452">
        <f>E100*$B$7</f>
        <v>0.287646141506711</v>
      </c>
      <c r="N100" s="337" t="n">
        <v>27759</v>
      </c>
      <c r="O100" s="116">
        <f>INDEX('Additional data'!$B$2:$B$965,MATCH(DATE(YEAR(N100),MONTH(N100),1),'Additional data'!$A$2:$A$965,0))</f>
        <v>11.16</v>
      </c>
      <c r="P100" s="489">
        <f>LN(O100)</f>
        <v>2.41233595695317</v>
      </c>
      <c r="Q100" s="489">
        <f>Q99+LN(1+INDEX('Additional data'!$H$2:$H$1196,MATCH(N100,'Additional data'!$G$2:$G$1196,1))+INDEX('Additional data'!$I$2:$I$1196,MATCH(N100,'Additional data'!$G$2:$G$1196,1)))</f>
        <v>0.107284907898836</v>
      </c>
      <c r="R100" s="77" t="n"/>
      <c r="S100" s="116">
        <f>IF(INDEX('Additional data'!$E$2:$E$699,MATCH(DATE(YEAR(N100),MONTH(N100),1),'Additional data'!$D$2:$D$699,0))=0,(INDEX('Additional data'!$E$2:$E$699,MATCH(DATE(YEAR(N100),MONTH(N100),1),'Additional data'!$D$2:$D$699,0)-1)+INDEX('Additional data'!$E$2:$E$699,MATCH(DATE(YEAR(N100),MONTH(N100),1),'Additional data'!$D$2:$D$699,0)+1))/2,INDEX('Additional data'!$E$2:$E$699,MATCH(DATE(YEAR(N100),MONTH(N100),1),'Additional data'!$D$2:$D$699,0)))</f>
        <v>7.7</v>
      </c>
      <c r="T100" s="425">
        <f>P100-P99</f>
        <v>0</v>
      </c>
      <c r="U100" s="425">
        <f>Q100-Q99</f>
        <v>-0.0112631922787107</v>
      </c>
      <c r="V100" s="77" t="n"/>
      <c r="W100" s="116">
        <f>S100-S99</f>
        <v>-0.350000000000001</v>
      </c>
      <c r="X100" s="425">
        <f>P100-P88</f>
        <v>0</v>
      </c>
      <c r="Y100" s="425">
        <f>Q100-Q88</f>
        <v>0.3244635472209</v>
      </c>
      <c r="Z100" s="77" t="n"/>
      <c r="AA100" s="116">
        <f>S100-S88</f>
        <v>-2.05</v>
      </c>
      <c r="AB100" s="425">
        <f>P100-P40</f>
        <v>1.14257541208923</v>
      </c>
      <c r="AC100" s="425">
        <f>Q100-Q40</f>
        <v>0.0901926060024683</v>
      </c>
      <c r="AD100" s="77" t="n"/>
      <c r="AE100" s="235">
        <f>S100-S40</f>
        <v>1.2</v>
      </c>
      <c r="AG100" s="554">
        <f>N100</f>
        <v>27759.0</v>
      </c>
      <c r="AH100" s="435">
        <f>IFERROR(INDEX('RBA 5Y yield'!$B$5:$B$661,MATCH(N100,'RBA 5Y yield'!$A$5:$A$661,1))*100,"")</f>
        <v>9.39</v>
      </c>
      <c r="AI100" s="435">
        <f>IF(AND(ISNUMBER(AH100),ISNUMBER(AH99)),AH100-AH99,"")</f>
        <v>-0.0199999999999996</v>
      </c>
      <c r="AJ100" s="435">
        <f>IF(AND(ISNUMBER(AH100),ISNUMBER(AH88)),AH100-AH88,"")</f>
        <v>0.24</v>
      </c>
      <c r="AK100" s="435">
        <f>IF(AND(ISNUMBER(AH100),ISNUMBER(AH40)),AH100-AH40,"")</f>
      </c>
      <c r="AL100" s="560">
        <f>IFERROR(LN(INDEX(Data!$B$2:$B$497,MATCH(N100,Data!$A$2:$A$497,1))/INDEX(Data!$B$2:$B$497,MATCH(N88,Data!$A$2:$A$497,1))),"")</f>
      </c>
      <c r="AM100" s="560">
        <f>IFERROR(LN(INDEX(Data!$C$2:$C$497,MATCH(N100,Data!$A$2:$A$497,1))/INDEX(Data!$C$2:$C$497,MATCH(N88,Data!$A$2:$A$497,1))),"")</f>
      </c>
      <c r="AN100" s="560">
        <f>IFERROR(LN(INDEX(Data!$D$2:$D$497,MATCH(N100,Data!$A$2:$A$497,1))/INDEX(Data!$D$2:$D$497,MATCH(N88,Data!$A$2:$A$497,1))),"")</f>
      </c>
      <c r="AO100" s="560">
        <f>IFERROR(LN(INDEX(Data!$E$2:$E$497,MATCH(N100,Data!$A$2:$A$497,1))/INDEX(Data!$E$2:$E$497,MATCH(N88,Data!$A$2:$A$497,1))),"")</f>
      </c>
      <c r="AP100" s="560">
        <f>IFERROR(LN(INDEX(Data!$F$2:$F$497,MATCH(N100,Data!$A$2:$A$497,1))/INDEX(Data!$F$2:$F$497,MATCH(N88,Data!$A$2:$A$497,1))),"")</f>
      </c>
      <c r="AQ100" s="560">
        <f>IFERROR(LN(INDEX(Data!$G$2:$G$497,MATCH(N100,Data!$A$2:$A$497,1))/INDEX(Data!$G$2:$G$497,MATCH(N88,Data!$A$2:$A$497,1))),"")</f>
      </c>
      <c r="AR100" s="560">
        <f>IFERROR(LN(INDEX(Data!$H$2:$H$497,MATCH(N100,Data!$A$2:$A$497,1))/INDEX(Data!$H$2:$H$497,MATCH(N88,Data!$A$2:$A$497,1))),"")</f>
      </c>
      <c r="AS100" s="560">
        <f>IFERROR(LN(INDEX(Data!$I$2:$I$497,MATCH(N100,Data!$A$2:$A$497,1))/INDEX(Data!$I$2:$I$497,MATCH(N88,Data!$A$2:$A$497,1))),"")</f>
      </c>
      <c r="AT100" s="560">
        <f>IFERROR(LN(INDEX(Data!$J$2:$J$497,MATCH(N100,Data!$A$2:$A$497,1))/INDEX(Data!$J$2:$J$497,MATCH(N88,Data!$A$2:$A$497,1))),"")</f>
      </c>
      <c r="AU100" s="560">
        <f>IFERROR(LN(INDEX(Data!$K$2:$K$497,MATCH(N100,Data!$A$2:$A$497,1))/INDEX(Data!$K$2:$K$497,MATCH(N88,Data!$A$2:$A$497,1))),"")</f>
      </c>
      <c r="AV100" s="561">
        <f>IFERROR(LN(INDEX(Data!$L$2:$L$497,MATCH(N100,Data!$A$2:$A$497,1))/INDEX(Data!$L$2:$L$497,MATCH(N88,Data!$A$2:$A$497,1))),"")</f>
      </c>
    </row>
    <row r="101">
      <c r="A101" s="446" t="inlineStr">
        <is>
          <t>AU 5-year yield (pp)</t>
        </is>
      </c>
      <c r="B101" s="564" t="n">
        <v>12</v>
      </c>
      <c r="C101" s="560">
        <f>SLOPE($AJ$5:$AJ$701,$X$5:$X$701)</f>
        <v>1.72566563951747</v>
      </c>
      <c r="D101" s="435">
        <f>CORREL($AJ$5:$AJ$701,$X$5:$X$701)*SQRT((COUNT($AJ$5:$AJ$701)-2)/(1-RSQ($AJ$5:$AJ$701,$X$5:$X$701)))/SQRT(B101)</f>
        <v>3.40512080977291</v>
      </c>
      <c r="E101" s="560">
        <f>SLOPE($AJ$221:$AJ$701,$X$221:$X$701)</f>
        <v>1.42389992285558</v>
      </c>
      <c r="F101" s="435">
        <f>CORREL($AJ$221:$AJ$701,$X$221:$X$701)*SQRT((H101-2)/(1-G101))/SQRT(B101)</f>
        <v>2.57035725331105</v>
      </c>
      <c r="G101" s="560">
        <f>RSQ($AJ$221:$AJ$701,$X$221:$X$701)</f>
        <v>0.142008880967097</v>
      </c>
      <c r="H101" s="564">
        <f>COUNT($AJ$221:$AJ$701)</f>
        <v>481</v>
      </c>
      <c r="I101" s="452">
        <f>E101*$B$7</f>
        <v>0.629399880873899</v>
      </c>
      <c r="N101" s="337" t="n">
        <v>27790</v>
      </c>
      <c r="O101" s="116">
        <f>INDEX('Additional data'!$B$2:$B$965,MATCH(DATE(YEAR(N101),MONTH(N101),1),'Additional data'!$A$2:$A$965,0))</f>
        <v>11.16</v>
      </c>
      <c r="P101" s="489">
        <f>LN(O101)</f>
        <v>2.41233595695317</v>
      </c>
      <c r="Q101" s="489">
        <f>Q100+LN(1+INDEX('Additional data'!$H$2:$H$1196,MATCH(N101,'Additional data'!$G$2:$G$1196,1))+INDEX('Additional data'!$I$2:$I$1196,MATCH(N101,'Additional data'!$G$2:$G$1196,1)))</f>
        <v>0.226134041737217</v>
      </c>
      <c r="R101" s="77" t="n"/>
      <c r="S101" s="116">
        <f>IF(INDEX('Additional data'!$E$2:$E$699,MATCH(DATE(YEAR(N101),MONTH(N101),1),'Additional data'!$D$2:$D$699,0))=0,(INDEX('Additional data'!$E$2:$E$699,MATCH(DATE(YEAR(N101),MONTH(N101),1),'Additional data'!$D$2:$D$699,0)-1)+INDEX('Additional data'!$E$2:$E$699,MATCH(DATE(YEAR(N101),MONTH(N101),1),'Additional data'!$D$2:$D$699,0)+1))/2,INDEX('Additional data'!$E$2:$E$699,MATCH(DATE(YEAR(N101),MONTH(N101),1),'Additional data'!$D$2:$D$699,0)))</f>
        <v>7.65</v>
      </c>
      <c r="T101" s="425">
        <f>P101-P100</f>
        <v>0</v>
      </c>
      <c r="U101" s="425">
        <f>Q101-Q100</f>
        <v>0.118849133838381</v>
      </c>
      <c r="V101" s="77" t="n"/>
      <c r="W101" s="116">
        <f>S101-S100</f>
        <v>-0.0499999999999998</v>
      </c>
      <c r="X101" s="425">
        <f>P101-P89</f>
        <v>0</v>
      </c>
      <c r="Y101" s="425">
        <f>Q101-Q89</f>
        <v>0.310093837273058</v>
      </c>
      <c r="Z101" s="77" t="n"/>
      <c r="AA101" s="116">
        <f>S101-S89</f>
        <v>-1.3</v>
      </c>
      <c r="AB101" s="425">
        <f>P101-P41</f>
        <v>1.14257541208923</v>
      </c>
      <c r="AC101" s="425">
        <f>Q101-Q41</f>
        <v>0.158253573008744</v>
      </c>
      <c r="AD101" s="77" t="n"/>
      <c r="AE101" s="235">
        <f>S101-S41</f>
        <v>1.05</v>
      </c>
      <c r="AG101" s="554">
        <f>N101</f>
        <v>27790.0</v>
      </c>
      <c r="AH101" s="435">
        <f>IFERROR(INDEX('RBA 5Y yield'!$B$5:$B$661,MATCH(N101,'RBA 5Y yield'!$A$5:$A$661,1))*100,"")</f>
        <v>9.42</v>
      </c>
      <c r="AI101" s="435">
        <f>IF(AND(ISNUMBER(AH101),ISNUMBER(AH100)),AH101-AH100,"")</f>
        <v>0.0299999999999994</v>
      </c>
      <c r="AJ101" s="435">
        <f>IF(AND(ISNUMBER(AH101),ISNUMBER(AH89)),AH101-AH89,"")</f>
        <v>0.49</v>
      </c>
      <c r="AK101" s="435">
        <f>IF(AND(ISNUMBER(AH101),ISNUMBER(AH41)),AH101-AH41,"")</f>
      </c>
      <c r="AL101" s="560">
        <f>IFERROR(LN(INDEX(Data!$B$2:$B$497,MATCH(N101,Data!$A$2:$A$497,1))/INDEX(Data!$B$2:$B$497,MATCH(N89,Data!$A$2:$A$497,1))),"")</f>
      </c>
      <c r="AM101" s="560">
        <f>IFERROR(LN(INDEX(Data!$C$2:$C$497,MATCH(N101,Data!$A$2:$A$497,1))/INDEX(Data!$C$2:$C$497,MATCH(N89,Data!$A$2:$A$497,1))),"")</f>
      </c>
      <c r="AN101" s="560">
        <f>IFERROR(LN(INDEX(Data!$D$2:$D$497,MATCH(N101,Data!$A$2:$A$497,1))/INDEX(Data!$D$2:$D$497,MATCH(N89,Data!$A$2:$A$497,1))),"")</f>
      </c>
      <c r="AO101" s="560">
        <f>IFERROR(LN(INDEX(Data!$E$2:$E$497,MATCH(N101,Data!$A$2:$A$497,1))/INDEX(Data!$E$2:$E$497,MATCH(N89,Data!$A$2:$A$497,1))),"")</f>
      </c>
      <c r="AP101" s="560">
        <f>IFERROR(LN(INDEX(Data!$F$2:$F$497,MATCH(N101,Data!$A$2:$A$497,1))/INDEX(Data!$F$2:$F$497,MATCH(N89,Data!$A$2:$A$497,1))),"")</f>
      </c>
      <c r="AQ101" s="560">
        <f>IFERROR(LN(INDEX(Data!$G$2:$G$497,MATCH(N101,Data!$A$2:$A$497,1))/INDEX(Data!$G$2:$G$497,MATCH(N89,Data!$A$2:$A$497,1))),"")</f>
      </c>
      <c r="AR101" s="560">
        <f>IFERROR(LN(INDEX(Data!$H$2:$H$497,MATCH(N101,Data!$A$2:$A$497,1))/INDEX(Data!$H$2:$H$497,MATCH(N89,Data!$A$2:$A$497,1))),"")</f>
      </c>
      <c r="AS101" s="560">
        <f>IFERROR(LN(INDEX(Data!$I$2:$I$497,MATCH(N101,Data!$A$2:$A$497,1))/INDEX(Data!$I$2:$I$497,MATCH(N89,Data!$A$2:$A$497,1))),"")</f>
      </c>
      <c r="AT101" s="560">
        <f>IFERROR(LN(INDEX(Data!$J$2:$J$497,MATCH(N101,Data!$A$2:$A$497,1))/INDEX(Data!$J$2:$J$497,MATCH(N89,Data!$A$2:$A$497,1))),"")</f>
      </c>
      <c r="AU101" s="560">
        <f>IFERROR(LN(INDEX(Data!$K$2:$K$497,MATCH(N101,Data!$A$2:$A$497,1))/INDEX(Data!$K$2:$K$497,MATCH(N89,Data!$A$2:$A$497,1))),"")</f>
      </c>
      <c r="AV101" s="561">
        <f>IFERROR(LN(INDEX(Data!$L$2:$L$497,MATCH(N101,Data!$A$2:$A$497,1))/INDEX(Data!$L$2:$L$497,MATCH(N89,Data!$A$2:$A$497,1))),"")</f>
      </c>
    </row>
    <row r="102">
      <c r="A102" s="460" t="inlineStr">
        <is>
          <t>AU 5-year yield (pp)</t>
        </is>
      </c>
      <c r="B102" s="566" t="n">
        <v>60</v>
      </c>
      <c r="C102" s="567">
        <f>SLOPE($AK$5:$AK$701,$AB$5:$AB$701)</f>
        <v>2.25649766413473</v>
      </c>
      <c r="D102" s="568">
        <f>CORREL($AK$5:$AK$701,$AB$5:$AB$701)*SQRT((COUNT($AK$5:$AK$701)-2)/(1-RSQ($AK$5:$AK$701,$AB$5:$AB$701)))/SQRT(B102)</f>
        <v>1.79751781477819</v>
      </c>
      <c r="E102" s="567">
        <f>SLOPE($AK$221:$AK$701,$AB$221:$AB$701)</f>
        <v>1.20520145223401</v>
      </c>
      <c r="F102" s="568">
        <f>CORREL($AK$221:$AK$701,$AB$221:$AB$701)*SQRT((H102-2)/(1-G102))/SQRT(B102)</f>
        <v>0.902049276199118</v>
      </c>
      <c r="G102" s="567">
        <f>RSQ($AK$221:$AK$701,$AB$221:$AB$701)</f>
        <v>0.0924963590439436</v>
      </c>
      <c r="H102" s="566">
        <f>COUNT($AK$221:$AK$701)</f>
        <v>481</v>
      </c>
      <c r="I102" s="569">
        <f>E102*$B$7</f>
        <v>0.532729609918012</v>
      </c>
      <c r="N102" s="337" t="n">
        <v>27819</v>
      </c>
      <c r="O102" s="116">
        <f>INDEX('Additional data'!$B$2:$B$965,MATCH(DATE(YEAR(N102),MONTH(N102),1),'Additional data'!$A$2:$A$965,0))</f>
        <v>12.03</v>
      </c>
      <c r="P102" s="489">
        <f>LN(O102)</f>
        <v>2.48740352998659</v>
      </c>
      <c r="Q102" s="489">
        <f>Q101+LN(1+INDEX('Additional data'!$H$2:$H$1196,MATCH(N102,'Additional data'!$G$2:$G$1196,1))+INDEX('Additional data'!$I$2:$I$1196,MATCH(N102,'Additional data'!$G$2:$G$1196,1)))</f>
        <v>0.232613007834926</v>
      </c>
      <c r="R102" s="77" t="n"/>
      <c r="S102" s="116">
        <f>IF(INDEX('Additional data'!$E$2:$E$699,MATCH(DATE(YEAR(N102),MONTH(N102),1),'Additional data'!$D$2:$D$699,0))=0,(INDEX('Additional data'!$E$2:$E$699,MATCH(DATE(YEAR(N102),MONTH(N102),1),'Additional data'!$D$2:$D$699,0)-1)+INDEX('Additional data'!$E$2:$E$699,MATCH(DATE(YEAR(N102),MONTH(N102),1),'Additional data'!$D$2:$D$699,0)+1))/2,INDEX('Additional data'!$E$2:$E$699,MATCH(DATE(YEAR(N102),MONTH(N102),1),'Additional data'!$D$2:$D$699,0)))</f>
        <v>8.35</v>
      </c>
      <c r="T102" s="425">
        <f>P102-P101</f>
        <v>0.0750675730334227</v>
      </c>
      <c r="U102" s="425">
        <f>Q102-Q101</f>
        <v>0.00647896609770929</v>
      </c>
      <c r="V102" s="77" t="n"/>
      <c r="W102" s="116">
        <f>S102-S101</f>
        <v>0.699999999999999</v>
      </c>
      <c r="X102" s="425">
        <f>P102-P90</f>
        <v>0.0750675730334227</v>
      </c>
      <c r="Y102" s="425">
        <f>Q102-Q90</f>
        <v>0.258398239319695</v>
      </c>
      <c r="Z102" s="77" t="n"/>
      <c r="AA102" s="116">
        <f>S102-S90</f>
        <v>-0.65</v>
      </c>
      <c r="AB102" s="425">
        <f>P102-P42</f>
        <v>1.21764298512265</v>
      </c>
      <c r="AC102" s="425">
        <f>Q102-Q42</f>
        <v>0.147482185699926</v>
      </c>
      <c r="AD102" s="77" t="n"/>
      <c r="AE102" s="235">
        <f>S102-S42</f>
        <v>0.75</v>
      </c>
      <c r="AG102" s="554">
        <f>N102</f>
        <v>27819.0</v>
      </c>
      <c r="AH102" s="435">
        <f>IFERROR(INDEX('RBA 5Y yield'!$B$5:$B$661,MATCH(N102,'RBA 5Y yield'!$A$5:$A$661,1))*100,"")</f>
        <v>9.39</v>
      </c>
      <c r="AI102" s="435">
        <f>IF(AND(ISNUMBER(AH102),ISNUMBER(AH101)),AH102-AH101,"")</f>
        <v>-0.0299999999999994</v>
      </c>
      <c r="AJ102" s="435">
        <f>IF(AND(ISNUMBER(AH102),ISNUMBER(AH90)),AH102-AH90,"")</f>
        <v>0.390000000000001</v>
      </c>
      <c r="AK102" s="435">
        <f>IF(AND(ISNUMBER(AH102),ISNUMBER(AH42)),AH102-AH42,"")</f>
      </c>
      <c r="AL102" s="560">
        <f>IFERROR(LN(INDEX(Data!$B$2:$B$497,MATCH(N102,Data!$A$2:$A$497,1))/INDEX(Data!$B$2:$B$497,MATCH(N90,Data!$A$2:$A$497,1))),"")</f>
      </c>
      <c r="AM102" s="560">
        <f>IFERROR(LN(INDEX(Data!$C$2:$C$497,MATCH(N102,Data!$A$2:$A$497,1))/INDEX(Data!$C$2:$C$497,MATCH(N90,Data!$A$2:$A$497,1))),"")</f>
      </c>
      <c r="AN102" s="560">
        <f>IFERROR(LN(INDEX(Data!$D$2:$D$497,MATCH(N102,Data!$A$2:$A$497,1))/INDEX(Data!$D$2:$D$497,MATCH(N90,Data!$A$2:$A$497,1))),"")</f>
      </c>
      <c r="AO102" s="560">
        <f>IFERROR(LN(INDEX(Data!$E$2:$E$497,MATCH(N102,Data!$A$2:$A$497,1))/INDEX(Data!$E$2:$E$497,MATCH(N90,Data!$A$2:$A$497,1))),"")</f>
      </c>
      <c r="AP102" s="560">
        <f>IFERROR(LN(INDEX(Data!$F$2:$F$497,MATCH(N102,Data!$A$2:$A$497,1))/INDEX(Data!$F$2:$F$497,MATCH(N90,Data!$A$2:$A$497,1))),"")</f>
      </c>
      <c r="AQ102" s="560">
        <f>IFERROR(LN(INDEX(Data!$G$2:$G$497,MATCH(N102,Data!$A$2:$A$497,1))/INDEX(Data!$G$2:$G$497,MATCH(N90,Data!$A$2:$A$497,1))),"")</f>
      </c>
      <c r="AR102" s="560">
        <f>IFERROR(LN(INDEX(Data!$H$2:$H$497,MATCH(N102,Data!$A$2:$A$497,1))/INDEX(Data!$H$2:$H$497,MATCH(N90,Data!$A$2:$A$497,1))),"")</f>
      </c>
      <c r="AS102" s="560">
        <f>IFERROR(LN(INDEX(Data!$I$2:$I$497,MATCH(N102,Data!$A$2:$A$497,1))/INDEX(Data!$I$2:$I$497,MATCH(N90,Data!$A$2:$A$497,1))),"")</f>
      </c>
      <c r="AT102" s="560">
        <f>IFERROR(LN(INDEX(Data!$J$2:$J$497,MATCH(N102,Data!$A$2:$A$497,1))/INDEX(Data!$J$2:$J$497,MATCH(N90,Data!$A$2:$A$497,1))),"")</f>
      </c>
      <c r="AU102" s="560">
        <f>IFERROR(LN(INDEX(Data!$K$2:$K$497,MATCH(N102,Data!$A$2:$A$497,1))/INDEX(Data!$K$2:$K$497,MATCH(N90,Data!$A$2:$A$497,1))),"")</f>
      </c>
      <c r="AV102" s="561">
        <f>IFERROR(LN(INDEX(Data!$L$2:$L$497,MATCH(N102,Data!$A$2:$A$497,1))/INDEX(Data!$L$2:$L$497,MATCH(N90,Data!$A$2:$A$497,1))),"")</f>
      </c>
    </row>
    <row r="103">
      <c r="N103" s="337" t="n">
        <v>27850</v>
      </c>
      <c r="O103" s="116">
        <f>INDEX('Additional data'!$B$2:$B$965,MATCH(DATE(YEAR(N103),MONTH(N103),1),'Additional data'!$A$2:$A$965,0))</f>
        <v>12.1</v>
      </c>
      <c r="P103" s="489">
        <f>LN(O103)</f>
        <v>2.4932054526027</v>
      </c>
      <c r="Q103" s="489">
        <f>Q102+LN(1+INDEX('Additional data'!$H$2:$H$1196,MATCH(N103,'Additional data'!$G$2:$G$1196,1))+INDEX('Additional data'!$I$2:$I$1196,MATCH(N103,'Additional data'!$G$2:$G$1196,1)))</f>
        <v>0.259449661788486</v>
      </c>
      <c r="R103" s="77" t="n"/>
      <c r="S103" s="116">
        <f>IF(INDEX('Additional data'!$E$2:$E$699,MATCH(DATE(YEAR(N103),MONTH(N103),1),'Additional data'!$D$2:$D$699,0))=0,(INDEX('Additional data'!$E$2:$E$699,MATCH(DATE(YEAR(N103),MONTH(N103),1),'Additional data'!$D$2:$D$699,0)-1)+INDEX('Additional data'!$E$2:$E$699,MATCH(DATE(YEAR(N103),MONTH(N103),1),'Additional data'!$D$2:$D$699,0)+1))/2,INDEX('Additional data'!$E$2:$E$699,MATCH(DATE(YEAR(N103),MONTH(N103),1),'Additional data'!$D$2:$D$699,0)))</f>
        <v>8.4</v>
      </c>
      <c r="T103" s="425">
        <f>P103-P102</f>
        <v>0.0058019226161079</v>
      </c>
      <c r="U103" s="425">
        <f>Q103-Q102</f>
        <v>0.0268366539535598</v>
      </c>
      <c r="V103" s="77" t="n"/>
      <c r="W103" s="116">
        <f>S103-S102</f>
        <v>0.0500000000000007</v>
      </c>
      <c r="X103" s="425">
        <f>P103-P91</f>
        <v>0.0808694956495306</v>
      </c>
      <c r="Y103" s="425">
        <f>Q103-Q91</f>
        <v>0.254996710212645</v>
      </c>
      <c r="Z103" s="77" t="n"/>
      <c r="AA103" s="116">
        <f>S103-S91</f>
        <v>-0.35</v>
      </c>
      <c r="AB103" s="425">
        <f>P103-P43</f>
        <v>1.22344490773876</v>
      </c>
      <c r="AC103" s="425">
        <f>Q103-Q43</f>
        <v>0.131067797659171</v>
      </c>
      <c r="AD103" s="77" t="n"/>
      <c r="AE103" s="235">
        <f>S103-S43</f>
        <v>0.4</v>
      </c>
      <c r="AG103" s="554">
        <f>N103</f>
        <v>27850.0</v>
      </c>
      <c r="AH103" s="435">
        <f>IFERROR(INDEX('RBA 5Y yield'!$B$5:$B$661,MATCH(N103,'RBA 5Y yield'!$A$5:$A$661,1))*100,"")</f>
        <v>9.43</v>
      </c>
      <c r="AI103" s="435">
        <f>IF(AND(ISNUMBER(AH103),ISNUMBER(AH102)),AH103-AH102,"")</f>
        <v>0.0399999999999992</v>
      </c>
      <c r="AJ103" s="435">
        <f>IF(AND(ISNUMBER(AH103),ISNUMBER(AH91)),AH103-AH91,"")</f>
        <v>0.43</v>
      </c>
      <c r="AK103" s="435">
        <f>IF(AND(ISNUMBER(AH103),ISNUMBER(AH43)),AH103-AH43,"")</f>
      </c>
      <c r="AL103" s="560">
        <f>IFERROR(LN(INDEX(Data!$B$2:$B$497,MATCH(N103,Data!$A$2:$A$497,1))/INDEX(Data!$B$2:$B$497,MATCH(N91,Data!$A$2:$A$497,1))),"")</f>
      </c>
      <c r="AM103" s="560">
        <f>IFERROR(LN(INDEX(Data!$C$2:$C$497,MATCH(N103,Data!$A$2:$A$497,1))/INDEX(Data!$C$2:$C$497,MATCH(N91,Data!$A$2:$A$497,1))),"")</f>
      </c>
      <c r="AN103" s="560">
        <f>IFERROR(LN(INDEX(Data!$D$2:$D$497,MATCH(N103,Data!$A$2:$A$497,1))/INDEX(Data!$D$2:$D$497,MATCH(N91,Data!$A$2:$A$497,1))),"")</f>
      </c>
      <c r="AO103" s="560">
        <f>IFERROR(LN(INDEX(Data!$E$2:$E$497,MATCH(N103,Data!$A$2:$A$497,1))/INDEX(Data!$E$2:$E$497,MATCH(N91,Data!$A$2:$A$497,1))),"")</f>
      </c>
      <c r="AP103" s="560">
        <f>IFERROR(LN(INDEX(Data!$F$2:$F$497,MATCH(N103,Data!$A$2:$A$497,1))/INDEX(Data!$F$2:$F$497,MATCH(N91,Data!$A$2:$A$497,1))),"")</f>
      </c>
      <c r="AQ103" s="560">
        <f>IFERROR(LN(INDEX(Data!$G$2:$G$497,MATCH(N103,Data!$A$2:$A$497,1))/INDEX(Data!$G$2:$G$497,MATCH(N91,Data!$A$2:$A$497,1))),"")</f>
      </c>
      <c r="AR103" s="560">
        <f>IFERROR(LN(INDEX(Data!$H$2:$H$497,MATCH(N103,Data!$A$2:$A$497,1))/INDEX(Data!$H$2:$H$497,MATCH(N91,Data!$A$2:$A$497,1))),"")</f>
      </c>
      <c r="AS103" s="560">
        <f>IFERROR(LN(INDEX(Data!$I$2:$I$497,MATCH(N103,Data!$A$2:$A$497,1))/INDEX(Data!$I$2:$I$497,MATCH(N91,Data!$A$2:$A$497,1))),"")</f>
      </c>
      <c r="AT103" s="560">
        <f>IFERROR(LN(INDEX(Data!$J$2:$J$497,MATCH(N103,Data!$A$2:$A$497,1))/INDEX(Data!$J$2:$J$497,MATCH(N91,Data!$A$2:$A$497,1))),"")</f>
      </c>
      <c r="AU103" s="560">
        <f>IFERROR(LN(INDEX(Data!$K$2:$K$497,MATCH(N103,Data!$A$2:$A$497,1))/INDEX(Data!$K$2:$K$497,MATCH(N91,Data!$A$2:$A$497,1))),"")</f>
      </c>
      <c r="AV103" s="561">
        <f>IFERROR(LN(INDEX(Data!$L$2:$L$497,MATCH(N103,Data!$A$2:$A$497,1))/INDEX(Data!$L$2:$L$497,MATCH(N91,Data!$A$2:$A$497,1))),"")</f>
      </c>
    </row>
    <row r="104">
      <c r="N104" s="337" t="n">
        <v>27880</v>
      </c>
      <c r="O104" s="116">
        <f>INDEX('Additional data'!$B$2:$B$965,MATCH(DATE(YEAR(N104),MONTH(N104),1),'Additional data'!$A$2:$A$965,0))</f>
        <v>12.17</v>
      </c>
      <c r="P104" s="489">
        <f>LN(O104)</f>
        <v>2.49897390699944</v>
      </c>
      <c r="Q104" s="489">
        <f>Q103+LN(1+INDEX('Additional data'!$H$2:$H$1196,MATCH(N104,'Additional data'!$G$2:$G$1196,1))+INDEX('Additional data'!$I$2:$I$1196,MATCH(N104,'Additional data'!$G$2:$G$1196,1)))</f>
        <v>0.248692005135526</v>
      </c>
      <c r="R104" s="77" t="n"/>
      <c r="S104" s="116">
        <f>IF(INDEX('Additional data'!$E$2:$E$699,MATCH(DATE(YEAR(N104),MONTH(N104),1),'Additional data'!$D$2:$D$699,0))=0,(INDEX('Additional data'!$E$2:$E$699,MATCH(DATE(YEAR(N104),MONTH(N104),1),'Additional data'!$D$2:$D$699,0)-1)+INDEX('Additional data'!$E$2:$E$699,MATCH(DATE(YEAR(N104),MONTH(N104),1),'Additional data'!$D$2:$D$699,0)+1))/2,INDEX('Additional data'!$E$2:$E$699,MATCH(DATE(YEAR(N104),MONTH(N104),1),'Additional data'!$D$2:$D$699,0)))</f>
        <v>9.61</v>
      </c>
      <c r="T104" s="425">
        <f>P104-P103</f>
        <v>0.00576845439674045</v>
      </c>
      <c r="U104" s="425">
        <f>Q104-Q103</f>
        <v>-0.0107576566529602</v>
      </c>
      <c r="V104" s="77" t="n"/>
      <c r="W104" s="116">
        <f>S104-S103</f>
        <v>1.21</v>
      </c>
      <c r="X104" s="425">
        <f>P104-P92</f>
        <v>0.0866379500462711</v>
      </c>
      <c r="Y104" s="425">
        <f>Q104-Q92</f>
        <v>0.198692238603714</v>
      </c>
      <c r="Z104" s="77" t="n"/>
      <c r="AA104" s="116">
        <f>S104-S92</f>
        <v>-0.190000000000001</v>
      </c>
      <c r="AB104" s="425">
        <f>P104-P44</f>
        <v>1.2292133621355</v>
      </c>
      <c r="AC104" s="425">
        <f>Q104-Q44</f>
        <v>0.0865852716045898</v>
      </c>
      <c r="AD104" s="77" t="n"/>
      <c r="AE104" s="235">
        <f>S104-S44</f>
        <v>1.81</v>
      </c>
      <c r="AG104" s="554">
        <f>N104</f>
        <v>27880.0</v>
      </c>
      <c r="AH104" s="435">
        <f>IFERROR(INDEX('RBA 5Y yield'!$B$5:$B$661,MATCH(N104,'RBA 5Y yield'!$A$5:$A$661,1))*100,"")</f>
        <v>9.42</v>
      </c>
      <c r="AI104" s="435">
        <f>IF(AND(ISNUMBER(AH104),ISNUMBER(AH103)),AH104-AH103,"")</f>
        <v>-0.00999999999999979</v>
      </c>
      <c r="AJ104" s="435">
        <f>IF(AND(ISNUMBER(AH104),ISNUMBER(AH92)),AH104-AH92,"")</f>
        <v>0.389999999999999</v>
      </c>
      <c r="AK104" s="435">
        <f>IF(AND(ISNUMBER(AH104),ISNUMBER(AH44)),AH104-AH44,"")</f>
      </c>
      <c r="AL104" s="560">
        <f>IFERROR(LN(INDEX(Data!$B$2:$B$497,MATCH(N104,Data!$A$2:$A$497,1))/INDEX(Data!$B$2:$B$497,MATCH(N92,Data!$A$2:$A$497,1))),"")</f>
      </c>
      <c r="AM104" s="560">
        <f>IFERROR(LN(INDEX(Data!$C$2:$C$497,MATCH(N104,Data!$A$2:$A$497,1))/INDEX(Data!$C$2:$C$497,MATCH(N92,Data!$A$2:$A$497,1))),"")</f>
      </c>
      <c r="AN104" s="560">
        <f>IFERROR(LN(INDEX(Data!$D$2:$D$497,MATCH(N104,Data!$A$2:$A$497,1))/INDEX(Data!$D$2:$D$497,MATCH(N92,Data!$A$2:$A$497,1))),"")</f>
      </c>
      <c r="AO104" s="560">
        <f>IFERROR(LN(INDEX(Data!$E$2:$E$497,MATCH(N104,Data!$A$2:$A$497,1))/INDEX(Data!$E$2:$E$497,MATCH(N92,Data!$A$2:$A$497,1))),"")</f>
      </c>
      <c r="AP104" s="560">
        <f>IFERROR(LN(INDEX(Data!$F$2:$F$497,MATCH(N104,Data!$A$2:$A$497,1))/INDEX(Data!$F$2:$F$497,MATCH(N92,Data!$A$2:$A$497,1))),"")</f>
      </c>
      <c r="AQ104" s="560">
        <f>IFERROR(LN(INDEX(Data!$G$2:$G$497,MATCH(N104,Data!$A$2:$A$497,1))/INDEX(Data!$G$2:$G$497,MATCH(N92,Data!$A$2:$A$497,1))),"")</f>
      </c>
      <c r="AR104" s="560">
        <f>IFERROR(LN(INDEX(Data!$H$2:$H$497,MATCH(N104,Data!$A$2:$A$497,1))/INDEX(Data!$H$2:$H$497,MATCH(N92,Data!$A$2:$A$497,1))),"")</f>
      </c>
      <c r="AS104" s="560">
        <f>IFERROR(LN(INDEX(Data!$I$2:$I$497,MATCH(N104,Data!$A$2:$A$497,1))/INDEX(Data!$I$2:$I$497,MATCH(N92,Data!$A$2:$A$497,1))),"")</f>
      </c>
      <c r="AT104" s="560">
        <f>IFERROR(LN(INDEX(Data!$J$2:$J$497,MATCH(N104,Data!$A$2:$A$497,1))/INDEX(Data!$J$2:$J$497,MATCH(N92,Data!$A$2:$A$497,1))),"")</f>
      </c>
      <c r="AU104" s="560">
        <f>IFERROR(LN(INDEX(Data!$K$2:$K$497,MATCH(N104,Data!$A$2:$A$497,1))/INDEX(Data!$K$2:$K$497,MATCH(N92,Data!$A$2:$A$497,1))),"")</f>
      </c>
      <c r="AV104" s="561">
        <f>IFERROR(LN(INDEX(Data!$L$2:$L$497,MATCH(N104,Data!$A$2:$A$497,1))/INDEX(Data!$L$2:$L$497,MATCH(N92,Data!$A$2:$A$497,1))),"")</f>
      </c>
    </row>
    <row r="105">
      <c r="A105" s="531" t="inlineStr">
        <is>
          <t>8. Asset-class sensitivity to oil (12-month log return on 12-month log oil change, all available months)</t>
        </is>
      </c>
      <c r="B105" s="532" t="n"/>
      <c r="C105" s="532" t="n"/>
      <c r="D105" s="532" t="n"/>
      <c r="E105" s="532" t="n"/>
      <c r="F105" s="533" t="n"/>
      <c r="N105" s="337" t="n">
        <v>27911</v>
      </c>
      <c r="O105" s="116">
        <f>INDEX('Additional data'!$B$2:$B$965,MATCH(DATE(YEAR(N105),MONTH(N105),1),'Additional data'!$A$2:$A$965,0))</f>
        <v>12.17</v>
      </c>
      <c r="P105" s="489">
        <f>LN(O105)</f>
        <v>2.49897390699944</v>
      </c>
      <c r="Q105" s="489">
        <f>Q104+LN(1+INDEX('Additional data'!$H$2:$H$1196,MATCH(N105,'Additional data'!$G$2:$G$1196,1))+INDEX('Additional data'!$I$2:$I$1196,MATCH(N105,'Additional data'!$G$2:$G$1196,1)))</f>
        <v>0.238944653680646</v>
      </c>
      <c r="R105" s="77" t="n"/>
      <c r="S105" s="116">
        <f>IF(INDEX('Additional data'!$E$2:$E$699,MATCH(DATE(YEAR(N105),MONTH(N105),1),'Additional data'!$D$2:$D$699,0))=0,(INDEX('Additional data'!$E$2:$E$699,MATCH(DATE(YEAR(N105),MONTH(N105),1),'Additional data'!$D$2:$D$699,0)-1)+INDEX('Additional data'!$E$2:$E$699,MATCH(DATE(YEAR(N105),MONTH(N105),1),'Additional data'!$D$2:$D$699,0)+1))/2,INDEX('Additional data'!$E$2:$E$699,MATCH(DATE(YEAR(N105),MONTH(N105),1),'Additional data'!$D$2:$D$699,0)))</f>
        <v>10.24</v>
      </c>
      <c r="T105" s="425">
        <f>P105-P104</f>
        <v>0</v>
      </c>
      <c r="U105" s="425">
        <f>Q105-Q104</f>
        <v>-0.00974735145487995</v>
      </c>
      <c r="V105" s="77" t="n"/>
      <c r="W105" s="116">
        <f>S105-S104</f>
        <v>0.630000000000001</v>
      </c>
      <c r="X105" s="425">
        <f>P105-P93</f>
        <v>0.0866379500462711</v>
      </c>
      <c r="Y105" s="425">
        <f>Q105-Q93</f>
        <v>0.134077985707994</v>
      </c>
      <c r="Z105" s="77" t="n"/>
      <c r="AA105" s="116">
        <f>S105-S93</f>
        <v>1.34</v>
      </c>
      <c r="AB105" s="425">
        <f>P105-P45</f>
        <v>1.2292133621355</v>
      </c>
      <c r="AC105" s="425">
        <f>Q105-Q45</f>
        <v>0.114539787333721</v>
      </c>
      <c r="AD105" s="77" t="n"/>
      <c r="AE105" s="235">
        <f>S105-S45</f>
        <v>2.44</v>
      </c>
      <c r="AG105" s="554">
        <f>N105</f>
        <v>27911.0</v>
      </c>
      <c r="AH105" s="435">
        <f>IFERROR(INDEX('RBA 5Y yield'!$B$5:$B$661,MATCH(N105,'RBA 5Y yield'!$A$5:$A$661,1))*100,"")</f>
        <v>9.42</v>
      </c>
      <c r="AI105" s="435">
        <f>IF(AND(ISNUMBER(AH105),ISNUMBER(AH104)),AH105-AH104,"")</f>
        <v>0</v>
      </c>
      <c r="AJ105" s="435">
        <f>IF(AND(ISNUMBER(AH105),ISNUMBER(AH93)),AH105-AH93,"")</f>
        <v>0.4</v>
      </c>
      <c r="AK105" s="435">
        <f>IF(AND(ISNUMBER(AH105),ISNUMBER(AH45)),AH105-AH45,"")</f>
      </c>
      <c r="AL105" s="560">
        <f>IFERROR(LN(INDEX(Data!$B$2:$B$497,MATCH(N105,Data!$A$2:$A$497,1))/INDEX(Data!$B$2:$B$497,MATCH(N93,Data!$A$2:$A$497,1))),"")</f>
      </c>
      <c r="AM105" s="560">
        <f>IFERROR(LN(INDEX(Data!$C$2:$C$497,MATCH(N105,Data!$A$2:$A$497,1))/INDEX(Data!$C$2:$C$497,MATCH(N93,Data!$A$2:$A$497,1))),"")</f>
      </c>
      <c r="AN105" s="560">
        <f>IFERROR(LN(INDEX(Data!$D$2:$D$497,MATCH(N105,Data!$A$2:$A$497,1))/INDEX(Data!$D$2:$D$497,MATCH(N93,Data!$A$2:$A$497,1))),"")</f>
      </c>
      <c r="AO105" s="560">
        <f>IFERROR(LN(INDEX(Data!$E$2:$E$497,MATCH(N105,Data!$A$2:$A$497,1))/INDEX(Data!$E$2:$E$497,MATCH(N93,Data!$A$2:$A$497,1))),"")</f>
      </c>
      <c r="AP105" s="560">
        <f>IFERROR(LN(INDEX(Data!$F$2:$F$497,MATCH(N105,Data!$A$2:$A$497,1))/INDEX(Data!$F$2:$F$497,MATCH(N93,Data!$A$2:$A$497,1))),"")</f>
      </c>
      <c r="AQ105" s="560">
        <f>IFERROR(LN(INDEX(Data!$G$2:$G$497,MATCH(N105,Data!$A$2:$A$497,1))/INDEX(Data!$G$2:$G$497,MATCH(N93,Data!$A$2:$A$497,1))),"")</f>
      </c>
      <c r="AR105" s="560">
        <f>IFERROR(LN(INDEX(Data!$H$2:$H$497,MATCH(N105,Data!$A$2:$A$497,1))/INDEX(Data!$H$2:$H$497,MATCH(N93,Data!$A$2:$A$497,1))),"")</f>
      </c>
      <c r="AS105" s="560">
        <f>IFERROR(LN(INDEX(Data!$I$2:$I$497,MATCH(N105,Data!$A$2:$A$497,1))/INDEX(Data!$I$2:$I$497,MATCH(N93,Data!$A$2:$A$497,1))),"")</f>
      </c>
      <c r="AT105" s="560">
        <f>IFERROR(LN(INDEX(Data!$J$2:$J$497,MATCH(N105,Data!$A$2:$A$497,1))/INDEX(Data!$J$2:$J$497,MATCH(N93,Data!$A$2:$A$497,1))),"")</f>
      </c>
      <c r="AU105" s="560">
        <f>IFERROR(LN(INDEX(Data!$K$2:$K$497,MATCH(N105,Data!$A$2:$A$497,1))/INDEX(Data!$K$2:$K$497,MATCH(N93,Data!$A$2:$A$497,1))),"")</f>
      </c>
      <c r="AV105" s="561">
        <f>IFERROR(LN(INDEX(Data!$L$2:$L$497,MATCH(N105,Data!$A$2:$A$497,1))/INDEX(Data!$L$2:$L$497,MATCH(N93,Data!$A$2:$A$497,1))),"")</f>
      </c>
    </row>
    <row r="106" ht="40" customHeight="1">
      <c r="A106" s="534" t="inlineStr">
        <is>
          <t>Asset class</t>
        </is>
      </c>
      <c r="B106" s="535" t="inlineStr">
        <is>
          <t>Beta: 12 months</t>
        </is>
      </c>
      <c r="C106" s="535" t="inlineStr">
        <is>
          <t>t-stat (adj.)</t>
        </is>
      </c>
      <c r="D106" s="535" t="inlineStr">
        <is>
          <t>R-squared</t>
        </is>
      </c>
      <c r="E106" s="535" t="inlineStr">
        <is>
          <t>Obs</t>
        </is>
      </c>
      <c r="F106" s="536" t="inlineStr">
        <is>
          <t>Response to scenario</t>
        </is>
      </c>
      <c r="N106" s="337" t="n">
        <v>27941</v>
      </c>
      <c r="O106" s="116">
        <f>INDEX('Additional data'!$B$2:$B$965,MATCH(DATE(YEAR(N106),MONTH(N106),1),'Additional data'!$A$2:$A$965,0))</f>
        <v>12.17</v>
      </c>
      <c r="P106" s="489">
        <f>LN(O106)</f>
        <v>2.49897390699944</v>
      </c>
      <c r="Q106" s="489">
        <f>Q105+LN(1+INDEX('Additional data'!$H$2:$H$1196,MATCH(N106,'Additional data'!$G$2:$G$1196,1))+INDEX('Additional data'!$I$2:$I$1196,MATCH(N106,'Additional data'!$G$2:$G$1196,1)))</f>
        <v>0.282865840738574</v>
      </c>
      <c r="R106" s="77" t="n"/>
      <c r="S106" s="116">
        <f>IF(INDEX('Additional data'!$E$2:$E$699,MATCH(DATE(YEAR(N106),MONTH(N106),1),'Additional data'!$D$2:$D$699,0))=0,(INDEX('Additional data'!$E$2:$E$699,MATCH(DATE(YEAR(N106),MONTH(N106),1),'Additional data'!$D$2:$D$699,0)-1)+INDEX('Additional data'!$E$2:$E$699,MATCH(DATE(YEAR(N106),MONTH(N106),1),'Additional data'!$D$2:$D$699,0)+1))/2,INDEX('Additional data'!$E$2:$E$699,MATCH(DATE(YEAR(N106),MONTH(N106),1),'Additional data'!$D$2:$D$699,0)))</f>
        <v>10.27</v>
      </c>
      <c r="T106" s="425">
        <f>P106-P105</f>
        <v>0</v>
      </c>
      <c r="U106" s="425">
        <f>Q106-Q105</f>
        <v>0.0439211870579281</v>
      </c>
      <c r="V106" s="77" t="n"/>
      <c r="W106" s="116">
        <f>S106-S105</f>
        <v>0.0299999999999994</v>
      </c>
      <c r="X106" s="425">
        <f>P106-P94</f>
        <v>0.0866379500462711</v>
      </c>
      <c r="Y106" s="425">
        <f>Q106-Q94</f>
        <v>0.126545891177006</v>
      </c>
      <c r="Z106" s="77" t="n"/>
      <c r="AA106" s="116">
        <f>S106-S94</f>
        <v>1.47</v>
      </c>
      <c r="AB106" s="425">
        <f>P106-P46</f>
        <v>1.2292133621355</v>
      </c>
      <c r="AC106" s="425">
        <f>Q106-Q46</f>
        <v>0.155664887089648</v>
      </c>
      <c r="AD106" s="77" t="n"/>
      <c r="AE106" s="235">
        <f>S106-S46</f>
        <v>2.12</v>
      </c>
      <c r="AG106" s="554">
        <f>N106</f>
        <v>27941.0</v>
      </c>
      <c r="AH106" s="435">
        <f>IFERROR(INDEX('RBA 5Y yield'!$B$5:$B$661,MATCH(N106,'RBA 5Y yield'!$A$5:$A$661,1))*100,"")</f>
        <v>9.41</v>
      </c>
      <c r="AI106" s="435">
        <f>IF(AND(ISNUMBER(AH106),ISNUMBER(AH105)),AH106-AH105,"")</f>
        <v>-0.00999999999999979</v>
      </c>
      <c r="AJ106" s="435">
        <f>IF(AND(ISNUMBER(AH106),ISNUMBER(AH94)),AH106-AH94,"")</f>
        <v>0.379999999999999</v>
      </c>
      <c r="AK106" s="435">
        <f>IF(AND(ISNUMBER(AH106),ISNUMBER(AH46)),AH106-AH46,"")</f>
      </c>
      <c r="AL106" s="560">
        <f>IFERROR(LN(INDEX(Data!$B$2:$B$497,MATCH(N106,Data!$A$2:$A$497,1))/INDEX(Data!$B$2:$B$497,MATCH(N94,Data!$A$2:$A$497,1))),"")</f>
      </c>
      <c r="AM106" s="560">
        <f>IFERROR(LN(INDEX(Data!$C$2:$C$497,MATCH(N106,Data!$A$2:$A$497,1))/INDEX(Data!$C$2:$C$497,MATCH(N94,Data!$A$2:$A$497,1))),"")</f>
      </c>
      <c r="AN106" s="560">
        <f>IFERROR(LN(INDEX(Data!$D$2:$D$497,MATCH(N106,Data!$A$2:$A$497,1))/INDEX(Data!$D$2:$D$497,MATCH(N94,Data!$A$2:$A$497,1))),"")</f>
      </c>
      <c r="AO106" s="560">
        <f>IFERROR(LN(INDEX(Data!$E$2:$E$497,MATCH(N106,Data!$A$2:$A$497,1))/INDEX(Data!$E$2:$E$497,MATCH(N94,Data!$A$2:$A$497,1))),"")</f>
      </c>
      <c r="AP106" s="560">
        <f>IFERROR(LN(INDEX(Data!$F$2:$F$497,MATCH(N106,Data!$A$2:$A$497,1))/INDEX(Data!$F$2:$F$497,MATCH(N94,Data!$A$2:$A$497,1))),"")</f>
      </c>
      <c r="AQ106" s="560">
        <f>IFERROR(LN(INDEX(Data!$G$2:$G$497,MATCH(N106,Data!$A$2:$A$497,1))/INDEX(Data!$G$2:$G$497,MATCH(N94,Data!$A$2:$A$497,1))),"")</f>
      </c>
      <c r="AR106" s="560">
        <f>IFERROR(LN(INDEX(Data!$H$2:$H$497,MATCH(N106,Data!$A$2:$A$497,1))/INDEX(Data!$H$2:$H$497,MATCH(N94,Data!$A$2:$A$497,1))),"")</f>
      </c>
      <c r="AS106" s="560">
        <f>IFERROR(LN(INDEX(Data!$I$2:$I$497,MATCH(N106,Data!$A$2:$A$497,1))/INDEX(Data!$I$2:$I$497,MATCH(N94,Data!$A$2:$A$497,1))),"")</f>
      </c>
      <c r="AT106" s="560">
        <f>IFERROR(LN(INDEX(Data!$J$2:$J$497,MATCH(N106,Data!$A$2:$A$497,1))/INDEX(Data!$J$2:$J$497,MATCH(N94,Data!$A$2:$A$497,1))),"")</f>
      </c>
      <c r="AU106" s="560">
        <f>IFERROR(LN(INDEX(Data!$K$2:$K$497,MATCH(N106,Data!$A$2:$A$497,1))/INDEX(Data!$K$2:$K$497,MATCH(N94,Data!$A$2:$A$497,1))),"")</f>
      </c>
      <c r="AV106" s="561">
        <f>IFERROR(LN(INDEX(Data!$L$2:$L$497,MATCH(N106,Data!$A$2:$A$497,1))/INDEX(Data!$L$2:$L$497,MATCH(N94,Data!$A$2:$A$497,1))),"")</f>
      </c>
    </row>
    <row r="107">
      <c r="A107" s="537" t="inlineStr">
        <is>
          <t>Australian Equities</t>
        </is>
      </c>
      <c r="B107" s="560">
        <f>SLOPE($AL$5:$AL$701,$X$5:$X$701)</f>
        <v>0.10082179247599</v>
      </c>
      <c r="C107" s="435">
        <f>CORREL($AL$5:$AL$701,$X$5:$X$701)*SQRT((E107-2)/(1-D107))/SQRT(12)</f>
        <v>1.47582380834466</v>
      </c>
      <c r="D107" s="560">
        <f>RSQ($AL$5:$AL$701,$X$5:$X$701)</f>
        <v>0.0516395520399347</v>
      </c>
      <c r="E107" s="564">
        <f>COUNT($AL$5:$AL$701)</f>
        <v>482</v>
      </c>
      <c r="F107" s="538">
        <f>EXP(B107*$B$7)-1</f>
        <v>0.0455737621808003</v>
      </c>
      <c r="N107" s="337" t="n">
        <v>27972</v>
      </c>
      <c r="O107" s="116">
        <f>INDEX('Additional data'!$B$2:$B$965,MATCH(DATE(YEAR(N107),MONTH(N107),1),'Additional data'!$A$2:$A$965,0))</f>
        <v>12.17</v>
      </c>
      <c r="P107" s="489">
        <f>LN(O107)</f>
        <v>2.49897390699944</v>
      </c>
      <c r="Q107" s="489">
        <f>Q106+LN(1+INDEX('Additional data'!$H$2:$H$1196,MATCH(N107,'Additional data'!$G$2:$G$1196,1))+INDEX('Additional data'!$I$2:$I$1196,MATCH(N107,'Additional data'!$G$2:$G$1196,1)))</f>
        <v>0.276948366974536</v>
      </c>
      <c r="R107" s="77" t="n"/>
      <c r="S107" s="116">
        <f>IF(INDEX('Additional data'!$E$2:$E$699,MATCH(DATE(YEAR(N107),MONTH(N107),1),'Additional data'!$D$2:$D$699,0))=0,(INDEX('Additional data'!$E$2:$E$699,MATCH(DATE(YEAR(N107),MONTH(N107),1),'Additional data'!$D$2:$D$699,0)-1)+INDEX('Additional data'!$E$2:$E$699,MATCH(DATE(YEAR(N107),MONTH(N107),1),'Additional data'!$D$2:$D$699,0)+1))/2,INDEX('Additional data'!$E$2:$E$699,MATCH(DATE(YEAR(N107),MONTH(N107),1),'Additional data'!$D$2:$D$699,0)))</f>
        <v>9.67</v>
      </c>
      <c r="T107" s="425">
        <f>P107-P106</f>
        <v>0</v>
      </c>
      <c r="U107" s="425">
        <f>Q107-Q106</f>
        <v>-0.00591747376403762</v>
      </c>
      <c r="V107" s="77" t="n"/>
      <c r="W107" s="116">
        <f>S107-S106</f>
        <v>-0.6</v>
      </c>
      <c r="X107" s="425">
        <f>P107-P95</f>
        <v>0.0866379500462711</v>
      </c>
      <c r="Y107" s="425">
        <f>Q107-Q95</f>
        <v>0.183781232418237</v>
      </c>
      <c r="Z107" s="77" t="n"/>
      <c r="AA107" s="116">
        <f>S107-S95</f>
        <v>1.52</v>
      </c>
      <c r="AB107" s="425">
        <f>P107-P47</f>
        <v>1.2292133621355</v>
      </c>
      <c r="AC107" s="425">
        <f>Q107-Q47</f>
        <v>0.191507347573842</v>
      </c>
      <c r="AD107" s="77" t="n"/>
      <c r="AE107" s="235">
        <f>S107-S47</f>
        <v>2.87</v>
      </c>
      <c r="AG107" s="554">
        <f>N107</f>
        <v>27972.0</v>
      </c>
      <c r="AH107" s="435">
        <f>IFERROR(INDEX('RBA 5Y yield'!$B$5:$B$661,MATCH(N107,'RBA 5Y yield'!$A$5:$A$661,1))*100,"")</f>
        <v>9.42</v>
      </c>
      <c r="AI107" s="435">
        <f>IF(AND(ISNUMBER(AH107),ISNUMBER(AH106)),AH107-AH106,"")</f>
        <v>0.00999999999999979</v>
      </c>
      <c r="AJ107" s="435">
        <f>IF(AND(ISNUMBER(AH107),ISNUMBER(AH95)),AH107-AH95,"")</f>
        <v>0.0199999999999996</v>
      </c>
      <c r="AK107" s="435">
        <f>IF(AND(ISNUMBER(AH107),ISNUMBER(AH47)),AH107-AH47,"")</f>
      </c>
      <c r="AL107" s="560">
        <f>IFERROR(LN(INDEX(Data!$B$2:$B$497,MATCH(N107,Data!$A$2:$A$497,1))/INDEX(Data!$B$2:$B$497,MATCH(N95,Data!$A$2:$A$497,1))),"")</f>
      </c>
      <c r="AM107" s="560">
        <f>IFERROR(LN(INDEX(Data!$C$2:$C$497,MATCH(N107,Data!$A$2:$A$497,1))/INDEX(Data!$C$2:$C$497,MATCH(N95,Data!$A$2:$A$497,1))),"")</f>
      </c>
      <c r="AN107" s="560">
        <f>IFERROR(LN(INDEX(Data!$D$2:$D$497,MATCH(N107,Data!$A$2:$A$497,1))/INDEX(Data!$D$2:$D$497,MATCH(N95,Data!$A$2:$A$497,1))),"")</f>
      </c>
      <c r="AO107" s="560">
        <f>IFERROR(LN(INDEX(Data!$E$2:$E$497,MATCH(N107,Data!$A$2:$A$497,1))/INDEX(Data!$E$2:$E$497,MATCH(N95,Data!$A$2:$A$497,1))),"")</f>
      </c>
      <c r="AP107" s="560">
        <f>IFERROR(LN(INDEX(Data!$F$2:$F$497,MATCH(N107,Data!$A$2:$A$497,1))/INDEX(Data!$F$2:$F$497,MATCH(N95,Data!$A$2:$A$497,1))),"")</f>
      </c>
      <c r="AQ107" s="560">
        <f>IFERROR(LN(INDEX(Data!$G$2:$G$497,MATCH(N107,Data!$A$2:$A$497,1))/INDEX(Data!$G$2:$G$497,MATCH(N95,Data!$A$2:$A$497,1))),"")</f>
      </c>
      <c r="AR107" s="560">
        <f>IFERROR(LN(INDEX(Data!$H$2:$H$497,MATCH(N107,Data!$A$2:$A$497,1))/INDEX(Data!$H$2:$H$497,MATCH(N95,Data!$A$2:$A$497,1))),"")</f>
      </c>
      <c r="AS107" s="560">
        <f>IFERROR(LN(INDEX(Data!$I$2:$I$497,MATCH(N107,Data!$A$2:$A$497,1))/INDEX(Data!$I$2:$I$497,MATCH(N95,Data!$A$2:$A$497,1))),"")</f>
      </c>
      <c r="AT107" s="560">
        <f>IFERROR(LN(INDEX(Data!$J$2:$J$497,MATCH(N107,Data!$A$2:$A$497,1))/INDEX(Data!$J$2:$J$497,MATCH(N95,Data!$A$2:$A$497,1))),"")</f>
      </c>
      <c r="AU107" s="560">
        <f>IFERROR(LN(INDEX(Data!$K$2:$K$497,MATCH(N107,Data!$A$2:$A$497,1))/INDEX(Data!$K$2:$K$497,MATCH(N95,Data!$A$2:$A$497,1))),"")</f>
      </c>
      <c r="AV107" s="561">
        <f>IFERROR(LN(INDEX(Data!$L$2:$L$497,MATCH(N107,Data!$A$2:$A$497,1))/INDEX(Data!$L$2:$L$497,MATCH(N95,Data!$A$2:$A$497,1))),"")</f>
      </c>
    </row>
    <row r="108">
      <c r="A108" s="537" t="inlineStr">
        <is>
          <t>World Equities</t>
        </is>
      </c>
      <c r="B108" s="560">
        <f>SLOPE($AM$5:$AM$701,$X$5:$X$701)</f>
        <v>-0.058552153337148</v>
      </c>
      <c r="C108" s="435">
        <f>CORREL($AM$5:$AM$701,$X$5:$X$701)*SQRT((E108-2)/(1-D108))/SQRT(12)</f>
        <v>-0.745424434799804</v>
      </c>
      <c r="D108" s="560">
        <f>RSQ($AM$5:$AM$701,$X$5:$X$701)</f>
        <v>0.0137011115352021</v>
      </c>
      <c r="E108" s="564">
        <f>COUNT($AM$5:$AM$701)</f>
        <v>482</v>
      </c>
      <c r="F108" s="538">
        <f>EXP(B108*$B$7)-1</f>
        <v>-0.0255494807581089</v>
      </c>
      <c r="N108" s="337" t="n">
        <v>28003</v>
      </c>
      <c r="O108" s="116">
        <f>INDEX('Additional data'!$B$2:$B$965,MATCH(DATE(YEAR(N108),MONTH(N108),1),'Additional data'!$A$2:$A$965,0))</f>
        <v>12.17</v>
      </c>
      <c r="P108" s="489">
        <f>LN(O108)</f>
        <v>2.49897390699944</v>
      </c>
      <c r="Q108" s="489">
        <f>Q107+LN(1+INDEX('Additional data'!$H$2:$H$1196,MATCH(N108,'Additional data'!$G$2:$G$1196,1))+INDEX('Additional data'!$I$2:$I$1196,MATCH(N108,'Additional data'!$G$2:$G$1196,1)))</f>
        <v>0.275447240848269</v>
      </c>
      <c r="R108" s="77" t="n"/>
      <c r="S108" s="116">
        <f>IF(INDEX('Additional data'!$E$2:$E$699,MATCH(DATE(YEAR(N108),MONTH(N108),1),'Additional data'!$D$2:$D$699,0))=0,(INDEX('Additional data'!$E$2:$E$699,MATCH(DATE(YEAR(N108),MONTH(N108),1),'Additional data'!$D$2:$D$699,0)-1)+INDEX('Additional data'!$E$2:$E$699,MATCH(DATE(YEAR(N108),MONTH(N108),1),'Additional data'!$D$2:$D$699,0)+1))/2,INDEX('Additional data'!$E$2:$E$699,MATCH(DATE(YEAR(N108),MONTH(N108),1),'Additional data'!$D$2:$D$699,0)))</f>
        <v>9.36</v>
      </c>
      <c r="T108" s="425">
        <f>P108-P107</f>
        <v>0</v>
      </c>
      <c r="U108" s="425">
        <f>Q108-Q107</f>
        <v>-0.00150112612626718</v>
      </c>
      <c r="V108" s="77" t="n"/>
      <c r="W108" s="116">
        <f>S108-S107</f>
        <v>-0.310000000000001</v>
      </c>
      <c r="X108" s="425">
        <f>P108-P96</f>
        <v>0.0866379500462711</v>
      </c>
      <c r="Y108" s="425">
        <f>Q108-Q96</f>
        <v>0.206163046755302</v>
      </c>
      <c r="Z108" s="77" t="n"/>
      <c r="AA108" s="116">
        <f>S108-S96</f>
        <v>1.21</v>
      </c>
      <c r="AB108" s="425">
        <f>P108-P48</f>
        <v>1.2292133621355</v>
      </c>
      <c r="AC108" s="425">
        <f>Q108-Q48</f>
        <v>0.148288628095707</v>
      </c>
      <c r="AD108" s="77" t="n"/>
      <c r="AE108" s="235">
        <f>S108-S48</f>
        <v>2.66</v>
      </c>
      <c r="AG108" s="554">
        <f>N108</f>
        <v>28003.0</v>
      </c>
      <c r="AH108" s="435">
        <f>IFERROR(INDEX('RBA 5Y yield'!$B$5:$B$661,MATCH(N108,'RBA 5Y yield'!$A$5:$A$661,1))*100,"")</f>
        <v>9.41</v>
      </c>
      <c r="AI108" s="435">
        <f>IF(AND(ISNUMBER(AH108),ISNUMBER(AH107)),AH108-AH107,"")</f>
        <v>-0.00999999999999979</v>
      </c>
      <c r="AJ108" s="435">
        <f>IF(AND(ISNUMBER(AH108),ISNUMBER(AH96)),AH108-AH96,"")</f>
        <v>0</v>
      </c>
      <c r="AK108" s="435">
        <f>IF(AND(ISNUMBER(AH108),ISNUMBER(AH48)),AH108-AH48,"")</f>
      </c>
      <c r="AL108" s="560">
        <f>IFERROR(LN(INDEX(Data!$B$2:$B$497,MATCH(N108,Data!$A$2:$A$497,1))/INDEX(Data!$B$2:$B$497,MATCH(N96,Data!$A$2:$A$497,1))),"")</f>
      </c>
      <c r="AM108" s="560">
        <f>IFERROR(LN(INDEX(Data!$C$2:$C$497,MATCH(N108,Data!$A$2:$A$497,1))/INDEX(Data!$C$2:$C$497,MATCH(N96,Data!$A$2:$A$497,1))),"")</f>
      </c>
      <c r="AN108" s="560">
        <f>IFERROR(LN(INDEX(Data!$D$2:$D$497,MATCH(N108,Data!$A$2:$A$497,1))/INDEX(Data!$D$2:$D$497,MATCH(N96,Data!$A$2:$A$497,1))),"")</f>
      </c>
      <c r="AO108" s="560">
        <f>IFERROR(LN(INDEX(Data!$E$2:$E$497,MATCH(N108,Data!$A$2:$A$497,1))/INDEX(Data!$E$2:$E$497,MATCH(N96,Data!$A$2:$A$497,1))),"")</f>
      </c>
      <c r="AP108" s="560">
        <f>IFERROR(LN(INDEX(Data!$F$2:$F$497,MATCH(N108,Data!$A$2:$A$497,1))/INDEX(Data!$F$2:$F$497,MATCH(N96,Data!$A$2:$A$497,1))),"")</f>
      </c>
      <c r="AQ108" s="560">
        <f>IFERROR(LN(INDEX(Data!$G$2:$G$497,MATCH(N108,Data!$A$2:$A$497,1))/INDEX(Data!$G$2:$G$497,MATCH(N96,Data!$A$2:$A$497,1))),"")</f>
      </c>
      <c r="AR108" s="560">
        <f>IFERROR(LN(INDEX(Data!$H$2:$H$497,MATCH(N108,Data!$A$2:$A$497,1))/INDEX(Data!$H$2:$H$497,MATCH(N96,Data!$A$2:$A$497,1))),"")</f>
      </c>
      <c r="AS108" s="560">
        <f>IFERROR(LN(INDEX(Data!$I$2:$I$497,MATCH(N108,Data!$A$2:$A$497,1))/INDEX(Data!$I$2:$I$497,MATCH(N96,Data!$A$2:$A$497,1))),"")</f>
      </c>
      <c r="AT108" s="560">
        <f>IFERROR(LN(INDEX(Data!$J$2:$J$497,MATCH(N108,Data!$A$2:$A$497,1))/INDEX(Data!$J$2:$J$497,MATCH(N96,Data!$A$2:$A$497,1))),"")</f>
      </c>
      <c r="AU108" s="560">
        <f>IFERROR(LN(INDEX(Data!$K$2:$K$497,MATCH(N108,Data!$A$2:$A$497,1))/INDEX(Data!$K$2:$K$497,MATCH(N96,Data!$A$2:$A$497,1))),"")</f>
      </c>
      <c r="AV108" s="561">
        <f>IFERROR(LN(INDEX(Data!$L$2:$L$497,MATCH(N108,Data!$A$2:$A$497,1))/INDEX(Data!$L$2:$L$497,MATCH(N96,Data!$A$2:$A$497,1))),"")</f>
      </c>
    </row>
    <row r="109">
      <c r="A109" s="537" t="inlineStr">
        <is>
          <t>Emerging Markets</t>
        </is>
      </c>
      <c r="B109" s="560">
        <f>SLOPE($AN$5:$AN$701,$X$5:$X$701)</f>
        <v>0.0637595016965948</v>
      </c>
      <c r="C109" s="435">
        <f>CORREL($AN$5:$AN$701,$X$5:$X$701)*SQRT((E109-2)/(1-D109))/SQRT(12)</f>
        <v>0.415790278795204</v>
      </c>
      <c r="D109" s="560">
        <f>RSQ($AN$5:$AN$701,$X$5:$X$701)</f>
        <v>0.00465074400219493</v>
      </c>
      <c r="E109" s="564">
        <f>COUNT($AN$5:$AN$701)</f>
        <v>446</v>
      </c>
      <c r="F109" s="538">
        <f>EXP(B109*$B$7)-1</f>
        <v>0.0285842240201533</v>
      </c>
      <c r="N109" s="337" t="n">
        <v>28033</v>
      </c>
      <c r="O109" s="116">
        <f>INDEX('Additional data'!$B$2:$B$965,MATCH(DATE(YEAR(N109),MONTH(N109),1),'Additional data'!$A$2:$A$965,0))</f>
        <v>13.9</v>
      </c>
      <c r="P109" s="489">
        <f>LN(O109)</f>
        <v>2.63188884013665</v>
      </c>
      <c r="Q109" s="489">
        <f>Q108+LN(1+INDEX('Additional data'!$H$2:$H$1196,MATCH(N109,'Additional data'!$G$2:$G$1196,1))+INDEX('Additional data'!$I$2:$I$1196,MATCH(N109,'Additional data'!$G$2:$G$1196,1)))</f>
        <v>0.300139853438641</v>
      </c>
      <c r="R109" s="77" t="n"/>
      <c r="S109" s="116">
        <f>IF(INDEX('Additional data'!$E$2:$E$699,MATCH(DATE(YEAR(N109),MONTH(N109),1),'Additional data'!$D$2:$D$699,0))=0,(INDEX('Additional data'!$E$2:$E$699,MATCH(DATE(YEAR(N109),MONTH(N109),1),'Additional data'!$D$2:$D$699,0)-1)+INDEX('Additional data'!$E$2:$E$699,MATCH(DATE(YEAR(N109),MONTH(N109),1),'Additional data'!$D$2:$D$699,0)+1))/2,INDEX('Additional data'!$E$2:$E$699,MATCH(DATE(YEAR(N109),MONTH(N109),1),'Additional data'!$D$2:$D$699,0)))</f>
        <v>9.31</v>
      </c>
      <c r="T109" s="425">
        <f>P109-P108</f>
        <v>0.13291493313721</v>
      </c>
      <c r="U109" s="425">
        <f>Q109-Q108</f>
        <v>0.0246926125903714</v>
      </c>
      <c r="V109" s="77" t="n"/>
      <c r="W109" s="116">
        <f>S109-S108</f>
        <v>-0.0499999999999989</v>
      </c>
      <c r="X109" s="425">
        <f>P109-P97</f>
        <v>0.219552883183481</v>
      </c>
      <c r="Y109" s="425">
        <f>Q109-Q97</f>
        <v>0.26886910154389</v>
      </c>
      <c r="Z109" s="77" t="n"/>
      <c r="AA109" s="116">
        <f>S109-S97</f>
        <v>1.21</v>
      </c>
      <c r="AB109" s="425">
        <f>P109-P49</f>
        <v>1.36212829527271</v>
      </c>
      <c r="AC109" s="425">
        <f>Q109-Q49</f>
        <v>0.177893285047099</v>
      </c>
      <c r="AD109" s="77" t="n"/>
      <c r="AE109" s="235">
        <f>S109-S49</f>
        <v>2.86</v>
      </c>
      <c r="AG109" s="554">
        <f>N109</f>
        <v>28033.0</v>
      </c>
      <c r="AH109" s="435">
        <f>IFERROR(INDEX('RBA 5Y yield'!$B$5:$B$661,MATCH(N109,'RBA 5Y yield'!$A$5:$A$661,1))*100,"")</f>
        <v>9.41</v>
      </c>
      <c r="AI109" s="435">
        <f>IF(AND(ISNUMBER(AH109),ISNUMBER(AH108)),AH109-AH108,"")</f>
        <v>0</v>
      </c>
      <c r="AJ109" s="435">
        <f>IF(AND(ISNUMBER(AH109),ISNUMBER(AH97)),AH109-AH97,"")</f>
        <v>-0.0299999999999994</v>
      </c>
      <c r="AK109" s="435">
        <f>IF(AND(ISNUMBER(AH109),ISNUMBER(AH49)),AH109-AH49,"")</f>
      </c>
      <c r="AL109" s="560">
        <f>IFERROR(LN(INDEX(Data!$B$2:$B$497,MATCH(N109,Data!$A$2:$A$497,1))/INDEX(Data!$B$2:$B$497,MATCH(N97,Data!$A$2:$A$497,1))),"")</f>
      </c>
      <c r="AM109" s="560">
        <f>IFERROR(LN(INDEX(Data!$C$2:$C$497,MATCH(N109,Data!$A$2:$A$497,1))/INDEX(Data!$C$2:$C$497,MATCH(N97,Data!$A$2:$A$497,1))),"")</f>
      </c>
      <c r="AN109" s="560">
        <f>IFERROR(LN(INDEX(Data!$D$2:$D$497,MATCH(N109,Data!$A$2:$A$497,1))/INDEX(Data!$D$2:$D$497,MATCH(N97,Data!$A$2:$A$497,1))),"")</f>
      </c>
      <c r="AO109" s="560">
        <f>IFERROR(LN(INDEX(Data!$E$2:$E$497,MATCH(N109,Data!$A$2:$A$497,1))/INDEX(Data!$E$2:$E$497,MATCH(N97,Data!$A$2:$A$497,1))),"")</f>
      </c>
      <c r="AP109" s="560">
        <f>IFERROR(LN(INDEX(Data!$F$2:$F$497,MATCH(N109,Data!$A$2:$A$497,1))/INDEX(Data!$F$2:$F$497,MATCH(N97,Data!$A$2:$A$497,1))),"")</f>
      </c>
      <c r="AQ109" s="560">
        <f>IFERROR(LN(INDEX(Data!$G$2:$G$497,MATCH(N109,Data!$A$2:$A$497,1))/INDEX(Data!$G$2:$G$497,MATCH(N97,Data!$A$2:$A$497,1))),"")</f>
      </c>
      <c r="AR109" s="560">
        <f>IFERROR(LN(INDEX(Data!$H$2:$H$497,MATCH(N109,Data!$A$2:$A$497,1))/INDEX(Data!$H$2:$H$497,MATCH(N97,Data!$A$2:$A$497,1))),"")</f>
      </c>
      <c r="AS109" s="560">
        <f>IFERROR(LN(INDEX(Data!$I$2:$I$497,MATCH(N109,Data!$A$2:$A$497,1))/INDEX(Data!$I$2:$I$497,MATCH(N97,Data!$A$2:$A$497,1))),"")</f>
      </c>
      <c r="AT109" s="560">
        <f>IFERROR(LN(INDEX(Data!$J$2:$J$497,MATCH(N109,Data!$A$2:$A$497,1))/INDEX(Data!$J$2:$J$497,MATCH(N97,Data!$A$2:$A$497,1))),"")</f>
      </c>
      <c r="AU109" s="560">
        <f>IFERROR(LN(INDEX(Data!$K$2:$K$497,MATCH(N109,Data!$A$2:$A$497,1))/INDEX(Data!$K$2:$K$497,MATCH(N97,Data!$A$2:$A$497,1))),"")</f>
      </c>
      <c r="AV109" s="561">
        <f>IFERROR(LN(INDEX(Data!$L$2:$L$497,MATCH(N109,Data!$A$2:$A$497,1))/INDEX(Data!$L$2:$L$497,MATCH(N97,Data!$A$2:$A$497,1))),"")</f>
      </c>
    </row>
    <row r="110">
      <c r="A110" s="537" t="inlineStr">
        <is>
          <t>Listed Property</t>
        </is>
      </c>
      <c r="B110" s="560">
        <f>SLOPE($AO$5:$AO$701,$X$5:$X$701)</f>
        <v>-0.0246794010455272</v>
      </c>
      <c r="C110" s="435">
        <f>CORREL($AO$5:$AO$701,$X$5:$X$701)*SQRT((E110-2)/(1-D110))/SQRT(12)</f>
        <v>-0.280734038421929</v>
      </c>
      <c r="D110" s="560">
        <f>RSQ($AO$5:$AO$701,$X$5:$X$701)</f>
        <v>0.00222032788897413</v>
      </c>
      <c r="E110" s="564">
        <f>COUNT($AO$5:$AO$701)</f>
        <v>427</v>
      </c>
      <c r="F110" s="538">
        <f>EXP(B110*$B$7)-1</f>
        <v>-0.0108496347148499</v>
      </c>
      <c r="N110" s="337" t="n">
        <v>28064</v>
      </c>
      <c r="O110" s="116">
        <f>INDEX('Additional data'!$B$2:$B$965,MATCH(DATE(YEAR(N110),MONTH(N110),1),'Additional data'!$A$2:$A$965,0))</f>
        <v>13.9</v>
      </c>
      <c r="P110" s="489">
        <f>LN(O110)</f>
        <v>2.63188884013665</v>
      </c>
      <c r="Q110" s="489">
        <f>Q109+LN(1+INDEX('Additional data'!$H$2:$H$1196,MATCH(N110,'Additional data'!$G$2:$G$1196,1))+INDEX('Additional data'!$I$2:$I$1196,MATCH(N110,'Additional data'!$G$2:$G$1196,1)))</f>
        <v>0.279835100098276</v>
      </c>
      <c r="R110" s="77" t="n"/>
      <c r="S110" s="116">
        <f>IF(INDEX('Additional data'!$E$2:$E$699,MATCH(DATE(YEAR(N110),MONTH(N110),1),'Additional data'!$D$2:$D$699,0))=0,(INDEX('Additional data'!$E$2:$E$699,MATCH(DATE(YEAR(N110),MONTH(N110),1),'Additional data'!$D$2:$D$699,0)-1)+INDEX('Additional data'!$E$2:$E$699,MATCH(DATE(YEAR(N110),MONTH(N110),1),'Additional data'!$D$2:$D$699,0)+1))/2,INDEX('Additional data'!$E$2:$E$699,MATCH(DATE(YEAR(N110),MONTH(N110),1),'Additional data'!$D$2:$D$699,0)))</f>
        <v>9.06</v>
      </c>
      <c r="T110" s="425">
        <f>P110-P109</f>
        <v>0</v>
      </c>
      <c r="U110" s="425">
        <f>Q110-Q109</f>
        <v>-0.0203047533403643</v>
      </c>
      <c r="V110" s="77" t="n"/>
      <c r="W110" s="116">
        <f>S110-S109</f>
        <v>-0.25</v>
      </c>
      <c r="X110" s="425">
        <f>P110-P98</f>
        <v>0.219552883183481</v>
      </c>
      <c r="Y110" s="425">
        <f>Q110-Q98</f>
        <v>0.191428156832716</v>
      </c>
      <c r="Z110" s="77" t="n"/>
      <c r="AA110" s="116">
        <f>S110-S98</f>
        <v>1.11</v>
      </c>
      <c r="AB110" s="425">
        <f>P110-P50</f>
        <v>1.36212829527271</v>
      </c>
      <c r="AC110" s="425">
        <f>Q110-Q50</f>
        <v>0.198931495241117</v>
      </c>
      <c r="AD110" s="77" t="n"/>
      <c r="AE110" s="235">
        <f>S110-S50</f>
        <v>2.76</v>
      </c>
      <c r="AG110" s="554">
        <f>N110</f>
        <v>28064.0</v>
      </c>
      <c r="AH110" s="435">
        <f>IFERROR(INDEX('RBA 5Y yield'!$B$5:$B$661,MATCH(N110,'RBA 5Y yield'!$A$5:$A$661,1))*100,"")</f>
        <v>9.41</v>
      </c>
      <c r="AI110" s="435">
        <f>IF(AND(ISNUMBER(AH110),ISNUMBER(AH109)),AH110-AH109,"")</f>
        <v>0</v>
      </c>
      <c r="AJ110" s="435">
        <f>IF(AND(ISNUMBER(AH110),ISNUMBER(AH98)),AH110-AH98,"")</f>
        <v>0.00999999999999979</v>
      </c>
      <c r="AK110" s="435">
        <f>IF(AND(ISNUMBER(AH110),ISNUMBER(AH50)),AH110-AH50,"")</f>
      </c>
      <c r="AL110" s="560">
        <f>IFERROR(LN(INDEX(Data!$B$2:$B$497,MATCH(N110,Data!$A$2:$A$497,1))/INDEX(Data!$B$2:$B$497,MATCH(N98,Data!$A$2:$A$497,1))),"")</f>
      </c>
      <c r="AM110" s="560">
        <f>IFERROR(LN(INDEX(Data!$C$2:$C$497,MATCH(N110,Data!$A$2:$A$497,1))/INDEX(Data!$C$2:$C$497,MATCH(N98,Data!$A$2:$A$497,1))),"")</f>
      </c>
      <c r="AN110" s="560">
        <f>IFERROR(LN(INDEX(Data!$D$2:$D$497,MATCH(N110,Data!$A$2:$A$497,1))/INDEX(Data!$D$2:$D$497,MATCH(N98,Data!$A$2:$A$497,1))),"")</f>
      </c>
      <c r="AO110" s="560">
        <f>IFERROR(LN(INDEX(Data!$E$2:$E$497,MATCH(N110,Data!$A$2:$A$497,1))/INDEX(Data!$E$2:$E$497,MATCH(N98,Data!$A$2:$A$497,1))),"")</f>
      </c>
      <c r="AP110" s="560">
        <f>IFERROR(LN(INDEX(Data!$F$2:$F$497,MATCH(N110,Data!$A$2:$A$497,1))/INDEX(Data!$F$2:$F$497,MATCH(N98,Data!$A$2:$A$497,1))),"")</f>
      </c>
      <c r="AQ110" s="560">
        <f>IFERROR(LN(INDEX(Data!$G$2:$G$497,MATCH(N110,Data!$A$2:$A$497,1))/INDEX(Data!$G$2:$G$497,MATCH(N98,Data!$A$2:$A$497,1))),"")</f>
      </c>
      <c r="AR110" s="560">
        <f>IFERROR(LN(INDEX(Data!$H$2:$H$497,MATCH(N110,Data!$A$2:$A$497,1))/INDEX(Data!$H$2:$H$497,MATCH(N98,Data!$A$2:$A$497,1))),"")</f>
      </c>
      <c r="AS110" s="560">
        <f>IFERROR(LN(INDEX(Data!$I$2:$I$497,MATCH(N110,Data!$A$2:$A$497,1))/INDEX(Data!$I$2:$I$497,MATCH(N98,Data!$A$2:$A$497,1))),"")</f>
      </c>
      <c r="AT110" s="560">
        <f>IFERROR(LN(INDEX(Data!$J$2:$J$497,MATCH(N110,Data!$A$2:$A$497,1))/INDEX(Data!$J$2:$J$497,MATCH(N98,Data!$A$2:$A$497,1))),"")</f>
      </c>
      <c r="AU110" s="560">
        <f>IFERROR(LN(INDEX(Data!$K$2:$K$497,MATCH(N110,Data!$A$2:$A$497,1))/INDEX(Data!$K$2:$K$497,MATCH(N98,Data!$A$2:$A$497,1))),"")</f>
      </c>
      <c r="AV110" s="561">
        <f>IFERROR(LN(INDEX(Data!$L$2:$L$497,MATCH(N110,Data!$A$2:$A$497,1))/INDEX(Data!$L$2:$L$497,MATCH(N98,Data!$A$2:$A$497,1))),"")</f>
      </c>
    </row>
    <row r="111">
      <c r="A111" s="537" t="inlineStr">
        <is>
          <t>Commodities</t>
        </is>
      </c>
      <c r="B111" s="560">
        <f>SLOPE($AP$5:$AP$701,$X$5:$X$701)</f>
        <v>0.465502297462551</v>
      </c>
      <c r="C111" s="435">
        <f>CORREL($AP$5:$AP$701,$X$5:$X$701)*SQRT((E111-2)/(1-D111))/SQRT(12)</f>
        <v>5.91116935051746</v>
      </c>
      <c r="D111" s="560">
        <f>RSQ($AP$5:$AP$701,$X$5:$X$701)</f>
        <v>0.466253355258878</v>
      </c>
      <c r="E111" s="564">
        <f>COUNT($AP$5:$AP$701)</f>
        <v>482</v>
      </c>
      <c r="F111" s="538">
        <f>EXP(B111*$B$7)-1</f>
        <v>0.228463034044754</v>
      </c>
      <c r="N111" s="337" t="n">
        <v>28094</v>
      </c>
      <c r="O111" s="116">
        <f>INDEX('Additional data'!$B$2:$B$965,MATCH(DATE(YEAR(N111),MONTH(N111),1),'Additional data'!$A$2:$A$965,0))</f>
        <v>13.9</v>
      </c>
      <c r="P111" s="489">
        <f>LN(O111)</f>
        <v>2.63188884013665</v>
      </c>
      <c r="Q111" s="489">
        <f>Q110+LN(1+INDEX('Additional data'!$H$2:$H$1196,MATCH(N111,'Additional data'!$G$2:$G$1196,1))+INDEX('Additional data'!$I$2:$I$1196,MATCH(N111,'Additional data'!$G$2:$G$1196,1)))</f>
        <v>0.287406365594594</v>
      </c>
      <c r="R111" s="77" t="n"/>
      <c r="S111" s="116">
        <f>IF(INDEX('Additional data'!$E$2:$E$699,MATCH(DATE(YEAR(N111),MONTH(N111),1),'Additional data'!$D$2:$D$699,0))=0,(INDEX('Additional data'!$E$2:$E$699,MATCH(DATE(YEAR(N111),MONTH(N111),1),'Additional data'!$D$2:$D$699,0)-1)+INDEX('Additional data'!$E$2:$E$699,MATCH(DATE(YEAR(N111),MONTH(N111),1),'Additional data'!$D$2:$D$699,0)+1))/2,INDEX('Additional data'!$E$2:$E$699,MATCH(DATE(YEAR(N111),MONTH(N111),1),'Additional data'!$D$2:$D$699,0)))</f>
        <v>9.52</v>
      </c>
      <c r="T111" s="425">
        <f>P111-P110</f>
        <v>0</v>
      </c>
      <c r="U111" s="425">
        <f>Q111-Q110</f>
        <v>0.00757126549631815</v>
      </c>
      <c r="V111" s="77" t="n"/>
      <c r="W111" s="116">
        <f>S111-S110</f>
        <v>0.459999999999999</v>
      </c>
      <c r="X111" s="425">
        <f>P111-P99</f>
        <v>0.219552883183481</v>
      </c>
      <c r="Y111" s="425">
        <f>Q111-Q99</f>
        <v>0.168858265417048</v>
      </c>
      <c r="Z111" s="77" t="n"/>
      <c r="AA111" s="116">
        <f>S111-S99</f>
        <v>1.47</v>
      </c>
      <c r="AB111" s="425">
        <f>P111-P51</f>
        <v>1.36212829527271</v>
      </c>
      <c r="AC111" s="425">
        <f>Q111-Q51</f>
        <v>0.207403165980599</v>
      </c>
      <c r="AD111" s="77" t="n"/>
      <c r="AE111" s="235">
        <f>S111-S51</f>
        <v>3.52</v>
      </c>
      <c r="AG111" s="554">
        <f>N111</f>
        <v>28094.0</v>
      </c>
      <c r="AH111" s="435">
        <f>IFERROR(INDEX('RBA 5Y yield'!$B$5:$B$661,MATCH(N111,'RBA 5Y yield'!$A$5:$A$661,1))*100,"")</f>
        <v>9.74</v>
      </c>
      <c r="AI111" s="435">
        <f>IF(AND(ISNUMBER(AH111),ISNUMBER(AH110)),AH111-AH110,"")</f>
        <v>0.33</v>
      </c>
      <c r="AJ111" s="435">
        <f>IF(AND(ISNUMBER(AH111),ISNUMBER(AH99)),AH111-AH99,"")</f>
        <v>0.33</v>
      </c>
      <c r="AK111" s="435">
        <f>IF(AND(ISNUMBER(AH111),ISNUMBER(AH51)),AH111-AH51,"")</f>
      </c>
      <c r="AL111" s="560">
        <f>IFERROR(LN(INDEX(Data!$B$2:$B$497,MATCH(N111,Data!$A$2:$A$497,1))/INDEX(Data!$B$2:$B$497,MATCH(N99,Data!$A$2:$A$497,1))),"")</f>
      </c>
      <c r="AM111" s="560">
        <f>IFERROR(LN(INDEX(Data!$C$2:$C$497,MATCH(N111,Data!$A$2:$A$497,1))/INDEX(Data!$C$2:$C$497,MATCH(N99,Data!$A$2:$A$497,1))),"")</f>
      </c>
      <c r="AN111" s="560">
        <f>IFERROR(LN(INDEX(Data!$D$2:$D$497,MATCH(N111,Data!$A$2:$A$497,1))/INDEX(Data!$D$2:$D$497,MATCH(N99,Data!$A$2:$A$497,1))),"")</f>
      </c>
      <c r="AO111" s="560">
        <f>IFERROR(LN(INDEX(Data!$E$2:$E$497,MATCH(N111,Data!$A$2:$A$497,1))/INDEX(Data!$E$2:$E$497,MATCH(N99,Data!$A$2:$A$497,1))),"")</f>
      </c>
      <c r="AP111" s="560">
        <f>IFERROR(LN(INDEX(Data!$F$2:$F$497,MATCH(N111,Data!$A$2:$A$497,1))/INDEX(Data!$F$2:$F$497,MATCH(N99,Data!$A$2:$A$497,1))),"")</f>
      </c>
      <c r="AQ111" s="560">
        <f>IFERROR(LN(INDEX(Data!$G$2:$G$497,MATCH(N111,Data!$A$2:$A$497,1))/INDEX(Data!$G$2:$G$497,MATCH(N99,Data!$A$2:$A$497,1))),"")</f>
      </c>
      <c r="AR111" s="560">
        <f>IFERROR(LN(INDEX(Data!$H$2:$H$497,MATCH(N111,Data!$A$2:$A$497,1))/INDEX(Data!$H$2:$H$497,MATCH(N99,Data!$A$2:$A$497,1))),"")</f>
      </c>
      <c r="AS111" s="560">
        <f>IFERROR(LN(INDEX(Data!$I$2:$I$497,MATCH(N111,Data!$A$2:$A$497,1))/INDEX(Data!$I$2:$I$497,MATCH(N99,Data!$A$2:$A$497,1))),"")</f>
      </c>
      <c r="AT111" s="560">
        <f>IFERROR(LN(INDEX(Data!$J$2:$J$497,MATCH(N111,Data!$A$2:$A$497,1))/INDEX(Data!$J$2:$J$497,MATCH(N99,Data!$A$2:$A$497,1))),"")</f>
      </c>
      <c r="AU111" s="560">
        <f>IFERROR(LN(INDEX(Data!$K$2:$K$497,MATCH(N111,Data!$A$2:$A$497,1))/INDEX(Data!$K$2:$K$497,MATCH(N99,Data!$A$2:$A$497,1))),"")</f>
      </c>
      <c r="AV111" s="561">
        <f>IFERROR(LN(INDEX(Data!$L$2:$L$497,MATCH(N111,Data!$A$2:$A$497,1))/INDEX(Data!$L$2:$L$497,MATCH(N99,Data!$A$2:$A$497,1))),"")</f>
      </c>
    </row>
    <row r="112">
      <c r="A112" s="537" t="inlineStr">
        <is>
          <t>Direct Property</t>
        </is>
      </c>
      <c r="B112" s="560">
        <f>SLOPE($AQ$5:$AQ$701,$X$5:$X$701)</f>
        <v>0.0395687607845497</v>
      </c>
      <c r="C112" s="435">
        <f>CORREL($AQ$5:$AQ$701,$X$5:$X$701)*SQRT((E112-2)/(1-D112))/SQRT(12)</f>
        <v>1.27655638416324</v>
      </c>
      <c r="D112" s="560">
        <f>RSQ($AQ$5:$AQ$701,$X$5:$X$701)</f>
        <v>0.0391451359278783</v>
      </c>
      <c r="E112" s="564">
        <f>COUNT($AQ$5:$AQ$701)</f>
        <v>482</v>
      </c>
      <c r="F112" s="538">
        <f>EXP(B112*$B$7)-1</f>
        <v>0.0176442485119672</v>
      </c>
      <c r="N112" s="337" t="n">
        <v>28125</v>
      </c>
      <c r="O112" s="116">
        <f>INDEX('Additional data'!$B$2:$B$965,MATCH(DATE(YEAR(N112),MONTH(N112),1),'Additional data'!$A$2:$A$965,0))</f>
        <v>13.9</v>
      </c>
      <c r="P112" s="489">
        <f>LN(O112)</f>
        <v>2.63188884013665</v>
      </c>
      <c r="Q112" s="489">
        <f>Q111+LN(1+INDEX('Additional data'!$H$2:$H$1196,MATCH(N112,'Additional data'!$G$2:$G$1196,1))+INDEX('Additional data'!$I$2:$I$1196,MATCH(N112,'Additional data'!$G$2:$G$1196,1)))</f>
        <v>0.346146860617195</v>
      </c>
      <c r="R112" s="77" t="n"/>
      <c r="S112" s="116">
        <f>IF(INDEX('Additional data'!$E$2:$E$699,MATCH(DATE(YEAR(N112),MONTH(N112),1),'Additional data'!$D$2:$D$699,0))=0,(INDEX('Additional data'!$E$2:$E$699,MATCH(DATE(YEAR(N112),MONTH(N112),1),'Additional data'!$D$2:$D$699,0)-1)+INDEX('Additional data'!$E$2:$E$699,MATCH(DATE(YEAR(N112),MONTH(N112),1),'Additional data'!$D$2:$D$699,0)+1))/2,INDEX('Additional data'!$E$2:$E$699,MATCH(DATE(YEAR(N112),MONTH(N112),1),'Additional data'!$D$2:$D$699,0)))</f>
        <v>9.44</v>
      </c>
      <c r="T112" s="425">
        <f>P112-P111</f>
        <v>0</v>
      </c>
      <c r="U112" s="425">
        <f>Q112-Q111</f>
        <v>0.0587404950226001</v>
      </c>
      <c r="V112" s="77" t="n"/>
      <c r="W112" s="116">
        <f>S112-S111</f>
        <v>-0.0800000000000001</v>
      </c>
      <c r="X112" s="425">
        <f>P112-P100</f>
        <v>0.219552883183481</v>
      </c>
      <c r="Y112" s="425">
        <f>Q112-Q100</f>
        <v>0.238861952718359</v>
      </c>
      <c r="Z112" s="77" t="n"/>
      <c r="AA112" s="116">
        <f>S112-S100</f>
        <v>1.74</v>
      </c>
      <c r="AB112" s="425">
        <f>P112-P52</f>
        <v>1.36212829527271</v>
      </c>
      <c r="AC112" s="425">
        <f>Q112-Q52</f>
        <v>0.179232289013903</v>
      </c>
      <c r="AD112" s="77" t="n"/>
      <c r="AE112" s="235">
        <f>S112-S52</f>
        <v>3.54</v>
      </c>
      <c r="AG112" s="554">
        <f>N112</f>
        <v>28125.0</v>
      </c>
      <c r="AH112" s="435">
        <f>IFERROR(INDEX('RBA 5Y yield'!$B$5:$B$661,MATCH(N112,'RBA 5Y yield'!$A$5:$A$661,1))*100,"")</f>
        <v>10.21</v>
      </c>
      <c r="AI112" s="435">
        <f>IF(AND(ISNUMBER(AH112),ISNUMBER(AH111)),AH112-AH111,"")</f>
        <v>0.469999999999999</v>
      </c>
      <c r="AJ112" s="435">
        <f>IF(AND(ISNUMBER(AH112),ISNUMBER(AH100)),AH112-AH100,"")</f>
        <v>0.819999999999999</v>
      </c>
      <c r="AK112" s="435">
        <f>IF(AND(ISNUMBER(AH112),ISNUMBER(AH52)),AH112-AH52,"")</f>
      </c>
      <c r="AL112" s="560">
        <f>IFERROR(LN(INDEX(Data!$B$2:$B$497,MATCH(N112,Data!$A$2:$A$497,1))/INDEX(Data!$B$2:$B$497,MATCH(N100,Data!$A$2:$A$497,1))),"")</f>
      </c>
      <c r="AM112" s="560">
        <f>IFERROR(LN(INDEX(Data!$C$2:$C$497,MATCH(N112,Data!$A$2:$A$497,1))/INDEX(Data!$C$2:$C$497,MATCH(N100,Data!$A$2:$A$497,1))),"")</f>
      </c>
      <c r="AN112" s="560">
        <f>IFERROR(LN(INDEX(Data!$D$2:$D$497,MATCH(N112,Data!$A$2:$A$497,1))/INDEX(Data!$D$2:$D$497,MATCH(N100,Data!$A$2:$A$497,1))),"")</f>
      </c>
      <c r="AO112" s="560">
        <f>IFERROR(LN(INDEX(Data!$E$2:$E$497,MATCH(N112,Data!$A$2:$A$497,1))/INDEX(Data!$E$2:$E$497,MATCH(N100,Data!$A$2:$A$497,1))),"")</f>
      </c>
      <c r="AP112" s="560">
        <f>IFERROR(LN(INDEX(Data!$F$2:$F$497,MATCH(N112,Data!$A$2:$A$497,1))/INDEX(Data!$F$2:$F$497,MATCH(N100,Data!$A$2:$A$497,1))),"")</f>
      </c>
      <c r="AQ112" s="560">
        <f>IFERROR(LN(INDEX(Data!$G$2:$G$497,MATCH(N112,Data!$A$2:$A$497,1))/INDEX(Data!$G$2:$G$497,MATCH(N100,Data!$A$2:$A$497,1))),"")</f>
      </c>
      <c r="AR112" s="560">
        <f>IFERROR(LN(INDEX(Data!$H$2:$H$497,MATCH(N112,Data!$A$2:$A$497,1))/INDEX(Data!$H$2:$H$497,MATCH(N100,Data!$A$2:$A$497,1))),"")</f>
      </c>
      <c r="AS112" s="560">
        <f>IFERROR(LN(INDEX(Data!$I$2:$I$497,MATCH(N112,Data!$A$2:$A$497,1))/INDEX(Data!$I$2:$I$497,MATCH(N100,Data!$A$2:$A$497,1))),"")</f>
      </c>
      <c r="AT112" s="560">
        <f>IFERROR(LN(INDEX(Data!$J$2:$J$497,MATCH(N112,Data!$A$2:$A$497,1))/INDEX(Data!$J$2:$J$497,MATCH(N100,Data!$A$2:$A$497,1))),"")</f>
      </c>
      <c r="AU112" s="560">
        <f>IFERROR(LN(INDEX(Data!$K$2:$K$497,MATCH(N112,Data!$A$2:$A$497,1))/INDEX(Data!$K$2:$K$497,MATCH(N100,Data!$A$2:$A$497,1))),"")</f>
      </c>
      <c r="AV112" s="561">
        <f>IFERROR(LN(INDEX(Data!$L$2:$L$497,MATCH(N112,Data!$A$2:$A$497,1))/INDEX(Data!$L$2:$L$497,MATCH(N100,Data!$A$2:$A$497,1))),"")</f>
      </c>
    </row>
    <row r="113">
      <c r="A113" s="537" t="inlineStr">
        <is>
          <t>Hedge Funds</t>
        </is>
      </c>
      <c r="B113" s="560">
        <f>SLOPE($AR$5:$AR$701,$X$5:$X$701)</f>
        <v>7.37999526264086e-05</v>
      </c>
      <c r="C113" s="435">
        <f>CORREL($AR$5:$AR$701,$X$5:$X$701)*SQRT((E113-2)/(1-D113))/SQRT(12)</f>
        <v>0.00213798998306512</v>
      </c>
      <c r="D113" s="560">
        <f>RSQ($AR$5:$AR$701,$X$5:$X$701)</f>
        <v>1.98739141706519e-07</v>
      </c>
      <c r="E113" s="564">
        <f>COUNT($AR$5:$AR$701)</f>
        <v>278</v>
      </c>
      <c r="F113" s="538">
        <f>EXP(B113*$B$7)-1</f>
        <v>3.26219829653862e-05</v>
      </c>
      <c r="N113" s="337" t="n">
        <v>28156</v>
      </c>
      <c r="O113" s="116">
        <f>INDEX('Additional data'!$B$2:$B$965,MATCH(DATE(YEAR(N113),MONTH(N113),1),'Additional data'!$A$2:$A$965,0))</f>
        <v>13.9</v>
      </c>
      <c r="P113" s="489">
        <f>LN(O113)</f>
        <v>2.63188884013665</v>
      </c>
      <c r="Q113" s="489">
        <f>Q112+LN(1+INDEX('Additional data'!$H$2:$H$1196,MATCH(N113,'Additional data'!$G$2:$G$1196,1))+INDEX('Additional data'!$I$2:$I$1196,MATCH(N113,'Additional data'!$G$2:$G$1196,1)))</f>
        <v>0.308756471398635</v>
      </c>
      <c r="R113" s="77" t="n"/>
      <c r="S113" s="116">
        <f>IF(INDEX('Additional data'!$E$2:$E$699,MATCH(DATE(YEAR(N113),MONTH(N113),1),'Additional data'!$D$2:$D$699,0))=0,(INDEX('Additional data'!$E$2:$E$699,MATCH(DATE(YEAR(N113),MONTH(N113),1),'Additional data'!$D$2:$D$699,0)-1)+INDEX('Additional data'!$E$2:$E$699,MATCH(DATE(YEAR(N113),MONTH(N113),1),'Additional data'!$D$2:$D$699,0)+1))/2,INDEX('Additional data'!$E$2:$E$699,MATCH(DATE(YEAR(N113),MONTH(N113),1),'Additional data'!$D$2:$D$699,0)))</f>
        <v>8.93</v>
      </c>
      <c r="T113" s="425">
        <f>P113-P112</f>
        <v>0</v>
      </c>
      <c r="U113" s="425">
        <f>Q113-Q112</f>
        <v>-0.0373903892185591</v>
      </c>
      <c r="V113" s="77" t="n"/>
      <c r="W113" s="116">
        <f>S113-S112</f>
        <v>-0.51</v>
      </c>
      <c r="X113" s="425">
        <f>P113-P101</f>
        <v>0.219552883183481</v>
      </c>
      <c r="Y113" s="425">
        <f>Q113-Q101</f>
        <v>0.0826224296614185</v>
      </c>
      <c r="Z113" s="77" t="n"/>
      <c r="AA113" s="116">
        <f>S113-S101</f>
        <v>1.28</v>
      </c>
      <c r="AB113" s="425">
        <f>P113-P53</f>
        <v>1.36212829527271</v>
      </c>
      <c r="AC113" s="425">
        <f>Q113-Q53</f>
        <v>0.114615913541752</v>
      </c>
      <c r="AD113" s="77" t="n"/>
      <c r="AE113" s="235">
        <f>S113-S53</f>
        <v>3.33</v>
      </c>
      <c r="AG113" s="554">
        <f>N113</f>
        <v>28156.0</v>
      </c>
      <c r="AH113" s="435">
        <f>IFERROR(INDEX('RBA 5Y yield'!$B$5:$B$661,MATCH(N113,'RBA 5Y yield'!$A$5:$A$661,1))*100,"")</f>
        <v>10.22</v>
      </c>
      <c r="AI113" s="435">
        <f>IF(AND(ISNUMBER(AH113),ISNUMBER(AH112)),AH113-AH112,"")</f>
        <v>0.0100000000000016</v>
      </c>
      <c r="AJ113" s="435">
        <f>IF(AND(ISNUMBER(AH113),ISNUMBER(AH101)),AH113-AH101,"")</f>
        <v>0.800000000000001</v>
      </c>
      <c r="AK113" s="435">
        <f>IF(AND(ISNUMBER(AH113),ISNUMBER(AH53)),AH113-AH53,"")</f>
        <v>4.57</v>
      </c>
      <c r="AL113" s="560">
        <f>IFERROR(LN(INDEX(Data!$B$2:$B$497,MATCH(N113,Data!$A$2:$A$497,1))/INDEX(Data!$B$2:$B$497,MATCH(N101,Data!$A$2:$A$497,1))),"")</f>
      </c>
      <c r="AM113" s="560">
        <f>IFERROR(LN(INDEX(Data!$C$2:$C$497,MATCH(N113,Data!$A$2:$A$497,1))/INDEX(Data!$C$2:$C$497,MATCH(N101,Data!$A$2:$A$497,1))),"")</f>
      </c>
      <c r="AN113" s="560">
        <f>IFERROR(LN(INDEX(Data!$D$2:$D$497,MATCH(N113,Data!$A$2:$A$497,1))/INDEX(Data!$D$2:$D$497,MATCH(N101,Data!$A$2:$A$497,1))),"")</f>
      </c>
      <c r="AO113" s="560">
        <f>IFERROR(LN(INDEX(Data!$E$2:$E$497,MATCH(N113,Data!$A$2:$A$497,1))/INDEX(Data!$E$2:$E$497,MATCH(N101,Data!$A$2:$A$497,1))),"")</f>
      </c>
      <c r="AP113" s="560">
        <f>IFERROR(LN(INDEX(Data!$F$2:$F$497,MATCH(N113,Data!$A$2:$A$497,1))/INDEX(Data!$F$2:$F$497,MATCH(N101,Data!$A$2:$A$497,1))),"")</f>
      </c>
      <c r="AQ113" s="560">
        <f>IFERROR(LN(INDEX(Data!$G$2:$G$497,MATCH(N113,Data!$A$2:$A$497,1))/INDEX(Data!$G$2:$G$497,MATCH(N101,Data!$A$2:$A$497,1))),"")</f>
      </c>
      <c r="AR113" s="560">
        <f>IFERROR(LN(INDEX(Data!$H$2:$H$497,MATCH(N113,Data!$A$2:$A$497,1))/INDEX(Data!$H$2:$H$497,MATCH(N101,Data!$A$2:$A$497,1))),"")</f>
      </c>
      <c r="AS113" s="560">
        <f>IFERROR(LN(INDEX(Data!$I$2:$I$497,MATCH(N113,Data!$A$2:$A$497,1))/INDEX(Data!$I$2:$I$497,MATCH(N101,Data!$A$2:$A$497,1))),"")</f>
      </c>
      <c r="AT113" s="560">
        <f>IFERROR(LN(INDEX(Data!$J$2:$J$497,MATCH(N113,Data!$A$2:$A$497,1))/INDEX(Data!$J$2:$J$497,MATCH(N101,Data!$A$2:$A$497,1))),"")</f>
      </c>
      <c r="AU113" s="560">
        <f>IFERROR(LN(INDEX(Data!$K$2:$K$497,MATCH(N113,Data!$A$2:$A$497,1))/INDEX(Data!$K$2:$K$497,MATCH(N101,Data!$A$2:$A$497,1))),"")</f>
      </c>
      <c r="AV113" s="561">
        <f>IFERROR(LN(INDEX(Data!$L$2:$L$497,MATCH(N113,Data!$A$2:$A$497,1))/INDEX(Data!$L$2:$L$497,MATCH(N101,Data!$A$2:$A$497,1))),"")</f>
      </c>
    </row>
    <row r="114">
      <c r="A114" s="537" t="inlineStr">
        <is>
          <t>Private Equity</t>
        </is>
      </c>
      <c r="B114" s="560">
        <f>SLOPE($AS$5:$AS$701,$X$5:$X$701)</f>
        <v>0.0739645818201488</v>
      </c>
      <c r="C114" s="435">
        <f>CORREL($AS$5:$AS$701,$X$5:$X$701)*SQRT((E114-2)/(1-D114))/SQRT(12)</f>
        <v>1.18151007175058</v>
      </c>
      <c r="D114" s="560">
        <f>RSQ($AS$5:$AS$701,$X$5:$X$701)</f>
        <v>0.0500418607896059</v>
      </c>
      <c r="E114" s="564">
        <f>COUNT($AS$5:$AS$701)</f>
        <v>320</v>
      </c>
      <c r="F114" s="538">
        <f>EXP(B114*$B$7)-1</f>
        <v>0.0332345496694917</v>
      </c>
      <c r="N114" s="337" t="n">
        <v>28184</v>
      </c>
      <c r="O114" s="116">
        <f>INDEX('Additional data'!$B$2:$B$965,MATCH(DATE(YEAR(N114),MONTH(N114),1),'Additional data'!$A$2:$A$965,0))</f>
        <v>13.9</v>
      </c>
      <c r="P114" s="489">
        <f>LN(O114)</f>
        <v>2.63188884013665</v>
      </c>
      <c r="Q114" s="489">
        <f>Q113+LN(1+INDEX('Additional data'!$H$2:$H$1196,MATCH(N114,'Additional data'!$G$2:$G$1196,1))+INDEX('Additional data'!$I$2:$I$1196,MATCH(N114,'Additional data'!$G$2:$G$1196,1)))</f>
        <v>0.292728710321438</v>
      </c>
      <c r="R114" s="77" t="n"/>
      <c r="S114" s="116">
        <f>IF(INDEX('Additional data'!$E$2:$E$699,MATCH(DATE(YEAR(N114),MONTH(N114),1),'Additional data'!$D$2:$D$699,0))=0,(INDEX('Additional data'!$E$2:$E$699,MATCH(DATE(YEAR(N114),MONTH(N114),1),'Additional data'!$D$2:$D$699,0)-1)+INDEX('Additional data'!$E$2:$E$699,MATCH(DATE(YEAR(N114),MONTH(N114),1),'Additional data'!$D$2:$D$699,0)+1))/2,INDEX('Additional data'!$E$2:$E$699,MATCH(DATE(YEAR(N114),MONTH(N114),1),'Additional data'!$D$2:$D$699,0)))</f>
        <v>9.31</v>
      </c>
      <c r="T114" s="425">
        <f>P114-P113</f>
        <v>0</v>
      </c>
      <c r="U114" s="425">
        <f>Q114-Q113</f>
        <v>-0.0160277610771972</v>
      </c>
      <c r="V114" s="77" t="n"/>
      <c r="W114" s="116">
        <f>S114-S113</f>
        <v>0.380000000000001</v>
      </c>
      <c r="X114" s="425">
        <f>P114-P102</f>
        <v>0.144485310150059</v>
      </c>
      <c r="Y114" s="425">
        <f>Q114-Q102</f>
        <v>0.060115702486512</v>
      </c>
      <c r="Z114" s="77" t="n"/>
      <c r="AA114" s="116">
        <f>S114-S102</f>
        <v>0.960000000000001</v>
      </c>
      <c r="AB114" s="425">
        <f>P114-P54</f>
        <v>1.36212829527271</v>
      </c>
      <c r="AC114" s="425">
        <f>Q114-Q54</f>
        <v>0.0678649798217147</v>
      </c>
      <c r="AD114" s="77" t="n"/>
      <c r="AE114" s="235">
        <f>S114-S54</f>
        <v>3.81</v>
      </c>
      <c r="AG114" s="554">
        <f>N114</f>
        <v>28184.0</v>
      </c>
      <c r="AH114" s="435">
        <f>IFERROR(INDEX('RBA 5Y yield'!$B$5:$B$661,MATCH(N114,'RBA 5Y yield'!$A$5:$A$661,1))*100,"")</f>
        <v>10.21</v>
      </c>
      <c r="AI114" s="435">
        <f>IF(AND(ISNUMBER(AH114),ISNUMBER(AH113)),AH114-AH113,"")</f>
        <v>-0.0100000000000016</v>
      </c>
      <c r="AJ114" s="435">
        <f>IF(AND(ISNUMBER(AH114),ISNUMBER(AH102)),AH114-AH102,"")</f>
        <v>0.819999999999999</v>
      </c>
      <c r="AK114" s="435">
        <f>IF(AND(ISNUMBER(AH114),ISNUMBER(AH54)),AH114-AH54,"")</f>
        <v>4.75</v>
      </c>
      <c r="AL114" s="560">
        <f>IFERROR(LN(INDEX(Data!$B$2:$B$497,MATCH(N114,Data!$A$2:$A$497,1))/INDEX(Data!$B$2:$B$497,MATCH(N102,Data!$A$2:$A$497,1))),"")</f>
      </c>
      <c r="AM114" s="560">
        <f>IFERROR(LN(INDEX(Data!$C$2:$C$497,MATCH(N114,Data!$A$2:$A$497,1))/INDEX(Data!$C$2:$C$497,MATCH(N102,Data!$A$2:$A$497,1))),"")</f>
      </c>
      <c r="AN114" s="560">
        <f>IFERROR(LN(INDEX(Data!$D$2:$D$497,MATCH(N114,Data!$A$2:$A$497,1))/INDEX(Data!$D$2:$D$497,MATCH(N102,Data!$A$2:$A$497,1))),"")</f>
      </c>
      <c r="AO114" s="560">
        <f>IFERROR(LN(INDEX(Data!$E$2:$E$497,MATCH(N114,Data!$A$2:$A$497,1))/INDEX(Data!$E$2:$E$497,MATCH(N102,Data!$A$2:$A$497,1))),"")</f>
      </c>
      <c r="AP114" s="560">
        <f>IFERROR(LN(INDEX(Data!$F$2:$F$497,MATCH(N114,Data!$A$2:$A$497,1))/INDEX(Data!$F$2:$F$497,MATCH(N102,Data!$A$2:$A$497,1))),"")</f>
      </c>
      <c r="AQ114" s="560">
        <f>IFERROR(LN(INDEX(Data!$G$2:$G$497,MATCH(N114,Data!$A$2:$A$497,1))/INDEX(Data!$G$2:$G$497,MATCH(N102,Data!$A$2:$A$497,1))),"")</f>
      </c>
      <c r="AR114" s="560">
        <f>IFERROR(LN(INDEX(Data!$H$2:$H$497,MATCH(N114,Data!$A$2:$A$497,1))/INDEX(Data!$H$2:$H$497,MATCH(N102,Data!$A$2:$A$497,1))),"")</f>
      </c>
      <c r="AS114" s="560">
        <f>IFERROR(LN(INDEX(Data!$I$2:$I$497,MATCH(N114,Data!$A$2:$A$497,1))/INDEX(Data!$I$2:$I$497,MATCH(N102,Data!$A$2:$A$497,1))),"")</f>
      </c>
      <c r="AT114" s="560">
        <f>IFERROR(LN(INDEX(Data!$J$2:$J$497,MATCH(N114,Data!$A$2:$A$497,1))/INDEX(Data!$J$2:$J$497,MATCH(N102,Data!$A$2:$A$497,1))),"")</f>
      </c>
      <c r="AU114" s="560">
        <f>IFERROR(LN(INDEX(Data!$K$2:$K$497,MATCH(N114,Data!$A$2:$A$497,1))/INDEX(Data!$K$2:$K$497,MATCH(N102,Data!$A$2:$A$497,1))),"")</f>
      </c>
      <c r="AV114" s="561">
        <f>IFERROR(LN(INDEX(Data!$L$2:$L$497,MATCH(N114,Data!$A$2:$A$497,1))/INDEX(Data!$L$2:$L$497,MATCH(N102,Data!$A$2:$A$497,1))),"")</f>
      </c>
    </row>
    <row r="115">
      <c r="A115" s="537" t="inlineStr">
        <is>
          <t>Australian Fixed Income</t>
        </is>
      </c>
      <c r="B115" s="560">
        <f>SLOPE($AT$5:$AT$701,$X$5:$X$701)</f>
        <v>-0.058485904612019</v>
      </c>
      <c r="C115" s="435">
        <f>CORREL($AT$5:$AT$701,$X$5:$X$701)*SQRT((E115-2)/(1-D115))/SQRT(12)</f>
        <v>-2.12944179565152</v>
      </c>
      <c r="D115" s="560">
        <f>RSQ($AT$5:$AT$701,$X$5:$X$701)</f>
        <v>0.101820388333875</v>
      </c>
      <c r="E115" s="564">
        <f>COUNT($AT$5:$AT$701)</f>
        <v>482</v>
      </c>
      <c r="F115" s="538">
        <f>EXP(B115*$B$7)-1</f>
        <v>-0.0255209449046973</v>
      </c>
      <c r="N115" s="337" t="n">
        <v>28215</v>
      </c>
      <c r="O115" s="116">
        <f>INDEX('Additional data'!$B$2:$B$965,MATCH(DATE(YEAR(N115),MONTH(N115),1),'Additional data'!$A$2:$A$965,0))</f>
        <v>13.9</v>
      </c>
      <c r="P115" s="489">
        <f>LN(O115)</f>
        <v>2.63188884013665</v>
      </c>
      <c r="Q115" s="489">
        <f>Q114+LN(1+INDEX('Additional data'!$H$2:$H$1196,MATCH(N115,'Additional data'!$G$2:$G$1196,1))+INDEX('Additional data'!$I$2:$I$1196,MATCH(N115,'Additional data'!$G$2:$G$1196,1)))</f>
        <v>0.282981358866558</v>
      </c>
      <c r="R115" s="77" t="n"/>
      <c r="S115" s="116">
        <f>IF(INDEX('Additional data'!$E$2:$E$699,MATCH(DATE(YEAR(N115),MONTH(N115),1),'Additional data'!$D$2:$D$699,0))=0,(INDEX('Additional data'!$E$2:$E$699,MATCH(DATE(YEAR(N115),MONTH(N115),1),'Additional data'!$D$2:$D$699,0)-1)+INDEX('Additional data'!$E$2:$E$699,MATCH(DATE(YEAR(N115),MONTH(N115),1),'Additional data'!$D$2:$D$699,0)+1))/2,INDEX('Additional data'!$E$2:$E$699,MATCH(DATE(YEAR(N115),MONTH(N115),1),'Additional data'!$D$2:$D$699,0)))</f>
        <v>9.73</v>
      </c>
      <c r="T115" s="425">
        <f>P115-P114</f>
        <v>0</v>
      </c>
      <c r="U115" s="425">
        <f>Q115-Q114</f>
        <v>-0.00974735145487998</v>
      </c>
      <c r="V115" s="77" t="n"/>
      <c r="W115" s="116">
        <f>S115-S114</f>
        <v>0.42</v>
      </c>
      <c r="X115" s="425">
        <f>P115-P103</f>
        <v>0.138683387533951</v>
      </c>
      <c r="Y115" s="425">
        <f>Q115-Q103</f>
        <v>0.0235316970780722</v>
      </c>
      <c r="Z115" s="77" t="n"/>
      <c r="AA115" s="116">
        <f>S115-S103</f>
        <v>1.33</v>
      </c>
      <c r="AB115" s="425">
        <f>P115-P55</f>
        <v>1.36212829527271</v>
      </c>
      <c r="AC115" s="425">
        <f>Q115-Q55</f>
        <v>0.0492569999346383</v>
      </c>
      <c r="AD115" s="77" t="n"/>
      <c r="AE115" s="235">
        <f>S115-S55</f>
        <v>4.23</v>
      </c>
      <c r="AG115" s="554">
        <f>N115</f>
        <v>28215.0</v>
      </c>
      <c r="AH115" s="435">
        <f>IFERROR(INDEX('RBA 5Y yield'!$B$5:$B$661,MATCH(N115,'RBA 5Y yield'!$A$5:$A$661,1))*100,"")</f>
        <v>10.21</v>
      </c>
      <c r="AI115" s="435">
        <f>IF(AND(ISNUMBER(AH115),ISNUMBER(AH114)),AH115-AH114,"")</f>
        <v>0</v>
      </c>
      <c r="AJ115" s="435">
        <f>IF(AND(ISNUMBER(AH115),ISNUMBER(AH103)),AH115-AH103,"")</f>
        <v>0.779999999999999</v>
      </c>
      <c r="AK115" s="435">
        <f>IF(AND(ISNUMBER(AH115),ISNUMBER(AH55)),AH115-AH55,"")</f>
        <v>4.69</v>
      </c>
      <c r="AL115" s="560">
        <f>IFERROR(LN(INDEX(Data!$B$2:$B$497,MATCH(N115,Data!$A$2:$A$497,1))/INDEX(Data!$B$2:$B$497,MATCH(N103,Data!$A$2:$A$497,1))),"")</f>
      </c>
      <c r="AM115" s="560">
        <f>IFERROR(LN(INDEX(Data!$C$2:$C$497,MATCH(N115,Data!$A$2:$A$497,1))/INDEX(Data!$C$2:$C$497,MATCH(N103,Data!$A$2:$A$497,1))),"")</f>
      </c>
      <c r="AN115" s="560">
        <f>IFERROR(LN(INDEX(Data!$D$2:$D$497,MATCH(N115,Data!$A$2:$A$497,1))/INDEX(Data!$D$2:$D$497,MATCH(N103,Data!$A$2:$A$497,1))),"")</f>
      </c>
      <c r="AO115" s="560">
        <f>IFERROR(LN(INDEX(Data!$E$2:$E$497,MATCH(N115,Data!$A$2:$A$497,1))/INDEX(Data!$E$2:$E$497,MATCH(N103,Data!$A$2:$A$497,1))),"")</f>
      </c>
      <c r="AP115" s="560">
        <f>IFERROR(LN(INDEX(Data!$F$2:$F$497,MATCH(N115,Data!$A$2:$A$497,1))/INDEX(Data!$F$2:$F$497,MATCH(N103,Data!$A$2:$A$497,1))),"")</f>
      </c>
      <c r="AQ115" s="560">
        <f>IFERROR(LN(INDEX(Data!$G$2:$G$497,MATCH(N115,Data!$A$2:$A$497,1))/INDEX(Data!$G$2:$G$497,MATCH(N103,Data!$A$2:$A$497,1))),"")</f>
      </c>
      <c r="AR115" s="560">
        <f>IFERROR(LN(INDEX(Data!$H$2:$H$497,MATCH(N115,Data!$A$2:$A$497,1))/INDEX(Data!$H$2:$H$497,MATCH(N103,Data!$A$2:$A$497,1))),"")</f>
      </c>
      <c r="AS115" s="560">
        <f>IFERROR(LN(INDEX(Data!$I$2:$I$497,MATCH(N115,Data!$A$2:$A$497,1))/INDEX(Data!$I$2:$I$497,MATCH(N103,Data!$A$2:$A$497,1))),"")</f>
      </c>
      <c r="AT115" s="560">
        <f>IFERROR(LN(INDEX(Data!$J$2:$J$497,MATCH(N115,Data!$A$2:$A$497,1))/INDEX(Data!$J$2:$J$497,MATCH(N103,Data!$A$2:$A$497,1))),"")</f>
      </c>
      <c r="AU115" s="560">
        <f>IFERROR(LN(INDEX(Data!$K$2:$K$497,MATCH(N115,Data!$A$2:$A$497,1))/INDEX(Data!$K$2:$K$497,MATCH(N103,Data!$A$2:$A$497,1))),"")</f>
      </c>
      <c r="AV115" s="561">
        <f>IFERROR(LN(INDEX(Data!$L$2:$L$497,MATCH(N115,Data!$A$2:$A$497,1))/INDEX(Data!$L$2:$L$497,MATCH(N103,Data!$A$2:$A$497,1))),"")</f>
      </c>
    </row>
    <row r="116">
      <c r="A116" s="537" t="inlineStr">
        <is>
          <t>World Fixed Income</t>
        </is>
      </c>
      <c r="B116" s="560">
        <f>SLOPE($AU$5:$AU$701,$X$5:$X$701)</f>
        <v>-0.0526955553679531</v>
      </c>
      <c r="C116" s="435">
        <f>CORREL($AU$5:$AU$701,$X$5:$X$701)*SQRT((E116-2)/(1-D116))/SQRT(12)</f>
        <v>-1.86164121128229</v>
      </c>
      <c r="D116" s="560">
        <f>RSQ($AU$5:$AU$701,$X$5:$X$701)</f>
        <v>0.0797343045598362</v>
      </c>
      <c r="E116" s="564">
        <f>COUNT($AU$5:$AU$701)</f>
        <v>482</v>
      </c>
      <c r="F116" s="538">
        <f>EXP(B116*$B$7)-1</f>
        <v>-0.0230235894513224</v>
      </c>
      <c r="N116" s="337" t="n">
        <v>28245</v>
      </c>
      <c r="O116" s="116">
        <f>INDEX('Additional data'!$B$2:$B$965,MATCH(DATE(YEAR(N116),MONTH(N116),1),'Additional data'!$A$2:$A$965,0))</f>
        <v>13.9</v>
      </c>
      <c r="P116" s="489">
        <f>LN(O116)</f>
        <v>2.63188884013665</v>
      </c>
      <c r="Q116" s="489">
        <f>Q115+LN(1+INDEX('Additional data'!$H$2:$H$1196,MATCH(N116,'Additional data'!$G$2:$G$1196,1))+INDEX('Additional data'!$I$2:$I$1196,MATCH(N116,'Additional data'!$G$2:$G$1196,1)))</f>
        <v>0.288267363295796</v>
      </c>
      <c r="R116" s="77" t="n"/>
      <c r="S116" s="116">
        <f>IF(INDEX('Additional data'!$E$2:$E$699,MATCH(DATE(YEAR(N116),MONTH(N116),1),'Additional data'!$D$2:$D$699,0))=0,(INDEX('Additional data'!$E$2:$E$699,MATCH(DATE(YEAR(N116),MONTH(N116),1),'Additional data'!$D$2:$D$699,0)-1)+INDEX('Additional data'!$E$2:$E$699,MATCH(DATE(YEAR(N116),MONTH(N116),1),'Additional data'!$D$2:$D$699,0)+1))/2,INDEX('Additional data'!$E$2:$E$699,MATCH(DATE(YEAR(N116),MONTH(N116),1),'Additional data'!$D$2:$D$699,0)))</f>
        <v>10.86</v>
      </c>
      <c r="T116" s="425">
        <f>P116-P115</f>
        <v>0</v>
      </c>
      <c r="U116" s="425">
        <f>Q116-Q115</f>
        <v>0.00528600442923743</v>
      </c>
      <c r="V116" s="77" t="n"/>
      <c r="W116" s="116">
        <f>S116-S115</f>
        <v>1.13</v>
      </c>
      <c r="X116" s="425">
        <f>P116-P104</f>
        <v>0.13291493313721</v>
      </c>
      <c r="Y116" s="425">
        <f>Q116-Q104</f>
        <v>0.0395753581602698</v>
      </c>
      <c r="Z116" s="77" t="n"/>
      <c r="AA116" s="116">
        <f>S116-S104</f>
        <v>1.25</v>
      </c>
      <c r="AB116" s="425">
        <f>P116-P56</f>
        <v>1.36212829527271</v>
      </c>
      <c r="AC116" s="425">
        <f>Q116-Q56</f>
        <v>0.0487597596081486</v>
      </c>
      <c r="AD116" s="77" t="n"/>
      <c r="AE116" s="235">
        <f>S116-S56</f>
        <v>5.36</v>
      </c>
      <c r="AG116" s="554">
        <f>N116</f>
        <v>28245.0</v>
      </c>
      <c r="AH116" s="435">
        <f>IFERROR(INDEX('RBA 5Y yield'!$B$5:$B$661,MATCH(N116,'RBA 5Y yield'!$A$5:$A$661,1))*100,"")</f>
        <v>10.22</v>
      </c>
      <c r="AI116" s="435">
        <f>IF(AND(ISNUMBER(AH116),ISNUMBER(AH115)),AH116-AH115,"")</f>
        <v>0.0100000000000016</v>
      </c>
      <c r="AJ116" s="435">
        <f>IF(AND(ISNUMBER(AH116),ISNUMBER(AH104)),AH116-AH104,"")</f>
        <v>0.800000000000001</v>
      </c>
      <c r="AK116" s="435">
        <f>IF(AND(ISNUMBER(AH116),ISNUMBER(AH56)),AH116-AH56,"")</f>
        <v>4.82</v>
      </c>
      <c r="AL116" s="560">
        <f>IFERROR(LN(INDEX(Data!$B$2:$B$497,MATCH(N116,Data!$A$2:$A$497,1))/INDEX(Data!$B$2:$B$497,MATCH(N104,Data!$A$2:$A$497,1))),"")</f>
      </c>
      <c r="AM116" s="560">
        <f>IFERROR(LN(INDEX(Data!$C$2:$C$497,MATCH(N116,Data!$A$2:$A$497,1))/INDEX(Data!$C$2:$C$497,MATCH(N104,Data!$A$2:$A$497,1))),"")</f>
      </c>
      <c r="AN116" s="560">
        <f>IFERROR(LN(INDEX(Data!$D$2:$D$497,MATCH(N116,Data!$A$2:$A$497,1))/INDEX(Data!$D$2:$D$497,MATCH(N104,Data!$A$2:$A$497,1))),"")</f>
      </c>
      <c r="AO116" s="560">
        <f>IFERROR(LN(INDEX(Data!$E$2:$E$497,MATCH(N116,Data!$A$2:$A$497,1))/INDEX(Data!$E$2:$E$497,MATCH(N104,Data!$A$2:$A$497,1))),"")</f>
      </c>
      <c r="AP116" s="560">
        <f>IFERROR(LN(INDEX(Data!$F$2:$F$497,MATCH(N116,Data!$A$2:$A$497,1))/INDEX(Data!$F$2:$F$497,MATCH(N104,Data!$A$2:$A$497,1))),"")</f>
      </c>
      <c r="AQ116" s="560">
        <f>IFERROR(LN(INDEX(Data!$G$2:$G$497,MATCH(N116,Data!$A$2:$A$497,1))/INDEX(Data!$G$2:$G$497,MATCH(N104,Data!$A$2:$A$497,1))),"")</f>
      </c>
      <c r="AR116" s="560">
        <f>IFERROR(LN(INDEX(Data!$H$2:$H$497,MATCH(N116,Data!$A$2:$A$497,1))/INDEX(Data!$H$2:$H$497,MATCH(N104,Data!$A$2:$A$497,1))),"")</f>
      </c>
      <c r="AS116" s="560">
        <f>IFERROR(LN(INDEX(Data!$I$2:$I$497,MATCH(N116,Data!$A$2:$A$497,1))/INDEX(Data!$I$2:$I$497,MATCH(N104,Data!$A$2:$A$497,1))),"")</f>
      </c>
      <c r="AT116" s="560">
        <f>IFERROR(LN(INDEX(Data!$J$2:$J$497,MATCH(N116,Data!$A$2:$A$497,1))/INDEX(Data!$J$2:$J$497,MATCH(N104,Data!$A$2:$A$497,1))),"")</f>
      </c>
      <c r="AU116" s="560">
        <f>IFERROR(LN(INDEX(Data!$K$2:$K$497,MATCH(N116,Data!$A$2:$A$497,1))/INDEX(Data!$K$2:$K$497,MATCH(N104,Data!$A$2:$A$497,1))),"")</f>
      </c>
      <c r="AV116" s="561">
        <f>IFERROR(LN(INDEX(Data!$L$2:$L$497,MATCH(N116,Data!$A$2:$A$497,1))/INDEX(Data!$L$2:$L$497,MATCH(N104,Data!$A$2:$A$497,1))),"")</f>
      </c>
    </row>
    <row r="117">
      <c r="A117" s="539" t="inlineStr">
        <is>
          <t>Cash</t>
        </is>
      </c>
      <c r="B117" s="570">
        <f>SLOPE($AV$5:$AV$701,$X$5:$X$701)</f>
        <v>-0.00718002996645626</v>
      </c>
      <c r="C117" s="571">
        <f>CORREL($AV$5:$AV$701,$X$5:$X$701)*SQRT((E117-2)/(1-D117))/SQRT(12)</f>
        <v>-0.371440093855428</v>
      </c>
      <c r="D117" s="570">
        <f>RSQ($AV$5:$AV$701,$X$5:$X$701)</f>
        <v>0.00343733754049565</v>
      </c>
      <c r="E117" s="572">
        <f>COUNT($AV$5:$AV$701)</f>
        <v>482</v>
      </c>
      <c r="F117" s="573">
        <f>EXP(B117*$B$7)-1</f>
        <v>-0.00316872431759641</v>
      </c>
      <c r="N117" s="337" t="n">
        <v>28276</v>
      </c>
      <c r="O117" s="116">
        <f>INDEX('Additional data'!$B$2:$B$965,MATCH(DATE(YEAR(N117),MONTH(N117),1),'Additional data'!$A$2:$A$965,0))</f>
        <v>13.9</v>
      </c>
      <c r="P117" s="489">
        <f>LN(O117)</f>
        <v>2.63188884013665</v>
      </c>
      <c r="Q117" s="489">
        <f>Q116+LN(1+INDEX('Additional data'!$H$2:$H$1196,MATCH(N117,'Additional data'!$G$2:$G$1196,1))+INDEX('Additional data'!$I$2:$I$1196,MATCH(N117,'Additional data'!$G$2:$G$1196,1)))</f>
        <v>0.277206415936371</v>
      </c>
      <c r="R117" s="77" t="n"/>
      <c r="S117" s="116">
        <f>IF(INDEX('Additional data'!$E$2:$E$699,MATCH(DATE(YEAR(N117),MONTH(N117),1),'Additional data'!$D$2:$D$699,0))=0,(INDEX('Additional data'!$E$2:$E$699,MATCH(DATE(YEAR(N117),MONTH(N117),1),'Additional data'!$D$2:$D$699,0)-1)+INDEX('Additional data'!$E$2:$E$699,MATCH(DATE(YEAR(N117),MONTH(N117),1),'Additional data'!$D$2:$D$699,0)+1))/2,INDEX('Additional data'!$E$2:$E$699,MATCH(DATE(YEAR(N117),MONTH(N117),1),'Additional data'!$D$2:$D$699,0)))</f>
        <v>10.94</v>
      </c>
      <c r="T117" s="425">
        <f>P117-P116</f>
        <v>0</v>
      </c>
      <c r="U117" s="425">
        <f>Q117-Q116</f>
        <v>-0.0110609473594249</v>
      </c>
      <c r="V117" s="77" t="n"/>
      <c r="W117" s="116">
        <f>S117-S116</f>
        <v>0.0800000000000001</v>
      </c>
      <c r="X117" s="425">
        <f>P117-P105</f>
        <v>0.13291493313721</v>
      </c>
      <c r="Y117" s="425">
        <f>Q117-Q105</f>
        <v>0.0382617622557249</v>
      </c>
      <c r="Z117" s="77" t="n"/>
      <c r="AA117" s="116">
        <f>S117-S105</f>
        <v>0.699999999999999</v>
      </c>
      <c r="AB117" s="425">
        <f>P117-P57</f>
        <v>1.36212829527271</v>
      </c>
      <c r="AC117" s="425">
        <f>Q117-Q57</f>
        <v>0.0219238931333616</v>
      </c>
      <c r="AD117" s="77" t="n"/>
      <c r="AE117" s="235">
        <f>S117-S57</f>
        <v>5.34</v>
      </c>
      <c r="AG117" s="554">
        <f>N117</f>
        <v>28276.0</v>
      </c>
      <c r="AH117" s="435">
        <f>IFERROR(INDEX('RBA 5Y yield'!$B$5:$B$661,MATCH(N117,'RBA 5Y yield'!$A$5:$A$661,1))*100,"")</f>
        <v>10.22</v>
      </c>
      <c r="AI117" s="435">
        <f>IF(AND(ISNUMBER(AH117),ISNUMBER(AH116)),AH117-AH116,"")</f>
        <v>0</v>
      </c>
      <c r="AJ117" s="435">
        <f>IF(AND(ISNUMBER(AH117),ISNUMBER(AH105)),AH117-AH105,"")</f>
        <v>0.800000000000001</v>
      </c>
      <c r="AK117" s="435">
        <f>IF(AND(ISNUMBER(AH117),ISNUMBER(AH57)),AH117-AH57,"")</f>
        <v>4.79</v>
      </c>
      <c r="AL117" s="560">
        <f>IFERROR(LN(INDEX(Data!$B$2:$B$497,MATCH(N117,Data!$A$2:$A$497,1))/INDEX(Data!$B$2:$B$497,MATCH(N105,Data!$A$2:$A$497,1))),"")</f>
      </c>
      <c r="AM117" s="560">
        <f>IFERROR(LN(INDEX(Data!$C$2:$C$497,MATCH(N117,Data!$A$2:$A$497,1))/INDEX(Data!$C$2:$C$497,MATCH(N105,Data!$A$2:$A$497,1))),"")</f>
      </c>
      <c r="AN117" s="560">
        <f>IFERROR(LN(INDEX(Data!$D$2:$D$497,MATCH(N117,Data!$A$2:$A$497,1))/INDEX(Data!$D$2:$D$497,MATCH(N105,Data!$A$2:$A$497,1))),"")</f>
      </c>
      <c r="AO117" s="560">
        <f>IFERROR(LN(INDEX(Data!$E$2:$E$497,MATCH(N117,Data!$A$2:$A$497,1))/INDEX(Data!$E$2:$E$497,MATCH(N105,Data!$A$2:$A$497,1))),"")</f>
      </c>
      <c r="AP117" s="560">
        <f>IFERROR(LN(INDEX(Data!$F$2:$F$497,MATCH(N117,Data!$A$2:$A$497,1))/INDEX(Data!$F$2:$F$497,MATCH(N105,Data!$A$2:$A$497,1))),"")</f>
      </c>
      <c r="AQ117" s="560">
        <f>IFERROR(LN(INDEX(Data!$G$2:$G$497,MATCH(N117,Data!$A$2:$A$497,1))/INDEX(Data!$G$2:$G$497,MATCH(N105,Data!$A$2:$A$497,1))),"")</f>
      </c>
      <c r="AR117" s="560">
        <f>IFERROR(LN(INDEX(Data!$H$2:$H$497,MATCH(N117,Data!$A$2:$A$497,1))/INDEX(Data!$H$2:$H$497,MATCH(N105,Data!$A$2:$A$497,1))),"")</f>
      </c>
      <c r="AS117" s="560">
        <f>IFERROR(LN(INDEX(Data!$I$2:$I$497,MATCH(N117,Data!$A$2:$A$497,1))/INDEX(Data!$I$2:$I$497,MATCH(N105,Data!$A$2:$A$497,1))),"")</f>
      </c>
      <c r="AT117" s="560">
        <f>IFERROR(LN(INDEX(Data!$J$2:$J$497,MATCH(N117,Data!$A$2:$A$497,1))/INDEX(Data!$J$2:$J$497,MATCH(N105,Data!$A$2:$A$497,1))),"")</f>
      </c>
      <c r="AU117" s="560">
        <f>IFERROR(LN(INDEX(Data!$K$2:$K$497,MATCH(N117,Data!$A$2:$A$497,1))/INDEX(Data!$K$2:$K$497,MATCH(N105,Data!$A$2:$A$497,1))),"")</f>
      </c>
      <c r="AV117" s="561">
        <f>IFERROR(LN(INDEX(Data!$L$2:$L$497,MATCH(N117,Data!$A$2:$A$497,1))/INDEX(Data!$L$2:$L$497,MATCH(N105,Data!$A$2:$A$497,1))),"")</f>
      </c>
    </row>
    <row r="118">
      <c r="N118" s="337" t="n">
        <v>28306</v>
      </c>
      <c r="O118" s="116">
        <f>INDEX('Additional data'!$B$2:$B$965,MATCH(DATE(YEAR(N118),MONTH(N118),1),'Additional data'!$A$2:$A$965,0))</f>
        <v>13.9</v>
      </c>
      <c r="P118" s="489">
        <f>LN(O118)</f>
        <v>2.63188884013665</v>
      </c>
      <c r="Q118" s="489">
        <f>Q117+LN(1+INDEX('Additional data'!$H$2:$H$1196,MATCH(N118,'Additional data'!$G$2:$G$1196,1))+INDEX('Additional data'!$I$2:$I$1196,MATCH(N118,'Additional data'!$G$2:$G$1196,1)))</f>
        <v>0.32713878468458</v>
      </c>
      <c r="R118" s="77" t="n"/>
      <c r="S118" s="116">
        <f>IF(INDEX('Additional data'!$E$2:$E$699,MATCH(DATE(YEAR(N118),MONTH(N118),1),'Additional data'!$D$2:$D$699,0))=0,(INDEX('Additional data'!$E$2:$E$699,MATCH(DATE(YEAR(N118),MONTH(N118),1),'Additional data'!$D$2:$D$699,0)-1)+INDEX('Additional data'!$E$2:$E$699,MATCH(DATE(YEAR(N118),MONTH(N118),1),'Additional data'!$D$2:$D$699,0)+1))/2,INDEX('Additional data'!$E$2:$E$699,MATCH(DATE(YEAR(N118),MONTH(N118),1),'Additional data'!$D$2:$D$699,0)))</f>
        <v>10.95</v>
      </c>
      <c r="T118" s="425">
        <f>P118-P117</f>
        <v>0</v>
      </c>
      <c r="U118" s="425">
        <f>Q118-Q117</f>
        <v>0.0499323687482089</v>
      </c>
      <c r="V118" s="77" t="n"/>
      <c r="W118" s="116">
        <f>S118-S117</f>
        <v>0.00999999999999979</v>
      </c>
      <c r="X118" s="425">
        <f>P118-P106</f>
        <v>0.13291493313721</v>
      </c>
      <c r="Y118" s="425">
        <f>Q118-Q106</f>
        <v>0.0442729439460057</v>
      </c>
      <c r="Z118" s="77" t="n"/>
      <c r="AA118" s="116">
        <f>S118-S106</f>
        <v>0.68</v>
      </c>
      <c r="AB118" s="425">
        <f>P118-P58</f>
        <v>1.36212829527271</v>
      </c>
      <c r="AC118" s="425">
        <f>Q118-Q58</f>
        <v>0.0934885620086844</v>
      </c>
      <c r="AD118" s="77" t="n"/>
      <c r="AE118" s="235">
        <f>S118-S58</f>
        <v>5.2</v>
      </c>
      <c r="AG118" s="554">
        <f>N118</f>
        <v>28306.0</v>
      </c>
      <c r="AH118" s="435">
        <f>IFERROR(INDEX('RBA 5Y yield'!$B$5:$B$661,MATCH(N118,'RBA 5Y yield'!$A$5:$A$661,1))*100,"")</f>
        <v>10.21</v>
      </c>
      <c r="AI118" s="435">
        <f>IF(AND(ISNUMBER(AH118),ISNUMBER(AH117)),AH118-AH117,"")</f>
        <v>-0.0100000000000016</v>
      </c>
      <c r="AJ118" s="435">
        <f>IF(AND(ISNUMBER(AH118),ISNUMBER(AH106)),AH118-AH106,"")</f>
        <v>0.799999999999999</v>
      </c>
      <c r="AK118" s="435">
        <f>IF(AND(ISNUMBER(AH118),ISNUMBER(AH58)),AH118-AH58,"")</f>
        <v>4.71</v>
      </c>
      <c r="AL118" s="560">
        <f>IFERROR(LN(INDEX(Data!$B$2:$B$497,MATCH(N118,Data!$A$2:$A$497,1))/INDEX(Data!$B$2:$B$497,MATCH(N106,Data!$A$2:$A$497,1))),"")</f>
      </c>
      <c r="AM118" s="560">
        <f>IFERROR(LN(INDEX(Data!$C$2:$C$497,MATCH(N118,Data!$A$2:$A$497,1))/INDEX(Data!$C$2:$C$497,MATCH(N106,Data!$A$2:$A$497,1))),"")</f>
      </c>
      <c r="AN118" s="560">
        <f>IFERROR(LN(INDEX(Data!$D$2:$D$497,MATCH(N118,Data!$A$2:$A$497,1))/INDEX(Data!$D$2:$D$497,MATCH(N106,Data!$A$2:$A$497,1))),"")</f>
      </c>
      <c r="AO118" s="560">
        <f>IFERROR(LN(INDEX(Data!$E$2:$E$497,MATCH(N118,Data!$A$2:$A$497,1))/INDEX(Data!$E$2:$E$497,MATCH(N106,Data!$A$2:$A$497,1))),"")</f>
      </c>
      <c r="AP118" s="560">
        <f>IFERROR(LN(INDEX(Data!$F$2:$F$497,MATCH(N118,Data!$A$2:$A$497,1))/INDEX(Data!$F$2:$F$497,MATCH(N106,Data!$A$2:$A$497,1))),"")</f>
      </c>
      <c r="AQ118" s="560">
        <f>IFERROR(LN(INDEX(Data!$G$2:$G$497,MATCH(N118,Data!$A$2:$A$497,1))/INDEX(Data!$G$2:$G$497,MATCH(N106,Data!$A$2:$A$497,1))),"")</f>
      </c>
      <c r="AR118" s="560">
        <f>IFERROR(LN(INDEX(Data!$H$2:$H$497,MATCH(N118,Data!$A$2:$A$497,1))/INDEX(Data!$H$2:$H$497,MATCH(N106,Data!$A$2:$A$497,1))),"")</f>
      </c>
      <c r="AS118" s="560">
        <f>IFERROR(LN(INDEX(Data!$I$2:$I$497,MATCH(N118,Data!$A$2:$A$497,1))/INDEX(Data!$I$2:$I$497,MATCH(N106,Data!$A$2:$A$497,1))),"")</f>
      </c>
      <c r="AT118" s="560">
        <f>IFERROR(LN(INDEX(Data!$J$2:$J$497,MATCH(N118,Data!$A$2:$A$497,1))/INDEX(Data!$J$2:$J$497,MATCH(N106,Data!$A$2:$A$497,1))),"")</f>
      </c>
      <c r="AU118" s="560">
        <f>IFERROR(LN(INDEX(Data!$K$2:$K$497,MATCH(N118,Data!$A$2:$A$497,1))/INDEX(Data!$K$2:$K$497,MATCH(N106,Data!$A$2:$A$497,1))),"")</f>
      </c>
      <c r="AV118" s="561">
        <f>IFERROR(LN(INDEX(Data!$L$2:$L$497,MATCH(N118,Data!$A$2:$A$497,1))/INDEX(Data!$L$2:$L$497,MATCH(N106,Data!$A$2:$A$497,1))),"")</f>
      </c>
    </row>
    <row r="119">
      <c r="N119" s="337" t="n">
        <v>28337</v>
      </c>
      <c r="O119" s="116">
        <f>INDEX('Additional data'!$B$2:$B$965,MATCH(DATE(YEAR(N119),MONTH(N119),1),'Additional data'!$A$2:$A$965,0))</f>
        <v>13.9</v>
      </c>
      <c r="P119" s="489">
        <f>LN(O119)</f>
        <v>2.63188884013665</v>
      </c>
      <c r="Q119" s="489">
        <f>Q118+LN(1+INDEX('Additional data'!$H$2:$H$1196,MATCH(N119,'Additional data'!$G$2:$G$1196,1))+INDEX('Additional data'!$I$2:$I$1196,MATCH(N119,'Additional data'!$G$2:$G$1196,1)))</f>
        <v>0.314357450319847</v>
      </c>
      <c r="R119" s="77" t="n"/>
      <c r="S119" s="116">
        <f>IF(INDEX('Additional data'!$E$2:$E$699,MATCH(DATE(YEAR(N119),MONTH(N119),1),'Additional data'!$D$2:$D$699,0))=0,(INDEX('Additional data'!$E$2:$E$699,MATCH(DATE(YEAR(N119),MONTH(N119),1),'Additional data'!$D$2:$D$699,0)-1)+INDEX('Additional data'!$E$2:$E$699,MATCH(DATE(YEAR(N119),MONTH(N119),1),'Additional data'!$D$2:$D$699,0)+1))/2,INDEX('Additional data'!$E$2:$E$699,MATCH(DATE(YEAR(N119),MONTH(N119),1),'Additional data'!$D$2:$D$699,0)))</f>
        <v>10.72</v>
      </c>
      <c r="T119" s="425">
        <f>P119-P118</f>
        <v>0</v>
      </c>
      <c r="U119" s="425">
        <f>Q119-Q118</f>
        <v>-0.0127813343647332</v>
      </c>
      <c r="V119" s="77" t="n"/>
      <c r="W119" s="116">
        <f>S119-S118</f>
        <v>-0.229999999999999</v>
      </c>
      <c r="X119" s="425">
        <f>P119-P107</f>
        <v>0.13291493313721</v>
      </c>
      <c r="Y119" s="425">
        <f>Q119-Q107</f>
        <v>0.0374090833453102</v>
      </c>
      <c r="Z119" s="77" t="n"/>
      <c r="AA119" s="116">
        <f>S119-S107</f>
        <v>1.05</v>
      </c>
      <c r="AB119" s="425">
        <f>P119-P59</f>
        <v>1.36212829527271</v>
      </c>
      <c r="AC119" s="425">
        <f>Q119-Q59</f>
        <v>0.0856192720049719</v>
      </c>
      <c r="AD119" s="77" t="n"/>
      <c r="AE119" s="235">
        <f>S119-S59</f>
        <v>6.12</v>
      </c>
      <c r="AG119" s="554">
        <f>N119</f>
        <v>28337.0</v>
      </c>
      <c r="AH119" s="435">
        <f>IFERROR(INDEX('RBA 5Y yield'!$B$5:$B$661,MATCH(N119,'RBA 5Y yield'!$A$5:$A$661,1))*100,"")</f>
        <v>10.21</v>
      </c>
      <c r="AI119" s="435">
        <f>IF(AND(ISNUMBER(AH119),ISNUMBER(AH118)),AH119-AH118,"")</f>
        <v>0</v>
      </c>
      <c r="AJ119" s="435">
        <f>IF(AND(ISNUMBER(AH119),ISNUMBER(AH107)),AH119-AH107,"")</f>
        <v>0.789999999999999</v>
      </c>
      <c r="AK119" s="435">
        <f>IF(AND(ISNUMBER(AH119),ISNUMBER(AH59)),AH119-AH59,"")</f>
        <v>5.02</v>
      </c>
      <c r="AL119" s="560">
        <f>IFERROR(LN(INDEX(Data!$B$2:$B$497,MATCH(N119,Data!$A$2:$A$497,1))/INDEX(Data!$B$2:$B$497,MATCH(N107,Data!$A$2:$A$497,1))),"")</f>
      </c>
      <c r="AM119" s="560">
        <f>IFERROR(LN(INDEX(Data!$C$2:$C$497,MATCH(N119,Data!$A$2:$A$497,1))/INDEX(Data!$C$2:$C$497,MATCH(N107,Data!$A$2:$A$497,1))),"")</f>
      </c>
      <c r="AN119" s="560">
        <f>IFERROR(LN(INDEX(Data!$D$2:$D$497,MATCH(N119,Data!$A$2:$A$497,1))/INDEX(Data!$D$2:$D$497,MATCH(N107,Data!$A$2:$A$497,1))),"")</f>
      </c>
      <c r="AO119" s="560">
        <f>IFERROR(LN(INDEX(Data!$E$2:$E$497,MATCH(N119,Data!$A$2:$A$497,1))/INDEX(Data!$E$2:$E$497,MATCH(N107,Data!$A$2:$A$497,1))),"")</f>
      </c>
      <c r="AP119" s="560">
        <f>IFERROR(LN(INDEX(Data!$F$2:$F$497,MATCH(N119,Data!$A$2:$A$497,1))/INDEX(Data!$F$2:$F$497,MATCH(N107,Data!$A$2:$A$497,1))),"")</f>
      </c>
      <c r="AQ119" s="560">
        <f>IFERROR(LN(INDEX(Data!$G$2:$G$497,MATCH(N119,Data!$A$2:$A$497,1))/INDEX(Data!$G$2:$G$497,MATCH(N107,Data!$A$2:$A$497,1))),"")</f>
      </c>
      <c r="AR119" s="560">
        <f>IFERROR(LN(INDEX(Data!$H$2:$H$497,MATCH(N119,Data!$A$2:$A$497,1))/INDEX(Data!$H$2:$H$497,MATCH(N107,Data!$A$2:$A$497,1))),"")</f>
      </c>
      <c r="AS119" s="560">
        <f>IFERROR(LN(INDEX(Data!$I$2:$I$497,MATCH(N119,Data!$A$2:$A$497,1))/INDEX(Data!$I$2:$I$497,MATCH(N107,Data!$A$2:$A$497,1))),"")</f>
      </c>
      <c r="AT119" s="560">
        <f>IFERROR(LN(INDEX(Data!$J$2:$J$497,MATCH(N119,Data!$A$2:$A$497,1))/INDEX(Data!$J$2:$J$497,MATCH(N107,Data!$A$2:$A$497,1))),"")</f>
      </c>
      <c r="AU119" s="560">
        <f>IFERROR(LN(INDEX(Data!$K$2:$K$497,MATCH(N119,Data!$A$2:$A$497,1))/INDEX(Data!$K$2:$K$497,MATCH(N107,Data!$A$2:$A$497,1))),"")</f>
      </c>
      <c r="AV119" s="561">
        <f>IFERROR(LN(INDEX(Data!$L$2:$L$497,MATCH(N119,Data!$A$2:$A$497,1))/INDEX(Data!$L$2:$L$497,MATCH(N107,Data!$A$2:$A$497,1))),"")</f>
      </c>
    </row>
    <row r="120">
      <c r="A120" s="440" t="inlineStr">
        <is>
          <t>9. US$150 oil: portfolio impact, regression approach vs episode approach</t>
        </is>
      </c>
      <c r="B120" s="441" t="n"/>
      <c r="C120" s="441" t="n"/>
      <c r="D120" s="441" t="n"/>
      <c r="E120" s="441" t="n"/>
      <c r="F120" s="442" t="n"/>
      <c r="N120" s="337" t="n">
        <v>28368</v>
      </c>
      <c r="O120" s="116">
        <f>INDEX('Additional data'!$B$2:$B$965,MATCH(DATE(YEAR(N120),MONTH(N120),1),'Additional data'!$A$2:$A$965,0))</f>
        <v>14.85</v>
      </c>
      <c r="P120" s="489">
        <f>LN(O120)</f>
        <v>2.69799986524871</v>
      </c>
      <c r="Q120" s="489">
        <f>Q119+LN(1+INDEX('Additional data'!$H$2:$H$1196,MATCH(N120,'Additional data'!$G$2:$G$1196,1))+INDEX('Additional data'!$I$2:$I$1196,MATCH(N120,'Additional data'!$G$2:$G$1196,1)))</f>
        <v>0.301069555992911</v>
      </c>
      <c r="R120" s="77" t="n"/>
      <c r="S120" s="116">
        <f>IF(INDEX('Additional data'!$E$2:$E$699,MATCH(DATE(YEAR(N120),MONTH(N120),1),'Additional data'!$D$2:$D$699,0))=0,(INDEX('Additional data'!$E$2:$E$699,MATCH(DATE(YEAR(N120),MONTH(N120),1),'Additional data'!$D$2:$D$699,0)-1)+INDEX('Additional data'!$E$2:$E$699,MATCH(DATE(YEAR(N120),MONTH(N120),1),'Additional data'!$D$2:$D$699,0)+1))/2,INDEX('Additional data'!$E$2:$E$699,MATCH(DATE(YEAR(N120),MONTH(N120),1),'Additional data'!$D$2:$D$699,0)))</f>
        <v>10.9</v>
      </c>
      <c r="T120" s="425">
        <f>P120-P119</f>
        <v>0.0661110251120625</v>
      </c>
      <c r="U120" s="425">
        <f>Q120-Q119</f>
        <v>-0.0132878943269354</v>
      </c>
      <c r="V120" s="77" t="n"/>
      <c r="W120" s="116">
        <f>S120-S119</f>
        <v>0.18</v>
      </c>
      <c r="X120" s="425">
        <f>P120-P108</f>
        <v>0.199025958249273</v>
      </c>
      <c r="Y120" s="425">
        <f>Q120-Q108</f>
        <v>0.025622315144642</v>
      </c>
      <c r="Z120" s="77" t="n"/>
      <c r="AA120" s="116">
        <f>S120-S108</f>
        <v>1.54</v>
      </c>
      <c r="AB120" s="425">
        <f>P120-P60</f>
        <v>1.42823932038477</v>
      </c>
      <c r="AC120" s="425">
        <f>Q120-Q60</f>
        <v>0.0373504087827911</v>
      </c>
      <c r="AD120" s="77" t="n"/>
      <c r="AE120" s="235">
        <f>S120-S60</f>
        <v>6.3</v>
      </c>
      <c r="AG120" s="554">
        <f>N120</f>
        <v>28368.0</v>
      </c>
      <c r="AH120" s="435">
        <f>IFERROR(INDEX('RBA 5Y yield'!$B$5:$B$661,MATCH(N120,'RBA 5Y yield'!$A$5:$A$661,1))*100,"")</f>
        <v>10.2</v>
      </c>
      <c r="AI120" s="435">
        <f>IF(AND(ISNUMBER(AH120),ISNUMBER(AH119)),AH120-AH119,"")</f>
        <v>-0.00999999999999979</v>
      </c>
      <c r="AJ120" s="435">
        <f>IF(AND(ISNUMBER(AH120),ISNUMBER(AH108)),AH120-AH108,"")</f>
        <v>0.789999999999999</v>
      </c>
      <c r="AK120" s="435">
        <f>IF(AND(ISNUMBER(AH120),ISNUMBER(AH60)),AH120-AH60,"")</f>
        <v>4.98</v>
      </c>
      <c r="AL120" s="560">
        <f>IFERROR(LN(INDEX(Data!$B$2:$B$497,MATCH(N120,Data!$A$2:$A$497,1))/INDEX(Data!$B$2:$B$497,MATCH(N108,Data!$A$2:$A$497,1))),"")</f>
      </c>
      <c r="AM120" s="560">
        <f>IFERROR(LN(INDEX(Data!$C$2:$C$497,MATCH(N120,Data!$A$2:$A$497,1))/INDEX(Data!$C$2:$C$497,MATCH(N108,Data!$A$2:$A$497,1))),"")</f>
      </c>
      <c r="AN120" s="560">
        <f>IFERROR(LN(INDEX(Data!$D$2:$D$497,MATCH(N120,Data!$A$2:$A$497,1))/INDEX(Data!$D$2:$D$497,MATCH(N108,Data!$A$2:$A$497,1))),"")</f>
      </c>
      <c r="AO120" s="560">
        <f>IFERROR(LN(INDEX(Data!$E$2:$E$497,MATCH(N120,Data!$A$2:$A$497,1))/INDEX(Data!$E$2:$E$497,MATCH(N108,Data!$A$2:$A$497,1))),"")</f>
      </c>
      <c r="AP120" s="560">
        <f>IFERROR(LN(INDEX(Data!$F$2:$F$497,MATCH(N120,Data!$A$2:$A$497,1))/INDEX(Data!$F$2:$F$497,MATCH(N108,Data!$A$2:$A$497,1))),"")</f>
      </c>
      <c r="AQ120" s="560">
        <f>IFERROR(LN(INDEX(Data!$G$2:$G$497,MATCH(N120,Data!$A$2:$A$497,1))/INDEX(Data!$G$2:$G$497,MATCH(N108,Data!$A$2:$A$497,1))),"")</f>
      </c>
      <c r="AR120" s="560">
        <f>IFERROR(LN(INDEX(Data!$H$2:$H$497,MATCH(N120,Data!$A$2:$A$497,1))/INDEX(Data!$H$2:$H$497,MATCH(N108,Data!$A$2:$A$497,1))),"")</f>
      </c>
      <c r="AS120" s="560">
        <f>IFERROR(LN(INDEX(Data!$I$2:$I$497,MATCH(N120,Data!$A$2:$A$497,1))/INDEX(Data!$I$2:$I$497,MATCH(N108,Data!$A$2:$A$497,1))),"")</f>
      </c>
      <c r="AT120" s="560">
        <f>IFERROR(LN(INDEX(Data!$J$2:$J$497,MATCH(N120,Data!$A$2:$A$497,1))/INDEX(Data!$J$2:$J$497,MATCH(N108,Data!$A$2:$A$497,1))),"")</f>
      </c>
      <c r="AU120" s="560">
        <f>IFERROR(LN(INDEX(Data!$K$2:$K$497,MATCH(N120,Data!$A$2:$A$497,1))/INDEX(Data!$K$2:$K$497,MATCH(N108,Data!$A$2:$A$497,1))),"")</f>
      </c>
      <c r="AV120" s="561">
        <f>IFERROR(LN(INDEX(Data!$L$2:$L$497,MATCH(N120,Data!$A$2:$A$497,1))/INDEX(Data!$L$2:$L$497,MATCH(N108,Data!$A$2:$A$497,1))),"")</f>
      </c>
    </row>
    <row r="121" ht="40" customHeight="1">
      <c r="A121" s="443" t="inlineStr">
        <is>
          <t>Portfolio</t>
        </is>
      </c>
      <c r="B121" s="444" t="inlineStr">
        <is>
          <t>Regression: 12 months</t>
        </is>
      </c>
      <c r="C121" s="444" t="inlineStr">
        <is>
          <t>Episode: 1990 scaled</t>
        </is>
      </c>
      <c r="D121" s="444" t="inlineStr">
        <is>
          <t>Episode: 2022 scaled</t>
        </is>
      </c>
      <c r="E121" s="444" t="inlineStr">
        <is>
          <t>Episode: 2008 scaled</t>
        </is>
      </c>
      <c r="F121" s="445" t="inlineStr">
        <is>
          <t>Central case</t>
        </is>
      </c>
      <c r="N121" s="337" t="n">
        <v>28398</v>
      </c>
      <c r="O121" s="116">
        <f>INDEX('Additional data'!$B$2:$B$965,MATCH(DATE(YEAR(N121),MONTH(N121),1),'Additional data'!$A$2:$A$965,0))</f>
        <v>14.85</v>
      </c>
      <c r="P121" s="489">
        <f>LN(O121)</f>
        <v>2.69799986524871</v>
      </c>
      <c r="Q121" s="489">
        <f>Q120+LN(1+INDEX('Additional data'!$H$2:$H$1196,MATCH(N121,'Additional data'!$G$2:$G$1196,1))+INDEX('Additional data'!$I$2:$I$1196,MATCH(N121,'Additional data'!$G$2:$G$1196,1)))</f>
        <v>0.302668277356608</v>
      </c>
      <c r="R121" s="77" t="n"/>
      <c r="S121" s="116">
        <f>IF(INDEX('Additional data'!$E$2:$E$699,MATCH(DATE(YEAR(N121),MONTH(N121),1),'Additional data'!$D$2:$D$699,0))=0,(INDEX('Additional data'!$E$2:$E$699,MATCH(DATE(YEAR(N121),MONTH(N121),1),'Additional data'!$D$2:$D$699,0)-1)+INDEX('Additional data'!$E$2:$E$699,MATCH(DATE(YEAR(N121),MONTH(N121),1),'Additional data'!$D$2:$D$699,0)+1))/2,INDEX('Additional data'!$E$2:$E$699,MATCH(DATE(YEAR(N121),MONTH(N121),1),'Additional data'!$D$2:$D$699,0)))</f>
        <v>10.43</v>
      </c>
      <c r="T121" s="425">
        <f>P121-P120</f>
        <v>0</v>
      </c>
      <c r="U121" s="425">
        <f>Q121-Q120</f>
        <v>0.0015987213636971</v>
      </c>
      <c r="V121" s="77" t="n"/>
      <c r="W121" s="116">
        <f>S121-S120</f>
        <v>-0.470000000000001</v>
      </c>
      <c r="X121" s="425">
        <f>P121-P109</f>
        <v>0.0661110251120625</v>
      </c>
      <c r="Y121" s="425">
        <f>Q121-Q109</f>
        <v>0.00252842391796765</v>
      </c>
      <c r="Z121" s="77" t="n"/>
      <c r="AA121" s="116">
        <f>S121-S109</f>
        <v>1.12</v>
      </c>
      <c r="AB121" s="425">
        <f>P121-P61</f>
        <v>1.42823932038477</v>
      </c>
      <c r="AC121" s="425">
        <f>Q121-Q61</f>
        <v>0.0469813018437525</v>
      </c>
      <c r="AD121" s="77" t="n"/>
      <c r="AE121" s="235">
        <f>S121-S61</f>
        <v>5.93</v>
      </c>
      <c r="AG121" s="554">
        <f>N121</f>
        <v>28398.0</v>
      </c>
      <c r="AH121" s="435">
        <f>IFERROR(INDEX('RBA 5Y yield'!$B$5:$B$661,MATCH(N121,'RBA 5Y yield'!$A$5:$A$661,1))*100,"")</f>
        <v>10.03</v>
      </c>
      <c r="AI121" s="435">
        <f>IF(AND(ISNUMBER(AH121),ISNUMBER(AH120)),AH121-AH120,"")</f>
        <v>-0.17</v>
      </c>
      <c r="AJ121" s="435">
        <f>IF(AND(ISNUMBER(AH121),ISNUMBER(AH109)),AH121-AH109,"")</f>
        <v>0.619999999999999</v>
      </c>
      <c r="AK121" s="435">
        <f>IF(AND(ISNUMBER(AH121),ISNUMBER(AH61)),AH121-AH61,"")</f>
        <v>4.83</v>
      </c>
      <c r="AL121" s="560">
        <f>IFERROR(LN(INDEX(Data!$B$2:$B$497,MATCH(N121,Data!$A$2:$A$497,1))/INDEX(Data!$B$2:$B$497,MATCH(N109,Data!$A$2:$A$497,1))),"")</f>
      </c>
      <c r="AM121" s="560">
        <f>IFERROR(LN(INDEX(Data!$C$2:$C$497,MATCH(N121,Data!$A$2:$A$497,1))/INDEX(Data!$C$2:$C$497,MATCH(N109,Data!$A$2:$A$497,1))),"")</f>
      </c>
      <c r="AN121" s="560">
        <f>IFERROR(LN(INDEX(Data!$D$2:$D$497,MATCH(N121,Data!$A$2:$A$497,1))/INDEX(Data!$D$2:$D$497,MATCH(N109,Data!$A$2:$A$497,1))),"")</f>
      </c>
      <c r="AO121" s="560">
        <f>IFERROR(LN(INDEX(Data!$E$2:$E$497,MATCH(N121,Data!$A$2:$A$497,1))/INDEX(Data!$E$2:$E$497,MATCH(N109,Data!$A$2:$A$497,1))),"")</f>
      </c>
      <c r="AP121" s="560">
        <f>IFERROR(LN(INDEX(Data!$F$2:$F$497,MATCH(N121,Data!$A$2:$A$497,1))/INDEX(Data!$F$2:$F$497,MATCH(N109,Data!$A$2:$A$497,1))),"")</f>
      </c>
      <c r="AQ121" s="560">
        <f>IFERROR(LN(INDEX(Data!$G$2:$G$497,MATCH(N121,Data!$A$2:$A$497,1))/INDEX(Data!$G$2:$G$497,MATCH(N109,Data!$A$2:$A$497,1))),"")</f>
      </c>
      <c r="AR121" s="560">
        <f>IFERROR(LN(INDEX(Data!$H$2:$H$497,MATCH(N121,Data!$A$2:$A$497,1))/INDEX(Data!$H$2:$H$497,MATCH(N109,Data!$A$2:$A$497,1))),"")</f>
      </c>
      <c r="AS121" s="560">
        <f>IFERROR(LN(INDEX(Data!$I$2:$I$497,MATCH(N121,Data!$A$2:$A$497,1))/INDEX(Data!$I$2:$I$497,MATCH(N109,Data!$A$2:$A$497,1))),"")</f>
      </c>
      <c r="AT121" s="560">
        <f>IFERROR(LN(INDEX(Data!$J$2:$J$497,MATCH(N121,Data!$A$2:$A$497,1))/INDEX(Data!$J$2:$J$497,MATCH(N109,Data!$A$2:$A$497,1))),"")</f>
      </c>
      <c r="AU121" s="560">
        <f>IFERROR(LN(INDEX(Data!$K$2:$K$497,MATCH(N121,Data!$A$2:$A$497,1))/INDEX(Data!$K$2:$K$497,MATCH(N109,Data!$A$2:$A$497,1))),"")</f>
      </c>
      <c r="AV121" s="561">
        <f>IFERROR(LN(INDEX(Data!$L$2:$L$497,MATCH(N121,Data!$A$2:$A$497,1))/INDEX(Data!$L$2:$L$497,MATCH(N109,Data!$A$2:$A$497,1))),"")</f>
      </c>
    </row>
    <row r="122">
      <c r="A122" s="446" t="inlineStr">
        <is>
          <t>Current fund</t>
        </is>
      </c>
      <c r="B122" s="483">
        <f>SUMPRODUCT($F$107:$F$117,Portfolio!$C$6:$C$16)</f>
        <v>0.00614280565517123</v>
      </c>
      <c r="C122" s="483">
        <f>SUMPRODUCT(D$28:D$38,Portfolio!$C$6:$C$16)</f>
        <v>-0.0615639137193719</v>
      </c>
      <c r="D122" s="483">
        <f>SUMPRODUCT(E$28:E$38,Portfolio!$C$6:$C$16)</f>
        <v>-0.103654702289953</v>
      </c>
      <c r="E122" s="483">
        <f>SUMPRODUCT(C$135:C$145,Portfolio!$C$6:$C$16)</f>
        <v>-0.134644386948835</v>
      </c>
      <c r="F122" s="565">
        <f>SUMPRODUCT(F$28:F$38,Portfolio!$C$6:$C$16)</f>
        <v>-0.0826093080046623</v>
      </c>
      <c r="N122" s="337" t="n">
        <v>28429</v>
      </c>
      <c r="O122" s="116">
        <f>INDEX('Additional data'!$B$2:$B$965,MATCH(DATE(YEAR(N122),MONTH(N122),1),'Additional data'!$A$2:$A$965,0))</f>
        <v>14.85</v>
      </c>
      <c r="P122" s="489">
        <f>LN(O122)</f>
        <v>2.69799986524871</v>
      </c>
      <c r="Q122" s="489">
        <f>Q121+LN(1+INDEX('Additional data'!$H$2:$H$1196,MATCH(N122,'Additional data'!$G$2:$G$1196,1))+INDEX('Additional data'!$I$2:$I$1196,MATCH(N122,'Additional data'!$G$2:$G$1196,1)))</f>
        <v>0.262887407344764</v>
      </c>
      <c r="R122" s="77" t="n"/>
      <c r="S122" s="116">
        <f>IF(INDEX('Additional data'!$E$2:$E$699,MATCH(DATE(YEAR(N122),MONTH(N122),1),'Additional data'!$D$2:$D$699,0))=0,(INDEX('Additional data'!$E$2:$E$699,MATCH(DATE(YEAR(N122),MONTH(N122),1),'Additional data'!$D$2:$D$699,0)-1)+INDEX('Additional data'!$E$2:$E$699,MATCH(DATE(YEAR(N122),MONTH(N122),1),'Additional data'!$D$2:$D$699,0)+1))/2,INDEX('Additional data'!$E$2:$E$699,MATCH(DATE(YEAR(N122),MONTH(N122),1),'Additional data'!$D$2:$D$699,0)))</f>
        <v>10.02</v>
      </c>
      <c r="T122" s="425">
        <f>P122-P121</f>
        <v>0</v>
      </c>
      <c r="U122" s="425">
        <f>Q122-Q121</f>
        <v>-0.0397808700118446</v>
      </c>
      <c r="V122" s="77" t="n"/>
      <c r="W122" s="116">
        <f>S122-S121</f>
        <v>-0.41</v>
      </c>
      <c r="X122" s="425">
        <f>P122-P110</f>
        <v>0.0661110251120625</v>
      </c>
      <c r="Y122" s="425">
        <f>Q122-Q110</f>
        <v>-0.0169476927535127</v>
      </c>
      <c r="Z122" s="77" t="n"/>
      <c r="AA122" s="116">
        <f>S122-S110</f>
        <v>0.959999999999999</v>
      </c>
      <c r="AB122" s="425">
        <f>P122-P62</f>
        <v>1.42823932038477</v>
      </c>
      <c r="AC122" s="425">
        <f>Q122-Q62</f>
        <v>-0.00195750595285782</v>
      </c>
      <c r="AD122" s="77" t="n"/>
      <c r="AE122" s="235">
        <f>S122-S62</f>
        <v>5.72</v>
      </c>
      <c r="AG122" s="554">
        <f>N122</f>
        <v>28429.0</v>
      </c>
      <c r="AH122" s="435">
        <f>IFERROR(INDEX('RBA 5Y yield'!$B$5:$B$661,MATCH(N122,'RBA 5Y yield'!$A$5:$A$661,1))*100,"")</f>
        <v>9.84</v>
      </c>
      <c r="AI122" s="435">
        <f>IF(AND(ISNUMBER(AH122),ISNUMBER(AH121)),AH122-AH121,"")</f>
        <v>-0.19</v>
      </c>
      <c r="AJ122" s="435">
        <f>IF(AND(ISNUMBER(AH122),ISNUMBER(AH110)),AH122-AH110,"")</f>
        <v>0.43</v>
      </c>
      <c r="AK122" s="435">
        <f>IF(AND(ISNUMBER(AH122),ISNUMBER(AH62)),AH122-AH62,"")</f>
        <v>4.57</v>
      </c>
      <c r="AL122" s="560">
        <f>IFERROR(LN(INDEX(Data!$B$2:$B$497,MATCH(N122,Data!$A$2:$A$497,1))/INDEX(Data!$B$2:$B$497,MATCH(N110,Data!$A$2:$A$497,1))),"")</f>
      </c>
      <c r="AM122" s="560">
        <f>IFERROR(LN(INDEX(Data!$C$2:$C$497,MATCH(N122,Data!$A$2:$A$497,1))/INDEX(Data!$C$2:$C$497,MATCH(N110,Data!$A$2:$A$497,1))),"")</f>
      </c>
      <c r="AN122" s="560">
        <f>IFERROR(LN(INDEX(Data!$D$2:$D$497,MATCH(N122,Data!$A$2:$A$497,1))/INDEX(Data!$D$2:$D$497,MATCH(N110,Data!$A$2:$A$497,1))),"")</f>
      </c>
      <c r="AO122" s="560">
        <f>IFERROR(LN(INDEX(Data!$E$2:$E$497,MATCH(N122,Data!$A$2:$A$497,1))/INDEX(Data!$E$2:$E$497,MATCH(N110,Data!$A$2:$A$497,1))),"")</f>
      </c>
      <c r="AP122" s="560">
        <f>IFERROR(LN(INDEX(Data!$F$2:$F$497,MATCH(N122,Data!$A$2:$A$497,1))/INDEX(Data!$F$2:$F$497,MATCH(N110,Data!$A$2:$A$497,1))),"")</f>
      </c>
      <c r="AQ122" s="560">
        <f>IFERROR(LN(INDEX(Data!$G$2:$G$497,MATCH(N122,Data!$A$2:$A$497,1))/INDEX(Data!$G$2:$G$497,MATCH(N110,Data!$A$2:$A$497,1))),"")</f>
      </c>
      <c r="AR122" s="560">
        <f>IFERROR(LN(INDEX(Data!$H$2:$H$497,MATCH(N122,Data!$A$2:$A$497,1))/INDEX(Data!$H$2:$H$497,MATCH(N110,Data!$A$2:$A$497,1))),"")</f>
      </c>
      <c r="AS122" s="560">
        <f>IFERROR(LN(INDEX(Data!$I$2:$I$497,MATCH(N122,Data!$A$2:$A$497,1))/INDEX(Data!$I$2:$I$497,MATCH(N110,Data!$A$2:$A$497,1))),"")</f>
      </c>
      <c r="AT122" s="560">
        <f>IFERROR(LN(INDEX(Data!$J$2:$J$497,MATCH(N122,Data!$A$2:$A$497,1))/INDEX(Data!$J$2:$J$497,MATCH(N110,Data!$A$2:$A$497,1))),"")</f>
      </c>
      <c r="AU122" s="560">
        <f>IFERROR(LN(INDEX(Data!$K$2:$K$497,MATCH(N122,Data!$A$2:$A$497,1))/INDEX(Data!$K$2:$K$497,MATCH(N110,Data!$A$2:$A$497,1))),"")</f>
      </c>
      <c r="AV122" s="561">
        <f>IFERROR(LN(INDEX(Data!$L$2:$L$497,MATCH(N122,Data!$A$2:$A$497,1))/INDEX(Data!$L$2:$L$497,MATCH(N110,Data!$A$2:$A$497,1))),"")</f>
      </c>
    </row>
    <row r="123">
      <c r="A123" s="446" t="inlineStr">
        <is>
          <t>Benchmark</t>
        </is>
      </c>
      <c r="B123" s="483">
        <f>SUMPRODUCT($F$107:$F$117,Portfolio!$D$6:$D$16)</f>
        <v>0.00560851685405523</v>
      </c>
      <c r="C123" s="483">
        <f>SUMPRODUCT(D$28:D$38,Portfolio!$D$6:$D$16)</f>
        <v>-0.0517640156922182</v>
      </c>
      <c r="D123" s="483">
        <f>SUMPRODUCT(E$28:E$38,Portfolio!$D$6:$D$16)</f>
        <v>-0.0960564783237981</v>
      </c>
      <c r="E123" s="483">
        <f>SUMPRODUCT(C$135:C$145,Portfolio!$D$6:$D$16)</f>
        <v>-0.10826170519404</v>
      </c>
      <c r="F123" s="565">
        <f>SUMPRODUCT(F$28:F$38,Portfolio!$D$6:$D$16)</f>
        <v>-0.0739102470080081</v>
      </c>
      <c r="N123" s="337" t="n">
        <v>28459</v>
      </c>
      <c r="O123" s="116">
        <f>INDEX('Additional data'!$B$2:$B$965,MATCH(DATE(YEAR(N123),MONTH(N123),1),'Additional data'!$A$2:$A$965,0))</f>
        <v>14.85</v>
      </c>
      <c r="P123" s="489">
        <f>LN(O123)</f>
        <v>2.69799986524871</v>
      </c>
      <c r="Q123" s="489">
        <f>Q122+LN(1+INDEX('Additional data'!$H$2:$H$1196,MATCH(N123,'Additional data'!$G$2:$G$1196,1))+INDEX('Additional data'!$I$2:$I$1196,MATCH(N123,'Additional data'!$G$2:$G$1196,1)))</f>
        <v>0.306904292761538</v>
      </c>
      <c r="R123" s="77" t="n"/>
      <c r="S123" s="116">
        <f>IF(INDEX('Additional data'!$E$2:$E$699,MATCH(DATE(YEAR(N123),MONTH(N123),1),'Additional data'!$D$2:$D$699,0))=0,(INDEX('Additional data'!$E$2:$E$699,MATCH(DATE(YEAR(N123),MONTH(N123),1),'Additional data'!$D$2:$D$699,0)-1)+INDEX('Additional data'!$E$2:$E$699,MATCH(DATE(YEAR(N123),MONTH(N123),1),'Additional data'!$D$2:$D$699,0)+1))/2,INDEX('Additional data'!$E$2:$E$699,MATCH(DATE(YEAR(N123),MONTH(N123),1),'Additional data'!$D$2:$D$699,0)))</f>
        <v>10.01</v>
      </c>
      <c r="T123" s="425">
        <f>P123-P122</f>
        <v>0</v>
      </c>
      <c r="U123" s="425">
        <f>Q123-Q122</f>
        <v>0.0440168854167742</v>
      </c>
      <c r="V123" s="77" t="n"/>
      <c r="W123" s="116">
        <f>S123-S122</f>
        <v>-0.00999999999999979</v>
      </c>
      <c r="X123" s="425">
        <f>P123-P111</f>
        <v>0.0661110251120625</v>
      </c>
      <c r="Y123" s="425">
        <f>Q123-Q111</f>
        <v>0.0194979271669434</v>
      </c>
      <c r="Z123" s="77" t="n"/>
      <c r="AA123" s="116">
        <f>S123-S111</f>
        <v>0.49</v>
      </c>
      <c r="AB123" s="425">
        <f>P123-P63</f>
        <v>1.42823932038477</v>
      </c>
      <c r="AC123" s="425">
        <f>Q123-Q63</f>
        <v>-0.00644502959569865</v>
      </c>
      <c r="AD123" s="77" t="n"/>
      <c r="AE123" s="235">
        <f>S123-S63</f>
        <v>4.91</v>
      </c>
      <c r="AG123" s="554">
        <f>N123</f>
        <v>28459.0</v>
      </c>
      <c r="AH123" s="435">
        <f>IFERROR(INDEX('RBA 5Y yield'!$B$5:$B$661,MATCH(N123,'RBA 5Y yield'!$A$5:$A$661,1))*100,"")</f>
        <v>9.72</v>
      </c>
      <c r="AI123" s="435">
        <f>IF(AND(ISNUMBER(AH123),ISNUMBER(AH122)),AH123-AH122,"")</f>
        <v>-0.120000000000001</v>
      </c>
      <c r="AJ123" s="435">
        <f>IF(AND(ISNUMBER(AH123),ISNUMBER(AH111)),AH123-AH111,"")</f>
        <v>-0.0200000000000014</v>
      </c>
      <c r="AK123" s="435">
        <f>IF(AND(ISNUMBER(AH123),ISNUMBER(AH63)),AH123-AH63,"")</f>
        <v>4.45</v>
      </c>
      <c r="AL123" s="560">
        <f>IFERROR(LN(INDEX(Data!$B$2:$B$497,MATCH(N123,Data!$A$2:$A$497,1))/INDEX(Data!$B$2:$B$497,MATCH(N111,Data!$A$2:$A$497,1))),"")</f>
      </c>
      <c r="AM123" s="560">
        <f>IFERROR(LN(INDEX(Data!$C$2:$C$497,MATCH(N123,Data!$A$2:$A$497,1))/INDEX(Data!$C$2:$C$497,MATCH(N111,Data!$A$2:$A$497,1))),"")</f>
      </c>
      <c r="AN123" s="560">
        <f>IFERROR(LN(INDEX(Data!$D$2:$D$497,MATCH(N123,Data!$A$2:$A$497,1))/INDEX(Data!$D$2:$D$497,MATCH(N111,Data!$A$2:$A$497,1))),"")</f>
      </c>
      <c r="AO123" s="560">
        <f>IFERROR(LN(INDEX(Data!$E$2:$E$497,MATCH(N123,Data!$A$2:$A$497,1))/INDEX(Data!$E$2:$E$497,MATCH(N111,Data!$A$2:$A$497,1))),"")</f>
      </c>
      <c r="AP123" s="560">
        <f>IFERROR(LN(INDEX(Data!$F$2:$F$497,MATCH(N123,Data!$A$2:$A$497,1))/INDEX(Data!$F$2:$F$497,MATCH(N111,Data!$A$2:$A$497,1))),"")</f>
      </c>
      <c r="AQ123" s="560">
        <f>IFERROR(LN(INDEX(Data!$G$2:$G$497,MATCH(N123,Data!$A$2:$A$497,1))/INDEX(Data!$G$2:$G$497,MATCH(N111,Data!$A$2:$A$497,1))),"")</f>
      </c>
      <c r="AR123" s="560">
        <f>IFERROR(LN(INDEX(Data!$H$2:$H$497,MATCH(N123,Data!$A$2:$A$497,1))/INDEX(Data!$H$2:$H$497,MATCH(N111,Data!$A$2:$A$497,1))),"")</f>
      </c>
      <c r="AS123" s="560">
        <f>IFERROR(LN(INDEX(Data!$I$2:$I$497,MATCH(N123,Data!$A$2:$A$497,1))/INDEX(Data!$I$2:$I$497,MATCH(N111,Data!$A$2:$A$497,1))),"")</f>
      </c>
      <c r="AT123" s="560">
        <f>IFERROR(LN(INDEX(Data!$J$2:$J$497,MATCH(N123,Data!$A$2:$A$497,1))/INDEX(Data!$J$2:$J$497,MATCH(N111,Data!$A$2:$A$497,1))),"")</f>
      </c>
      <c r="AU123" s="560">
        <f>IFERROR(LN(INDEX(Data!$K$2:$K$497,MATCH(N123,Data!$A$2:$A$497,1))/INDEX(Data!$K$2:$K$497,MATCH(N111,Data!$A$2:$A$497,1))),"")</f>
      </c>
      <c r="AV123" s="561">
        <f>IFERROR(LN(INDEX(Data!$L$2:$L$497,MATCH(N123,Data!$A$2:$A$497,1))/INDEX(Data!$L$2:$L$497,MATCH(N111,Data!$A$2:$A$497,1))),"")</f>
      </c>
    </row>
    <row r="124">
      <c r="A124" s="460" t="inlineStr">
        <is>
          <t>Recommended</t>
        </is>
      </c>
      <c r="B124" s="574">
        <f>SUMPRODUCT($F$107:$F$117,Portfolio!$E$6:$E$16)</f>
        <v>0.0058108569534685</v>
      </c>
      <c r="C124" s="574">
        <f>SUMPRODUCT(D$28:D$38,Portfolio!$E$6:$E$16)</f>
        <v>-0.0596875580408782</v>
      </c>
      <c r="D124" s="574">
        <f>SUMPRODUCT(E$28:E$38,Portfolio!$E$6:$E$16)</f>
        <v>-0.107590261472912</v>
      </c>
      <c r="E124" s="574">
        <f>SUMPRODUCT(C$135:C$145,Portfolio!$E$6:$E$16)</f>
        <v>-0.134286393345641</v>
      </c>
      <c r="F124" s="575">
        <f>SUMPRODUCT(F$28:F$38,Portfolio!$E$6:$E$16)</f>
        <v>-0.0836389097568949</v>
      </c>
      <c r="N124" s="337" t="n">
        <v>28490</v>
      </c>
      <c r="O124" s="116">
        <f>INDEX('Additional data'!$B$2:$B$965,MATCH(DATE(YEAR(N124),MONTH(N124),1),'Additional data'!$A$2:$A$965,0))</f>
        <v>14.85</v>
      </c>
      <c r="P124" s="489">
        <f>LN(O124)</f>
        <v>2.69799986524871</v>
      </c>
      <c r="Q124" s="489">
        <f>Q123+LN(1+INDEX('Additional data'!$H$2:$H$1196,MATCH(N124,'Additional data'!$G$2:$G$1196,1))+INDEX('Additional data'!$I$2:$I$1196,MATCH(N124,'Additional data'!$G$2:$G$1196,1)))</f>
        <v>0.314475558257856</v>
      </c>
      <c r="R124" s="77" t="n"/>
      <c r="S124" s="116">
        <f>IF(INDEX('Additional data'!$E$2:$E$699,MATCH(DATE(YEAR(N124),MONTH(N124),1),'Additional data'!$D$2:$D$699,0))=0,(INDEX('Additional data'!$E$2:$E$699,MATCH(DATE(YEAR(N124),MONTH(N124),1),'Additional data'!$D$2:$D$699,0)-1)+INDEX('Additional data'!$E$2:$E$699,MATCH(DATE(YEAR(N124),MONTH(N124),1),'Additional data'!$D$2:$D$699,0)+1))/2,INDEX('Additional data'!$E$2:$E$699,MATCH(DATE(YEAR(N124),MONTH(N124),1),'Additional data'!$D$2:$D$699,0)))</f>
        <v>9.75</v>
      </c>
      <c r="T124" s="425">
        <f>P124-P123</f>
        <v>0</v>
      </c>
      <c r="U124" s="425">
        <f>Q124-Q123</f>
        <v>0.00757126549631793</v>
      </c>
      <c r="V124" s="77" t="n"/>
      <c r="W124" s="116">
        <f>S124-S123</f>
        <v>-0.26</v>
      </c>
      <c r="X124" s="425">
        <f>P124-P112</f>
        <v>0.0661110251120625</v>
      </c>
      <c r="Y124" s="425">
        <f>Q124-Q112</f>
        <v>-0.0316713023593387</v>
      </c>
      <c r="Z124" s="77" t="n"/>
      <c r="AA124" s="116">
        <f>S124-S112</f>
        <v>0.310000000000001</v>
      </c>
      <c r="AB124" s="425">
        <f>P124-P64</f>
        <v>1.42823932038477</v>
      </c>
      <c r="AC124" s="425">
        <f>Q124-Q64</f>
        <v>-0.00872508014975493</v>
      </c>
      <c r="AD124" s="77" t="n"/>
      <c r="AE124" s="235">
        <f>S124-S64</f>
        <v>5.3</v>
      </c>
      <c r="AG124" s="554">
        <f>N124</f>
        <v>28490.0</v>
      </c>
      <c r="AH124" s="435">
        <f>IFERROR(INDEX('RBA 5Y yield'!$B$5:$B$661,MATCH(N124,'RBA 5Y yield'!$A$5:$A$661,1))*100,"")</f>
        <v>9.5</v>
      </c>
      <c r="AI124" s="435">
        <f>IF(AND(ISNUMBER(AH124),ISNUMBER(AH123)),AH124-AH123,"")</f>
        <v>-0.219999999999999</v>
      </c>
      <c r="AJ124" s="435">
        <f>IF(AND(ISNUMBER(AH124),ISNUMBER(AH112)),AH124-AH112,"")</f>
        <v>-0.709999999999999</v>
      </c>
      <c r="AK124" s="435">
        <f>IF(AND(ISNUMBER(AH124),ISNUMBER(AH64)),AH124-AH64,"")</f>
        <v>4.1</v>
      </c>
      <c r="AL124" s="560">
        <f>IFERROR(LN(INDEX(Data!$B$2:$B$497,MATCH(N124,Data!$A$2:$A$497,1))/INDEX(Data!$B$2:$B$497,MATCH(N112,Data!$A$2:$A$497,1))),"")</f>
      </c>
      <c r="AM124" s="560">
        <f>IFERROR(LN(INDEX(Data!$C$2:$C$497,MATCH(N124,Data!$A$2:$A$497,1))/INDEX(Data!$C$2:$C$497,MATCH(N112,Data!$A$2:$A$497,1))),"")</f>
      </c>
      <c r="AN124" s="560">
        <f>IFERROR(LN(INDEX(Data!$D$2:$D$497,MATCH(N124,Data!$A$2:$A$497,1))/INDEX(Data!$D$2:$D$497,MATCH(N112,Data!$A$2:$A$497,1))),"")</f>
      </c>
      <c r="AO124" s="560">
        <f>IFERROR(LN(INDEX(Data!$E$2:$E$497,MATCH(N124,Data!$A$2:$A$497,1))/INDEX(Data!$E$2:$E$497,MATCH(N112,Data!$A$2:$A$497,1))),"")</f>
      </c>
      <c r="AP124" s="560">
        <f>IFERROR(LN(INDEX(Data!$F$2:$F$497,MATCH(N124,Data!$A$2:$A$497,1))/INDEX(Data!$F$2:$F$497,MATCH(N112,Data!$A$2:$A$497,1))),"")</f>
      </c>
      <c r="AQ124" s="560">
        <f>IFERROR(LN(INDEX(Data!$G$2:$G$497,MATCH(N124,Data!$A$2:$A$497,1))/INDEX(Data!$G$2:$G$497,MATCH(N112,Data!$A$2:$A$497,1))),"")</f>
      </c>
      <c r="AR124" s="560">
        <f>IFERROR(LN(INDEX(Data!$H$2:$H$497,MATCH(N124,Data!$A$2:$A$497,1))/INDEX(Data!$H$2:$H$497,MATCH(N112,Data!$A$2:$A$497,1))),"")</f>
      </c>
      <c r="AS124" s="560">
        <f>IFERROR(LN(INDEX(Data!$I$2:$I$497,MATCH(N124,Data!$A$2:$A$497,1))/INDEX(Data!$I$2:$I$497,MATCH(N112,Data!$A$2:$A$497,1))),"")</f>
      </c>
      <c r="AT124" s="560">
        <f>IFERROR(LN(INDEX(Data!$J$2:$J$497,MATCH(N124,Data!$A$2:$A$497,1))/INDEX(Data!$J$2:$J$497,MATCH(N112,Data!$A$2:$A$497,1))),"")</f>
      </c>
      <c r="AU124" s="560">
        <f>IFERROR(LN(INDEX(Data!$K$2:$K$497,MATCH(N124,Data!$A$2:$A$497,1))/INDEX(Data!$K$2:$K$497,MATCH(N112,Data!$A$2:$A$497,1))),"")</f>
      </c>
      <c r="AV124" s="561">
        <f>IFERROR(LN(INDEX(Data!$L$2:$L$497,MATCH(N124,Data!$A$2:$A$497,1))/INDEX(Data!$L$2:$L$497,MATCH(N112,Data!$A$2:$A$497,1))),"")</f>
      </c>
    </row>
    <row r="125">
      <c r="N125" s="337" t="n">
        <v>28521</v>
      </c>
      <c r="O125" s="116">
        <f>INDEX('Additional data'!$B$2:$B$965,MATCH(DATE(YEAR(N125),MONTH(N125),1),'Additional data'!$A$2:$A$965,0))</f>
        <v>14.85</v>
      </c>
      <c r="P125" s="489">
        <f>LN(O125)</f>
        <v>2.69799986524871</v>
      </c>
      <c r="Q125" s="489">
        <f>Q124+LN(1+INDEX('Additional data'!$H$2:$H$1196,MATCH(N125,'Additional data'!$G$2:$G$1196,1))+INDEX('Additional data'!$I$2:$I$1196,MATCH(N125,'Additional data'!$G$2:$G$1196,1)))</f>
        <v>0.257799381064299</v>
      </c>
      <c r="R125" s="77" t="n"/>
      <c r="S125" s="116">
        <f>IF(INDEX('Additional data'!$E$2:$E$699,MATCH(DATE(YEAR(N125),MONTH(N125),1),'Additional data'!$D$2:$D$699,0))=0,(INDEX('Additional data'!$E$2:$E$699,MATCH(DATE(YEAR(N125),MONTH(N125),1),'Additional data'!$D$2:$D$699,0)-1)+INDEX('Additional data'!$E$2:$E$699,MATCH(DATE(YEAR(N125),MONTH(N125),1),'Additional data'!$D$2:$D$699,0)+1))/2,INDEX('Additional data'!$E$2:$E$699,MATCH(DATE(YEAR(N125),MONTH(N125),1),'Additional data'!$D$2:$D$699,0)))</f>
        <v>9.49</v>
      </c>
      <c r="T125" s="425">
        <f>P125-P124</f>
        <v>0</v>
      </c>
      <c r="U125" s="425">
        <f>Q125-Q124</f>
        <v>-0.0566761771935569</v>
      </c>
      <c r="V125" s="77" t="n"/>
      <c r="W125" s="116">
        <f>S125-S124</f>
        <v>-0.26</v>
      </c>
      <c r="X125" s="425">
        <f>P125-P113</f>
        <v>0.0661110251120625</v>
      </c>
      <c r="Y125" s="425">
        <f>Q125-Q113</f>
        <v>-0.0509570903343365</v>
      </c>
      <c r="Z125" s="77" t="n"/>
      <c r="AA125" s="116">
        <f>S125-S113</f>
        <v>0.560000000000001</v>
      </c>
      <c r="AB125" s="425">
        <f>P125-P65</f>
        <v>1.42823932038477</v>
      </c>
      <c r="AC125" s="425">
        <f>Q125-Q65</f>
        <v>-0.0366930932065681</v>
      </c>
      <c r="AD125" s="77" t="n"/>
      <c r="AE125" s="235">
        <f>S125-S65</f>
        <v>4.79</v>
      </c>
      <c r="AG125" s="554">
        <f>N125</f>
        <v>28521.0</v>
      </c>
      <c r="AH125" s="435">
        <f>IFERROR(INDEX('RBA 5Y yield'!$B$5:$B$661,MATCH(N125,'RBA 5Y yield'!$A$5:$A$661,1))*100,"")</f>
        <v>9.32</v>
      </c>
      <c r="AI125" s="435">
        <f>IF(AND(ISNUMBER(AH125),ISNUMBER(AH124)),AH125-AH124,"")</f>
        <v>-0.18</v>
      </c>
      <c r="AJ125" s="435">
        <f>IF(AND(ISNUMBER(AH125),ISNUMBER(AH113)),AH125-AH113,"")</f>
        <v>-0.9</v>
      </c>
      <c r="AK125" s="435">
        <f>IF(AND(ISNUMBER(AH125),ISNUMBER(AH65)),AH125-AH65,"")</f>
        <v>4.08</v>
      </c>
      <c r="AL125" s="560">
        <f>IFERROR(LN(INDEX(Data!$B$2:$B$497,MATCH(N125,Data!$A$2:$A$497,1))/INDEX(Data!$B$2:$B$497,MATCH(N113,Data!$A$2:$A$497,1))),"")</f>
      </c>
      <c r="AM125" s="560">
        <f>IFERROR(LN(INDEX(Data!$C$2:$C$497,MATCH(N125,Data!$A$2:$A$497,1))/INDEX(Data!$C$2:$C$497,MATCH(N113,Data!$A$2:$A$497,1))),"")</f>
      </c>
      <c r="AN125" s="560">
        <f>IFERROR(LN(INDEX(Data!$D$2:$D$497,MATCH(N125,Data!$A$2:$A$497,1))/INDEX(Data!$D$2:$D$497,MATCH(N113,Data!$A$2:$A$497,1))),"")</f>
      </c>
      <c r="AO125" s="560">
        <f>IFERROR(LN(INDEX(Data!$E$2:$E$497,MATCH(N125,Data!$A$2:$A$497,1))/INDEX(Data!$E$2:$E$497,MATCH(N113,Data!$A$2:$A$497,1))),"")</f>
      </c>
      <c r="AP125" s="560">
        <f>IFERROR(LN(INDEX(Data!$F$2:$F$497,MATCH(N125,Data!$A$2:$A$497,1))/INDEX(Data!$F$2:$F$497,MATCH(N113,Data!$A$2:$A$497,1))),"")</f>
      </c>
      <c r="AQ125" s="560">
        <f>IFERROR(LN(INDEX(Data!$G$2:$G$497,MATCH(N125,Data!$A$2:$A$497,1))/INDEX(Data!$G$2:$G$497,MATCH(N113,Data!$A$2:$A$497,1))),"")</f>
      </c>
      <c r="AR125" s="560">
        <f>IFERROR(LN(INDEX(Data!$H$2:$H$497,MATCH(N125,Data!$A$2:$A$497,1))/INDEX(Data!$H$2:$H$497,MATCH(N113,Data!$A$2:$A$497,1))),"")</f>
      </c>
      <c r="AS125" s="560">
        <f>IFERROR(LN(INDEX(Data!$I$2:$I$497,MATCH(N125,Data!$A$2:$A$497,1))/INDEX(Data!$I$2:$I$497,MATCH(N113,Data!$A$2:$A$497,1))),"")</f>
      </c>
      <c r="AT125" s="560">
        <f>IFERROR(LN(INDEX(Data!$J$2:$J$497,MATCH(N125,Data!$A$2:$A$497,1))/INDEX(Data!$J$2:$J$497,MATCH(N113,Data!$A$2:$A$497,1))),"")</f>
      </c>
      <c r="AU125" s="560">
        <f>IFERROR(LN(INDEX(Data!$K$2:$K$497,MATCH(N125,Data!$A$2:$A$497,1))/INDEX(Data!$K$2:$K$497,MATCH(N113,Data!$A$2:$A$497,1))),"")</f>
      </c>
      <c r="AV125" s="561">
        <f>IFERROR(LN(INDEX(Data!$L$2:$L$497,MATCH(N125,Data!$A$2:$A$497,1))/INDEX(Data!$L$2:$L$497,MATCH(N113,Data!$A$2:$A$497,1))),"")</f>
      </c>
    </row>
    <row r="126">
      <c r="N126" s="337" t="n">
        <v>28549</v>
      </c>
      <c r="O126" s="116">
        <f>INDEX('Additional data'!$B$2:$B$965,MATCH(DATE(YEAR(N126),MONTH(N126),1),'Additional data'!$A$2:$A$965,0))</f>
        <v>14.85</v>
      </c>
      <c r="P126" s="489">
        <f>LN(O126)</f>
        <v>2.69799986524871</v>
      </c>
      <c r="Q126" s="489">
        <f>Q125+LN(1+INDEX('Additional data'!$H$2:$H$1196,MATCH(N126,'Additional data'!$G$2:$G$1196,1))+INDEX('Additional data'!$I$2:$I$1196,MATCH(N126,'Additional data'!$G$2:$G$1196,1)))</f>
        <v>0.248455866061146</v>
      </c>
      <c r="R126" s="77" t="n"/>
      <c r="S126" s="116">
        <f>IF(INDEX('Additional data'!$E$2:$E$699,MATCH(DATE(YEAR(N126),MONTH(N126),1),'Additional data'!$D$2:$D$699,0))=0,(INDEX('Additional data'!$E$2:$E$699,MATCH(DATE(YEAR(N126),MONTH(N126),1),'Additional data'!$D$2:$D$699,0)-1)+INDEX('Additional data'!$E$2:$E$699,MATCH(DATE(YEAR(N126),MONTH(N126),1),'Additional data'!$D$2:$D$699,0)+1))/2,INDEX('Additional data'!$E$2:$E$699,MATCH(DATE(YEAR(N126),MONTH(N126),1),'Additional data'!$D$2:$D$699,0)))</f>
        <v>9.55</v>
      </c>
      <c r="T126" s="425">
        <f>P126-P125</f>
        <v>0</v>
      </c>
      <c r="U126" s="425">
        <f>Q126-Q125</f>
        <v>-0.00934351500315248</v>
      </c>
      <c r="V126" s="77" t="n"/>
      <c r="W126" s="116">
        <f>S126-S125</f>
        <v>0.0600000000000005</v>
      </c>
      <c r="X126" s="425">
        <f>P126-P114</f>
        <v>0.0661110251120625</v>
      </c>
      <c r="Y126" s="425">
        <f>Q126-Q114</f>
        <v>-0.0442728442602918</v>
      </c>
      <c r="Z126" s="77" t="n"/>
      <c r="AA126" s="116">
        <f>S126-S114</f>
        <v>0.24</v>
      </c>
      <c r="AB126" s="425">
        <f>P126-P66</f>
        <v>1.42823932038477</v>
      </c>
      <c r="AC126" s="425">
        <f>Q126-Q66</f>
        <v>-0.000725385499717457</v>
      </c>
      <c r="AD126" s="77" t="n"/>
      <c r="AE126" s="235">
        <f>S126-S66</f>
        <v>4.75</v>
      </c>
      <c r="AG126" s="554">
        <f>N126</f>
        <v>28549.0</v>
      </c>
      <c r="AH126" s="435">
        <f>IFERROR(INDEX('RBA 5Y yield'!$B$5:$B$661,MATCH(N126,'RBA 5Y yield'!$A$5:$A$661,1))*100,"")</f>
        <v>9.09</v>
      </c>
      <c r="AI126" s="435">
        <f>IF(AND(ISNUMBER(AH126),ISNUMBER(AH125)),AH126-AH125,"")</f>
        <v>-0.23</v>
      </c>
      <c r="AJ126" s="435">
        <f>IF(AND(ISNUMBER(AH126),ISNUMBER(AH114)),AH126-AH114,"")</f>
        <v>-1.12</v>
      </c>
      <c r="AK126" s="435">
        <f>IF(AND(ISNUMBER(AH126),ISNUMBER(AH66)),AH126-AH66,"")</f>
        <v>3.78</v>
      </c>
      <c r="AL126" s="560">
        <f>IFERROR(LN(INDEX(Data!$B$2:$B$497,MATCH(N126,Data!$A$2:$A$497,1))/INDEX(Data!$B$2:$B$497,MATCH(N114,Data!$A$2:$A$497,1))),"")</f>
      </c>
      <c r="AM126" s="560">
        <f>IFERROR(LN(INDEX(Data!$C$2:$C$497,MATCH(N126,Data!$A$2:$A$497,1))/INDEX(Data!$C$2:$C$497,MATCH(N114,Data!$A$2:$A$497,1))),"")</f>
      </c>
      <c r="AN126" s="560">
        <f>IFERROR(LN(INDEX(Data!$D$2:$D$497,MATCH(N126,Data!$A$2:$A$497,1))/INDEX(Data!$D$2:$D$497,MATCH(N114,Data!$A$2:$A$497,1))),"")</f>
      </c>
      <c r="AO126" s="560">
        <f>IFERROR(LN(INDEX(Data!$E$2:$E$497,MATCH(N126,Data!$A$2:$A$497,1))/INDEX(Data!$E$2:$E$497,MATCH(N114,Data!$A$2:$A$497,1))),"")</f>
      </c>
      <c r="AP126" s="560">
        <f>IFERROR(LN(INDEX(Data!$F$2:$F$497,MATCH(N126,Data!$A$2:$A$497,1))/INDEX(Data!$F$2:$F$497,MATCH(N114,Data!$A$2:$A$497,1))),"")</f>
      </c>
      <c r="AQ126" s="560">
        <f>IFERROR(LN(INDEX(Data!$G$2:$G$497,MATCH(N126,Data!$A$2:$A$497,1))/INDEX(Data!$G$2:$G$497,MATCH(N114,Data!$A$2:$A$497,1))),"")</f>
      </c>
      <c r="AR126" s="560">
        <f>IFERROR(LN(INDEX(Data!$H$2:$H$497,MATCH(N126,Data!$A$2:$A$497,1))/INDEX(Data!$H$2:$H$497,MATCH(N114,Data!$A$2:$A$497,1))),"")</f>
      </c>
      <c r="AS126" s="560">
        <f>IFERROR(LN(INDEX(Data!$I$2:$I$497,MATCH(N126,Data!$A$2:$A$497,1))/INDEX(Data!$I$2:$I$497,MATCH(N114,Data!$A$2:$A$497,1))),"")</f>
      </c>
      <c r="AT126" s="560">
        <f>IFERROR(LN(INDEX(Data!$J$2:$J$497,MATCH(N126,Data!$A$2:$A$497,1))/INDEX(Data!$J$2:$J$497,MATCH(N114,Data!$A$2:$A$497,1))),"")</f>
      </c>
      <c r="AU126" s="560">
        <f>IFERROR(LN(INDEX(Data!$K$2:$K$497,MATCH(N126,Data!$A$2:$A$497,1))/INDEX(Data!$K$2:$K$497,MATCH(N114,Data!$A$2:$A$497,1))),"")</f>
      </c>
      <c r="AV126" s="561">
        <f>IFERROR(LN(INDEX(Data!$L$2:$L$497,MATCH(N126,Data!$A$2:$A$497,1))/INDEX(Data!$L$2:$L$497,MATCH(N114,Data!$A$2:$A$497,1))),"")</f>
      </c>
    </row>
    <row r="127">
      <c r="N127" s="337" t="n">
        <v>28580</v>
      </c>
      <c r="O127" s="116">
        <f>INDEX('Additional data'!$B$2:$B$965,MATCH(DATE(YEAR(N127),MONTH(N127),1),'Additional data'!$A$2:$A$965,0))</f>
        <v>14.85</v>
      </c>
      <c r="P127" s="489">
        <f>LN(O127)</f>
        <v>2.69799986524871</v>
      </c>
      <c r="Q127" s="489">
        <f>Q126+LN(1+INDEX('Additional data'!$H$2:$H$1196,MATCH(N127,'Additional data'!$G$2:$G$1196,1))+INDEX('Additional data'!$I$2:$I$1196,MATCH(N127,'Additional data'!$G$2:$G$1196,1)))</f>
        <v>0.281697199840948</v>
      </c>
      <c r="R127" s="77" t="n"/>
      <c r="S127" s="116">
        <f>IF(INDEX('Additional data'!$E$2:$E$699,MATCH(DATE(YEAR(N127),MONTH(N127),1),'Additional data'!$D$2:$D$699,0))=0,(INDEX('Additional data'!$E$2:$E$699,MATCH(DATE(YEAR(N127),MONTH(N127),1),'Additional data'!$D$2:$D$699,0)-1)+INDEX('Additional data'!$E$2:$E$699,MATCH(DATE(YEAR(N127),MONTH(N127),1),'Additional data'!$D$2:$D$699,0)+1))/2,INDEX('Additional data'!$E$2:$E$699,MATCH(DATE(YEAR(N127),MONTH(N127),1),'Additional data'!$D$2:$D$699,0)))</f>
        <v>10.04</v>
      </c>
      <c r="T127" s="425">
        <f>P127-P126</f>
        <v>0</v>
      </c>
      <c r="U127" s="425">
        <f>Q127-Q126</f>
        <v>0.033241333779802</v>
      </c>
      <c r="V127" s="77" t="n"/>
      <c r="W127" s="116">
        <f>S127-S126</f>
        <v>0.489999999999998</v>
      </c>
      <c r="X127" s="425">
        <f>P127-P115</f>
        <v>0.0661110251120625</v>
      </c>
      <c r="Y127" s="425">
        <f>Q127-Q115</f>
        <v>-0.00128415902560985</v>
      </c>
      <c r="Z127" s="77" t="n"/>
      <c r="AA127" s="116">
        <f>S127-S115</f>
        <v>0.309999999999999</v>
      </c>
      <c r="AB127" s="425">
        <f>P127-P67</f>
        <v>1.42823932038477</v>
      </c>
      <c r="AC127" s="425">
        <f>Q127-Q67</f>
        <v>0.0409514271011861</v>
      </c>
      <c r="AD127" s="77" t="n"/>
      <c r="AE127" s="235">
        <f>S127-S67</f>
        <v>4.59</v>
      </c>
      <c r="AG127" s="554">
        <f>N127</f>
        <v>28580.0</v>
      </c>
      <c r="AH127" s="435">
        <f>IFERROR(INDEX('RBA 5Y yield'!$B$5:$B$661,MATCH(N127,'RBA 5Y yield'!$A$5:$A$661,1))*100,"")</f>
        <v>9.08</v>
      </c>
      <c r="AI127" s="435">
        <f>IF(AND(ISNUMBER(AH127),ISNUMBER(AH126)),AH127-AH126,"")</f>
        <v>-0.00999999999999979</v>
      </c>
      <c r="AJ127" s="435">
        <f>IF(AND(ISNUMBER(AH127),ISNUMBER(AH115)),AH127-AH115,"")</f>
        <v>-1.13</v>
      </c>
      <c r="AK127" s="435">
        <f>IF(AND(ISNUMBER(AH127),ISNUMBER(AH67)),AH127-AH67,"")</f>
        <v>3.68</v>
      </c>
      <c r="AL127" s="560">
        <f>IFERROR(LN(INDEX(Data!$B$2:$B$497,MATCH(N127,Data!$A$2:$A$497,1))/INDEX(Data!$B$2:$B$497,MATCH(N115,Data!$A$2:$A$497,1))),"")</f>
      </c>
      <c r="AM127" s="560">
        <f>IFERROR(LN(INDEX(Data!$C$2:$C$497,MATCH(N127,Data!$A$2:$A$497,1))/INDEX(Data!$C$2:$C$497,MATCH(N115,Data!$A$2:$A$497,1))),"")</f>
      </c>
      <c r="AN127" s="560">
        <f>IFERROR(LN(INDEX(Data!$D$2:$D$497,MATCH(N127,Data!$A$2:$A$497,1))/INDEX(Data!$D$2:$D$497,MATCH(N115,Data!$A$2:$A$497,1))),"")</f>
      </c>
      <c r="AO127" s="560">
        <f>IFERROR(LN(INDEX(Data!$E$2:$E$497,MATCH(N127,Data!$A$2:$A$497,1))/INDEX(Data!$E$2:$E$497,MATCH(N115,Data!$A$2:$A$497,1))),"")</f>
      </c>
      <c r="AP127" s="560">
        <f>IFERROR(LN(INDEX(Data!$F$2:$F$497,MATCH(N127,Data!$A$2:$A$497,1))/INDEX(Data!$F$2:$F$497,MATCH(N115,Data!$A$2:$A$497,1))),"")</f>
      </c>
      <c r="AQ127" s="560">
        <f>IFERROR(LN(INDEX(Data!$G$2:$G$497,MATCH(N127,Data!$A$2:$A$497,1))/INDEX(Data!$G$2:$G$497,MATCH(N115,Data!$A$2:$A$497,1))),"")</f>
      </c>
      <c r="AR127" s="560">
        <f>IFERROR(LN(INDEX(Data!$H$2:$H$497,MATCH(N127,Data!$A$2:$A$497,1))/INDEX(Data!$H$2:$H$497,MATCH(N115,Data!$A$2:$A$497,1))),"")</f>
      </c>
      <c r="AS127" s="560">
        <f>IFERROR(LN(INDEX(Data!$I$2:$I$497,MATCH(N127,Data!$A$2:$A$497,1))/INDEX(Data!$I$2:$I$497,MATCH(N115,Data!$A$2:$A$497,1))),"")</f>
      </c>
      <c r="AT127" s="560">
        <f>IFERROR(LN(INDEX(Data!$J$2:$J$497,MATCH(N127,Data!$A$2:$A$497,1))/INDEX(Data!$J$2:$J$497,MATCH(N115,Data!$A$2:$A$497,1))),"")</f>
      </c>
      <c r="AU127" s="560">
        <f>IFERROR(LN(INDEX(Data!$K$2:$K$497,MATCH(N127,Data!$A$2:$A$497,1))/INDEX(Data!$K$2:$K$497,MATCH(N115,Data!$A$2:$A$497,1))),"")</f>
      </c>
      <c r="AV127" s="561">
        <f>IFERROR(LN(INDEX(Data!$L$2:$L$497,MATCH(N127,Data!$A$2:$A$497,1))/INDEX(Data!$L$2:$L$497,MATCH(N115,Data!$A$2:$A$497,1))),"")</f>
      </c>
    </row>
    <row r="128">
      <c r="A128" s="576" t="inlineStr">
        <is>
          <t>10. Third episode: 2008 oil spike (WTI to US$134 monthly average; demand-led and overlaps the early GFC)</t>
        </is>
      </c>
      <c r="B128" s="577" t="n"/>
      <c r="C128" s="577" t="n"/>
      <c r="D128" s="577" t="n"/>
      <c r="E128" s="577" t="n"/>
      <c r="F128" s="577" t="n"/>
      <c r="G128" s="578" t="n"/>
      <c r="N128" s="337" t="n">
        <v>28610</v>
      </c>
      <c r="O128" s="116">
        <f>INDEX('Additional data'!$B$2:$B$965,MATCH(DATE(YEAR(N128),MONTH(N128),1),'Additional data'!$A$2:$A$965,0))</f>
        <v>14.85</v>
      </c>
      <c r="P128" s="489">
        <f>LN(O128)</f>
        <v>2.69799986524871</v>
      </c>
      <c r="Q128" s="489">
        <f>Q127+LN(1+INDEX('Additional data'!$H$2:$H$1196,MATCH(N128,'Additional data'!$G$2:$G$1196,1))+INDEX('Additional data'!$I$2:$I$1196,MATCH(N128,'Additional data'!$G$2:$G$1196,1)))</f>
        <v>0.362447349526057</v>
      </c>
      <c r="R128" s="77" t="n"/>
      <c r="S128" s="116">
        <f>IF(INDEX('Additional data'!$E$2:$E$699,MATCH(DATE(YEAR(N128),MONTH(N128),1),'Additional data'!$D$2:$D$699,0))=0,(INDEX('Additional data'!$E$2:$E$699,MATCH(DATE(YEAR(N128),MONTH(N128),1),'Additional data'!$D$2:$D$699,0)-1)+INDEX('Additional data'!$E$2:$E$699,MATCH(DATE(YEAR(N128),MONTH(N128),1),'Additional data'!$D$2:$D$699,0)+1))/2,INDEX('Additional data'!$E$2:$E$699,MATCH(DATE(YEAR(N128),MONTH(N128),1),'Additional data'!$D$2:$D$699,0)))</f>
        <v>10.86</v>
      </c>
      <c r="T128" s="425">
        <f>P128-P127</f>
        <v>0</v>
      </c>
      <c r="U128" s="425">
        <f>Q128-Q127</f>
        <v>0.0807501496851091</v>
      </c>
      <c r="V128" s="77" t="n"/>
      <c r="W128" s="116">
        <f>S128-S127</f>
        <v>0.82</v>
      </c>
      <c r="X128" s="425">
        <f>P128-P116</f>
        <v>0.0661110251120625</v>
      </c>
      <c r="Y128" s="425">
        <f>Q128-Q116</f>
        <v>0.0741799862302618</v>
      </c>
      <c r="Z128" s="77" t="n"/>
      <c r="AA128" s="116">
        <f>S128-S116</f>
        <v>0</v>
      </c>
      <c r="AB128" s="425">
        <f>P128-P68</f>
        <v>1.42823932038477</v>
      </c>
      <c r="AC128" s="425">
        <f>Q128-Q68</f>
        <v>0.174680501577182</v>
      </c>
      <c r="AD128" s="77" t="n"/>
      <c r="AE128" s="235">
        <f>S128-S68</f>
        <v>5.06</v>
      </c>
      <c r="AG128" s="554">
        <f>N128</f>
        <v>28610.0</v>
      </c>
      <c r="AH128" s="435">
        <f>IFERROR(INDEX('RBA 5Y yield'!$B$5:$B$661,MATCH(N128,'RBA 5Y yield'!$A$5:$A$661,1))*100,"")</f>
        <v>9.09</v>
      </c>
      <c r="AI128" s="435">
        <f>IF(AND(ISNUMBER(AH128),ISNUMBER(AH127)),AH128-AH127,"")</f>
        <v>0.00999999999999979</v>
      </c>
      <c r="AJ128" s="435">
        <f>IF(AND(ISNUMBER(AH128),ISNUMBER(AH116)),AH128-AH116,"")</f>
        <v>-1.13</v>
      </c>
      <c r="AK128" s="435">
        <f>IF(AND(ISNUMBER(AH128),ISNUMBER(AH68)),AH128-AH68,"")</f>
        <v>3.29</v>
      </c>
      <c r="AL128" s="560">
        <f>IFERROR(LN(INDEX(Data!$B$2:$B$497,MATCH(N128,Data!$A$2:$A$497,1))/INDEX(Data!$B$2:$B$497,MATCH(N116,Data!$A$2:$A$497,1))),"")</f>
      </c>
      <c r="AM128" s="560">
        <f>IFERROR(LN(INDEX(Data!$C$2:$C$497,MATCH(N128,Data!$A$2:$A$497,1))/INDEX(Data!$C$2:$C$497,MATCH(N116,Data!$A$2:$A$497,1))),"")</f>
      </c>
      <c r="AN128" s="560">
        <f>IFERROR(LN(INDEX(Data!$D$2:$D$497,MATCH(N128,Data!$A$2:$A$497,1))/INDEX(Data!$D$2:$D$497,MATCH(N116,Data!$A$2:$A$497,1))),"")</f>
      </c>
      <c r="AO128" s="560">
        <f>IFERROR(LN(INDEX(Data!$E$2:$E$497,MATCH(N128,Data!$A$2:$A$497,1))/INDEX(Data!$E$2:$E$497,MATCH(N116,Data!$A$2:$A$497,1))),"")</f>
      </c>
      <c r="AP128" s="560">
        <f>IFERROR(LN(INDEX(Data!$F$2:$F$497,MATCH(N128,Data!$A$2:$A$497,1))/INDEX(Data!$F$2:$F$497,MATCH(N116,Data!$A$2:$A$497,1))),"")</f>
      </c>
      <c r="AQ128" s="560">
        <f>IFERROR(LN(INDEX(Data!$G$2:$G$497,MATCH(N128,Data!$A$2:$A$497,1))/INDEX(Data!$G$2:$G$497,MATCH(N116,Data!$A$2:$A$497,1))),"")</f>
      </c>
      <c r="AR128" s="560">
        <f>IFERROR(LN(INDEX(Data!$H$2:$H$497,MATCH(N128,Data!$A$2:$A$497,1))/INDEX(Data!$H$2:$H$497,MATCH(N116,Data!$A$2:$A$497,1))),"")</f>
      </c>
      <c r="AS128" s="560">
        <f>IFERROR(LN(INDEX(Data!$I$2:$I$497,MATCH(N128,Data!$A$2:$A$497,1))/INDEX(Data!$I$2:$I$497,MATCH(N116,Data!$A$2:$A$497,1))),"")</f>
      </c>
      <c r="AT128" s="560">
        <f>IFERROR(LN(INDEX(Data!$J$2:$J$497,MATCH(N128,Data!$A$2:$A$497,1))/INDEX(Data!$J$2:$J$497,MATCH(N116,Data!$A$2:$A$497,1))),"")</f>
      </c>
      <c r="AU128" s="560">
        <f>IFERROR(LN(INDEX(Data!$K$2:$K$497,MATCH(N128,Data!$A$2:$A$497,1))/INDEX(Data!$K$2:$K$497,MATCH(N116,Data!$A$2:$A$497,1))),"")</f>
      </c>
      <c r="AV128" s="561">
        <f>IFERROR(LN(INDEX(Data!$L$2:$L$497,MATCH(N128,Data!$A$2:$A$497,1))/INDEX(Data!$L$2:$L$497,MATCH(N116,Data!$A$2:$A$497,1))),"")</f>
      </c>
    </row>
    <row r="129">
      <c r="A129" s="579" t="inlineStr">
        <is>
          <t>Episode</t>
        </is>
      </c>
      <c r="B129" s="580" t="inlineStr">
        <is>
          <t>Start</t>
        </is>
      </c>
      <c r="C129" s="580" t="inlineStr">
        <is>
          <t>End</t>
        </is>
      </c>
      <c r="D129" s="580" t="inlineStr">
        <is>
          <t>WTI start</t>
        </is>
      </c>
      <c r="E129" s="580" t="inlineStr">
        <is>
          <t>WTI end</t>
        </is>
      </c>
      <c r="F129" s="580" t="inlineStr">
        <is>
          <t>WTI change</t>
        </is>
      </c>
      <c r="G129" s="581" t="inlineStr">
        <is>
          <t>Scale to scenario</t>
        </is>
      </c>
      <c r="N129" s="337" t="n">
        <v>28641</v>
      </c>
      <c r="O129" s="116">
        <f>INDEX('Additional data'!$B$2:$B$965,MATCH(DATE(YEAR(N129),MONTH(N129),1),'Additional data'!$A$2:$A$965,0))</f>
        <v>14.85</v>
      </c>
      <c r="P129" s="489">
        <f>LN(O129)</f>
        <v>2.69799986524871</v>
      </c>
      <c r="Q129" s="489">
        <f>Q128+LN(1+INDEX('Additional data'!$H$2:$H$1196,MATCH(N129,'Additional data'!$G$2:$G$1196,1))+INDEX('Additional data'!$I$2:$I$1196,MATCH(N129,'Additional data'!$G$2:$G$1196,1)))</f>
        <v>0.384893538355888</v>
      </c>
      <c r="R129" s="77" t="n"/>
      <c r="S129" s="116">
        <f>IF(INDEX('Additional data'!$E$2:$E$699,MATCH(DATE(YEAR(N129),MONTH(N129),1),'Additional data'!$D$2:$D$699,0))=0,(INDEX('Additional data'!$E$2:$E$699,MATCH(DATE(YEAR(N129),MONTH(N129),1),'Additional data'!$D$2:$D$699,0)-1)+INDEX('Additional data'!$E$2:$E$699,MATCH(DATE(YEAR(N129),MONTH(N129),1),'Additional data'!$D$2:$D$699,0)+1))/2,INDEX('Additional data'!$E$2:$E$699,MATCH(DATE(YEAR(N129),MONTH(N129),1),'Additional data'!$D$2:$D$699,0)))</f>
        <v>10.6</v>
      </c>
      <c r="T129" s="425">
        <f>P129-P128</f>
        <v>0</v>
      </c>
      <c r="U129" s="425">
        <f>Q129-Q128</f>
        <v>0.0224461888298302</v>
      </c>
      <c r="V129" s="77" t="n"/>
      <c r="W129" s="116">
        <f>S129-S128</f>
        <v>-0.26</v>
      </c>
      <c r="X129" s="425">
        <f>P129-P117</f>
        <v>0.0661110251120625</v>
      </c>
      <c r="Y129" s="425">
        <f>Q129-Q117</f>
        <v>0.107687122419517</v>
      </c>
      <c r="Z129" s="77" t="n"/>
      <c r="AA129" s="116">
        <f>S129-S117</f>
        <v>-0.34</v>
      </c>
      <c r="AB129" s="425">
        <f>P129-P69</f>
        <v>1.42823932038477</v>
      </c>
      <c r="AC129" s="425">
        <f>Q129-Q69</f>
        <v>0.222034326113197</v>
      </c>
      <c r="AD129" s="77" t="n"/>
      <c r="AE129" s="235">
        <f>S129-S69</f>
        <v>4.2</v>
      </c>
      <c r="AG129" s="554">
        <f>N129</f>
        <v>28641.0</v>
      </c>
      <c r="AH129" s="435">
        <f>IFERROR(INDEX('RBA 5Y yield'!$B$5:$B$661,MATCH(N129,'RBA 5Y yield'!$A$5:$A$661,1))*100,"")</f>
        <v>9.09</v>
      </c>
      <c r="AI129" s="435">
        <f>IF(AND(ISNUMBER(AH129),ISNUMBER(AH128)),AH129-AH128,"")</f>
        <v>0</v>
      </c>
      <c r="AJ129" s="435">
        <f>IF(AND(ISNUMBER(AH129),ISNUMBER(AH117)),AH129-AH117,"")</f>
        <v>-1.13</v>
      </c>
      <c r="AK129" s="435">
        <f>IF(AND(ISNUMBER(AH129),ISNUMBER(AH69)),AH129-AH69,"")</f>
        <v>3.17</v>
      </c>
      <c r="AL129" s="560">
        <f>IFERROR(LN(INDEX(Data!$B$2:$B$497,MATCH(N129,Data!$A$2:$A$497,1))/INDEX(Data!$B$2:$B$497,MATCH(N117,Data!$A$2:$A$497,1))),"")</f>
      </c>
      <c r="AM129" s="560">
        <f>IFERROR(LN(INDEX(Data!$C$2:$C$497,MATCH(N129,Data!$A$2:$A$497,1))/INDEX(Data!$C$2:$C$497,MATCH(N117,Data!$A$2:$A$497,1))),"")</f>
      </c>
      <c r="AN129" s="560">
        <f>IFERROR(LN(INDEX(Data!$D$2:$D$497,MATCH(N129,Data!$A$2:$A$497,1))/INDEX(Data!$D$2:$D$497,MATCH(N117,Data!$A$2:$A$497,1))),"")</f>
      </c>
      <c r="AO129" s="560">
        <f>IFERROR(LN(INDEX(Data!$E$2:$E$497,MATCH(N129,Data!$A$2:$A$497,1))/INDEX(Data!$E$2:$E$497,MATCH(N117,Data!$A$2:$A$497,1))),"")</f>
      </c>
      <c r="AP129" s="560">
        <f>IFERROR(LN(INDEX(Data!$F$2:$F$497,MATCH(N129,Data!$A$2:$A$497,1))/INDEX(Data!$F$2:$F$497,MATCH(N117,Data!$A$2:$A$497,1))),"")</f>
      </c>
      <c r="AQ129" s="560">
        <f>IFERROR(LN(INDEX(Data!$G$2:$G$497,MATCH(N129,Data!$A$2:$A$497,1))/INDEX(Data!$G$2:$G$497,MATCH(N117,Data!$A$2:$A$497,1))),"")</f>
      </c>
      <c r="AR129" s="560">
        <f>IFERROR(LN(INDEX(Data!$H$2:$H$497,MATCH(N129,Data!$A$2:$A$497,1))/INDEX(Data!$H$2:$H$497,MATCH(N117,Data!$A$2:$A$497,1))),"")</f>
      </c>
      <c r="AS129" s="560">
        <f>IFERROR(LN(INDEX(Data!$I$2:$I$497,MATCH(N129,Data!$A$2:$A$497,1))/INDEX(Data!$I$2:$I$497,MATCH(N117,Data!$A$2:$A$497,1))),"")</f>
      </c>
      <c r="AT129" s="560">
        <f>IFERROR(LN(INDEX(Data!$J$2:$J$497,MATCH(N129,Data!$A$2:$A$497,1))/INDEX(Data!$J$2:$J$497,MATCH(N117,Data!$A$2:$A$497,1))),"")</f>
      </c>
      <c r="AU129" s="560">
        <f>IFERROR(LN(INDEX(Data!$K$2:$K$497,MATCH(N129,Data!$A$2:$A$497,1))/INDEX(Data!$K$2:$K$497,MATCH(N117,Data!$A$2:$A$497,1))),"")</f>
      </c>
      <c r="AV129" s="561">
        <f>IFERROR(LN(INDEX(Data!$L$2:$L$497,MATCH(N129,Data!$A$2:$A$497,1))/INDEX(Data!$L$2:$L$497,MATCH(N117,Data!$A$2:$A$497,1))),"")</f>
      </c>
    </row>
    <row r="130">
      <c r="A130" s="582" t="inlineStr">
        <is>
          <t>Oil spike 2008</t>
        </is>
      </c>
      <c r="B130" s="583">
        <f>DATE(2007,12,31)</f>
        <v>39447.0</v>
      </c>
      <c r="C130" s="583">
        <f>DATE(2008,6,30)</f>
        <v>39629.0</v>
      </c>
      <c r="D130" s="435">
        <f>INDEX('Additional data'!$B$2:$B$965,MATCH(DATE(YEAR(B130),MONTH(B130),1),'Additional data'!$A$2:$A$965,0))</f>
        <v>91.73</v>
      </c>
      <c r="E130" s="435">
        <f>INDEX('Additional data'!$B$2:$B$965,MATCH(DATE(YEAR(C130),MONTH(C130),1),'Additional data'!$A$2:$A$965,0))</f>
        <v>133.93</v>
      </c>
      <c r="F130" s="483">
        <f>E130/D130-1</f>
        <v>0.460045786547476</v>
      </c>
      <c r="G130" s="584">
        <f>$B$7/LN(1+F130)</f>
        <v>1.16793388561672</v>
      </c>
      <c r="N130" s="337" t="n">
        <v>28671</v>
      </c>
      <c r="O130" s="116">
        <f>INDEX('Additional data'!$B$2:$B$965,MATCH(DATE(YEAR(N130),MONTH(N130),1),'Additional data'!$A$2:$A$965,0))</f>
        <v>14.85</v>
      </c>
      <c r="P130" s="489">
        <f>LN(O130)</f>
        <v>2.69799986524871</v>
      </c>
      <c r="Q130" s="489">
        <f>Q129+LN(1+INDEX('Additional data'!$H$2:$H$1196,MATCH(N130,'Additional data'!$G$2:$G$1196,1))+INDEX('Additional data'!$I$2:$I$1196,MATCH(N130,'Additional data'!$G$2:$G$1196,1)))</f>
        <v>0.373326901984422</v>
      </c>
      <c r="R130" s="77" t="n"/>
      <c r="S130" s="116">
        <f>IF(INDEX('Additional data'!$E$2:$E$699,MATCH(DATE(YEAR(N130),MONTH(N130),1),'Additional data'!$D$2:$D$699,0))=0,(INDEX('Additional data'!$E$2:$E$699,MATCH(DATE(YEAR(N130),MONTH(N130),1),'Additional data'!$D$2:$D$699,0)-1)+INDEX('Additional data'!$E$2:$E$699,MATCH(DATE(YEAR(N130),MONTH(N130),1),'Additional data'!$D$2:$D$699,0)+1))/2,INDEX('Additional data'!$E$2:$E$699,MATCH(DATE(YEAR(N130),MONTH(N130),1),'Additional data'!$D$2:$D$699,0)))</f>
        <v>10.63</v>
      </c>
      <c r="T130" s="425">
        <f>P130-P129</f>
        <v>0</v>
      </c>
      <c r="U130" s="425">
        <f>Q130-Q129</f>
        <v>-0.0115666363714655</v>
      </c>
      <c r="V130" s="77" t="n"/>
      <c r="W130" s="116">
        <f>S130-S129</f>
        <v>0.0300000000000011</v>
      </c>
      <c r="X130" s="425">
        <f>P130-P118</f>
        <v>0.0661110251120625</v>
      </c>
      <c r="Y130" s="425">
        <f>Q130-Q118</f>
        <v>0.0461881172998425</v>
      </c>
      <c r="Z130" s="77" t="n"/>
      <c r="AA130" s="116">
        <f>S130-S118</f>
        <v>-0.319999999999999</v>
      </c>
      <c r="AB130" s="425">
        <f>P130-P70</f>
        <v>1.42823932038477</v>
      </c>
      <c r="AC130" s="425">
        <f>Q130-Q70</f>
        <v>0.22112426993026</v>
      </c>
      <c r="AD130" s="77" t="n"/>
      <c r="AE130" s="235">
        <f>S130-S70</f>
        <v>4.23</v>
      </c>
      <c r="AG130" s="554">
        <f>N130</f>
        <v>28671.0</v>
      </c>
      <c r="AH130" s="435">
        <f>IFERROR(INDEX('RBA 5Y yield'!$B$5:$B$661,MATCH(N130,'RBA 5Y yield'!$A$5:$A$661,1))*100,"")</f>
        <v>9.09</v>
      </c>
      <c r="AI130" s="435">
        <f>IF(AND(ISNUMBER(AH130),ISNUMBER(AH129)),AH130-AH129,"")</f>
        <v>0</v>
      </c>
      <c r="AJ130" s="435">
        <f>IF(AND(ISNUMBER(AH130),ISNUMBER(AH118)),AH130-AH118,"")</f>
        <v>-1.12</v>
      </c>
      <c r="AK130" s="435">
        <f>IF(AND(ISNUMBER(AH130),ISNUMBER(AH70)),AH130-AH70,"")</f>
        <v>2.67</v>
      </c>
      <c r="AL130" s="560">
        <f>IFERROR(LN(INDEX(Data!$B$2:$B$497,MATCH(N130,Data!$A$2:$A$497,1))/INDEX(Data!$B$2:$B$497,MATCH(N118,Data!$A$2:$A$497,1))),"")</f>
      </c>
      <c r="AM130" s="560">
        <f>IFERROR(LN(INDEX(Data!$C$2:$C$497,MATCH(N130,Data!$A$2:$A$497,1))/INDEX(Data!$C$2:$C$497,MATCH(N118,Data!$A$2:$A$497,1))),"")</f>
      </c>
      <c r="AN130" s="560">
        <f>IFERROR(LN(INDEX(Data!$D$2:$D$497,MATCH(N130,Data!$A$2:$A$497,1))/INDEX(Data!$D$2:$D$497,MATCH(N118,Data!$A$2:$A$497,1))),"")</f>
      </c>
      <c r="AO130" s="560">
        <f>IFERROR(LN(INDEX(Data!$E$2:$E$497,MATCH(N130,Data!$A$2:$A$497,1))/INDEX(Data!$E$2:$E$497,MATCH(N118,Data!$A$2:$A$497,1))),"")</f>
      </c>
      <c r="AP130" s="560">
        <f>IFERROR(LN(INDEX(Data!$F$2:$F$497,MATCH(N130,Data!$A$2:$A$497,1))/INDEX(Data!$F$2:$F$497,MATCH(N118,Data!$A$2:$A$497,1))),"")</f>
      </c>
      <c r="AQ130" s="560">
        <f>IFERROR(LN(INDEX(Data!$G$2:$G$497,MATCH(N130,Data!$A$2:$A$497,1))/INDEX(Data!$G$2:$G$497,MATCH(N118,Data!$A$2:$A$497,1))),"")</f>
      </c>
      <c r="AR130" s="560">
        <f>IFERROR(LN(INDEX(Data!$H$2:$H$497,MATCH(N130,Data!$A$2:$A$497,1))/INDEX(Data!$H$2:$H$497,MATCH(N118,Data!$A$2:$A$497,1))),"")</f>
      </c>
      <c r="AS130" s="560">
        <f>IFERROR(LN(INDEX(Data!$I$2:$I$497,MATCH(N130,Data!$A$2:$A$497,1))/INDEX(Data!$I$2:$I$497,MATCH(N118,Data!$A$2:$A$497,1))),"")</f>
      </c>
      <c r="AT130" s="560">
        <f>IFERROR(LN(INDEX(Data!$J$2:$J$497,MATCH(N130,Data!$A$2:$A$497,1))/INDEX(Data!$J$2:$J$497,MATCH(N118,Data!$A$2:$A$497,1))),"")</f>
      </c>
      <c r="AU130" s="560">
        <f>IFERROR(LN(INDEX(Data!$K$2:$K$497,MATCH(N130,Data!$A$2:$A$497,1))/INDEX(Data!$K$2:$K$497,MATCH(N118,Data!$A$2:$A$497,1))),"")</f>
      </c>
      <c r="AV130" s="561">
        <f>IFERROR(LN(INDEX(Data!$L$2:$L$497,MATCH(N130,Data!$A$2:$A$497,1))/INDEX(Data!$L$2:$L$497,MATCH(N118,Data!$A$2:$A$497,1))),"")</f>
      </c>
    </row>
    <row r="131">
      <c r="A131" s="585" t="inlineStr">
        <is>
          <t>Include 2008 in central case (1 = yes; default 0, used as a severe case)</t>
        </is>
      </c>
      <c r="B131" s="586" t="n">
        <v>0</v>
      </c>
      <c r="C131" s="587" t="n"/>
      <c r="D131" s="587" t="n"/>
      <c r="E131" s="587" t="n"/>
      <c r="F131" s="587" t="n"/>
      <c r="G131" s="588" t="n"/>
      <c r="N131" s="337" t="n">
        <v>28702</v>
      </c>
      <c r="O131" s="116">
        <f>INDEX('Additional data'!$B$2:$B$965,MATCH(DATE(YEAR(N131),MONTH(N131),1),'Additional data'!$A$2:$A$965,0))</f>
        <v>14.85</v>
      </c>
      <c r="P131" s="489">
        <f>LN(O131)</f>
        <v>2.69799986524871</v>
      </c>
      <c r="Q131" s="489">
        <f>Q130+LN(1+INDEX('Additional data'!$H$2:$H$1196,MATCH(N131,'Additional data'!$G$2:$G$1196,1))+INDEX('Additional data'!$I$2:$I$1196,MATCH(N131,'Additional data'!$G$2:$G$1196,1)))</f>
        <v>0.428572376210401</v>
      </c>
      <c r="R131" s="77" t="n"/>
      <c r="S131" s="116">
        <f>IF(INDEX('Additional data'!$E$2:$E$699,MATCH(DATE(YEAR(N131),MONTH(N131),1),'Additional data'!$D$2:$D$699,0))=0,(INDEX('Additional data'!$E$2:$E$699,MATCH(DATE(YEAR(N131),MONTH(N131),1),'Additional data'!$D$2:$D$699,0)-1)+INDEX('Additional data'!$E$2:$E$699,MATCH(DATE(YEAR(N131),MONTH(N131),1),'Additional data'!$D$2:$D$699,0)+1))/2,INDEX('Additional data'!$E$2:$E$699,MATCH(DATE(YEAR(N131),MONTH(N131),1),'Additional data'!$D$2:$D$699,0)))</f>
        <v>9.84</v>
      </c>
      <c r="T131" s="425">
        <f>P131-P130</f>
        <v>0</v>
      </c>
      <c r="U131" s="425">
        <f>Q131-Q130</f>
        <v>0.0552454742259785</v>
      </c>
      <c r="V131" s="77" t="n"/>
      <c r="W131" s="116">
        <f>S131-S130</f>
        <v>-0.790000000000001</v>
      </c>
      <c r="X131" s="425">
        <f>P131-P119</f>
        <v>0.0661110251120625</v>
      </c>
      <c r="Y131" s="425">
        <f>Q131-Q119</f>
        <v>0.114214925890554</v>
      </c>
      <c r="Z131" s="77" t="n"/>
      <c r="AA131" s="116">
        <f>S131-S119</f>
        <v>-0.880000000000001</v>
      </c>
      <c r="AB131" s="425">
        <f>P131-P71</f>
        <v>1.42823932038477</v>
      </c>
      <c r="AC131" s="425">
        <f>Q131-Q71</f>
        <v>0.22112426993026</v>
      </c>
      <c r="AD131" s="77" t="n"/>
      <c r="AE131" s="235">
        <f>S131-S71</f>
        <v>3.34</v>
      </c>
      <c r="AG131" s="554">
        <f>N131</f>
        <v>28702.0</v>
      </c>
      <c r="AH131" s="435">
        <f>IFERROR(INDEX('RBA 5Y yield'!$B$5:$B$661,MATCH(N131,'RBA 5Y yield'!$A$5:$A$661,1))*100,"")</f>
        <v>9.09</v>
      </c>
      <c r="AI131" s="435">
        <f>IF(AND(ISNUMBER(AH131),ISNUMBER(AH130)),AH131-AH130,"")</f>
        <v>0</v>
      </c>
      <c r="AJ131" s="435">
        <f>IF(AND(ISNUMBER(AH131),ISNUMBER(AH119)),AH131-AH119,"")</f>
        <v>-1.12</v>
      </c>
      <c r="AK131" s="435">
        <f>IF(AND(ISNUMBER(AH131),ISNUMBER(AH71)),AH131-AH71,"")</f>
        <v>2.65</v>
      </c>
      <c r="AL131" s="560">
        <f>IFERROR(LN(INDEX(Data!$B$2:$B$497,MATCH(N131,Data!$A$2:$A$497,1))/INDEX(Data!$B$2:$B$497,MATCH(N119,Data!$A$2:$A$497,1))),"")</f>
      </c>
      <c r="AM131" s="560">
        <f>IFERROR(LN(INDEX(Data!$C$2:$C$497,MATCH(N131,Data!$A$2:$A$497,1))/INDEX(Data!$C$2:$C$497,MATCH(N119,Data!$A$2:$A$497,1))),"")</f>
      </c>
      <c r="AN131" s="560">
        <f>IFERROR(LN(INDEX(Data!$D$2:$D$497,MATCH(N131,Data!$A$2:$A$497,1))/INDEX(Data!$D$2:$D$497,MATCH(N119,Data!$A$2:$A$497,1))),"")</f>
      </c>
      <c r="AO131" s="560">
        <f>IFERROR(LN(INDEX(Data!$E$2:$E$497,MATCH(N131,Data!$A$2:$A$497,1))/INDEX(Data!$E$2:$E$497,MATCH(N119,Data!$A$2:$A$497,1))),"")</f>
      </c>
      <c r="AP131" s="560">
        <f>IFERROR(LN(INDEX(Data!$F$2:$F$497,MATCH(N131,Data!$A$2:$A$497,1))/INDEX(Data!$F$2:$F$497,MATCH(N119,Data!$A$2:$A$497,1))),"")</f>
      </c>
      <c r="AQ131" s="560">
        <f>IFERROR(LN(INDEX(Data!$G$2:$G$497,MATCH(N131,Data!$A$2:$A$497,1))/INDEX(Data!$G$2:$G$497,MATCH(N119,Data!$A$2:$A$497,1))),"")</f>
      </c>
      <c r="AR131" s="560">
        <f>IFERROR(LN(INDEX(Data!$H$2:$H$497,MATCH(N131,Data!$A$2:$A$497,1))/INDEX(Data!$H$2:$H$497,MATCH(N119,Data!$A$2:$A$497,1))),"")</f>
      </c>
      <c r="AS131" s="560">
        <f>IFERROR(LN(INDEX(Data!$I$2:$I$497,MATCH(N131,Data!$A$2:$A$497,1))/INDEX(Data!$I$2:$I$497,MATCH(N119,Data!$A$2:$A$497,1))),"")</f>
      </c>
      <c r="AT131" s="560">
        <f>IFERROR(LN(INDEX(Data!$J$2:$J$497,MATCH(N131,Data!$A$2:$A$497,1))/INDEX(Data!$J$2:$J$497,MATCH(N119,Data!$A$2:$A$497,1))),"")</f>
      </c>
      <c r="AU131" s="560">
        <f>IFERROR(LN(INDEX(Data!$K$2:$K$497,MATCH(N131,Data!$A$2:$A$497,1))/INDEX(Data!$K$2:$K$497,MATCH(N119,Data!$A$2:$A$497,1))),"")</f>
      </c>
      <c r="AV131" s="561">
        <f>IFERROR(LN(INDEX(Data!$L$2:$L$497,MATCH(N131,Data!$A$2:$A$497,1))/INDEX(Data!$L$2:$L$497,MATCH(N119,Data!$A$2:$A$497,1))),"")</f>
      </c>
    </row>
    <row r="132">
      <c r="N132" s="337" t="n">
        <v>28733</v>
      </c>
      <c r="O132" s="116">
        <f>INDEX('Additional data'!$B$2:$B$965,MATCH(DATE(YEAR(N132),MONTH(N132),1),'Additional data'!$A$2:$A$965,0))</f>
        <v>14.85</v>
      </c>
      <c r="P132" s="489">
        <f>LN(O132)</f>
        <v>2.69799986524871</v>
      </c>
      <c r="Q132" s="489">
        <f>Q131+LN(1+INDEX('Additional data'!$H$2:$H$1196,MATCH(N132,'Additional data'!$G$2:$G$1196,1))+INDEX('Additional data'!$I$2:$I$1196,MATCH(N132,'Additional data'!$G$2:$G$1196,1)))</f>
        <v>0.471056987816556</v>
      </c>
      <c r="R132" s="77" t="n"/>
      <c r="S132" s="116">
        <f>IF(INDEX('Additional data'!$E$2:$E$699,MATCH(DATE(YEAR(N132),MONTH(N132),1),'Additional data'!$D$2:$D$699,0))=0,(INDEX('Additional data'!$E$2:$E$699,MATCH(DATE(YEAR(N132),MONTH(N132),1),'Additional data'!$D$2:$D$699,0)-1)+INDEX('Additional data'!$E$2:$E$699,MATCH(DATE(YEAR(N132),MONTH(N132),1),'Additional data'!$D$2:$D$699,0)+1))/2,INDEX('Additional data'!$E$2:$E$699,MATCH(DATE(YEAR(N132),MONTH(N132),1),'Additional data'!$D$2:$D$699,0)))</f>
        <v>9.7</v>
      </c>
      <c r="T132" s="425">
        <f>P132-P131</f>
        <v>0</v>
      </c>
      <c r="U132" s="425">
        <f>Q132-Q131</f>
        <v>0.0424846116061554</v>
      </c>
      <c r="V132" s="77" t="n"/>
      <c r="W132" s="116">
        <f>S132-S131</f>
        <v>-0.140000000000001</v>
      </c>
      <c r="X132" s="425">
        <f>P132-P120</f>
        <v>0</v>
      </c>
      <c r="Y132" s="425">
        <f>Q132-Q120</f>
        <v>0.169987431823645</v>
      </c>
      <c r="Z132" s="77" t="n"/>
      <c r="AA132" s="116">
        <f>S132-S120</f>
        <v>-1.2</v>
      </c>
      <c r="AB132" s="425">
        <f>P132-P72</f>
        <v>1.23706196113305</v>
      </c>
      <c r="AC132" s="425">
        <f>Q132-Q72</f>
        <v>0.29530596827967</v>
      </c>
      <c r="AD132" s="77" t="n"/>
      <c r="AE132" s="235">
        <f>S132-S72</f>
        <v>3.3</v>
      </c>
      <c r="AG132" s="554">
        <f>N132</f>
        <v>28733.0</v>
      </c>
      <c r="AH132" s="435">
        <f>IFERROR(INDEX('RBA 5Y yield'!$B$5:$B$661,MATCH(N132,'RBA 5Y yield'!$A$5:$A$661,1))*100,"")</f>
        <v>8.99</v>
      </c>
      <c r="AI132" s="435">
        <f>IF(AND(ISNUMBER(AH132),ISNUMBER(AH131)),AH132-AH131,"")</f>
        <v>-0.0999999999999996</v>
      </c>
      <c r="AJ132" s="435">
        <f>IF(AND(ISNUMBER(AH132),ISNUMBER(AH120)),AH132-AH120,"")</f>
        <v>-1.21</v>
      </c>
      <c r="AK132" s="435">
        <f>IF(AND(ISNUMBER(AH132),ISNUMBER(AH72)),AH132-AH72,"")</f>
        <v>2.57</v>
      </c>
      <c r="AL132" s="560">
        <f>IFERROR(LN(INDEX(Data!$B$2:$B$497,MATCH(N132,Data!$A$2:$A$497,1))/INDEX(Data!$B$2:$B$497,MATCH(N120,Data!$A$2:$A$497,1))),"")</f>
      </c>
      <c r="AM132" s="560">
        <f>IFERROR(LN(INDEX(Data!$C$2:$C$497,MATCH(N132,Data!$A$2:$A$497,1))/INDEX(Data!$C$2:$C$497,MATCH(N120,Data!$A$2:$A$497,1))),"")</f>
      </c>
      <c r="AN132" s="560">
        <f>IFERROR(LN(INDEX(Data!$D$2:$D$497,MATCH(N132,Data!$A$2:$A$497,1))/INDEX(Data!$D$2:$D$497,MATCH(N120,Data!$A$2:$A$497,1))),"")</f>
      </c>
      <c r="AO132" s="560">
        <f>IFERROR(LN(INDEX(Data!$E$2:$E$497,MATCH(N132,Data!$A$2:$A$497,1))/INDEX(Data!$E$2:$E$497,MATCH(N120,Data!$A$2:$A$497,1))),"")</f>
      </c>
      <c r="AP132" s="560">
        <f>IFERROR(LN(INDEX(Data!$F$2:$F$497,MATCH(N132,Data!$A$2:$A$497,1))/INDEX(Data!$F$2:$F$497,MATCH(N120,Data!$A$2:$A$497,1))),"")</f>
      </c>
      <c r="AQ132" s="560">
        <f>IFERROR(LN(INDEX(Data!$G$2:$G$497,MATCH(N132,Data!$A$2:$A$497,1))/INDEX(Data!$G$2:$G$497,MATCH(N120,Data!$A$2:$A$497,1))),"")</f>
      </c>
      <c r="AR132" s="560">
        <f>IFERROR(LN(INDEX(Data!$H$2:$H$497,MATCH(N132,Data!$A$2:$A$497,1))/INDEX(Data!$H$2:$H$497,MATCH(N120,Data!$A$2:$A$497,1))),"")</f>
      </c>
      <c r="AS132" s="560">
        <f>IFERROR(LN(INDEX(Data!$I$2:$I$497,MATCH(N132,Data!$A$2:$A$497,1))/INDEX(Data!$I$2:$I$497,MATCH(N120,Data!$A$2:$A$497,1))),"")</f>
      </c>
      <c r="AT132" s="560">
        <f>IFERROR(LN(INDEX(Data!$J$2:$J$497,MATCH(N132,Data!$A$2:$A$497,1))/INDEX(Data!$J$2:$J$497,MATCH(N120,Data!$A$2:$A$497,1))),"")</f>
      </c>
      <c r="AU132" s="560">
        <f>IFERROR(LN(INDEX(Data!$K$2:$K$497,MATCH(N132,Data!$A$2:$A$497,1))/INDEX(Data!$K$2:$K$497,MATCH(N120,Data!$A$2:$A$497,1))),"")</f>
      </c>
      <c r="AV132" s="561">
        <f>IFERROR(LN(INDEX(Data!$L$2:$L$497,MATCH(N132,Data!$A$2:$A$497,1))/INDEX(Data!$L$2:$L$497,MATCH(N120,Data!$A$2:$A$497,1))),"")</f>
      </c>
    </row>
    <row r="133">
      <c r="A133" s="576" t="inlineStr">
        <is>
          <t>10b. Asset returns: 2008 episode and the central case</t>
        </is>
      </c>
      <c r="B133" s="577" t="n"/>
      <c r="C133" s="577" t="n"/>
      <c r="D133" s="577" t="n"/>
      <c r="E133" s="578" t="n"/>
      <c r="N133" s="337" t="n">
        <v>28763</v>
      </c>
      <c r="O133" s="116">
        <f>INDEX('Additional data'!$B$2:$B$965,MATCH(DATE(YEAR(N133),MONTH(N133),1),'Additional data'!$A$2:$A$965,0))</f>
        <v>14.85</v>
      </c>
      <c r="P133" s="489">
        <f>LN(O133)</f>
        <v>2.69799986524871</v>
      </c>
      <c r="Q133" s="489">
        <f>Q132+LN(1+INDEX('Additional data'!$H$2:$H$1196,MATCH(N133,'Additional data'!$G$2:$G$1196,1))+INDEX('Additional data'!$I$2:$I$1196,MATCH(N133,'Additional data'!$G$2:$G$1196,1)))</f>
        <v>0.462823182889453</v>
      </c>
      <c r="R133" s="77" t="n"/>
      <c r="S133" s="116">
        <f>IF(INDEX('Additional data'!$E$2:$E$699,MATCH(DATE(YEAR(N133),MONTH(N133),1),'Additional data'!$D$2:$D$699,0))=0,(INDEX('Additional data'!$E$2:$E$699,MATCH(DATE(YEAR(N133),MONTH(N133),1),'Additional data'!$D$2:$D$699,0)-1)+INDEX('Additional data'!$E$2:$E$699,MATCH(DATE(YEAR(N133),MONTH(N133),1),'Additional data'!$D$2:$D$699,0)+1))/2,INDEX('Additional data'!$E$2:$E$699,MATCH(DATE(YEAR(N133),MONTH(N133),1),'Additional data'!$D$2:$D$699,0)))</f>
        <v>9.72</v>
      </c>
      <c r="T133" s="425">
        <f>P133-P132</f>
        <v>0</v>
      </c>
      <c r="U133" s="425">
        <f>Q133-Q132</f>
        <v>-0.00823380492710352</v>
      </c>
      <c r="V133" s="77" t="n"/>
      <c r="W133" s="116">
        <f>S133-S132</f>
        <v>0.0200000000000014</v>
      </c>
      <c r="X133" s="425">
        <f>P133-P121</f>
        <v>0</v>
      </c>
      <c r="Y133" s="425">
        <f>Q133-Q121</f>
        <v>0.160154905532844</v>
      </c>
      <c r="Z133" s="77" t="n"/>
      <c r="AA133" s="116">
        <f>S133-S121</f>
        <v>-0.709999999999999</v>
      </c>
      <c r="AB133" s="425">
        <f>P133-P73</f>
        <v>1.23706196113305</v>
      </c>
      <c r="AC133" s="425">
        <f>Q133-Q73</f>
        <v>0.234289977913597</v>
      </c>
      <c r="AD133" s="77" t="n"/>
      <c r="AE133" s="235">
        <f>S133-S73</f>
        <v>0.470000000000001</v>
      </c>
      <c r="AG133" s="554">
        <f>N133</f>
        <v>28763.0</v>
      </c>
      <c r="AH133" s="435">
        <f>IFERROR(INDEX('RBA 5Y yield'!$B$5:$B$661,MATCH(N133,'RBA 5Y yield'!$A$5:$A$661,1))*100,"")</f>
        <v>9</v>
      </c>
      <c r="AI133" s="435">
        <f>IF(AND(ISNUMBER(AH133),ISNUMBER(AH132)),AH133-AH132,"")</f>
        <v>0.00999999999999979</v>
      </c>
      <c r="AJ133" s="435">
        <f>IF(AND(ISNUMBER(AH133),ISNUMBER(AH121)),AH133-AH121,"")</f>
        <v>-1.03</v>
      </c>
      <c r="AK133" s="435">
        <f>IF(AND(ISNUMBER(AH133),ISNUMBER(AH73)),AH133-AH73,"")</f>
        <v>0.75</v>
      </c>
      <c r="AL133" s="560">
        <f>IFERROR(LN(INDEX(Data!$B$2:$B$497,MATCH(N133,Data!$A$2:$A$497,1))/INDEX(Data!$B$2:$B$497,MATCH(N121,Data!$A$2:$A$497,1))),"")</f>
      </c>
      <c r="AM133" s="560">
        <f>IFERROR(LN(INDEX(Data!$C$2:$C$497,MATCH(N133,Data!$A$2:$A$497,1))/INDEX(Data!$C$2:$C$497,MATCH(N121,Data!$A$2:$A$497,1))),"")</f>
      </c>
      <c r="AN133" s="560">
        <f>IFERROR(LN(INDEX(Data!$D$2:$D$497,MATCH(N133,Data!$A$2:$A$497,1))/INDEX(Data!$D$2:$D$497,MATCH(N121,Data!$A$2:$A$497,1))),"")</f>
      </c>
      <c r="AO133" s="560">
        <f>IFERROR(LN(INDEX(Data!$E$2:$E$497,MATCH(N133,Data!$A$2:$A$497,1))/INDEX(Data!$E$2:$E$497,MATCH(N121,Data!$A$2:$A$497,1))),"")</f>
      </c>
      <c r="AP133" s="560">
        <f>IFERROR(LN(INDEX(Data!$F$2:$F$497,MATCH(N133,Data!$A$2:$A$497,1))/INDEX(Data!$F$2:$F$497,MATCH(N121,Data!$A$2:$A$497,1))),"")</f>
      </c>
      <c r="AQ133" s="560">
        <f>IFERROR(LN(INDEX(Data!$G$2:$G$497,MATCH(N133,Data!$A$2:$A$497,1))/INDEX(Data!$G$2:$G$497,MATCH(N121,Data!$A$2:$A$497,1))),"")</f>
      </c>
      <c r="AR133" s="560">
        <f>IFERROR(LN(INDEX(Data!$H$2:$H$497,MATCH(N133,Data!$A$2:$A$497,1))/INDEX(Data!$H$2:$H$497,MATCH(N121,Data!$A$2:$A$497,1))),"")</f>
      </c>
      <c r="AS133" s="560">
        <f>IFERROR(LN(INDEX(Data!$I$2:$I$497,MATCH(N133,Data!$A$2:$A$497,1))/INDEX(Data!$I$2:$I$497,MATCH(N121,Data!$A$2:$A$497,1))),"")</f>
      </c>
      <c r="AT133" s="560">
        <f>IFERROR(LN(INDEX(Data!$J$2:$J$497,MATCH(N133,Data!$A$2:$A$497,1))/INDEX(Data!$J$2:$J$497,MATCH(N121,Data!$A$2:$A$497,1))),"")</f>
      </c>
      <c r="AU133" s="560">
        <f>IFERROR(LN(INDEX(Data!$K$2:$K$497,MATCH(N133,Data!$A$2:$A$497,1))/INDEX(Data!$K$2:$K$497,MATCH(N121,Data!$A$2:$A$497,1))),"")</f>
      </c>
      <c r="AV133" s="561">
        <f>IFERROR(LN(INDEX(Data!$L$2:$L$497,MATCH(N133,Data!$A$2:$A$497,1))/INDEX(Data!$L$2:$L$497,MATCH(N121,Data!$A$2:$A$497,1))),"")</f>
      </c>
    </row>
    <row r="134" ht="40" customHeight="1">
      <c r="A134" s="579" t="inlineStr">
        <is>
          <t>Asset class</t>
        </is>
      </c>
      <c r="B134" s="580" t="inlineStr">
        <is>
          <t>2008 as happened</t>
        </is>
      </c>
      <c r="C134" s="580" t="inlineStr">
        <is>
          <t>2008 scaled</t>
        </is>
      </c>
      <c r="D134" s="580" t="inlineStr">
        <is>
          <t>Central case: 1990 and 2022</t>
        </is>
      </c>
      <c r="E134" s="581" t="inlineStr">
        <is>
          <t>Central case: 1990, 2022 and 2008</t>
        </is>
      </c>
      <c r="N134" s="337" t="n">
        <v>28794</v>
      </c>
      <c r="O134" s="116">
        <f>INDEX('Additional data'!$B$2:$B$965,MATCH(DATE(YEAR(N134),MONTH(N134),1),'Additional data'!$A$2:$A$965,0))</f>
        <v>14.85</v>
      </c>
      <c r="P134" s="489">
        <f>LN(O134)</f>
        <v>2.69799986524871</v>
      </c>
      <c r="Q134" s="489">
        <f>Q133+LN(1+INDEX('Additional data'!$H$2:$H$1196,MATCH(N134,'Additional data'!$G$2:$G$1196,1))+INDEX('Additional data'!$I$2:$I$1196,MATCH(N134,'Additional data'!$G$2:$G$1196,1)))</f>
        <v>0.34381439630725</v>
      </c>
      <c r="R134" s="77" t="n"/>
      <c r="S134" s="116">
        <f>IF(INDEX('Additional data'!$E$2:$E$699,MATCH(DATE(YEAR(N134),MONTH(N134),1),'Additional data'!$D$2:$D$699,0))=0,(INDEX('Additional data'!$E$2:$E$699,MATCH(DATE(YEAR(N134),MONTH(N134),1),'Additional data'!$D$2:$D$699,0)-1)+INDEX('Additional data'!$E$2:$E$699,MATCH(DATE(YEAR(N134),MONTH(N134),1),'Additional data'!$D$2:$D$699,0)+1))/2,INDEX('Additional data'!$E$2:$E$699,MATCH(DATE(YEAR(N134),MONTH(N134),1),'Additional data'!$D$2:$D$699,0)))</f>
        <v>9.74</v>
      </c>
      <c r="T134" s="425">
        <f>P134-P133</f>
        <v>0</v>
      </c>
      <c r="U134" s="425">
        <f>Q134-Q133</f>
        <v>-0.119008786582202</v>
      </c>
      <c r="V134" s="77" t="n"/>
      <c r="W134" s="116">
        <f>S134-S133</f>
        <v>0.0199999999999996</v>
      </c>
      <c r="X134" s="425">
        <f>P134-P122</f>
        <v>0</v>
      </c>
      <c r="Y134" s="425">
        <f>Q134-Q122</f>
        <v>0.0809269889624867</v>
      </c>
      <c r="Z134" s="77" t="n"/>
      <c r="AA134" s="116">
        <f>S134-S122</f>
        <v>-0.279999999999999</v>
      </c>
      <c r="AB134" s="425">
        <f>P134-P74</f>
        <v>1.23706196113305</v>
      </c>
      <c r="AC134" s="425">
        <f>Q134-Q74</f>
        <v>0.117082813278023</v>
      </c>
      <c r="AD134" s="77" t="n"/>
      <c r="AE134" s="235">
        <f>S134-S74</f>
        <v>0.0899999999999999</v>
      </c>
      <c r="AG134" s="554">
        <f>N134</f>
        <v>28794.0</v>
      </c>
      <c r="AH134" s="435">
        <f>IFERROR(INDEX('RBA 5Y yield'!$B$5:$B$661,MATCH(N134,'RBA 5Y yield'!$A$5:$A$661,1))*100,"")</f>
        <v>8.86</v>
      </c>
      <c r="AI134" s="435">
        <f>IF(AND(ISNUMBER(AH134),ISNUMBER(AH133)),AH134-AH133,"")</f>
        <v>-0.140000000000001</v>
      </c>
      <c r="AJ134" s="435">
        <f>IF(AND(ISNUMBER(AH134),ISNUMBER(AH122)),AH134-AH122,"")</f>
        <v>-0.98</v>
      </c>
      <c r="AK134" s="435">
        <f>IF(AND(ISNUMBER(AH134),ISNUMBER(AH74)),AH134-AH74,"")</f>
        <v>0.619999999999999</v>
      </c>
      <c r="AL134" s="560">
        <f>IFERROR(LN(INDEX(Data!$B$2:$B$497,MATCH(N134,Data!$A$2:$A$497,1))/INDEX(Data!$B$2:$B$497,MATCH(N122,Data!$A$2:$A$497,1))),"")</f>
      </c>
      <c r="AM134" s="560">
        <f>IFERROR(LN(INDEX(Data!$C$2:$C$497,MATCH(N134,Data!$A$2:$A$497,1))/INDEX(Data!$C$2:$C$497,MATCH(N122,Data!$A$2:$A$497,1))),"")</f>
      </c>
      <c r="AN134" s="560">
        <f>IFERROR(LN(INDEX(Data!$D$2:$D$497,MATCH(N134,Data!$A$2:$A$497,1))/INDEX(Data!$D$2:$D$497,MATCH(N122,Data!$A$2:$A$497,1))),"")</f>
      </c>
      <c r="AO134" s="560">
        <f>IFERROR(LN(INDEX(Data!$E$2:$E$497,MATCH(N134,Data!$A$2:$A$497,1))/INDEX(Data!$E$2:$E$497,MATCH(N122,Data!$A$2:$A$497,1))),"")</f>
      </c>
      <c r="AP134" s="560">
        <f>IFERROR(LN(INDEX(Data!$F$2:$F$497,MATCH(N134,Data!$A$2:$A$497,1))/INDEX(Data!$F$2:$F$497,MATCH(N122,Data!$A$2:$A$497,1))),"")</f>
      </c>
      <c r="AQ134" s="560">
        <f>IFERROR(LN(INDEX(Data!$G$2:$G$497,MATCH(N134,Data!$A$2:$A$497,1))/INDEX(Data!$G$2:$G$497,MATCH(N122,Data!$A$2:$A$497,1))),"")</f>
      </c>
      <c r="AR134" s="560">
        <f>IFERROR(LN(INDEX(Data!$H$2:$H$497,MATCH(N134,Data!$A$2:$A$497,1))/INDEX(Data!$H$2:$H$497,MATCH(N122,Data!$A$2:$A$497,1))),"")</f>
      </c>
      <c r="AS134" s="560">
        <f>IFERROR(LN(INDEX(Data!$I$2:$I$497,MATCH(N134,Data!$A$2:$A$497,1))/INDEX(Data!$I$2:$I$497,MATCH(N122,Data!$A$2:$A$497,1))),"")</f>
      </c>
      <c r="AT134" s="560">
        <f>IFERROR(LN(INDEX(Data!$J$2:$J$497,MATCH(N134,Data!$A$2:$A$497,1))/INDEX(Data!$J$2:$J$497,MATCH(N122,Data!$A$2:$A$497,1))),"")</f>
      </c>
      <c r="AU134" s="560">
        <f>IFERROR(LN(INDEX(Data!$K$2:$K$497,MATCH(N134,Data!$A$2:$A$497,1))/INDEX(Data!$K$2:$K$497,MATCH(N122,Data!$A$2:$A$497,1))),"")</f>
      </c>
      <c r="AV134" s="561">
        <f>IFERROR(LN(INDEX(Data!$L$2:$L$497,MATCH(N134,Data!$A$2:$A$497,1))/INDEX(Data!$L$2:$L$497,MATCH(N122,Data!$A$2:$A$497,1))),"")</f>
      </c>
    </row>
    <row r="135">
      <c r="A135" s="582" t="inlineStr">
        <is>
          <t>Australian Equities</t>
        </is>
      </c>
      <c r="B135" s="483">
        <f>INDEX(Data!B$2:B$497,MATCH($C$130,Data!$A$2:$A$497,0))/INDEX(Data!B$2:B$497,MATCH($B$130,Data!$A$2:$A$497,0))-1</f>
        <v>-0.15215458161739</v>
      </c>
      <c r="C135" s="483">
        <f>B135*$G$130</f>
        <v>-0.177706491722785</v>
      </c>
      <c r="D135" s="483">
        <f>AVERAGE(D28:E28)</f>
        <v>-0.0848025997835641</v>
      </c>
      <c r="E135" s="589">
        <f>AVERAGE(D28:E28,C135)</f>
        <v>-0.115770563763304</v>
      </c>
      <c r="N135" s="337" t="n">
        <v>28824</v>
      </c>
      <c r="O135" s="116">
        <f>INDEX('Additional data'!$B$2:$B$965,MATCH(DATE(YEAR(N135),MONTH(N135),1),'Additional data'!$A$2:$A$965,0))</f>
        <v>14.85</v>
      </c>
      <c r="P135" s="489">
        <f>LN(O135)</f>
        <v>2.69799986524871</v>
      </c>
      <c r="Q135" s="489">
        <f>Q134+LN(1+INDEX('Additional data'!$H$2:$H$1196,MATCH(N135,'Additional data'!$G$2:$G$1196,1))+INDEX('Additional data'!$I$2:$I$1196,MATCH(N135,'Additional data'!$G$2:$G$1196,1)))</f>
        <v>0.377345879516043</v>
      </c>
      <c r="R135" s="77" t="n"/>
      <c r="S135" s="116">
        <f>IF(INDEX('Additional data'!$E$2:$E$699,MATCH(DATE(YEAR(N135),MONTH(N135),1),'Additional data'!$D$2:$D$699,0))=0,(INDEX('Additional data'!$E$2:$E$699,MATCH(DATE(YEAR(N135),MONTH(N135),1),'Additional data'!$D$2:$D$699,0)-1)+INDEX('Additional data'!$E$2:$E$699,MATCH(DATE(YEAR(N135),MONTH(N135),1),'Additional data'!$D$2:$D$699,0)+1))/2,INDEX('Additional data'!$E$2:$E$699,MATCH(DATE(YEAR(N135),MONTH(N135),1),'Additional data'!$D$2:$D$699,0)))</f>
        <v>9.19</v>
      </c>
      <c r="T135" s="425">
        <f>P135-P134</f>
        <v>0</v>
      </c>
      <c r="U135" s="425">
        <f>Q135-Q134</f>
        <v>0.0335314832087921</v>
      </c>
      <c r="V135" s="77" t="n"/>
      <c r="W135" s="116">
        <f>S135-S134</f>
        <v>-0.550000000000001</v>
      </c>
      <c r="X135" s="425">
        <f>P135-P123</f>
        <v>0</v>
      </c>
      <c r="Y135" s="425">
        <f>Q135-Q123</f>
        <v>0.0704415867545046</v>
      </c>
      <c r="Z135" s="77" t="n"/>
      <c r="AA135" s="116">
        <f>S135-S123</f>
        <v>-0.82</v>
      </c>
      <c r="AB135" s="425">
        <f>P135-P75</f>
        <v>1.23706196113305</v>
      </c>
      <c r="AC135" s="425">
        <f>Q135-Q75</f>
        <v>0.280950798214819</v>
      </c>
      <c r="AD135" s="77" t="n"/>
      <c r="AE135" s="235">
        <f>S135-S75</f>
        <v>-0.00999999999999979</v>
      </c>
      <c r="AG135" s="554">
        <f>N135</f>
        <v>28824.0</v>
      </c>
      <c r="AH135" s="435">
        <f>IFERROR(INDEX('RBA 5Y yield'!$B$5:$B$661,MATCH(N135,'RBA 5Y yield'!$A$5:$A$661,1))*100,"")</f>
        <v>8.8</v>
      </c>
      <c r="AI135" s="435">
        <f>IF(AND(ISNUMBER(AH135),ISNUMBER(AH134)),AH135-AH134,"")</f>
        <v>-0.0600000000000005</v>
      </c>
      <c r="AJ135" s="435">
        <f>IF(AND(ISNUMBER(AH135),ISNUMBER(AH123)),AH135-AH123,"")</f>
        <v>-0.92</v>
      </c>
      <c r="AK135" s="435">
        <f>IF(AND(ISNUMBER(AH135),ISNUMBER(AH75)),AH135-AH75,"")</f>
        <v>0.559999999999999</v>
      </c>
      <c r="AL135" s="560">
        <f>IFERROR(LN(INDEX(Data!$B$2:$B$497,MATCH(N135,Data!$A$2:$A$497,1))/INDEX(Data!$B$2:$B$497,MATCH(N123,Data!$A$2:$A$497,1))),"")</f>
      </c>
      <c r="AM135" s="560">
        <f>IFERROR(LN(INDEX(Data!$C$2:$C$497,MATCH(N135,Data!$A$2:$A$497,1))/INDEX(Data!$C$2:$C$497,MATCH(N123,Data!$A$2:$A$497,1))),"")</f>
      </c>
      <c r="AN135" s="560">
        <f>IFERROR(LN(INDEX(Data!$D$2:$D$497,MATCH(N135,Data!$A$2:$A$497,1))/INDEX(Data!$D$2:$D$497,MATCH(N123,Data!$A$2:$A$497,1))),"")</f>
      </c>
      <c r="AO135" s="560">
        <f>IFERROR(LN(INDEX(Data!$E$2:$E$497,MATCH(N135,Data!$A$2:$A$497,1))/INDEX(Data!$E$2:$E$497,MATCH(N123,Data!$A$2:$A$497,1))),"")</f>
      </c>
      <c r="AP135" s="560">
        <f>IFERROR(LN(INDEX(Data!$F$2:$F$497,MATCH(N135,Data!$A$2:$A$497,1))/INDEX(Data!$F$2:$F$497,MATCH(N123,Data!$A$2:$A$497,1))),"")</f>
      </c>
      <c r="AQ135" s="560">
        <f>IFERROR(LN(INDEX(Data!$G$2:$G$497,MATCH(N135,Data!$A$2:$A$497,1))/INDEX(Data!$G$2:$G$497,MATCH(N123,Data!$A$2:$A$497,1))),"")</f>
      </c>
      <c r="AR135" s="560">
        <f>IFERROR(LN(INDEX(Data!$H$2:$H$497,MATCH(N135,Data!$A$2:$A$497,1))/INDEX(Data!$H$2:$H$497,MATCH(N123,Data!$A$2:$A$497,1))),"")</f>
      </c>
      <c r="AS135" s="560">
        <f>IFERROR(LN(INDEX(Data!$I$2:$I$497,MATCH(N135,Data!$A$2:$A$497,1))/INDEX(Data!$I$2:$I$497,MATCH(N123,Data!$A$2:$A$497,1))),"")</f>
      </c>
      <c r="AT135" s="560">
        <f>IFERROR(LN(INDEX(Data!$J$2:$J$497,MATCH(N135,Data!$A$2:$A$497,1))/INDEX(Data!$J$2:$J$497,MATCH(N123,Data!$A$2:$A$497,1))),"")</f>
      </c>
      <c r="AU135" s="560">
        <f>IFERROR(LN(INDEX(Data!$K$2:$K$497,MATCH(N135,Data!$A$2:$A$497,1))/INDEX(Data!$K$2:$K$497,MATCH(N123,Data!$A$2:$A$497,1))),"")</f>
      </c>
      <c r="AV135" s="561">
        <f>IFERROR(LN(INDEX(Data!$L$2:$L$497,MATCH(N135,Data!$A$2:$A$497,1))/INDEX(Data!$L$2:$L$497,MATCH(N123,Data!$A$2:$A$497,1))),"")</f>
      </c>
    </row>
    <row r="136">
      <c r="A136" s="582" t="inlineStr">
        <is>
          <t>World Equities</t>
        </is>
      </c>
      <c r="B136" s="483">
        <f>INDEX(Data!C$2:C$497,MATCH($C$130,Data!$A$2:$A$497,0))/INDEX(Data!C$2:C$497,MATCH($B$130,Data!$A$2:$A$497,0))-1</f>
        <v>-0.199380381409417</v>
      </c>
      <c r="C136" s="483">
        <f>B136*$G$130</f>
        <v>-0.232863103575244</v>
      </c>
      <c r="D136" s="483">
        <f>AVERAGE(D29:E29)</f>
        <v>-0.129929578012126</v>
      </c>
      <c r="E136" s="589">
        <f>AVERAGE(D29:E29,C136)</f>
        <v>-0.164240753199832</v>
      </c>
      <c r="N136" s="337" t="n">
        <v>28855</v>
      </c>
      <c r="O136" s="116">
        <f>INDEX('Additional data'!$B$2:$B$965,MATCH(DATE(YEAR(N136),MONTH(N136),1),'Additional data'!$A$2:$A$965,0))</f>
        <v>14.85</v>
      </c>
      <c r="P136" s="489">
        <f>LN(O136)</f>
        <v>2.69799986524871</v>
      </c>
      <c r="Q136" s="489">
        <f>Q135+LN(1+INDEX('Additional data'!$H$2:$H$1196,MATCH(N136,'Additional data'!$G$2:$G$1196,1))+INDEX('Additional data'!$I$2:$I$1196,MATCH(N136,'Additional data'!$G$2:$G$1196,1)))</f>
        <v>0.393711233602307</v>
      </c>
      <c r="R136" s="77" t="n"/>
      <c r="S136" s="116">
        <f>IF(INDEX('Additional data'!$E$2:$E$699,MATCH(DATE(YEAR(N136),MONTH(N136),1),'Additional data'!$D$2:$D$699,0))=0,(INDEX('Additional data'!$E$2:$E$699,MATCH(DATE(YEAR(N136),MONTH(N136),1),'Additional data'!$D$2:$D$699,0)-1)+INDEX('Additional data'!$E$2:$E$699,MATCH(DATE(YEAR(N136),MONTH(N136),1),'Additional data'!$D$2:$D$699,0)+1))/2,INDEX('Additional data'!$E$2:$E$699,MATCH(DATE(YEAR(N136),MONTH(N136),1),'Additional data'!$D$2:$D$699,0)))</f>
        <v>8.76</v>
      </c>
      <c r="T136" s="425">
        <f>P136-P135</f>
        <v>0</v>
      </c>
      <c r="U136" s="425">
        <f>Q136-Q135</f>
        <v>0.0163653540862642</v>
      </c>
      <c r="V136" s="77" t="n"/>
      <c r="W136" s="116">
        <f>S136-S135</f>
        <v>-0.43</v>
      </c>
      <c r="X136" s="425">
        <f>P136-P124</f>
        <v>0</v>
      </c>
      <c r="Y136" s="425">
        <f>Q136-Q124</f>
        <v>0.0792356753444509</v>
      </c>
      <c r="Z136" s="77" t="n"/>
      <c r="AA136" s="116">
        <f>S136-S124</f>
        <v>-0.99</v>
      </c>
      <c r="AB136" s="425">
        <f>P136-P76</f>
        <v>1.23706196113305</v>
      </c>
      <c r="AC136" s="425">
        <f>Q136-Q76</f>
        <v>0.285091182678514</v>
      </c>
      <c r="AD136" s="77" t="n"/>
      <c r="AE136" s="235">
        <f>S136-S76</f>
        <v>-0.49</v>
      </c>
      <c r="AG136" s="554">
        <f>N136</f>
        <v>28855.0</v>
      </c>
      <c r="AH136" s="435">
        <f>IFERROR(INDEX('RBA 5Y yield'!$B$5:$B$661,MATCH(N136,'RBA 5Y yield'!$A$5:$A$661,1))*100,"")</f>
        <v>8.8</v>
      </c>
      <c r="AI136" s="435">
        <f>IF(AND(ISNUMBER(AH136),ISNUMBER(AH135)),AH136-AH135,"")</f>
        <v>0</v>
      </c>
      <c r="AJ136" s="435">
        <f>IF(AND(ISNUMBER(AH136),ISNUMBER(AH124)),AH136-AH124,"")</f>
        <v>-0.700000000000001</v>
      </c>
      <c r="AK136" s="435">
        <f>IF(AND(ISNUMBER(AH136),ISNUMBER(AH76)),AH136-AH76,"")</f>
        <v>0.559999999999999</v>
      </c>
      <c r="AL136" s="560">
        <f>IFERROR(LN(INDEX(Data!$B$2:$B$497,MATCH(N136,Data!$A$2:$A$497,1))/INDEX(Data!$B$2:$B$497,MATCH(N124,Data!$A$2:$A$497,1))),"")</f>
      </c>
      <c r="AM136" s="560">
        <f>IFERROR(LN(INDEX(Data!$C$2:$C$497,MATCH(N136,Data!$A$2:$A$497,1))/INDEX(Data!$C$2:$C$497,MATCH(N124,Data!$A$2:$A$497,1))),"")</f>
      </c>
      <c r="AN136" s="560">
        <f>IFERROR(LN(INDEX(Data!$D$2:$D$497,MATCH(N136,Data!$A$2:$A$497,1))/INDEX(Data!$D$2:$D$497,MATCH(N124,Data!$A$2:$A$497,1))),"")</f>
      </c>
      <c r="AO136" s="560">
        <f>IFERROR(LN(INDEX(Data!$E$2:$E$497,MATCH(N136,Data!$A$2:$A$497,1))/INDEX(Data!$E$2:$E$497,MATCH(N124,Data!$A$2:$A$497,1))),"")</f>
      </c>
      <c r="AP136" s="560">
        <f>IFERROR(LN(INDEX(Data!$F$2:$F$497,MATCH(N136,Data!$A$2:$A$497,1))/INDEX(Data!$F$2:$F$497,MATCH(N124,Data!$A$2:$A$497,1))),"")</f>
      </c>
      <c r="AQ136" s="560">
        <f>IFERROR(LN(INDEX(Data!$G$2:$G$497,MATCH(N136,Data!$A$2:$A$497,1))/INDEX(Data!$G$2:$G$497,MATCH(N124,Data!$A$2:$A$497,1))),"")</f>
      </c>
      <c r="AR136" s="560">
        <f>IFERROR(LN(INDEX(Data!$H$2:$H$497,MATCH(N136,Data!$A$2:$A$497,1))/INDEX(Data!$H$2:$H$497,MATCH(N124,Data!$A$2:$A$497,1))),"")</f>
      </c>
      <c r="AS136" s="560">
        <f>IFERROR(LN(INDEX(Data!$I$2:$I$497,MATCH(N136,Data!$A$2:$A$497,1))/INDEX(Data!$I$2:$I$497,MATCH(N124,Data!$A$2:$A$497,1))),"")</f>
      </c>
      <c r="AT136" s="560">
        <f>IFERROR(LN(INDEX(Data!$J$2:$J$497,MATCH(N136,Data!$A$2:$A$497,1))/INDEX(Data!$J$2:$J$497,MATCH(N124,Data!$A$2:$A$497,1))),"")</f>
      </c>
      <c r="AU136" s="560">
        <f>IFERROR(LN(INDEX(Data!$K$2:$K$497,MATCH(N136,Data!$A$2:$A$497,1))/INDEX(Data!$K$2:$K$497,MATCH(N124,Data!$A$2:$A$497,1))),"")</f>
      </c>
      <c r="AV136" s="561">
        <f>IFERROR(LN(INDEX(Data!$L$2:$L$497,MATCH(N136,Data!$A$2:$A$497,1))/INDEX(Data!$L$2:$L$497,MATCH(N124,Data!$A$2:$A$497,1))),"")</f>
      </c>
    </row>
    <row r="137">
      <c r="A137" s="582" t="inlineStr">
        <is>
          <t>Emerging Markets</t>
        </is>
      </c>
      <c r="B137" s="483">
        <f>INDEX(Data!D$2:D$497,MATCH($C$130,Data!$A$2:$A$497,0))/INDEX(Data!D$2:D$497,MATCH($B$130,Data!$A$2:$A$497,0))-1</f>
        <v>-0.197362566519577</v>
      </c>
      <c r="C137" s="483">
        <f>B137*$G$130</f>
        <v>-0.230506429190499</v>
      </c>
      <c r="D137" s="483">
        <f>AVERAGE(D30:E30)</f>
        <v>-0.137088728233919</v>
      </c>
      <c r="E137" s="589">
        <f>AVERAGE(D30:E30,C137)</f>
        <v>-0.168227961886113</v>
      </c>
      <c r="N137" s="337" t="n">
        <v>28886</v>
      </c>
      <c r="O137" s="116">
        <f>INDEX('Additional data'!$B$2:$B$965,MATCH(DATE(YEAR(N137),MONTH(N137),1),'Additional data'!$A$2:$A$965,0))</f>
        <v>14.85</v>
      </c>
      <c r="P137" s="489">
        <f>LN(O137)</f>
        <v>2.69799986524871</v>
      </c>
      <c r="Q137" s="489">
        <f>Q136+LN(1+INDEX('Additional data'!$H$2:$H$1196,MATCH(N137,'Additional data'!$G$2:$G$1196,1))+INDEX('Additional data'!$I$2:$I$1196,MATCH(N137,'Additional data'!$G$2:$G$1196,1)))</f>
        <v>0.442406155141065</v>
      </c>
      <c r="R137" s="77" t="n"/>
      <c r="S137" s="116">
        <f>IF(INDEX('Additional data'!$E$2:$E$699,MATCH(DATE(YEAR(N137),MONTH(N137),1),'Additional data'!$D$2:$D$699,0))=0,(INDEX('Additional data'!$E$2:$E$699,MATCH(DATE(YEAR(N137),MONTH(N137),1),'Additional data'!$D$2:$D$699,0)-1)+INDEX('Additional data'!$E$2:$E$699,MATCH(DATE(YEAR(N137),MONTH(N137),1),'Additional data'!$D$2:$D$699,0)+1))/2,INDEX('Additional data'!$E$2:$E$699,MATCH(DATE(YEAR(N137),MONTH(N137),1),'Additional data'!$D$2:$D$699,0)))</f>
        <v>8.51</v>
      </c>
      <c r="T137" s="425">
        <f>P137-P136</f>
        <v>0</v>
      </c>
      <c r="U137" s="425">
        <f>Q137-Q136</f>
        <v>0.0486949215387586</v>
      </c>
      <c r="V137" s="77" t="n"/>
      <c r="W137" s="116">
        <f>S137-S136</f>
        <v>-0.25</v>
      </c>
      <c r="X137" s="425">
        <f>P137-P125</f>
        <v>0</v>
      </c>
      <c r="Y137" s="425">
        <f>Q137-Q125</f>
        <v>0.184606774076766</v>
      </c>
      <c r="Z137" s="77" t="n"/>
      <c r="AA137" s="116">
        <f>S137-S125</f>
        <v>-0.98</v>
      </c>
      <c r="AB137" s="425">
        <f>P137-P77</f>
        <v>0.384474832216329</v>
      </c>
      <c r="AC137" s="425">
        <f>Q137-Q77</f>
        <v>0.329097114731141</v>
      </c>
      <c r="AD137" s="77" t="n"/>
      <c r="AE137" s="235">
        <f>S137-S77</f>
        <v>-0.74</v>
      </c>
      <c r="AG137" s="554">
        <f>N137</f>
        <v>28886.0</v>
      </c>
      <c r="AH137" s="435">
        <f>IFERROR(INDEX('RBA 5Y yield'!$B$5:$B$661,MATCH(N137,'RBA 5Y yield'!$A$5:$A$661,1))*100,"")</f>
        <v>8.85</v>
      </c>
      <c r="AI137" s="435">
        <f>IF(AND(ISNUMBER(AH137),ISNUMBER(AH136)),AH137-AH136,"")</f>
        <v>0.0500000000000007</v>
      </c>
      <c r="AJ137" s="435">
        <f>IF(AND(ISNUMBER(AH137),ISNUMBER(AH125)),AH137-AH125,"")</f>
        <v>-0.470000000000001</v>
      </c>
      <c r="AK137" s="435">
        <f>IF(AND(ISNUMBER(AH137),ISNUMBER(AH77)),AH137-AH77,"")</f>
        <v>0.609999999999999</v>
      </c>
      <c r="AL137" s="560">
        <f>IFERROR(LN(INDEX(Data!$B$2:$B$497,MATCH(N137,Data!$A$2:$A$497,1))/INDEX(Data!$B$2:$B$497,MATCH(N125,Data!$A$2:$A$497,1))),"")</f>
      </c>
      <c r="AM137" s="560">
        <f>IFERROR(LN(INDEX(Data!$C$2:$C$497,MATCH(N137,Data!$A$2:$A$497,1))/INDEX(Data!$C$2:$C$497,MATCH(N125,Data!$A$2:$A$497,1))),"")</f>
      </c>
      <c r="AN137" s="560">
        <f>IFERROR(LN(INDEX(Data!$D$2:$D$497,MATCH(N137,Data!$A$2:$A$497,1))/INDEX(Data!$D$2:$D$497,MATCH(N125,Data!$A$2:$A$497,1))),"")</f>
      </c>
      <c r="AO137" s="560">
        <f>IFERROR(LN(INDEX(Data!$E$2:$E$497,MATCH(N137,Data!$A$2:$A$497,1))/INDEX(Data!$E$2:$E$497,MATCH(N125,Data!$A$2:$A$497,1))),"")</f>
      </c>
      <c r="AP137" s="560">
        <f>IFERROR(LN(INDEX(Data!$F$2:$F$497,MATCH(N137,Data!$A$2:$A$497,1))/INDEX(Data!$F$2:$F$497,MATCH(N125,Data!$A$2:$A$497,1))),"")</f>
      </c>
      <c r="AQ137" s="560">
        <f>IFERROR(LN(INDEX(Data!$G$2:$G$497,MATCH(N137,Data!$A$2:$A$497,1))/INDEX(Data!$G$2:$G$497,MATCH(N125,Data!$A$2:$A$497,1))),"")</f>
      </c>
      <c r="AR137" s="560">
        <f>IFERROR(LN(INDEX(Data!$H$2:$H$497,MATCH(N137,Data!$A$2:$A$497,1))/INDEX(Data!$H$2:$H$497,MATCH(N125,Data!$A$2:$A$497,1))),"")</f>
      </c>
      <c r="AS137" s="560">
        <f>IFERROR(LN(INDEX(Data!$I$2:$I$497,MATCH(N137,Data!$A$2:$A$497,1))/INDEX(Data!$I$2:$I$497,MATCH(N125,Data!$A$2:$A$497,1))),"")</f>
      </c>
      <c r="AT137" s="560">
        <f>IFERROR(LN(INDEX(Data!$J$2:$J$497,MATCH(N137,Data!$A$2:$A$497,1))/INDEX(Data!$J$2:$J$497,MATCH(N125,Data!$A$2:$A$497,1))),"")</f>
      </c>
      <c r="AU137" s="560">
        <f>IFERROR(LN(INDEX(Data!$K$2:$K$497,MATCH(N137,Data!$A$2:$A$497,1))/INDEX(Data!$K$2:$K$497,MATCH(N125,Data!$A$2:$A$497,1))),"")</f>
      </c>
      <c r="AV137" s="561">
        <f>IFERROR(LN(INDEX(Data!$L$2:$L$497,MATCH(N137,Data!$A$2:$A$497,1))/INDEX(Data!$L$2:$L$497,MATCH(N125,Data!$A$2:$A$497,1))),"")</f>
      </c>
    </row>
    <row r="138">
      <c r="A138" s="582" t="inlineStr">
        <is>
          <t>Listed Property</t>
        </is>
      </c>
      <c r="B138" s="483">
        <f>INDEX(Data!E$2:E$497,MATCH($C$130,Data!$A$2:$A$497,0))/INDEX(Data!E$2:E$497,MATCH($B$130,Data!$A$2:$A$497,0))-1</f>
        <v>-0.202106255616007</v>
      </c>
      <c r="C138" s="483">
        <f>B138*$G$130</f>
        <v>-0.23604674442905</v>
      </c>
      <c r="D138" s="483">
        <f>AVERAGE(D31:E31)</f>
        <v>-0.115536911204531</v>
      </c>
      <c r="E138" s="589">
        <f>AVERAGE(D31:E31,C138)</f>
        <v>-0.155706855612704</v>
      </c>
      <c r="N138" s="337" t="n">
        <v>28914</v>
      </c>
      <c r="O138" s="116">
        <f>INDEX('Additional data'!$B$2:$B$965,MATCH(DATE(YEAR(N138),MONTH(N138),1),'Additional data'!$A$2:$A$965,0))</f>
        <v>15.85</v>
      </c>
      <c r="P138" s="489">
        <f>LN(O138)</f>
        <v>2.76316950032329</v>
      </c>
      <c r="Q138" s="489">
        <f>Q137+LN(1+INDEX('Additional data'!$H$2:$H$1196,MATCH(N138,'Additional data'!$G$2:$G$1196,1))+INDEX('Additional data'!$I$2:$I$1196,MATCH(N138,'Additional data'!$G$2:$G$1196,1)))</f>
        <v>0.413697991004322</v>
      </c>
      <c r="R138" s="77" t="n"/>
      <c r="S138" s="116">
        <f>IF(INDEX('Additional data'!$E$2:$E$699,MATCH(DATE(YEAR(N138),MONTH(N138),1),'Additional data'!$D$2:$D$699,0))=0,(INDEX('Additional data'!$E$2:$E$699,MATCH(DATE(YEAR(N138),MONTH(N138),1),'Additional data'!$D$2:$D$699,0)-1)+INDEX('Additional data'!$E$2:$E$699,MATCH(DATE(YEAR(N138),MONTH(N138),1),'Additional data'!$D$2:$D$699,0)+1))/2,INDEX('Additional data'!$E$2:$E$699,MATCH(DATE(YEAR(N138),MONTH(N138),1),'Additional data'!$D$2:$D$699,0)))</f>
        <v>8.6</v>
      </c>
      <c r="T138" s="425">
        <f>P138-P137</f>
        <v>0.065169635074581</v>
      </c>
      <c r="U138" s="425">
        <f>Q138-Q137</f>
        <v>-0.0287081641367438</v>
      </c>
      <c r="V138" s="77" t="n"/>
      <c r="W138" s="116">
        <f>S138-S137</f>
        <v>0.0899999999999999</v>
      </c>
      <c r="X138" s="425">
        <f>P138-P126</f>
        <v>0.065169635074581</v>
      </c>
      <c r="Y138" s="425">
        <f>Q138-Q126</f>
        <v>0.165242124943175</v>
      </c>
      <c r="Z138" s="77" t="n"/>
      <c r="AA138" s="116">
        <f>S138-S126</f>
        <v>-0.950000000000001</v>
      </c>
      <c r="AB138" s="425">
        <f>P138-P78</f>
        <v>0.44964446729091</v>
      </c>
      <c r="AC138" s="425">
        <f>Q138-Q78</f>
        <v>0.299189670018915</v>
      </c>
      <c r="AD138" s="77" t="n"/>
      <c r="AE138" s="235">
        <f>S138-S78</f>
        <v>-0.9</v>
      </c>
      <c r="AG138" s="554">
        <f>N138</f>
        <v>28914.0</v>
      </c>
      <c r="AH138" s="435">
        <f>IFERROR(INDEX('RBA 5Y yield'!$B$5:$B$661,MATCH(N138,'RBA 5Y yield'!$A$5:$A$661,1))*100,"")</f>
        <v>8.99</v>
      </c>
      <c r="AI138" s="435">
        <f>IF(AND(ISNUMBER(AH138),ISNUMBER(AH137)),AH138-AH137,"")</f>
        <v>0.140000000000001</v>
      </c>
      <c r="AJ138" s="435">
        <f>IF(AND(ISNUMBER(AH138),ISNUMBER(AH126)),AH138-AH126,"")</f>
        <v>-0.0999999999999996</v>
      </c>
      <c r="AK138" s="435">
        <f>IF(AND(ISNUMBER(AH138),ISNUMBER(AH78)),AH138-AH78,"")</f>
        <v>0.74</v>
      </c>
      <c r="AL138" s="560">
        <f>IFERROR(LN(INDEX(Data!$B$2:$B$497,MATCH(N138,Data!$A$2:$A$497,1))/INDEX(Data!$B$2:$B$497,MATCH(N126,Data!$A$2:$A$497,1))),"")</f>
      </c>
      <c r="AM138" s="560">
        <f>IFERROR(LN(INDEX(Data!$C$2:$C$497,MATCH(N138,Data!$A$2:$A$497,1))/INDEX(Data!$C$2:$C$497,MATCH(N126,Data!$A$2:$A$497,1))),"")</f>
      </c>
      <c r="AN138" s="560">
        <f>IFERROR(LN(INDEX(Data!$D$2:$D$497,MATCH(N138,Data!$A$2:$A$497,1))/INDEX(Data!$D$2:$D$497,MATCH(N126,Data!$A$2:$A$497,1))),"")</f>
      </c>
      <c r="AO138" s="560">
        <f>IFERROR(LN(INDEX(Data!$E$2:$E$497,MATCH(N138,Data!$A$2:$A$497,1))/INDEX(Data!$E$2:$E$497,MATCH(N126,Data!$A$2:$A$497,1))),"")</f>
      </c>
      <c r="AP138" s="560">
        <f>IFERROR(LN(INDEX(Data!$F$2:$F$497,MATCH(N138,Data!$A$2:$A$497,1))/INDEX(Data!$F$2:$F$497,MATCH(N126,Data!$A$2:$A$497,1))),"")</f>
      </c>
      <c r="AQ138" s="560">
        <f>IFERROR(LN(INDEX(Data!$G$2:$G$497,MATCH(N138,Data!$A$2:$A$497,1))/INDEX(Data!$G$2:$G$497,MATCH(N126,Data!$A$2:$A$497,1))),"")</f>
      </c>
      <c r="AR138" s="560">
        <f>IFERROR(LN(INDEX(Data!$H$2:$H$497,MATCH(N138,Data!$A$2:$A$497,1))/INDEX(Data!$H$2:$H$497,MATCH(N126,Data!$A$2:$A$497,1))),"")</f>
      </c>
      <c r="AS138" s="560">
        <f>IFERROR(LN(INDEX(Data!$I$2:$I$497,MATCH(N138,Data!$A$2:$A$497,1))/INDEX(Data!$I$2:$I$497,MATCH(N126,Data!$A$2:$A$497,1))),"")</f>
      </c>
      <c r="AT138" s="560">
        <f>IFERROR(LN(INDEX(Data!$J$2:$J$497,MATCH(N138,Data!$A$2:$A$497,1))/INDEX(Data!$J$2:$J$497,MATCH(N126,Data!$A$2:$A$497,1))),"")</f>
      </c>
      <c r="AU138" s="560">
        <f>IFERROR(LN(INDEX(Data!$K$2:$K$497,MATCH(N138,Data!$A$2:$A$497,1))/INDEX(Data!$K$2:$K$497,MATCH(N126,Data!$A$2:$A$497,1))),"")</f>
      </c>
      <c r="AV138" s="561">
        <f>IFERROR(LN(INDEX(Data!$L$2:$L$497,MATCH(N138,Data!$A$2:$A$497,1))/INDEX(Data!$L$2:$L$497,MATCH(N126,Data!$A$2:$A$497,1))),"")</f>
      </c>
    </row>
    <row r="139">
      <c r="A139" s="582" t="inlineStr">
        <is>
          <t>Commodities</t>
        </is>
      </c>
      <c r="B139" s="483">
        <f>INDEX(Data!F$2:F$497,MATCH($C$130,Data!$A$2:$A$497,0))/INDEX(Data!F$2:F$497,MATCH($B$130,Data!$A$2:$A$497,0))-1</f>
        <v>0.293925605166244</v>
      </c>
      <c r="C139" s="483">
        <f>B139*$G$130</f>
        <v>0.343285674124059</v>
      </c>
      <c r="D139" s="483">
        <f>AVERAGE(D32:E32)</f>
        <v>0.29013881631551</v>
      </c>
      <c r="E139" s="589">
        <f>AVERAGE(D32:E32,C139)</f>
        <v>0.307854435585026</v>
      </c>
      <c r="N139" s="337" t="n">
        <v>28945</v>
      </c>
      <c r="O139" s="116">
        <f>INDEX('Additional data'!$B$2:$B$965,MATCH(DATE(YEAR(N139),MONTH(N139),1),'Additional data'!$A$2:$A$965,0))</f>
        <v>15.85</v>
      </c>
      <c r="P139" s="489">
        <f>LN(O139)</f>
        <v>2.76316950032329</v>
      </c>
      <c r="Q139" s="489">
        <f>Q138+LN(1+INDEX('Additional data'!$H$2:$H$1196,MATCH(N139,'Additional data'!$G$2:$G$1196,1))+INDEX('Additional data'!$I$2:$I$1196,MATCH(N139,'Additional data'!$G$2:$G$1196,1)))</f>
        <v>0.476484979103086</v>
      </c>
      <c r="R139" s="77" t="n"/>
      <c r="S139" s="116">
        <f>IF(INDEX('Additional data'!$E$2:$E$699,MATCH(DATE(YEAR(N139),MONTH(N139),1),'Additional data'!$D$2:$D$699,0))=0,(INDEX('Additional data'!$E$2:$E$699,MATCH(DATE(YEAR(N139),MONTH(N139),1),'Additional data'!$D$2:$D$699,0)-1)+INDEX('Additional data'!$E$2:$E$699,MATCH(DATE(YEAR(N139),MONTH(N139),1),'Additional data'!$D$2:$D$699,0)+1))/2,INDEX('Additional data'!$E$2:$E$699,MATCH(DATE(YEAR(N139),MONTH(N139),1),'Additional data'!$D$2:$D$699,0)))</f>
        <v>9.16</v>
      </c>
      <c r="T139" s="425">
        <f>P139-P138</f>
        <v>0</v>
      </c>
      <c r="U139" s="425">
        <f>Q139-Q138</f>
        <v>0.0627869880987648</v>
      </c>
      <c r="V139" s="77" t="n"/>
      <c r="W139" s="116">
        <f>S139-S138</f>
        <v>0.560000000000001</v>
      </c>
      <c r="X139" s="425">
        <f>P139-P127</f>
        <v>0.065169635074581</v>
      </c>
      <c r="Y139" s="425">
        <f>Q139-Q127</f>
        <v>0.194787779262138</v>
      </c>
      <c r="Z139" s="77" t="n"/>
      <c r="AA139" s="116">
        <f>S139-S127</f>
        <v>-0.879999999999999</v>
      </c>
      <c r="AB139" s="425">
        <f>P139-P79</f>
        <v>0.44964446729091</v>
      </c>
      <c r="AC139" s="425">
        <f>Q139-Q79</f>
        <v>0.384835952263763</v>
      </c>
      <c r="AD139" s="77" t="n"/>
      <c r="AE139" s="235">
        <f>S139-S79</f>
        <v>-0.94</v>
      </c>
      <c r="AG139" s="554">
        <f>N139</f>
        <v>28945.0</v>
      </c>
      <c r="AH139" s="435">
        <f>IFERROR(INDEX('RBA 5Y yield'!$B$5:$B$661,MATCH(N139,'RBA 5Y yield'!$A$5:$A$661,1))*100,"")</f>
        <v>9.28</v>
      </c>
      <c r="AI139" s="435">
        <f>IF(AND(ISNUMBER(AH139),ISNUMBER(AH138)),AH139-AH138,"")</f>
        <v>0.289999999999999</v>
      </c>
      <c r="AJ139" s="435">
        <f>IF(AND(ISNUMBER(AH139),ISNUMBER(AH127)),AH139-AH127,"")</f>
        <v>0.199999999999999</v>
      </c>
      <c r="AK139" s="435">
        <f>IF(AND(ISNUMBER(AH139),ISNUMBER(AH79)),AH139-AH79,"")</f>
        <v>1.03</v>
      </c>
      <c r="AL139" s="560">
        <f>IFERROR(LN(INDEX(Data!$B$2:$B$497,MATCH(N139,Data!$A$2:$A$497,1))/INDEX(Data!$B$2:$B$497,MATCH(N127,Data!$A$2:$A$497,1))),"")</f>
      </c>
      <c r="AM139" s="560">
        <f>IFERROR(LN(INDEX(Data!$C$2:$C$497,MATCH(N139,Data!$A$2:$A$497,1))/INDEX(Data!$C$2:$C$497,MATCH(N127,Data!$A$2:$A$497,1))),"")</f>
      </c>
      <c r="AN139" s="560">
        <f>IFERROR(LN(INDEX(Data!$D$2:$D$497,MATCH(N139,Data!$A$2:$A$497,1))/INDEX(Data!$D$2:$D$497,MATCH(N127,Data!$A$2:$A$497,1))),"")</f>
      </c>
      <c r="AO139" s="560">
        <f>IFERROR(LN(INDEX(Data!$E$2:$E$497,MATCH(N139,Data!$A$2:$A$497,1))/INDEX(Data!$E$2:$E$497,MATCH(N127,Data!$A$2:$A$497,1))),"")</f>
      </c>
      <c r="AP139" s="560">
        <f>IFERROR(LN(INDEX(Data!$F$2:$F$497,MATCH(N139,Data!$A$2:$A$497,1))/INDEX(Data!$F$2:$F$497,MATCH(N127,Data!$A$2:$A$497,1))),"")</f>
      </c>
      <c r="AQ139" s="560">
        <f>IFERROR(LN(INDEX(Data!$G$2:$G$497,MATCH(N139,Data!$A$2:$A$497,1))/INDEX(Data!$G$2:$G$497,MATCH(N127,Data!$A$2:$A$497,1))),"")</f>
      </c>
      <c r="AR139" s="560">
        <f>IFERROR(LN(INDEX(Data!$H$2:$H$497,MATCH(N139,Data!$A$2:$A$497,1))/INDEX(Data!$H$2:$H$497,MATCH(N127,Data!$A$2:$A$497,1))),"")</f>
      </c>
      <c r="AS139" s="560">
        <f>IFERROR(LN(INDEX(Data!$I$2:$I$497,MATCH(N139,Data!$A$2:$A$497,1))/INDEX(Data!$I$2:$I$497,MATCH(N127,Data!$A$2:$A$497,1))),"")</f>
      </c>
      <c r="AT139" s="560">
        <f>IFERROR(LN(INDEX(Data!$J$2:$J$497,MATCH(N139,Data!$A$2:$A$497,1))/INDEX(Data!$J$2:$J$497,MATCH(N127,Data!$A$2:$A$497,1))),"")</f>
      </c>
      <c r="AU139" s="560">
        <f>IFERROR(LN(INDEX(Data!$K$2:$K$497,MATCH(N139,Data!$A$2:$A$497,1))/INDEX(Data!$K$2:$K$497,MATCH(N127,Data!$A$2:$A$497,1))),"")</f>
      </c>
      <c r="AV139" s="561">
        <f>IFERROR(LN(INDEX(Data!$L$2:$L$497,MATCH(N139,Data!$A$2:$A$497,1))/INDEX(Data!$L$2:$L$497,MATCH(N127,Data!$A$2:$A$497,1))),"")</f>
      </c>
    </row>
    <row r="140">
      <c r="A140" s="582" t="inlineStr">
        <is>
          <t>Direct Property</t>
        </is>
      </c>
      <c r="B140" s="483">
        <f>INDEX(Data!G$2:G$497,MATCH($C$130,Data!$A$2:$A$497,0))/INDEX(Data!G$2:G$497,MATCH($B$130,Data!$A$2:$A$497,0))-1</f>
        <v>0.00155781866010174</v>
      </c>
      <c r="C140" s="483">
        <f>B140*$G$130</f>
        <v>0.00181942920077886</v>
      </c>
      <c r="D140" s="483">
        <f>AVERAGE(D33:E33)</f>
        <v>0.0232686840612768</v>
      </c>
      <c r="E140" s="589">
        <f>AVERAGE(D33:E33,C140)</f>
        <v>0.0161189324411108</v>
      </c>
      <c r="N140" s="337" t="n">
        <v>28975</v>
      </c>
      <c r="O140" s="116">
        <f>INDEX('Additional data'!$B$2:$B$965,MATCH(DATE(YEAR(N140),MONTH(N140),1),'Additional data'!$A$2:$A$965,0))</f>
        <v>15.85</v>
      </c>
      <c r="P140" s="489">
        <f>LN(O140)</f>
        <v>2.76316950032329</v>
      </c>
      <c r="Q140" s="489">
        <f>Q139+LN(1+INDEX('Additional data'!$H$2:$H$1196,MATCH(N140,'Additional data'!$G$2:$G$1196,1))+INDEX('Additional data'!$I$2:$I$1196,MATCH(N140,'Additional data'!$G$2:$G$1196,1)))</f>
        <v>0.483758463069585</v>
      </c>
      <c r="R140" s="77" t="n"/>
      <c r="S140" s="116">
        <f>IF(INDEX('Additional data'!$E$2:$E$699,MATCH(DATE(YEAR(N140),MONTH(N140),1),'Additional data'!$D$2:$D$699,0))=0,(INDEX('Additional data'!$E$2:$E$699,MATCH(DATE(YEAR(N140),MONTH(N140),1),'Additional data'!$D$2:$D$699,0)-1)+INDEX('Additional data'!$E$2:$E$699,MATCH(DATE(YEAR(N140),MONTH(N140),1),'Additional data'!$D$2:$D$699,0)+1))/2,INDEX('Additional data'!$E$2:$E$699,MATCH(DATE(YEAR(N140),MONTH(N140),1),'Additional data'!$D$2:$D$699,0)))</f>
        <v>10.42</v>
      </c>
      <c r="T140" s="425">
        <f>P140-P139</f>
        <v>0</v>
      </c>
      <c r="U140" s="425">
        <f>Q140-Q139</f>
        <v>0.00727348396649824</v>
      </c>
      <c r="V140" s="77" t="n"/>
      <c r="W140" s="116">
        <f>S140-S139</f>
        <v>1.26</v>
      </c>
      <c r="X140" s="425">
        <f>P140-P128</f>
        <v>0.065169635074581</v>
      </c>
      <c r="Y140" s="425">
        <f>Q140-Q128</f>
        <v>0.121311113543527</v>
      </c>
      <c r="Z140" s="77" t="n"/>
      <c r="AA140" s="116">
        <f>S140-S128</f>
        <v>-0.44</v>
      </c>
      <c r="AB140" s="425">
        <f>P140-P80</f>
        <v>0.44964446729091</v>
      </c>
      <c r="AC140" s="425">
        <f>Q140-Q80</f>
        <v>0.438467560208411</v>
      </c>
      <c r="AD140" s="77" t="n"/>
      <c r="AE140" s="235">
        <f>S140-S80</f>
        <v>-5.83</v>
      </c>
      <c r="AG140" s="554">
        <f>N140</f>
        <v>28975.0</v>
      </c>
      <c r="AH140" s="435">
        <f>IFERROR(INDEX('RBA 5Y yield'!$B$5:$B$661,MATCH(N140,'RBA 5Y yield'!$A$5:$A$661,1))*100,"")</f>
        <v>9.65</v>
      </c>
      <c r="AI140" s="435">
        <f>IF(AND(ISNUMBER(AH140),ISNUMBER(AH139)),AH140-AH139,"")</f>
        <v>0.370000000000001</v>
      </c>
      <c r="AJ140" s="435">
        <f>IF(AND(ISNUMBER(AH140),ISNUMBER(AH128)),AH140-AH128,"")</f>
        <v>0.560000000000001</v>
      </c>
      <c r="AK140" s="435">
        <f>IF(AND(ISNUMBER(AH140),ISNUMBER(AH80)),AH140-AH80,"")</f>
        <v>1.4</v>
      </c>
      <c r="AL140" s="560">
        <f>IFERROR(LN(INDEX(Data!$B$2:$B$497,MATCH(N140,Data!$A$2:$A$497,1))/INDEX(Data!$B$2:$B$497,MATCH(N128,Data!$A$2:$A$497,1))),"")</f>
      </c>
      <c r="AM140" s="560">
        <f>IFERROR(LN(INDEX(Data!$C$2:$C$497,MATCH(N140,Data!$A$2:$A$497,1))/INDEX(Data!$C$2:$C$497,MATCH(N128,Data!$A$2:$A$497,1))),"")</f>
      </c>
      <c r="AN140" s="560">
        <f>IFERROR(LN(INDEX(Data!$D$2:$D$497,MATCH(N140,Data!$A$2:$A$497,1))/INDEX(Data!$D$2:$D$497,MATCH(N128,Data!$A$2:$A$497,1))),"")</f>
      </c>
      <c r="AO140" s="560">
        <f>IFERROR(LN(INDEX(Data!$E$2:$E$497,MATCH(N140,Data!$A$2:$A$497,1))/INDEX(Data!$E$2:$E$497,MATCH(N128,Data!$A$2:$A$497,1))),"")</f>
      </c>
      <c r="AP140" s="560">
        <f>IFERROR(LN(INDEX(Data!$F$2:$F$497,MATCH(N140,Data!$A$2:$A$497,1))/INDEX(Data!$F$2:$F$497,MATCH(N128,Data!$A$2:$A$497,1))),"")</f>
      </c>
      <c r="AQ140" s="560">
        <f>IFERROR(LN(INDEX(Data!$G$2:$G$497,MATCH(N140,Data!$A$2:$A$497,1))/INDEX(Data!$G$2:$G$497,MATCH(N128,Data!$A$2:$A$497,1))),"")</f>
      </c>
      <c r="AR140" s="560">
        <f>IFERROR(LN(INDEX(Data!$H$2:$H$497,MATCH(N140,Data!$A$2:$A$497,1))/INDEX(Data!$H$2:$H$497,MATCH(N128,Data!$A$2:$A$497,1))),"")</f>
      </c>
      <c r="AS140" s="560">
        <f>IFERROR(LN(INDEX(Data!$I$2:$I$497,MATCH(N140,Data!$A$2:$A$497,1))/INDEX(Data!$I$2:$I$497,MATCH(N128,Data!$A$2:$A$497,1))),"")</f>
      </c>
      <c r="AT140" s="560">
        <f>IFERROR(LN(INDEX(Data!$J$2:$J$497,MATCH(N140,Data!$A$2:$A$497,1))/INDEX(Data!$J$2:$J$497,MATCH(N128,Data!$A$2:$A$497,1))),"")</f>
      </c>
      <c r="AU140" s="560">
        <f>IFERROR(LN(INDEX(Data!$K$2:$K$497,MATCH(N140,Data!$A$2:$A$497,1))/INDEX(Data!$K$2:$K$497,MATCH(N128,Data!$A$2:$A$497,1))),"")</f>
      </c>
      <c r="AV140" s="561">
        <f>IFERROR(LN(INDEX(Data!$L$2:$L$497,MATCH(N140,Data!$A$2:$A$497,1))/INDEX(Data!$L$2:$L$497,MATCH(N128,Data!$A$2:$A$497,1))),"")</f>
      </c>
    </row>
    <row r="141">
      <c r="A141" s="582" t="inlineStr">
        <is>
          <t>Hedge Funds</t>
        </is>
      </c>
      <c r="B141" s="483">
        <f>INDEX(Data!H$2:H$497,MATCH($C$130,Data!$A$2:$A$497,0))/INDEX(Data!H$2:H$497,MATCH($B$130,Data!$A$2:$A$497,0))-1</f>
        <v>0.0663649810123963</v>
      </c>
      <c r="C141" s="483">
        <f>B141*$G$130</f>
        <v>0.0775099101426881</v>
      </c>
      <c r="D141" s="483">
        <f>AVERAGE(D34:E34)</f>
        <v>-0.0415384422002747</v>
      </c>
      <c r="E141" s="589">
        <f>AVERAGE(D34:E34,C141)</f>
        <v>-0.00185565808595377</v>
      </c>
      <c r="N141" s="337" t="n">
        <v>29006</v>
      </c>
      <c r="O141" s="116">
        <f>INDEX('Additional data'!$B$2:$B$965,MATCH(DATE(YEAR(N141),MONTH(N141),1),'Additional data'!$A$2:$A$965,0))</f>
        <v>18.1</v>
      </c>
      <c r="P141" s="489">
        <f>LN(O141)</f>
        <v>2.89591193827178</v>
      </c>
      <c r="Q141" s="489">
        <f>Q140+LN(1+INDEX('Additional data'!$H$2:$H$1196,MATCH(N141,'Additional data'!$G$2:$G$1196,1))+INDEX('Additional data'!$I$2:$I$1196,MATCH(N141,'Additional data'!$G$2:$G$1196,1)))</f>
        <v>0.469862357877473</v>
      </c>
      <c r="R141" s="77" t="n"/>
      <c r="S141" s="116">
        <f>IF(INDEX('Additional data'!$E$2:$E$699,MATCH(DATE(YEAR(N141),MONTH(N141),1),'Additional data'!$D$2:$D$699,0))=0,(INDEX('Additional data'!$E$2:$E$699,MATCH(DATE(YEAR(N141),MONTH(N141),1),'Additional data'!$D$2:$D$699,0)-1)+INDEX('Additional data'!$E$2:$E$699,MATCH(DATE(YEAR(N141),MONTH(N141),1),'Additional data'!$D$2:$D$699,0)+1))/2,INDEX('Additional data'!$E$2:$E$699,MATCH(DATE(YEAR(N141),MONTH(N141),1),'Additional data'!$D$2:$D$699,0)))</f>
        <v>10.54</v>
      </c>
      <c r="T141" s="425">
        <f>P141-P140</f>
        <v>0.132742437948491</v>
      </c>
      <c r="U141" s="425">
        <f>Q141-Q140</f>
        <v>-0.0138961051921114</v>
      </c>
      <c r="V141" s="77" t="n"/>
      <c r="W141" s="116">
        <f>S141-S140</f>
        <v>0.119999999999999</v>
      </c>
      <c r="X141" s="425">
        <f>P141-P129</f>
        <v>0.197912073023072</v>
      </c>
      <c r="Y141" s="425">
        <f>Q141-Q129</f>
        <v>0.0849688195215855</v>
      </c>
      <c r="Z141" s="77" t="n"/>
      <c r="AA141" s="116">
        <f>S141-S129</f>
        <v>-0.0600000000000005</v>
      </c>
      <c r="AB141" s="425">
        <f>P141-P81</f>
        <v>0.5823869052394</v>
      </c>
      <c r="AC141" s="425">
        <f>Q141-Q81</f>
        <v>0.464872751789825</v>
      </c>
      <c r="AD141" s="77" t="n"/>
      <c r="AE141" s="235">
        <f>S141-S81</f>
        <v>-11.21</v>
      </c>
      <c r="AG141" s="554">
        <f>N141</f>
        <v>29006.0</v>
      </c>
      <c r="AH141" s="435">
        <f>IFERROR(INDEX('RBA 5Y yield'!$B$5:$B$661,MATCH(N141,'RBA 5Y yield'!$A$5:$A$661,1))*100,"")</f>
        <v>9.7</v>
      </c>
      <c r="AI141" s="435">
        <f>IF(AND(ISNUMBER(AH141),ISNUMBER(AH140)),AH141-AH140,"")</f>
        <v>0.0500000000000007</v>
      </c>
      <c r="AJ141" s="435">
        <f>IF(AND(ISNUMBER(AH141),ISNUMBER(AH129)),AH141-AH129,"")</f>
        <v>0.610000000000001</v>
      </c>
      <c r="AK141" s="435">
        <f>IF(AND(ISNUMBER(AH141),ISNUMBER(AH81)),AH141-AH81,"")</f>
        <v>1.1</v>
      </c>
      <c r="AL141" s="560">
        <f>IFERROR(LN(INDEX(Data!$B$2:$B$497,MATCH(N141,Data!$A$2:$A$497,1))/INDEX(Data!$B$2:$B$497,MATCH(N129,Data!$A$2:$A$497,1))),"")</f>
      </c>
      <c r="AM141" s="560">
        <f>IFERROR(LN(INDEX(Data!$C$2:$C$497,MATCH(N141,Data!$A$2:$A$497,1))/INDEX(Data!$C$2:$C$497,MATCH(N129,Data!$A$2:$A$497,1))),"")</f>
      </c>
      <c r="AN141" s="560">
        <f>IFERROR(LN(INDEX(Data!$D$2:$D$497,MATCH(N141,Data!$A$2:$A$497,1))/INDEX(Data!$D$2:$D$497,MATCH(N129,Data!$A$2:$A$497,1))),"")</f>
      </c>
      <c r="AO141" s="560">
        <f>IFERROR(LN(INDEX(Data!$E$2:$E$497,MATCH(N141,Data!$A$2:$A$497,1))/INDEX(Data!$E$2:$E$497,MATCH(N129,Data!$A$2:$A$497,1))),"")</f>
      </c>
      <c r="AP141" s="560">
        <f>IFERROR(LN(INDEX(Data!$F$2:$F$497,MATCH(N141,Data!$A$2:$A$497,1))/INDEX(Data!$F$2:$F$497,MATCH(N129,Data!$A$2:$A$497,1))),"")</f>
      </c>
      <c r="AQ141" s="560">
        <f>IFERROR(LN(INDEX(Data!$G$2:$G$497,MATCH(N141,Data!$A$2:$A$497,1))/INDEX(Data!$G$2:$G$497,MATCH(N129,Data!$A$2:$A$497,1))),"")</f>
      </c>
      <c r="AR141" s="560">
        <f>IFERROR(LN(INDEX(Data!$H$2:$H$497,MATCH(N141,Data!$A$2:$A$497,1))/INDEX(Data!$H$2:$H$497,MATCH(N129,Data!$A$2:$A$497,1))),"")</f>
      </c>
      <c r="AS141" s="560">
        <f>IFERROR(LN(INDEX(Data!$I$2:$I$497,MATCH(N141,Data!$A$2:$A$497,1))/INDEX(Data!$I$2:$I$497,MATCH(N129,Data!$A$2:$A$497,1))),"")</f>
      </c>
      <c r="AT141" s="560">
        <f>IFERROR(LN(INDEX(Data!$J$2:$J$497,MATCH(N141,Data!$A$2:$A$497,1))/INDEX(Data!$J$2:$J$497,MATCH(N129,Data!$A$2:$A$497,1))),"")</f>
      </c>
      <c r="AU141" s="560">
        <f>IFERROR(LN(INDEX(Data!$K$2:$K$497,MATCH(N141,Data!$A$2:$A$497,1))/INDEX(Data!$K$2:$K$497,MATCH(N129,Data!$A$2:$A$497,1))),"")</f>
      </c>
      <c r="AV141" s="561">
        <f>IFERROR(LN(INDEX(Data!$L$2:$L$497,MATCH(N141,Data!$A$2:$A$497,1))/INDEX(Data!$L$2:$L$497,MATCH(N129,Data!$A$2:$A$497,1))),"")</f>
      </c>
    </row>
    <row r="142">
      <c r="A142" s="582" t="inlineStr">
        <is>
          <t>Private Equity</t>
        </is>
      </c>
      <c r="B142" s="483">
        <f>INDEX(Data!I$2:I$497,MATCH($C$130,Data!$A$2:$A$497,0))/INDEX(Data!I$2:I$497,MATCH($B$130,Data!$A$2:$A$497,0))-1</f>
        <v>-0.0242795602275593</v>
      </c>
      <c r="C142" s="483">
        <f>B142*$G$130</f>
        <v>-0.0283569211176386</v>
      </c>
      <c r="D142" s="483">
        <f>AVERAGE(D35:E35)</f>
        <v>-0.098427119716865</v>
      </c>
      <c r="E142" s="589">
        <f>AVERAGE(D35:E35,C142)</f>
        <v>-0.0750703868504562</v>
      </c>
      <c r="N142" s="337" t="n">
        <v>29036</v>
      </c>
      <c r="O142" s="116">
        <f>INDEX('Additional data'!$B$2:$B$965,MATCH(DATE(YEAR(N142),MONTH(N142),1),'Additional data'!$A$2:$A$965,0))</f>
        <v>19.1</v>
      </c>
      <c r="P142" s="489">
        <f>LN(O142)</f>
        <v>2.94968833505258</v>
      </c>
      <c r="Q142" s="489">
        <f>Q141+LN(1+INDEX('Additional data'!$H$2:$H$1196,MATCH(N142,'Additional data'!$G$2:$G$1196,1))+INDEX('Additional data'!$I$2:$I$1196,MATCH(N142,'Additional data'!$G$2:$G$1196,1)))</f>
        <v>0.515313620781391</v>
      </c>
      <c r="R142" s="77" t="n"/>
      <c r="S142" s="116">
        <f>IF(INDEX('Additional data'!$E$2:$E$699,MATCH(DATE(YEAR(N142),MONTH(N142),1),'Additional data'!$D$2:$D$699,0))=0,(INDEX('Additional data'!$E$2:$E$699,MATCH(DATE(YEAR(N142),MONTH(N142),1),'Additional data'!$D$2:$D$699,0)-1)+INDEX('Additional data'!$E$2:$E$699,MATCH(DATE(YEAR(N142),MONTH(N142),1),'Additional data'!$D$2:$D$699,0)+1))/2,INDEX('Additional data'!$E$2:$E$699,MATCH(DATE(YEAR(N142),MONTH(N142),1),'Additional data'!$D$2:$D$699,0)))</f>
        <v>10.26</v>
      </c>
      <c r="T142" s="425">
        <f>P142-P141</f>
        <v>0.0537763967808043</v>
      </c>
      <c r="U142" s="425">
        <f>Q142-Q141</f>
        <v>0.0454512629039174</v>
      </c>
      <c r="V142" s="77" t="n"/>
      <c r="W142" s="116">
        <f>S142-S141</f>
        <v>-0.279999999999999</v>
      </c>
      <c r="X142" s="425">
        <f>P142-P130</f>
        <v>0.251688469803876</v>
      </c>
      <c r="Y142" s="425">
        <f>Q142-Q130</f>
        <v>0.141986718796968</v>
      </c>
      <c r="Z142" s="77" t="n"/>
      <c r="AA142" s="116">
        <f>S142-S130</f>
        <v>-0.370000000000001</v>
      </c>
      <c r="AB142" s="425">
        <f>P142-P82</f>
        <v>0.636163302020205</v>
      </c>
      <c r="AC142" s="425">
        <f>Q142-Q82</f>
        <v>0.532978705258548</v>
      </c>
      <c r="AD142" s="77" t="n"/>
      <c r="AE142" s="235">
        <f>S142-S82</f>
        <v>-8.54</v>
      </c>
      <c r="AG142" s="554">
        <f>N142</f>
        <v>29036.0</v>
      </c>
      <c r="AH142" s="435">
        <f>IFERROR(INDEX('RBA 5Y yield'!$B$5:$B$661,MATCH(N142,'RBA 5Y yield'!$A$5:$A$661,1))*100,"")</f>
        <v>10</v>
      </c>
      <c r="AI142" s="435">
        <f>IF(AND(ISNUMBER(AH142),ISNUMBER(AH141)),AH142-AH141,"")</f>
        <v>0.299999999999999</v>
      </c>
      <c r="AJ142" s="435">
        <f>IF(AND(ISNUMBER(AH142),ISNUMBER(AH130)),AH142-AH130,"")</f>
        <v>0.91</v>
      </c>
      <c r="AK142" s="435">
        <f>IF(AND(ISNUMBER(AH142),ISNUMBER(AH82)),AH142-AH82,"")</f>
        <v>0.0800000000000001</v>
      </c>
      <c r="AL142" s="560">
        <f>IFERROR(LN(INDEX(Data!$B$2:$B$497,MATCH(N142,Data!$A$2:$A$497,1))/INDEX(Data!$B$2:$B$497,MATCH(N130,Data!$A$2:$A$497,1))),"")</f>
      </c>
      <c r="AM142" s="560">
        <f>IFERROR(LN(INDEX(Data!$C$2:$C$497,MATCH(N142,Data!$A$2:$A$497,1))/INDEX(Data!$C$2:$C$497,MATCH(N130,Data!$A$2:$A$497,1))),"")</f>
      </c>
      <c r="AN142" s="560">
        <f>IFERROR(LN(INDEX(Data!$D$2:$D$497,MATCH(N142,Data!$A$2:$A$497,1))/INDEX(Data!$D$2:$D$497,MATCH(N130,Data!$A$2:$A$497,1))),"")</f>
      </c>
      <c r="AO142" s="560">
        <f>IFERROR(LN(INDEX(Data!$E$2:$E$497,MATCH(N142,Data!$A$2:$A$497,1))/INDEX(Data!$E$2:$E$497,MATCH(N130,Data!$A$2:$A$497,1))),"")</f>
      </c>
      <c r="AP142" s="560">
        <f>IFERROR(LN(INDEX(Data!$F$2:$F$497,MATCH(N142,Data!$A$2:$A$497,1))/INDEX(Data!$F$2:$F$497,MATCH(N130,Data!$A$2:$A$497,1))),"")</f>
      </c>
      <c r="AQ142" s="560">
        <f>IFERROR(LN(INDEX(Data!$G$2:$G$497,MATCH(N142,Data!$A$2:$A$497,1))/INDEX(Data!$G$2:$G$497,MATCH(N130,Data!$A$2:$A$497,1))),"")</f>
      </c>
      <c r="AR142" s="560">
        <f>IFERROR(LN(INDEX(Data!$H$2:$H$497,MATCH(N142,Data!$A$2:$A$497,1))/INDEX(Data!$H$2:$H$497,MATCH(N130,Data!$A$2:$A$497,1))),"")</f>
      </c>
      <c r="AS142" s="560">
        <f>IFERROR(LN(INDEX(Data!$I$2:$I$497,MATCH(N142,Data!$A$2:$A$497,1))/INDEX(Data!$I$2:$I$497,MATCH(N130,Data!$A$2:$A$497,1))),"")</f>
      </c>
      <c r="AT142" s="560">
        <f>IFERROR(LN(INDEX(Data!$J$2:$J$497,MATCH(N142,Data!$A$2:$A$497,1))/INDEX(Data!$J$2:$J$497,MATCH(N130,Data!$A$2:$A$497,1))),"")</f>
      </c>
      <c r="AU142" s="560">
        <f>IFERROR(LN(INDEX(Data!$K$2:$K$497,MATCH(N142,Data!$A$2:$A$497,1))/INDEX(Data!$K$2:$K$497,MATCH(N130,Data!$A$2:$A$497,1))),"")</f>
      </c>
      <c r="AV142" s="561">
        <f>IFERROR(LN(INDEX(Data!$L$2:$L$497,MATCH(N142,Data!$A$2:$A$497,1))/INDEX(Data!$L$2:$L$497,MATCH(N130,Data!$A$2:$A$497,1))),"")</f>
      </c>
    </row>
    <row r="143">
      <c r="A143" s="582" t="inlineStr">
        <is>
          <t>Australian Fixed Income</t>
        </is>
      </c>
      <c r="B143" s="483">
        <f>INDEX(Data!J$2:J$497,MATCH($C$130,Data!$A$2:$A$497,0))/INDEX(Data!J$2:J$497,MATCH($B$130,Data!$A$2:$A$497,0))-1</f>
        <v>0.0263269783160238</v>
      </c>
      <c r="C143" s="483">
        <f>B143*$G$130</f>
        <v>0.0307481700811809</v>
      </c>
      <c r="D143" s="483">
        <f>AVERAGE(D36:E36)</f>
        <v>-0.0488439698378982</v>
      </c>
      <c r="E143" s="589">
        <f>AVERAGE(D36:E36,C143)</f>
        <v>-0.0223132565315385</v>
      </c>
      <c r="N143" s="337" t="n">
        <v>29067</v>
      </c>
      <c r="O143" s="116">
        <f>INDEX('Additional data'!$B$2:$B$965,MATCH(DATE(YEAR(N143),MONTH(N143),1),'Additional data'!$A$2:$A$965,0))</f>
        <v>21.75</v>
      </c>
      <c r="P143" s="489">
        <f>LN(O143)</f>
        <v>3.07961375753469</v>
      </c>
      <c r="Q143" s="489">
        <f>Q142+LN(1+INDEX('Additional data'!$H$2:$H$1196,MATCH(N143,'Additional data'!$G$2:$G$1196,1))+INDEX('Additional data'!$I$2:$I$1196,MATCH(N143,'Additional data'!$G$2:$G$1196,1)))</f>
        <v>0.531186969937681</v>
      </c>
      <c r="R143" s="77" t="n"/>
      <c r="S143" s="116">
        <f>IF(INDEX('Additional data'!$E$2:$E$699,MATCH(DATE(YEAR(N143),MONTH(N143),1),'Additional data'!$D$2:$D$699,0))=0,(INDEX('Additional data'!$E$2:$E$699,MATCH(DATE(YEAR(N143),MONTH(N143),1),'Additional data'!$D$2:$D$699,0)-1)+INDEX('Additional data'!$E$2:$E$699,MATCH(DATE(YEAR(N143),MONTH(N143),1),'Additional data'!$D$2:$D$699,0)+1))/2,INDEX('Additional data'!$E$2:$E$699,MATCH(DATE(YEAR(N143),MONTH(N143),1),'Additional data'!$D$2:$D$699,0)))</f>
        <v>9.86</v>
      </c>
      <c r="T143" s="425">
        <f>P143-P142</f>
        <v>0.129925422482108</v>
      </c>
      <c r="U143" s="425">
        <f>Q143-Q142</f>
        <v>0.0158733491562901</v>
      </c>
      <c r="V143" s="77" t="n"/>
      <c r="W143" s="116">
        <f>S143-S142</f>
        <v>-0.4</v>
      </c>
      <c r="X143" s="425">
        <f>P143-P131</f>
        <v>0.381613892285984</v>
      </c>
      <c r="Y143" s="425">
        <f>Q143-Q131</f>
        <v>0.10261459372728</v>
      </c>
      <c r="Z143" s="77" t="n"/>
      <c r="AA143" s="116">
        <f>S143-S131</f>
        <v>0.0199999999999996</v>
      </c>
      <c r="AB143" s="425">
        <f>P143-P83</f>
        <v>0.766088724502313</v>
      </c>
      <c r="AC143" s="425">
        <f>Q143-Q83</f>
        <v>0.625301226578245</v>
      </c>
      <c r="AD143" s="77" t="n"/>
      <c r="AE143" s="235">
        <f>S143-S83</f>
        <v>-5.14</v>
      </c>
      <c r="AG143" s="554">
        <f>N143</f>
        <v>29067.0</v>
      </c>
      <c r="AH143" s="435">
        <f>IFERROR(INDEX('RBA 5Y yield'!$B$5:$B$661,MATCH(N143,'RBA 5Y yield'!$A$5:$A$661,1))*100,"")</f>
        <v>10</v>
      </c>
      <c r="AI143" s="435">
        <f>IF(AND(ISNUMBER(AH143),ISNUMBER(AH142)),AH143-AH142,"")</f>
        <v>0</v>
      </c>
      <c r="AJ143" s="435">
        <f>IF(AND(ISNUMBER(AH143),ISNUMBER(AH131)),AH143-AH131,"")</f>
        <v>0.91</v>
      </c>
      <c r="AK143" s="435">
        <f>IF(AND(ISNUMBER(AH143),ISNUMBER(AH83)),AH143-AH83,"")</f>
        <v>0.0899999999999999</v>
      </c>
      <c r="AL143" s="560">
        <f>IFERROR(LN(INDEX(Data!$B$2:$B$497,MATCH(N143,Data!$A$2:$A$497,1))/INDEX(Data!$B$2:$B$497,MATCH(N131,Data!$A$2:$A$497,1))),"")</f>
      </c>
      <c r="AM143" s="560">
        <f>IFERROR(LN(INDEX(Data!$C$2:$C$497,MATCH(N143,Data!$A$2:$A$497,1))/INDEX(Data!$C$2:$C$497,MATCH(N131,Data!$A$2:$A$497,1))),"")</f>
      </c>
      <c r="AN143" s="560">
        <f>IFERROR(LN(INDEX(Data!$D$2:$D$497,MATCH(N143,Data!$A$2:$A$497,1))/INDEX(Data!$D$2:$D$497,MATCH(N131,Data!$A$2:$A$497,1))),"")</f>
      </c>
      <c r="AO143" s="560">
        <f>IFERROR(LN(INDEX(Data!$E$2:$E$497,MATCH(N143,Data!$A$2:$A$497,1))/INDEX(Data!$E$2:$E$497,MATCH(N131,Data!$A$2:$A$497,1))),"")</f>
      </c>
      <c r="AP143" s="560">
        <f>IFERROR(LN(INDEX(Data!$F$2:$F$497,MATCH(N143,Data!$A$2:$A$497,1))/INDEX(Data!$F$2:$F$497,MATCH(N131,Data!$A$2:$A$497,1))),"")</f>
      </c>
      <c r="AQ143" s="560">
        <f>IFERROR(LN(INDEX(Data!$G$2:$G$497,MATCH(N143,Data!$A$2:$A$497,1))/INDEX(Data!$G$2:$G$497,MATCH(N131,Data!$A$2:$A$497,1))),"")</f>
      </c>
      <c r="AR143" s="560">
        <f>IFERROR(LN(INDEX(Data!$H$2:$H$497,MATCH(N143,Data!$A$2:$A$497,1))/INDEX(Data!$H$2:$H$497,MATCH(N131,Data!$A$2:$A$497,1))),"")</f>
      </c>
      <c r="AS143" s="560">
        <f>IFERROR(LN(INDEX(Data!$I$2:$I$497,MATCH(N143,Data!$A$2:$A$497,1))/INDEX(Data!$I$2:$I$497,MATCH(N131,Data!$A$2:$A$497,1))),"")</f>
      </c>
      <c r="AT143" s="560">
        <f>IFERROR(LN(INDEX(Data!$J$2:$J$497,MATCH(N143,Data!$A$2:$A$497,1))/INDEX(Data!$J$2:$J$497,MATCH(N131,Data!$A$2:$A$497,1))),"")</f>
      </c>
      <c r="AU143" s="560">
        <f>IFERROR(LN(INDEX(Data!$K$2:$K$497,MATCH(N143,Data!$A$2:$A$497,1))/INDEX(Data!$K$2:$K$497,MATCH(N131,Data!$A$2:$A$497,1))),"")</f>
      </c>
      <c r="AV143" s="561">
        <f>IFERROR(LN(INDEX(Data!$L$2:$L$497,MATCH(N143,Data!$A$2:$A$497,1))/INDEX(Data!$L$2:$L$497,MATCH(N131,Data!$A$2:$A$497,1))),"")</f>
      </c>
    </row>
    <row r="144">
      <c r="A144" s="582" t="inlineStr">
        <is>
          <t>World Fixed Income</t>
        </is>
      </c>
      <c r="B144" s="483">
        <f>INDEX(Data!K$2:K$497,MATCH($C$130,Data!$A$2:$A$497,0))/INDEX(Data!K$2:K$497,MATCH($B$130,Data!$A$2:$A$497,0))-1</f>
        <v>0.0214404193885278</v>
      </c>
      <c r="C144" s="483">
        <f>B144*$G$130</f>
        <v>0.0250409923256954</v>
      </c>
      <c r="D144" s="483">
        <f>AVERAGE(D37:E37)</f>
        <v>-0.0477758236584205</v>
      </c>
      <c r="E144" s="589">
        <f>AVERAGE(D37:E37,C144)</f>
        <v>-0.0235035516637152</v>
      </c>
      <c r="N144" s="337" t="n">
        <v>29098</v>
      </c>
      <c r="O144" s="116">
        <f>INDEX('Additional data'!$B$2:$B$965,MATCH(DATE(YEAR(N144),MONTH(N144),1),'Additional data'!$A$2:$A$965,0))</f>
        <v>26.5</v>
      </c>
      <c r="P144" s="489">
        <f>LN(O144)</f>
        <v>3.27714473299218</v>
      </c>
      <c r="Q144" s="489">
        <f>Q143+LN(1+INDEX('Additional data'!$H$2:$H$1196,MATCH(N144,'Additional data'!$G$2:$G$1196,1))+INDEX('Additional data'!$I$2:$I$1196,MATCH(N144,'Additional data'!$G$2:$G$1196,1)))</f>
        <v>0.592376138250103</v>
      </c>
      <c r="R144" s="77" t="n"/>
      <c r="S144" s="116">
        <f>IF(INDEX('Additional data'!$E$2:$E$699,MATCH(DATE(YEAR(N144),MONTH(N144),1),'Additional data'!$D$2:$D$699,0))=0,(INDEX('Additional data'!$E$2:$E$699,MATCH(DATE(YEAR(N144),MONTH(N144),1),'Additional data'!$D$2:$D$699,0)-1)+INDEX('Additional data'!$E$2:$E$699,MATCH(DATE(YEAR(N144),MONTH(N144),1),'Additional data'!$D$2:$D$699,0)+1))/2,INDEX('Additional data'!$E$2:$E$699,MATCH(DATE(YEAR(N144),MONTH(N144),1),'Additional data'!$D$2:$D$699,0)))</f>
        <v>9.78</v>
      </c>
      <c r="T144" s="425">
        <f>P144-P143</f>
        <v>0.197530975457484</v>
      </c>
      <c r="U144" s="425">
        <f>Q144-Q143</f>
        <v>0.0611891683124224</v>
      </c>
      <c r="V144" s="77" t="n"/>
      <c r="W144" s="116">
        <f>S144-S143</f>
        <v>-0.0800000000000001</v>
      </c>
      <c r="X144" s="425">
        <f>P144-P132</f>
        <v>0.579144867743468</v>
      </c>
      <c r="Y144" s="425">
        <f>Q144-Q132</f>
        <v>0.121319150433547</v>
      </c>
      <c r="Z144" s="77" t="n"/>
      <c r="AA144" s="116">
        <f>S144-S132</f>
        <v>0.0800000000000001</v>
      </c>
      <c r="AB144" s="425">
        <f>P144-P84</f>
        <v>0.963619699959797</v>
      </c>
      <c r="AC144" s="425">
        <f>Q144-Q84</f>
        <v>0.778496040686691</v>
      </c>
      <c r="AD144" s="77" t="n"/>
      <c r="AE144" s="235">
        <f>S144-S84</f>
        <v>-4.42</v>
      </c>
      <c r="AG144" s="554">
        <f>N144</f>
        <v>29098.0</v>
      </c>
      <c r="AH144" s="435">
        <f>IFERROR(INDEX('RBA 5Y yield'!$B$5:$B$661,MATCH(N144,'RBA 5Y yield'!$A$5:$A$661,1))*100,"")</f>
        <v>10</v>
      </c>
      <c r="AI144" s="435">
        <f>IF(AND(ISNUMBER(AH144),ISNUMBER(AH143)),AH144-AH143,"")</f>
        <v>0</v>
      </c>
      <c r="AJ144" s="435">
        <f>IF(AND(ISNUMBER(AH144),ISNUMBER(AH132)),AH144-AH132,"")</f>
        <v>1.01</v>
      </c>
      <c r="AK144" s="435">
        <f>IF(AND(ISNUMBER(AH144),ISNUMBER(AH84)),AH144-AH84,"")</f>
        <v>0.0700000000000003</v>
      </c>
      <c r="AL144" s="560">
        <f>IFERROR(LN(INDEX(Data!$B$2:$B$497,MATCH(N144,Data!$A$2:$A$497,1))/INDEX(Data!$B$2:$B$497,MATCH(N132,Data!$A$2:$A$497,1))),"")</f>
      </c>
      <c r="AM144" s="560">
        <f>IFERROR(LN(INDEX(Data!$C$2:$C$497,MATCH(N144,Data!$A$2:$A$497,1))/INDEX(Data!$C$2:$C$497,MATCH(N132,Data!$A$2:$A$497,1))),"")</f>
      </c>
      <c r="AN144" s="560">
        <f>IFERROR(LN(INDEX(Data!$D$2:$D$497,MATCH(N144,Data!$A$2:$A$497,1))/INDEX(Data!$D$2:$D$497,MATCH(N132,Data!$A$2:$A$497,1))),"")</f>
      </c>
      <c r="AO144" s="560">
        <f>IFERROR(LN(INDEX(Data!$E$2:$E$497,MATCH(N144,Data!$A$2:$A$497,1))/INDEX(Data!$E$2:$E$497,MATCH(N132,Data!$A$2:$A$497,1))),"")</f>
      </c>
      <c r="AP144" s="560">
        <f>IFERROR(LN(INDEX(Data!$F$2:$F$497,MATCH(N144,Data!$A$2:$A$497,1))/INDEX(Data!$F$2:$F$497,MATCH(N132,Data!$A$2:$A$497,1))),"")</f>
      </c>
      <c r="AQ144" s="560">
        <f>IFERROR(LN(INDEX(Data!$G$2:$G$497,MATCH(N144,Data!$A$2:$A$497,1))/INDEX(Data!$G$2:$G$497,MATCH(N132,Data!$A$2:$A$497,1))),"")</f>
      </c>
      <c r="AR144" s="560">
        <f>IFERROR(LN(INDEX(Data!$H$2:$H$497,MATCH(N144,Data!$A$2:$A$497,1))/INDEX(Data!$H$2:$H$497,MATCH(N132,Data!$A$2:$A$497,1))),"")</f>
      </c>
      <c r="AS144" s="560">
        <f>IFERROR(LN(INDEX(Data!$I$2:$I$497,MATCH(N144,Data!$A$2:$A$497,1))/INDEX(Data!$I$2:$I$497,MATCH(N132,Data!$A$2:$A$497,1))),"")</f>
      </c>
      <c r="AT144" s="560">
        <f>IFERROR(LN(INDEX(Data!$J$2:$J$497,MATCH(N144,Data!$A$2:$A$497,1))/INDEX(Data!$J$2:$J$497,MATCH(N132,Data!$A$2:$A$497,1))),"")</f>
      </c>
      <c r="AU144" s="560">
        <f>IFERROR(LN(INDEX(Data!$K$2:$K$497,MATCH(N144,Data!$A$2:$A$497,1))/INDEX(Data!$K$2:$K$497,MATCH(N132,Data!$A$2:$A$497,1))),"")</f>
      </c>
      <c r="AV144" s="561">
        <f>IFERROR(LN(INDEX(Data!$L$2:$L$497,MATCH(N144,Data!$A$2:$A$497,1))/INDEX(Data!$L$2:$L$497,MATCH(N132,Data!$A$2:$A$497,1))),"")</f>
      </c>
    </row>
    <row r="145">
      <c r="A145" s="585" t="inlineStr">
        <is>
          <t>Cash</t>
        </is>
      </c>
      <c r="B145" s="590">
        <f>INDEX(Data!L$2:L$497,MATCH($C$130,Data!$A$2:$A$497,0))/INDEX(Data!L$2:L$497,MATCH($B$130,Data!$A$2:$A$497,0))-1</f>
        <v>0.0380120804795361</v>
      </c>
      <c r="C145" s="590" t="n">
        <v>0</v>
      </c>
      <c r="D145" s="590">
        <f>AVERAGE(D38:E38)</f>
        <v>0</v>
      </c>
      <c r="E145" s="591">
        <f>AVERAGE(D38:E38,C145)</f>
        <v>0</v>
      </c>
      <c r="N145" s="337" t="n">
        <v>29128</v>
      </c>
      <c r="O145" s="116">
        <f>INDEX('Additional data'!$B$2:$B$965,MATCH(DATE(YEAR(N145),MONTH(N145),1),'Additional data'!$A$2:$A$965,0))</f>
        <v>28.5</v>
      </c>
      <c r="P145" s="489">
        <f>LN(O145)</f>
        <v>3.34990408727461</v>
      </c>
      <c r="Q145" s="489">
        <f>Q144+LN(1+INDEX('Additional data'!$H$2:$H$1196,MATCH(N145,'Additional data'!$G$2:$G$1196,1))+INDEX('Additional data'!$I$2:$I$1196,MATCH(N145,'Additional data'!$G$2:$G$1196,1)))</f>
        <v>0.592376138250103</v>
      </c>
      <c r="R145" s="77" t="n"/>
      <c r="S145" s="116">
        <f>IF(INDEX('Additional data'!$E$2:$E$699,MATCH(DATE(YEAR(N145),MONTH(N145),1),'Additional data'!$D$2:$D$699,0))=0,(INDEX('Additional data'!$E$2:$E$699,MATCH(DATE(YEAR(N145),MONTH(N145),1),'Additional data'!$D$2:$D$699,0)-1)+INDEX('Additional data'!$E$2:$E$699,MATCH(DATE(YEAR(N145),MONTH(N145),1),'Additional data'!$D$2:$D$699,0)+1))/2,INDEX('Additional data'!$E$2:$E$699,MATCH(DATE(YEAR(N145),MONTH(N145),1),'Additional data'!$D$2:$D$699,0)))</f>
        <v>9.87</v>
      </c>
      <c r="T145" s="425">
        <f>P145-P144</f>
        <v>0.0727593542824283</v>
      </c>
      <c r="U145" s="425">
        <f>Q145-Q144</f>
        <v>0</v>
      </c>
      <c r="V145" s="77" t="n"/>
      <c r="W145" s="116">
        <f>S145-S144</f>
        <v>0.0899999999999999</v>
      </c>
      <c r="X145" s="425">
        <f>P145-P133</f>
        <v>0.651904222025896</v>
      </c>
      <c r="Y145" s="425">
        <f>Q145-Q133</f>
        <v>0.129552955360651</v>
      </c>
      <c r="Z145" s="77" t="n"/>
      <c r="AA145" s="116">
        <f>S145-S133</f>
        <v>0.149999999999999</v>
      </c>
      <c r="AB145" s="425">
        <f>P145-P85</f>
        <v>1.03637905424223</v>
      </c>
      <c r="AC145" s="425">
        <f>Q145-Q85</f>
        <v>0.894805163087075</v>
      </c>
      <c r="AD145" s="77" t="n"/>
      <c r="AE145" s="235">
        <f>S145-S85</f>
        <v>-2.73</v>
      </c>
      <c r="AG145" s="554">
        <f>N145</f>
        <v>29128.0</v>
      </c>
      <c r="AH145" s="435">
        <f>IFERROR(INDEX('RBA 5Y yield'!$B$5:$B$661,MATCH(N145,'RBA 5Y yield'!$A$5:$A$661,1))*100,"")</f>
        <v>10.01</v>
      </c>
      <c r="AI145" s="435">
        <f>IF(AND(ISNUMBER(AH145),ISNUMBER(AH144)),AH145-AH144,"")</f>
        <v>0.00999999999999979</v>
      </c>
      <c r="AJ145" s="435">
        <f>IF(AND(ISNUMBER(AH145),ISNUMBER(AH133)),AH145-AH133,"")</f>
        <v>1.01</v>
      </c>
      <c r="AK145" s="435">
        <f>IF(AND(ISNUMBER(AH145),ISNUMBER(AH85)),AH145-AH85,"")</f>
        <v>0.0700000000000003</v>
      </c>
      <c r="AL145" s="560">
        <f>IFERROR(LN(INDEX(Data!$B$2:$B$497,MATCH(N145,Data!$A$2:$A$497,1))/INDEX(Data!$B$2:$B$497,MATCH(N133,Data!$A$2:$A$497,1))),"")</f>
      </c>
      <c r="AM145" s="560">
        <f>IFERROR(LN(INDEX(Data!$C$2:$C$497,MATCH(N145,Data!$A$2:$A$497,1))/INDEX(Data!$C$2:$C$497,MATCH(N133,Data!$A$2:$A$497,1))),"")</f>
      </c>
      <c r="AN145" s="560">
        <f>IFERROR(LN(INDEX(Data!$D$2:$D$497,MATCH(N145,Data!$A$2:$A$497,1))/INDEX(Data!$D$2:$D$497,MATCH(N133,Data!$A$2:$A$497,1))),"")</f>
      </c>
      <c r="AO145" s="560">
        <f>IFERROR(LN(INDEX(Data!$E$2:$E$497,MATCH(N145,Data!$A$2:$A$497,1))/INDEX(Data!$E$2:$E$497,MATCH(N133,Data!$A$2:$A$497,1))),"")</f>
      </c>
      <c r="AP145" s="560">
        <f>IFERROR(LN(INDEX(Data!$F$2:$F$497,MATCH(N145,Data!$A$2:$A$497,1))/INDEX(Data!$F$2:$F$497,MATCH(N133,Data!$A$2:$A$497,1))),"")</f>
      </c>
      <c r="AQ145" s="560">
        <f>IFERROR(LN(INDEX(Data!$G$2:$G$497,MATCH(N145,Data!$A$2:$A$497,1))/INDEX(Data!$G$2:$G$497,MATCH(N133,Data!$A$2:$A$497,1))),"")</f>
      </c>
      <c r="AR145" s="560">
        <f>IFERROR(LN(INDEX(Data!$H$2:$H$497,MATCH(N145,Data!$A$2:$A$497,1))/INDEX(Data!$H$2:$H$497,MATCH(N133,Data!$A$2:$A$497,1))),"")</f>
      </c>
      <c r="AS145" s="560">
        <f>IFERROR(LN(INDEX(Data!$I$2:$I$497,MATCH(N145,Data!$A$2:$A$497,1))/INDEX(Data!$I$2:$I$497,MATCH(N133,Data!$A$2:$A$497,1))),"")</f>
      </c>
      <c r="AT145" s="560">
        <f>IFERROR(LN(INDEX(Data!$J$2:$J$497,MATCH(N145,Data!$A$2:$A$497,1))/INDEX(Data!$J$2:$J$497,MATCH(N133,Data!$A$2:$A$497,1))),"")</f>
      </c>
      <c r="AU145" s="560">
        <f>IFERROR(LN(INDEX(Data!$K$2:$K$497,MATCH(N145,Data!$A$2:$A$497,1))/INDEX(Data!$K$2:$K$497,MATCH(N133,Data!$A$2:$A$497,1))),"")</f>
      </c>
      <c r="AV145" s="561">
        <f>IFERROR(LN(INDEX(Data!$L$2:$L$497,MATCH(N145,Data!$A$2:$A$497,1))/INDEX(Data!$L$2:$L$497,MATCH(N133,Data!$A$2:$A$497,1))),"")</f>
      </c>
    </row>
    <row r="146">
      <c r="N146" s="337" t="n">
        <v>29159</v>
      </c>
      <c r="O146" s="116">
        <f>INDEX('Additional data'!$B$2:$B$965,MATCH(DATE(YEAR(N146),MONTH(N146),1),'Additional data'!$A$2:$A$965,0))</f>
        <v>29</v>
      </c>
      <c r="P146" s="489">
        <f>LN(O146)</f>
        <v>3.36729582998647</v>
      </c>
      <c r="Q146" s="489">
        <f>Q145+LN(1+INDEX('Additional data'!$H$2:$H$1196,MATCH(N146,'Additional data'!$G$2:$G$1196,1))+INDEX('Additional data'!$I$2:$I$1196,MATCH(N146,'Additional data'!$G$2:$G$1196,1)))</f>
        <v>0.517329263927192</v>
      </c>
      <c r="R146" s="77" t="n"/>
      <c r="S146" s="116">
        <f>IF(INDEX('Additional data'!$E$2:$E$699,MATCH(DATE(YEAR(N146),MONTH(N146),1),'Additional data'!$D$2:$D$699,0))=0,(INDEX('Additional data'!$E$2:$E$699,MATCH(DATE(YEAR(N146),MONTH(N146),1),'Additional data'!$D$2:$D$699,0)-1)+INDEX('Additional data'!$E$2:$E$699,MATCH(DATE(YEAR(N146),MONTH(N146),1),'Additional data'!$D$2:$D$699,0)+1))/2,INDEX('Additional data'!$E$2:$E$699,MATCH(DATE(YEAR(N146),MONTH(N146),1),'Additional data'!$D$2:$D$699,0)))</f>
        <v>10.04</v>
      </c>
      <c r="T146" s="425">
        <f>P146-P145</f>
        <v>0.0173917427118693</v>
      </c>
      <c r="U146" s="425">
        <f>Q146-Q145</f>
        <v>-0.0750468743229111</v>
      </c>
      <c r="V146" s="77" t="n"/>
      <c r="W146" s="116">
        <f>S146-S145</f>
        <v>0.17</v>
      </c>
      <c r="X146" s="425">
        <f>P146-P134</f>
        <v>0.669295964737766</v>
      </c>
      <c r="Y146" s="425">
        <f>Q146-Q134</f>
        <v>0.173514867619942</v>
      </c>
      <c r="Z146" s="77" t="n"/>
      <c r="AA146" s="116">
        <f>S146-S134</f>
        <v>0.299999999999999</v>
      </c>
      <c r="AB146" s="425">
        <f>P146-P86</f>
        <v>0.954959873033309</v>
      </c>
      <c r="AC146" s="425">
        <f>Q146-Q86</f>
        <v>0.666007688958245</v>
      </c>
      <c r="AD146" s="77" t="n"/>
      <c r="AE146" s="235">
        <f>S146-S86</f>
        <v>-0.360000000000001</v>
      </c>
      <c r="AG146" s="554">
        <f>N146</f>
        <v>29159.0</v>
      </c>
      <c r="AH146" s="435">
        <f>IFERROR(INDEX('RBA 5Y yield'!$B$5:$B$661,MATCH(N146,'RBA 5Y yield'!$A$5:$A$661,1))*100,"")</f>
        <v>10</v>
      </c>
      <c r="AI146" s="435">
        <f>IF(AND(ISNUMBER(AH146),ISNUMBER(AH145)),AH146-AH145,"")</f>
        <v>-0.00999999999999979</v>
      </c>
      <c r="AJ146" s="435">
        <f>IF(AND(ISNUMBER(AH146),ISNUMBER(AH134)),AH146-AH134,"")</f>
        <v>1.14</v>
      </c>
      <c r="AK146" s="435">
        <f>IF(AND(ISNUMBER(AH146),ISNUMBER(AH86)),AH146-AH86,"")</f>
        <v>0.5</v>
      </c>
      <c r="AL146" s="560">
        <f>IFERROR(LN(INDEX(Data!$B$2:$B$497,MATCH(N146,Data!$A$2:$A$497,1))/INDEX(Data!$B$2:$B$497,MATCH(N134,Data!$A$2:$A$497,1))),"")</f>
      </c>
      <c r="AM146" s="560">
        <f>IFERROR(LN(INDEX(Data!$C$2:$C$497,MATCH(N146,Data!$A$2:$A$497,1))/INDEX(Data!$C$2:$C$497,MATCH(N134,Data!$A$2:$A$497,1))),"")</f>
      </c>
      <c r="AN146" s="560">
        <f>IFERROR(LN(INDEX(Data!$D$2:$D$497,MATCH(N146,Data!$A$2:$A$497,1))/INDEX(Data!$D$2:$D$497,MATCH(N134,Data!$A$2:$A$497,1))),"")</f>
      </c>
      <c r="AO146" s="560">
        <f>IFERROR(LN(INDEX(Data!$E$2:$E$497,MATCH(N146,Data!$A$2:$A$497,1))/INDEX(Data!$E$2:$E$497,MATCH(N134,Data!$A$2:$A$497,1))),"")</f>
      </c>
      <c r="AP146" s="560">
        <f>IFERROR(LN(INDEX(Data!$F$2:$F$497,MATCH(N146,Data!$A$2:$A$497,1))/INDEX(Data!$F$2:$F$497,MATCH(N134,Data!$A$2:$A$497,1))),"")</f>
      </c>
      <c r="AQ146" s="560">
        <f>IFERROR(LN(INDEX(Data!$G$2:$G$497,MATCH(N146,Data!$A$2:$A$497,1))/INDEX(Data!$G$2:$G$497,MATCH(N134,Data!$A$2:$A$497,1))),"")</f>
      </c>
      <c r="AR146" s="560">
        <f>IFERROR(LN(INDEX(Data!$H$2:$H$497,MATCH(N146,Data!$A$2:$A$497,1))/INDEX(Data!$H$2:$H$497,MATCH(N134,Data!$A$2:$A$497,1))),"")</f>
      </c>
      <c r="AS146" s="560">
        <f>IFERROR(LN(INDEX(Data!$I$2:$I$497,MATCH(N146,Data!$A$2:$A$497,1))/INDEX(Data!$I$2:$I$497,MATCH(N134,Data!$A$2:$A$497,1))),"")</f>
      </c>
      <c r="AT146" s="560">
        <f>IFERROR(LN(INDEX(Data!$J$2:$J$497,MATCH(N146,Data!$A$2:$A$497,1))/INDEX(Data!$J$2:$J$497,MATCH(N134,Data!$A$2:$A$497,1))),"")</f>
      </c>
      <c r="AU146" s="560">
        <f>IFERROR(LN(INDEX(Data!$K$2:$K$497,MATCH(N146,Data!$A$2:$A$497,1))/INDEX(Data!$K$2:$K$497,MATCH(N134,Data!$A$2:$A$497,1))),"")</f>
      </c>
      <c r="AV146" s="561">
        <f>IFERROR(LN(INDEX(Data!$L$2:$L$497,MATCH(N146,Data!$A$2:$A$497,1))/INDEX(Data!$L$2:$L$497,MATCH(N134,Data!$A$2:$A$497,1))),"")</f>
      </c>
    </row>
    <row r="147">
      <c r="N147" s="337" t="n">
        <v>29189</v>
      </c>
      <c r="O147" s="116">
        <f>INDEX('Additional data'!$B$2:$B$965,MATCH(DATE(YEAR(N147),MONTH(N147),1),'Additional data'!$A$2:$A$965,0))</f>
        <v>31</v>
      </c>
      <c r="P147" s="489">
        <f>LN(O147)</f>
        <v>3.43398720448515</v>
      </c>
      <c r="Q147" s="489">
        <f>Q146+LN(1+INDEX('Additional data'!$H$2:$H$1196,MATCH(N147,'Additional data'!$G$2:$G$1196,1))+INDEX('Additional data'!$I$2:$I$1196,MATCH(N147,'Additional data'!$G$2:$G$1196,1)))</f>
        <v>0.577577344272549</v>
      </c>
      <c r="R147" s="77" t="n"/>
      <c r="S147" s="116">
        <f>IF(INDEX('Additional data'!$E$2:$E$699,MATCH(DATE(YEAR(N147),MONTH(N147),1),'Additional data'!$D$2:$D$699,0))=0,(INDEX('Additional data'!$E$2:$E$699,MATCH(DATE(YEAR(N147),MONTH(N147),1),'Additional data'!$D$2:$D$699,0)-1)+INDEX('Additional data'!$E$2:$E$699,MATCH(DATE(YEAR(N147),MONTH(N147),1),'Additional data'!$D$2:$D$699,0)+1))/2,INDEX('Additional data'!$E$2:$E$699,MATCH(DATE(YEAR(N147),MONTH(N147),1),'Additional data'!$D$2:$D$699,0)))</f>
        <v>10.12</v>
      </c>
      <c r="T147" s="425">
        <f>P147-P146</f>
        <v>0.0666913744986721</v>
      </c>
      <c r="U147" s="425">
        <f>Q147-Q146</f>
        <v>0.0602480803453569</v>
      </c>
      <c r="V147" s="77" t="n"/>
      <c r="W147" s="116">
        <f>S147-S146</f>
        <v>0.0800000000000001</v>
      </c>
      <c r="X147" s="425">
        <f>P147-P135</f>
        <v>0.735987339236438</v>
      </c>
      <c r="Y147" s="425">
        <f>Q147-Q135</f>
        <v>0.200231464756506</v>
      </c>
      <c r="Z147" s="77" t="n"/>
      <c r="AA147" s="116">
        <f>S147-S135</f>
        <v>0.93</v>
      </c>
      <c r="AB147" s="425">
        <f>P147-P87</f>
        <v>1.02165124753198</v>
      </c>
      <c r="AC147" s="425">
        <f>Q147-Q87</f>
        <v>0.766973602582161</v>
      </c>
      <c r="AD147" s="77" t="n"/>
      <c r="AE147" s="235">
        <f>S147-S87</f>
        <v>-0.180000000000002</v>
      </c>
      <c r="AG147" s="554">
        <f>N147</f>
        <v>29189.0</v>
      </c>
      <c r="AH147" s="435">
        <f>IFERROR(INDEX('RBA 5Y yield'!$B$5:$B$661,MATCH(N147,'RBA 5Y yield'!$A$5:$A$661,1))*100,"")</f>
        <v>10</v>
      </c>
      <c r="AI147" s="435">
        <f>IF(AND(ISNUMBER(AH147),ISNUMBER(AH146)),AH147-AH146,"")</f>
        <v>0</v>
      </c>
      <c r="AJ147" s="435">
        <f>IF(AND(ISNUMBER(AH147),ISNUMBER(AH135)),AH147-AH135,"")</f>
        <v>1.2</v>
      </c>
      <c r="AK147" s="435">
        <f>IF(AND(ISNUMBER(AH147),ISNUMBER(AH87)),AH147-AH87,"")</f>
        <v>0.57</v>
      </c>
      <c r="AL147" s="560">
        <f>IFERROR(LN(INDEX(Data!$B$2:$B$497,MATCH(N147,Data!$A$2:$A$497,1))/INDEX(Data!$B$2:$B$497,MATCH(N135,Data!$A$2:$A$497,1))),"")</f>
      </c>
      <c r="AM147" s="560">
        <f>IFERROR(LN(INDEX(Data!$C$2:$C$497,MATCH(N147,Data!$A$2:$A$497,1))/INDEX(Data!$C$2:$C$497,MATCH(N135,Data!$A$2:$A$497,1))),"")</f>
      </c>
      <c r="AN147" s="560">
        <f>IFERROR(LN(INDEX(Data!$D$2:$D$497,MATCH(N147,Data!$A$2:$A$497,1))/INDEX(Data!$D$2:$D$497,MATCH(N135,Data!$A$2:$A$497,1))),"")</f>
      </c>
      <c r="AO147" s="560">
        <f>IFERROR(LN(INDEX(Data!$E$2:$E$497,MATCH(N147,Data!$A$2:$A$497,1))/INDEX(Data!$E$2:$E$497,MATCH(N135,Data!$A$2:$A$497,1))),"")</f>
      </c>
      <c r="AP147" s="560">
        <f>IFERROR(LN(INDEX(Data!$F$2:$F$497,MATCH(N147,Data!$A$2:$A$497,1))/INDEX(Data!$F$2:$F$497,MATCH(N135,Data!$A$2:$A$497,1))),"")</f>
      </c>
      <c r="AQ147" s="560">
        <f>IFERROR(LN(INDEX(Data!$G$2:$G$497,MATCH(N147,Data!$A$2:$A$497,1))/INDEX(Data!$G$2:$G$497,MATCH(N135,Data!$A$2:$A$497,1))),"")</f>
      </c>
      <c r="AR147" s="560">
        <f>IFERROR(LN(INDEX(Data!$H$2:$H$497,MATCH(N147,Data!$A$2:$A$497,1))/INDEX(Data!$H$2:$H$497,MATCH(N135,Data!$A$2:$A$497,1))),"")</f>
      </c>
      <c r="AS147" s="560">
        <f>IFERROR(LN(INDEX(Data!$I$2:$I$497,MATCH(N147,Data!$A$2:$A$497,1))/INDEX(Data!$I$2:$I$497,MATCH(N135,Data!$A$2:$A$497,1))),"")</f>
      </c>
      <c r="AT147" s="560">
        <f>IFERROR(LN(INDEX(Data!$J$2:$J$497,MATCH(N147,Data!$A$2:$A$497,1))/INDEX(Data!$J$2:$J$497,MATCH(N135,Data!$A$2:$A$497,1))),"")</f>
      </c>
      <c r="AU147" s="560">
        <f>IFERROR(LN(INDEX(Data!$K$2:$K$497,MATCH(N147,Data!$A$2:$A$497,1))/INDEX(Data!$K$2:$K$497,MATCH(N135,Data!$A$2:$A$497,1))),"")</f>
      </c>
      <c r="AV147" s="561">
        <f>IFERROR(LN(INDEX(Data!$L$2:$L$497,MATCH(N147,Data!$A$2:$A$497,1))/INDEX(Data!$L$2:$L$497,MATCH(N135,Data!$A$2:$A$497,1))),"")</f>
      </c>
    </row>
    <row r="148">
      <c r="A148" s="426" t="inlineStr">
        <is>
          <t>11. Mitigation options compared (parametric, same risk model as the recommendation)</t>
        </is>
      </c>
      <c r="B148" s="427" t="n"/>
      <c r="C148" s="427" t="n"/>
      <c r="D148" s="427" t="n"/>
      <c r="E148" s="427" t="n"/>
      <c r="F148" s="427" t="n"/>
      <c r="G148" s="427" t="n"/>
      <c r="H148" s="427" t="n"/>
      <c r="I148" s="428" t="n"/>
      <c r="N148" s="337" t="n">
        <v>29220</v>
      </c>
      <c r="O148" s="116">
        <f>INDEX('Additional data'!$B$2:$B$965,MATCH(DATE(YEAR(N148),MONTH(N148),1),'Additional data'!$A$2:$A$965,0))</f>
        <v>32.5</v>
      </c>
      <c r="P148" s="489">
        <f>LN(O148)</f>
        <v>3.48124008933569</v>
      </c>
      <c r="Q148" s="489">
        <f>Q147+LN(1+INDEX('Additional data'!$H$2:$H$1196,MATCH(N148,'Additional data'!$G$2:$G$1196,1))+INDEX('Additional data'!$I$2:$I$1196,MATCH(N148,'Additional data'!$G$2:$G$1196,1)))</f>
        <v>0.60451134551263</v>
      </c>
      <c r="R148" s="77" t="n"/>
      <c r="S148" s="116">
        <f>IF(INDEX('Additional data'!$E$2:$E$699,MATCH(DATE(YEAR(N148),MONTH(N148),1),'Additional data'!$D$2:$D$699,0))=0,(INDEX('Additional data'!$E$2:$E$699,MATCH(DATE(YEAR(N148),MONTH(N148),1),'Additional data'!$D$2:$D$699,0)-1)+INDEX('Additional data'!$E$2:$E$699,MATCH(DATE(YEAR(N148),MONTH(N148),1),'Additional data'!$D$2:$D$699,0)+1))/2,INDEX('Additional data'!$E$2:$E$699,MATCH(DATE(YEAR(N148),MONTH(N148),1),'Additional data'!$D$2:$D$699,0)))</f>
        <v>10.12</v>
      </c>
      <c r="T148" s="425">
        <f>P148-P147</f>
        <v>0.0472528848505456</v>
      </c>
      <c r="U148" s="425">
        <f>Q148-Q147</f>
        <v>0.0269340012400811</v>
      </c>
      <c r="V148" s="77" t="n"/>
      <c r="W148" s="116">
        <f>S148-S147</f>
        <v>0</v>
      </c>
      <c r="X148" s="425">
        <f>P148-P136</f>
        <v>0.783240224086983</v>
      </c>
      <c r="Y148" s="425">
        <f>Q148-Q136</f>
        <v>0.210800111910323</v>
      </c>
      <c r="Z148" s="77" t="n"/>
      <c r="AA148" s="116">
        <f>S148-S136</f>
        <v>1.36</v>
      </c>
      <c r="AB148" s="425">
        <f>P148-P88</f>
        <v>1.06890413238253</v>
      </c>
      <c r="AC148" s="425">
        <f>Q148-Q88</f>
        <v>0.821689984834693</v>
      </c>
      <c r="AD148" s="77" t="n"/>
      <c r="AE148" s="235">
        <f>S148-S88</f>
        <v>0.369999999999999</v>
      </c>
      <c r="AG148" s="554">
        <f>N148</f>
        <v>29220.0</v>
      </c>
      <c r="AH148" s="435">
        <f>IFERROR(INDEX('RBA 5Y yield'!$B$5:$B$661,MATCH(N148,'RBA 5Y yield'!$A$5:$A$661,1))*100,"")</f>
        <v>10.02</v>
      </c>
      <c r="AI148" s="435">
        <f>IF(AND(ISNUMBER(AH148),ISNUMBER(AH147)),AH148-AH147,"")</f>
        <v>0.0199999999999996</v>
      </c>
      <c r="AJ148" s="435">
        <f>IF(AND(ISNUMBER(AH148),ISNUMBER(AH136)),AH148-AH136,"")</f>
        <v>1.22</v>
      </c>
      <c r="AK148" s="435">
        <f>IF(AND(ISNUMBER(AH148),ISNUMBER(AH88)),AH148-AH88,"")</f>
        <v>0.869999999999999</v>
      </c>
      <c r="AL148" s="560">
        <f>IFERROR(LN(INDEX(Data!$B$2:$B$497,MATCH(N148,Data!$A$2:$A$497,1))/INDEX(Data!$B$2:$B$497,MATCH(N136,Data!$A$2:$A$497,1))),"")</f>
      </c>
      <c r="AM148" s="560">
        <f>IFERROR(LN(INDEX(Data!$C$2:$C$497,MATCH(N148,Data!$A$2:$A$497,1))/INDEX(Data!$C$2:$C$497,MATCH(N136,Data!$A$2:$A$497,1))),"")</f>
      </c>
      <c r="AN148" s="560">
        <f>IFERROR(LN(INDEX(Data!$D$2:$D$497,MATCH(N148,Data!$A$2:$A$497,1))/INDEX(Data!$D$2:$D$497,MATCH(N136,Data!$A$2:$A$497,1))),"")</f>
      </c>
      <c r="AO148" s="560">
        <f>IFERROR(LN(INDEX(Data!$E$2:$E$497,MATCH(N148,Data!$A$2:$A$497,1))/INDEX(Data!$E$2:$E$497,MATCH(N136,Data!$A$2:$A$497,1))),"")</f>
      </c>
      <c r="AP148" s="560">
        <f>IFERROR(LN(INDEX(Data!$F$2:$F$497,MATCH(N148,Data!$A$2:$A$497,1))/INDEX(Data!$F$2:$F$497,MATCH(N136,Data!$A$2:$A$497,1))),"")</f>
      </c>
      <c r="AQ148" s="560">
        <f>IFERROR(LN(INDEX(Data!$G$2:$G$497,MATCH(N148,Data!$A$2:$A$497,1))/INDEX(Data!$G$2:$G$497,MATCH(N136,Data!$A$2:$A$497,1))),"")</f>
      </c>
      <c r="AR148" s="560">
        <f>IFERROR(LN(INDEX(Data!$H$2:$H$497,MATCH(N148,Data!$A$2:$A$497,1))/INDEX(Data!$H$2:$H$497,MATCH(N136,Data!$A$2:$A$497,1))),"")</f>
      </c>
      <c r="AS148" s="560">
        <f>IFERROR(LN(INDEX(Data!$I$2:$I$497,MATCH(N148,Data!$A$2:$A$497,1))/INDEX(Data!$I$2:$I$497,MATCH(N136,Data!$A$2:$A$497,1))),"")</f>
      </c>
      <c r="AT148" s="560">
        <f>IFERROR(LN(INDEX(Data!$J$2:$J$497,MATCH(N148,Data!$A$2:$A$497,1))/INDEX(Data!$J$2:$J$497,MATCH(N136,Data!$A$2:$A$497,1))),"")</f>
      </c>
      <c r="AU148" s="560">
        <f>IFERROR(LN(INDEX(Data!$K$2:$K$497,MATCH(N148,Data!$A$2:$A$497,1))/INDEX(Data!$K$2:$K$497,MATCH(N136,Data!$A$2:$A$497,1))),"")</f>
      </c>
      <c r="AV148" s="561">
        <f>IFERROR(LN(INDEX(Data!$L$2:$L$497,MATCH(N148,Data!$A$2:$A$497,1))/INDEX(Data!$L$2:$L$497,MATCH(N136,Data!$A$2:$A$497,1))),"")</f>
      </c>
    </row>
    <row r="149" ht="40" customHeight="1">
      <c r="A149" s="429" t="inlineStr">
        <is>
          <t>Option</t>
        </is>
      </c>
      <c r="B149" s="430" t="inlineStr">
        <is>
          <t>Expected return</t>
        </is>
      </c>
      <c r="C149" s="430" t="inlineStr">
        <is>
          <t>Volatility</t>
        </is>
      </c>
      <c r="D149" s="430" t="inlineStr">
        <is>
          <t>Tracking error</t>
        </is>
      </c>
      <c r="E149" s="430" t="inlineStr">
        <is>
          <t>Oil: episode central case</t>
        </is>
      </c>
      <c r="F149" s="430" t="inlineStr">
        <is>
          <t>Oil: 12-month regression</t>
        </is>
      </c>
      <c r="G149" s="430" t="inlineStr">
        <is>
          <t>Return cost vs recommended</t>
        </is>
      </c>
      <c r="H149" s="430" t="inlineStr">
        <is>
          <t>Oil loss reduced by</t>
        </is>
      </c>
      <c r="I149" s="431" t="inlineStr">
        <is>
          <t>TE (1.5% brief limit) and equity band</t>
        </is>
      </c>
      <c r="N149" s="337" t="n">
        <v>29251</v>
      </c>
      <c r="O149" s="116">
        <f>INDEX('Additional data'!$B$2:$B$965,MATCH(DATE(YEAR(N149),MONTH(N149),1),'Additional data'!$A$2:$A$965,0))</f>
        <v>32.5</v>
      </c>
      <c r="P149" s="489">
        <f>LN(O149)</f>
        <v>3.48124008933569</v>
      </c>
      <c r="Q149" s="489">
        <f>Q148+LN(1+INDEX('Additional data'!$H$2:$H$1196,MATCH(N149,'Additional data'!$G$2:$G$1196,1))+INDEX('Additional data'!$I$2:$I$1196,MATCH(N149,'Additional data'!$G$2:$G$1196,1)))</f>
        <v>0.665606444872441</v>
      </c>
      <c r="R149" s="77" t="n"/>
      <c r="S149" s="116">
        <f>IF(INDEX('Additional data'!$E$2:$E$699,MATCH(DATE(YEAR(N149),MONTH(N149),1),'Additional data'!$D$2:$D$699,0))=0,(INDEX('Additional data'!$E$2:$E$699,MATCH(DATE(YEAR(N149),MONTH(N149),1),'Additional data'!$D$2:$D$699,0)-1)+INDEX('Additional data'!$E$2:$E$699,MATCH(DATE(YEAR(N149),MONTH(N149),1),'Additional data'!$D$2:$D$699,0)+1))/2,INDEX('Additional data'!$E$2:$E$699,MATCH(DATE(YEAR(N149),MONTH(N149),1),'Additional data'!$D$2:$D$699,0)))</f>
        <v>10.03</v>
      </c>
      <c r="T149" s="425">
        <f>P149-P148</f>
        <v>0</v>
      </c>
      <c r="U149" s="425">
        <f>Q149-Q148</f>
        <v>0.0610950993598108</v>
      </c>
      <c r="V149" s="77" t="n"/>
      <c r="W149" s="116">
        <f>S149-S148</f>
        <v>-0.0899999999999999</v>
      </c>
      <c r="X149" s="425">
        <f>P149-P137</f>
        <v>0.783240224086983</v>
      </c>
      <c r="Y149" s="425">
        <f>Q149-Q137</f>
        <v>0.223200289731375</v>
      </c>
      <c r="Z149" s="77" t="n"/>
      <c r="AA149" s="116">
        <f>S149-S137</f>
        <v>1.52</v>
      </c>
      <c r="AB149" s="425">
        <f>P149-P89</f>
        <v>1.06890413238253</v>
      </c>
      <c r="AC149" s="425">
        <f>Q149-Q89</f>
        <v>0.749566240408282</v>
      </c>
      <c r="AD149" s="77" t="n"/>
      <c r="AE149" s="235">
        <f>S149-S89</f>
        <v>1.08</v>
      </c>
      <c r="AG149" s="554">
        <f>N149</f>
        <v>29251.0</v>
      </c>
      <c r="AH149" s="435">
        <f>IFERROR(INDEX('RBA 5Y yield'!$B$5:$B$661,MATCH(N149,'RBA 5Y yield'!$A$5:$A$661,1))*100,"")</f>
        <v>10.42</v>
      </c>
      <c r="AI149" s="435">
        <f>IF(AND(ISNUMBER(AH149),ISNUMBER(AH148)),AH149-AH148,"")</f>
        <v>0.4</v>
      </c>
      <c r="AJ149" s="435">
        <f>IF(AND(ISNUMBER(AH149),ISNUMBER(AH137)),AH149-AH137,"")</f>
        <v>1.57</v>
      </c>
      <c r="AK149" s="435">
        <f>IF(AND(ISNUMBER(AH149),ISNUMBER(AH89)),AH149-AH89,"")</f>
        <v>1.49</v>
      </c>
      <c r="AL149" s="560">
        <f>IFERROR(LN(INDEX(Data!$B$2:$B$497,MATCH(N149,Data!$A$2:$A$497,1))/INDEX(Data!$B$2:$B$497,MATCH(N137,Data!$A$2:$A$497,1))),"")</f>
      </c>
      <c r="AM149" s="560">
        <f>IFERROR(LN(INDEX(Data!$C$2:$C$497,MATCH(N149,Data!$A$2:$A$497,1))/INDEX(Data!$C$2:$C$497,MATCH(N137,Data!$A$2:$A$497,1))),"")</f>
      </c>
      <c r="AN149" s="560">
        <f>IFERROR(LN(INDEX(Data!$D$2:$D$497,MATCH(N149,Data!$A$2:$A$497,1))/INDEX(Data!$D$2:$D$497,MATCH(N137,Data!$A$2:$A$497,1))),"")</f>
      </c>
      <c r="AO149" s="560">
        <f>IFERROR(LN(INDEX(Data!$E$2:$E$497,MATCH(N149,Data!$A$2:$A$497,1))/INDEX(Data!$E$2:$E$497,MATCH(N137,Data!$A$2:$A$497,1))),"")</f>
      </c>
      <c r="AP149" s="560">
        <f>IFERROR(LN(INDEX(Data!$F$2:$F$497,MATCH(N149,Data!$A$2:$A$497,1))/INDEX(Data!$F$2:$F$497,MATCH(N137,Data!$A$2:$A$497,1))),"")</f>
      </c>
      <c r="AQ149" s="560">
        <f>IFERROR(LN(INDEX(Data!$G$2:$G$497,MATCH(N149,Data!$A$2:$A$497,1))/INDEX(Data!$G$2:$G$497,MATCH(N137,Data!$A$2:$A$497,1))),"")</f>
      </c>
      <c r="AR149" s="560">
        <f>IFERROR(LN(INDEX(Data!$H$2:$H$497,MATCH(N149,Data!$A$2:$A$497,1))/INDEX(Data!$H$2:$H$497,MATCH(N137,Data!$A$2:$A$497,1))),"")</f>
      </c>
      <c r="AS149" s="560">
        <f>IFERROR(LN(INDEX(Data!$I$2:$I$497,MATCH(N149,Data!$A$2:$A$497,1))/INDEX(Data!$I$2:$I$497,MATCH(N137,Data!$A$2:$A$497,1))),"")</f>
      </c>
      <c r="AT149" s="560">
        <f>IFERROR(LN(INDEX(Data!$J$2:$J$497,MATCH(N149,Data!$A$2:$A$497,1))/INDEX(Data!$J$2:$J$497,MATCH(N137,Data!$A$2:$A$497,1))),"")</f>
      </c>
      <c r="AU149" s="560">
        <f>IFERROR(LN(INDEX(Data!$K$2:$K$497,MATCH(N149,Data!$A$2:$A$497,1))/INDEX(Data!$K$2:$K$497,MATCH(N137,Data!$A$2:$A$497,1))),"")</f>
      </c>
      <c r="AV149" s="561">
        <f>IFERROR(LN(INDEX(Data!$L$2:$L$497,MATCH(N149,Data!$A$2:$A$497,1))/INDEX(Data!$L$2:$L$497,MATCH(N137,Data!$A$2:$A$497,1))),"")</f>
      </c>
    </row>
    <row r="150">
      <c r="A150" s="432" t="inlineStr">
        <is>
          <t>Recommended (no change)</t>
        </is>
      </c>
      <c r="B150" s="433">
        <f>SUMPRODUCT(Risk!$B$54:$L$54,$B$162:$L$162)</f>
        <v>0.0700321062587087</v>
      </c>
      <c r="C150" s="433">
        <f>SQRT(SUMPRODUCT(MMULT($B$162:$L$162,Risk!$B$41:$L$51),$B$162:$L$162))</f>
        <v>0.0783891281769718</v>
      </c>
      <c r="D150" s="433">
        <f>SQRT(SUMPRODUCT(MMULT($B$169:$L$169,Risk!$B$41:$L$51),$B$169:$L$169))</f>
        <v>0.0110023822192608</v>
      </c>
      <c r="E150" s="483">
        <f>SUMPRODUCT(MMULT($B$162:$L$162,$F$28:$F$38))</f>
        <v>-0.0836389097568949</v>
      </c>
      <c r="F150" s="483">
        <f>SUMPRODUCT(MMULT($B$162:$L$162,$F$107:$F$117))</f>
        <v>0.0058108569534685</v>
      </c>
      <c r="G150" s="433">
        <f>B150-B$150</f>
        <v>0</v>
      </c>
      <c r="H150" s="483">
        <f>E150-E$150</f>
        <v>0</v>
      </c>
      <c r="I150" s="592" t="str">
        <f>IF(AND(D150&lt;=Inputs!$B$27+0.00001,MIN($B$162:$L$162)&gt;=0,SUMPRODUCT(MMULT($B$162:$L$162,Inputs!$G$5:$G$15))&lt;=Inputs!$B$32,SUMPRODUCT(MMULT($B$162:$L$162,Inputs!$G$5:$G$15))&gt;=Inputs!$B$31),"MET","NOT MET")</f>
        <v>MET</v>
      </c>
      <c r="N150" s="337" t="n">
        <v>29280</v>
      </c>
      <c r="O150" s="116">
        <f>INDEX('Additional data'!$B$2:$B$965,MATCH(DATE(YEAR(N150),MONTH(N150),1),'Additional data'!$A$2:$A$965,0))</f>
        <v>37</v>
      </c>
      <c r="P150" s="489">
        <f>LN(O150)</f>
        <v>3.61091791264422</v>
      </c>
      <c r="Q150" s="489">
        <f>Q149+LN(1+INDEX('Additional data'!$H$2:$H$1196,MATCH(N150,'Additional data'!$G$2:$G$1196,1))+INDEX('Additional data'!$I$2:$I$1196,MATCH(N150,'Additional data'!$G$2:$G$1196,1)))</f>
        <v>0.662200651737608</v>
      </c>
      <c r="R150" s="77" t="n"/>
      <c r="S150" s="116">
        <f>IF(INDEX('Additional data'!$E$2:$E$699,MATCH(DATE(YEAR(N150),MONTH(N150),1),'Additional data'!$D$2:$D$699,0))=0,(INDEX('Additional data'!$E$2:$E$699,MATCH(DATE(YEAR(N150),MONTH(N150),1),'Additional data'!$D$2:$D$699,0)-1)+INDEX('Additional data'!$E$2:$E$699,MATCH(DATE(YEAR(N150),MONTH(N150),1),'Additional data'!$D$2:$D$699,0)+1))/2,INDEX('Additional data'!$E$2:$E$699,MATCH(DATE(YEAR(N150),MONTH(N150),1),'Additional data'!$D$2:$D$699,0)))</f>
        <v>10.06</v>
      </c>
      <c r="T150" s="425">
        <f>P150-P149</f>
        <v>0.129677823308533</v>
      </c>
      <c r="U150" s="425">
        <f>Q150-Q149</f>
        <v>-0.0034057931348328</v>
      </c>
      <c r="V150" s="77" t="n"/>
      <c r="W150" s="116">
        <f>S150-S149</f>
        <v>0.0300000000000011</v>
      </c>
      <c r="X150" s="425">
        <f>P150-P138</f>
        <v>0.847748412320935</v>
      </c>
      <c r="Y150" s="425">
        <f>Q150-Q138</f>
        <v>0.248502660733286</v>
      </c>
      <c r="Z150" s="77" t="n"/>
      <c r="AA150" s="116">
        <f>S150-S138</f>
        <v>1.46</v>
      </c>
      <c r="AB150" s="425">
        <f>P150-P90</f>
        <v>1.19858195569106</v>
      </c>
      <c r="AC150" s="425">
        <f>Q150-Q90</f>
        <v>0.687985883222376</v>
      </c>
      <c r="AD150" s="77" t="n"/>
      <c r="AE150" s="235">
        <f>S150-S90</f>
        <v>1.06</v>
      </c>
      <c r="AG150" s="554">
        <f>N150</f>
        <v>29280.0</v>
      </c>
      <c r="AH150" s="435">
        <f>IFERROR(INDEX('RBA 5Y yield'!$B$5:$B$661,MATCH(N150,'RBA 5Y yield'!$A$5:$A$661,1))*100,"")</f>
        <v>10.9</v>
      </c>
      <c r="AI150" s="435">
        <f>IF(AND(ISNUMBER(AH150),ISNUMBER(AH149)),AH150-AH149,"")</f>
        <v>0.48</v>
      </c>
      <c r="AJ150" s="435">
        <f>IF(AND(ISNUMBER(AH150),ISNUMBER(AH138)),AH150-AH138,"")</f>
        <v>1.91</v>
      </c>
      <c r="AK150" s="435">
        <f>IF(AND(ISNUMBER(AH150),ISNUMBER(AH90)),AH150-AH90,"")</f>
        <v>1.9</v>
      </c>
      <c r="AL150" s="560">
        <f>IFERROR(LN(INDEX(Data!$B$2:$B$497,MATCH(N150,Data!$A$2:$A$497,1))/INDEX(Data!$B$2:$B$497,MATCH(N138,Data!$A$2:$A$497,1))),"")</f>
      </c>
      <c r="AM150" s="560">
        <f>IFERROR(LN(INDEX(Data!$C$2:$C$497,MATCH(N150,Data!$A$2:$A$497,1))/INDEX(Data!$C$2:$C$497,MATCH(N138,Data!$A$2:$A$497,1))),"")</f>
      </c>
      <c r="AN150" s="560">
        <f>IFERROR(LN(INDEX(Data!$D$2:$D$497,MATCH(N150,Data!$A$2:$A$497,1))/INDEX(Data!$D$2:$D$497,MATCH(N138,Data!$A$2:$A$497,1))),"")</f>
      </c>
      <c r="AO150" s="560">
        <f>IFERROR(LN(INDEX(Data!$E$2:$E$497,MATCH(N150,Data!$A$2:$A$497,1))/INDEX(Data!$E$2:$E$497,MATCH(N138,Data!$A$2:$A$497,1))),"")</f>
      </c>
      <c r="AP150" s="560">
        <f>IFERROR(LN(INDEX(Data!$F$2:$F$497,MATCH(N150,Data!$A$2:$A$497,1))/INDEX(Data!$F$2:$F$497,MATCH(N138,Data!$A$2:$A$497,1))),"")</f>
      </c>
      <c r="AQ150" s="560">
        <f>IFERROR(LN(INDEX(Data!$G$2:$G$497,MATCH(N150,Data!$A$2:$A$497,1))/INDEX(Data!$G$2:$G$497,MATCH(N138,Data!$A$2:$A$497,1))),"")</f>
      </c>
      <c r="AR150" s="560">
        <f>IFERROR(LN(INDEX(Data!$H$2:$H$497,MATCH(N150,Data!$A$2:$A$497,1))/INDEX(Data!$H$2:$H$497,MATCH(N138,Data!$A$2:$A$497,1))),"")</f>
      </c>
      <c r="AS150" s="560">
        <f>IFERROR(LN(INDEX(Data!$I$2:$I$497,MATCH(N150,Data!$A$2:$A$497,1))/INDEX(Data!$I$2:$I$497,MATCH(N138,Data!$A$2:$A$497,1))),"")</f>
      </c>
      <c r="AT150" s="560">
        <f>IFERROR(LN(INDEX(Data!$J$2:$J$497,MATCH(N150,Data!$A$2:$A$497,1))/INDEX(Data!$J$2:$J$497,MATCH(N138,Data!$A$2:$A$497,1))),"")</f>
      </c>
      <c r="AU150" s="560">
        <f>IFERROR(LN(INDEX(Data!$K$2:$K$497,MATCH(N150,Data!$A$2:$A$497,1))/INDEX(Data!$K$2:$K$497,MATCH(N138,Data!$A$2:$A$497,1))),"")</f>
      </c>
      <c r="AV150" s="561">
        <f>IFERROR(LN(INDEX(Data!$L$2:$L$497,MATCH(N150,Data!$A$2:$A$497,1))/INDEX(Data!$L$2:$L$497,MATCH(N138,Data!$A$2:$A$497,1))),"")</f>
      </c>
    </row>
    <row r="151">
      <c r="A151" s="432" t="inlineStr">
        <is>
          <t>Commodities +2%, world equities -2%</t>
        </is>
      </c>
      <c r="B151" s="433">
        <f>SUMPRODUCT(Risk!$B$54:$L$54,$B$163:$L$163)</f>
        <v>0.0698842390859716</v>
      </c>
      <c r="C151" s="433">
        <f>SQRT(SUMPRODUCT(MMULT($B$163:$L$163,Risk!$B$41:$L$51),$B$163:$L$163))</f>
        <v>0.0777256156606683</v>
      </c>
      <c r="D151" s="433">
        <f>SQRT(SUMPRODUCT(MMULT($B$170:$L$170,Risk!$B$41:$L$51),$B$170:$L$170))</f>
        <v>0.0117101166722005</v>
      </c>
      <c r="E151" s="483">
        <f>SUMPRODUCT(MMULT($B$163:$L$163,$F$28:$F$38))</f>
        <v>-0.0752375418703422</v>
      </c>
      <c r="F151" s="483">
        <f>SUMPRODUCT(MMULT($B$163:$L$163,$F$107:$F$117))</f>
        <v>0.0108911072495258</v>
      </c>
      <c r="G151" s="433">
        <f>B151-B$150</f>
        <v>-0.000147867172737112</v>
      </c>
      <c r="H151" s="483">
        <f>E151-E$150</f>
        <v>0.00840136788655273</v>
      </c>
      <c r="I151" s="592" t="str">
        <f>IF(AND(D151&lt;=Inputs!$B$27+0.00001,MIN($B$163:$L$163)&gt;=0,SUMPRODUCT(MMULT($B$163:$L$163,Inputs!$G$5:$G$15))&lt;=Inputs!$B$32,SUMPRODUCT(MMULT($B$163:$L$163,Inputs!$G$5:$G$15))&gt;=Inputs!$B$31),"MET","NOT MET")</f>
        <v>MET</v>
      </c>
      <c r="N151" s="337" t="n">
        <v>29311</v>
      </c>
      <c r="O151" s="116">
        <f>INDEX('Additional data'!$B$2:$B$965,MATCH(DATE(YEAR(N151),MONTH(N151),1),'Additional data'!$A$2:$A$965,0))</f>
        <v>38</v>
      </c>
      <c r="P151" s="489">
        <f>LN(O151)</f>
        <v>3.63758615972639</v>
      </c>
      <c r="Q151" s="489">
        <f>Q150+LN(1+INDEX('Additional data'!$H$2:$H$1196,MATCH(N151,'Additional data'!$G$2:$G$1196,1))+INDEX('Additional data'!$I$2:$I$1196,MATCH(N151,'Additional data'!$G$2:$G$1196,1)))</f>
        <v>0.537883817230227</v>
      </c>
      <c r="R151" s="77" t="n"/>
      <c r="S151" s="116">
        <f>IF(INDEX('Additional data'!$E$2:$E$699,MATCH(DATE(YEAR(N151),MONTH(N151),1),'Additional data'!$D$2:$D$699,0))=0,(INDEX('Additional data'!$E$2:$E$699,MATCH(DATE(YEAR(N151),MONTH(N151),1),'Additional data'!$D$2:$D$699,0)-1)+INDEX('Additional data'!$E$2:$E$699,MATCH(DATE(YEAR(N151),MONTH(N151),1),'Additional data'!$D$2:$D$699,0)+1))/2,INDEX('Additional data'!$E$2:$E$699,MATCH(DATE(YEAR(N151),MONTH(N151),1),'Additional data'!$D$2:$D$699,0)))</f>
        <v>11.47</v>
      </c>
      <c r="T151" s="425">
        <f>P151-P150</f>
        <v>0.0266682470821613</v>
      </c>
      <c r="U151" s="425">
        <f>Q151-Q150</f>
        <v>-0.124316834507381</v>
      </c>
      <c r="V151" s="77" t="n"/>
      <c r="W151" s="116">
        <f>S151-S150</f>
        <v>1.41</v>
      </c>
      <c r="X151" s="425">
        <f>P151-P139</f>
        <v>0.874416659403096</v>
      </c>
      <c r="Y151" s="425">
        <f>Q151-Q139</f>
        <v>0.0613988381271411</v>
      </c>
      <c r="Z151" s="77" t="n"/>
      <c r="AA151" s="116">
        <f>S151-S139</f>
        <v>2.31</v>
      </c>
      <c r="AB151" s="425">
        <f>P151-P91</f>
        <v>1.22525020277322</v>
      </c>
      <c r="AC151" s="425">
        <f>Q151-Q91</f>
        <v>0.533430865654386</v>
      </c>
      <c r="AD151" s="77" t="n"/>
      <c r="AE151" s="235">
        <f>S151-S91</f>
        <v>2.72</v>
      </c>
      <c r="AG151" s="554">
        <f>N151</f>
        <v>29311.0</v>
      </c>
      <c r="AH151" s="435">
        <f>IFERROR(INDEX('RBA 5Y yield'!$B$5:$B$661,MATCH(N151,'RBA 5Y yield'!$A$5:$A$661,1))*100,"")</f>
        <v>11.2</v>
      </c>
      <c r="AI151" s="435">
        <f>IF(AND(ISNUMBER(AH151),ISNUMBER(AH150)),AH151-AH150,"")</f>
        <v>0.300000000000001</v>
      </c>
      <c r="AJ151" s="435">
        <f>IF(AND(ISNUMBER(AH151),ISNUMBER(AH139)),AH151-AH139,"")</f>
        <v>1.92</v>
      </c>
      <c r="AK151" s="435">
        <f>IF(AND(ISNUMBER(AH151),ISNUMBER(AH91)),AH151-AH91,"")</f>
        <v>2.2</v>
      </c>
      <c r="AL151" s="560">
        <f>IFERROR(LN(INDEX(Data!$B$2:$B$497,MATCH(N151,Data!$A$2:$A$497,1))/INDEX(Data!$B$2:$B$497,MATCH(N139,Data!$A$2:$A$497,1))),"")</f>
      </c>
      <c r="AM151" s="560">
        <f>IFERROR(LN(INDEX(Data!$C$2:$C$497,MATCH(N151,Data!$A$2:$A$497,1))/INDEX(Data!$C$2:$C$497,MATCH(N139,Data!$A$2:$A$497,1))),"")</f>
      </c>
      <c r="AN151" s="560">
        <f>IFERROR(LN(INDEX(Data!$D$2:$D$497,MATCH(N151,Data!$A$2:$A$497,1))/INDEX(Data!$D$2:$D$497,MATCH(N139,Data!$A$2:$A$497,1))),"")</f>
      </c>
      <c r="AO151" s="560">
        <f>IFERROR(LN(INDEX(Data!$E$2:$E$497,MATCH(N151,Data!$A$2:$A$497,1))/INDEX(Data!$E$2:$E$497,MATCH(N139,Data!$A$2:$A$497,1))),"")</f>
      </c>
      <c r="AP151" s="560">
        <f>IFERROR(LN(INDEX(Data!$F$2:$F$497,MATCH(N151,Data!$A$2:$A$497,1))/INDEX(Data!$F$2:$F$497,MATCH(N139,Data!$A$2:$A$497,1))),"")</f>
      </c>
      <c r="AQ151" s="560">
        <f>IFERROR(LN(INDEX(Data!$G$2:$G$497,MATCH(N151,Data!$A$2:$A$497,1))/INDEX(Data!$G$2:$G$497,MATCH(N139,Data!$A$2:$A$497,1))),"")</f>
      </c>
      <c r="AR151" s="560">
        <f>IFERROR(LN(INDEX(Data!$H$2:$H$497,MATCH(N151,Data!$A$2:$A$497,1))/INDEX(Data!$H$2:$H$497,MATCH(N139,Data!$A$2:$A$497,1))),"")</f>
      </c>
      <c r="AS151" s="560">
        <f>IFERROR(LN(INDEX(Data!$I$2:$I$497,MATCH(N151,Data!$A$2:$A$497,1))/INDEX(Data!$I$2:$I$497,MATCH(N139,Data!$A$2:$A$497,1))),"")</f>
      </c>
      <c r="AT151" s="560">
        <f>IFERROR(LN(INDEX(Data!$J$2:$J$497,MATCH(N151,Data!$A$2:$A$497,1))/INDEX(Data!$J$2:$J$497,MATCH(N139,Data!$A$2:$A$497,1))),"")</f>
      </c>
      <c r="AU151" s="560">
        <f>IFERROR(LN(INDEX(Data!$K$2:$K$497,MATCH(N151,Data!$A$2:$A$497,1))/INDEX(Data!$K$2:$K$497,MATCH(N139,Data!$A$2:$A$497,1))),"")</f>
      </c>
      <c r="AV151" s="561">
        <f>IFERROR(LN(INDEX(Data!$L$2:$L$497,MATCH(N151,Data!$A$2:$A$497,1))/INDEX(Data!$L$2:$L$497,MATCH(N139,Data!$A$2:$A$497,1))),"")</f>
      </c>
    </row>
    <row r="152">
      <c r="A152" s="432" t="inlineStr">
        <is>
          <t>Commodities +1%, world equities -1%</t>
        </is>
      </c>
      <c r="B152" s="433">
        <f>SUMPRODUCT(Risk!$B$54:$L$54,$B$164:$L$164)</f>
        <v>0.0699581726723402</v>
      </c>
      <c r="C152" s="433">
        <f>SQRT(SUMPRODUCT(MMULT($B$164:$L$164,Risk!$B$41:$L$51),$B$164:$L$164))</f>
        <v>0.0780153625738491</v>
      </c>
      <c r="D152" s="433">
        <f>SQRT(SUMPRODUCT(MMULT($B$171:$L$171,Risk!$B$41:$L$51),$B$171:$L$171))</f>
        <v>0.0110644949242589</v>
      </c>
      <c r="E152" s="483">
        <f>SUMPRODUCT(MMULT($B$164:$L$164,$F$28:$F$38))</f>
        <v>-0.0794382258136186</v>
      </c>
      <c r="F152" s="483">
        <f>SUMPRODUCT(MMULT($B$164:$L$164,$F$107:$F$117))</f>
        <v>0.00835098210149713</v>
      </c>
      <c r="G152" s="433">
        <f>B152-B$150</f>
        <v>-7.39335863685631e-05</v>
      </c>
      <c r="H152" s="483">
        <f>E152-E$150</f>
        <v>0.00420068394327637</v>
      </c>
      <c r="I152" s="592" t="str">
        <f>IF(AND(D152&lt;=Inputs!$B$27+0.00001,MIN($B$164:$L$164)&gt;=0,SUMPRODUCT(MMULT($B$164:$L$164,Inputs!$G$5:$G$15))&lt;=Inputs!$B$32,SUMPRODUCT(MMULT($B$164:$L$164,Inputs!$G$5:$G$15))&gt;=Inputs!$B$31),"MET","NOT MET")</f>
        <v>MET</v>
      </c>
      <c r="N152" s="337" t="n">
        <v>29341</v>
      </c>
      <c r="O152" s="116">
        <f>INDEX('Additional data'!$B$2:$B$965,MATCH(DATE(YEAR(N152),MONTH(N152),1),'Additional data'!$A$2:$A$965,0))</f>
        <v>39.5</v>
      </c>
      <c r="P152" s="489">
        <f>LN(O152)</f>
        <v>3.67630067190708</v>
      </c>
      <c r="Q152" s="489">
        <f>Q151+LN(1+INDEX('Additional data'!$H$2:$H$1196,MATCH(N152,'Additional data'!$G$2:$G$1196,1))+INDEX('Additional data'!$I$2:$I$1196,MATCH(N152,'Additional data'!$G$2:$G$1196,1)))</f>
        <v>0.588671984062333</v>
      </c>
      <c r="R152" s="77" t="n"/>
      <c r="S152" s="116">
        <f>IF(INDEX('Additional data'!$E$2:$E$699,MATCH(DATE(YEAR(N152),MONTH(N152),1),'Additional data'!$D$2:$D$699,0))=0,(INDEX('Additional data'!$E$2:$E$699,MATCH(DATE(YEAR(N152),MONTH(N152),1),'Additional data'!$D$2:$D$699,0)-1)+INDEX('Additional data'!$E$2:$E$699,MATCH(DATE(YEAR(N152),MONTH(N152),1),'Additional data'!$D$2:$D$699,0)+1))/2,INDEX('Additional data'!$E$2:$E$699,MATCH(DATE(YEAR(N152),MONTH(N152),1),'Additional data'!$D$2:$D$699,0)))</f>
        <v>13.28</v>
      </c>
      <c r="T152" s="425">
        <f>P152-P151</f>
        <v>0.0387145121806904</v>
      </c>
      <c r="U152" s="425">
        <f>Q152-Q151</f>
        <v>0.0507881668321051</v>
      </c>
      <c r="V152" s="77" t="n"/>
      <c r="W152" s="116">
        <f>S152-S151</f>
        <v>1.81</v>
      </c>
      <c r="X152" s="425">
        <f>P152-P140</f>
        <v>0.913131171583787</v>
      </c>
      <c r="Y152" s="425">
        <f>Q152-Q140</f>
        <v>0.104913520992748</v>
      </c>
      <c r="Z152" s="77" t="n"/>
      <c r="AA152" s="116">
        <f>S152-S140</f>
        <v>2.86</v>
      </c>
      <c r="AB152" s="425">
        <f>P152-P92</f>
        <v>1.26396471495391</v>
      </c>
      <c r="AC152" s="425">
        <f>Q152-Q92</f>
        <v>0.538672217530521</v>
      </c>
      <c r="AD152" s="77" t="n"/>
      <c r="AE152" s="235">
        <f>S152-S92</f>
        <v>3.48</v>
      </c>
      <c r="AG152" s="554">
        <f>N152</f>
        <v>29341.0</v>
      </c>
      <c r="AH152" s="435">
        <f>IFERROR(INDEX('RBA 5Y yield'!$B$5:$B$661,MATCH(N152,'RBA 5Y yield'!$A$5:$A$661,1))*100,"")</f>
        <v>11.45</v>
      </c>
      <c r="AI152" s="435">
        <f>IF(AND(ISNUMBER(AH152),ISNUMBER(AH151)),AH152-AH151,"")</f>
        <v>0.25</v>
      </c>
      <c r="AJ152" s="435">
        <f>IF(AND(ISNUMBER(AH152),ISNUMBER(AH140)),AH152-AH140,"")</f>
        <v>1.8</v>
      </c>
      <c r="AK152" s="435">
        <f>IF(AND(ISNUMBER(AH152),ISNUMBER(AH92)),AH152-AH92,"")</f>
        <v>2.42</v>
      </c>
      <c r="AL152" s="560">
        <f>IFERROR(LN(INDEX(Data!$B$2:$B$497,MATCH(N152,Data!$A$2:$A$497,1))/INDEX(Data!$B$2:$B$497,MATCH(N140,Data!$A$2:$A$497,1))),"")</f>
      </c>
      <c r="AM152" s="560">
        <f>IFERROR(LN(INDEX(Data!$C$2:$C$497,MATCH(N152,Data!$A$2:$A$497,1))/INDEX(Data!$C$2:$C$497,MATCH(N140,Data!$A$2:$A$497,1))),"")</f>
      </c>
      <c r="AN152" s="560">
        <f>IFERROR(LN(INDEX(Data!$D$2:$D$497,MATCH(N152,Data!$A$2:$A$497,1))/INDEX(Data!$D$2:$D$497,MATCH(N140,Data!$A$2:$A$497,1))),"")</f>
      </c>
      <c r="AO152" s="560">
        <f>IFERROR(LN(INDEX(Data!$E$2:$E$497,MATCH(N152,Data!$A$2:$A$497,1))/INDEX(Data!$E$2:$E$497,MATCH(N140,Data!$A$2:$A$497,1))),"")</f>
      </c>
      <c r="AP152" s="560">
        <f>IFERROR(LN(INDEX(Data!$F$2:$F$497,MATCH(N152,Data!$A$2:$A$497,1))/INDEX(Data!$F$2:$F$497,MATCH(N140,Data!$A$2:$A$497,1))),"")</f>
      </c>
      <c r="AQ152" s="560">
        <f>IFERROR(LN(INDEX(Data!$G$2:$G$497,MATCH(N152,Data!$A$2:$A$497,1))/INDEX(Data!$G$2:$G$497,MATCH(N140,Data!$A$2:$A$497,1))),"")</f>
      </c>
      <c r="AR152" s="560">
        <f>IFERROR(LN(INDEX(Data!$H$2:$H$497,MATCH(N152,Data!$A$2:$A$497,1))/INDEX(Data!$H$2:$H$497,MATCH(N140,Data!$A$2:$A$497,1))),"")</f>
      </c>
      <c r="AS152" s="560">
        <f>IFERROR(LN(INDEX(Data!$I$2:$I$497,MATCH(N152,Data!$A$2:$A$497,1))/INDEX(Data!$I$2:$I$497,MATCH(N140,Data!$A$2:$A$497,1))),"")</f>
      </c>
      <c r="AT152" s="560">
        <f>IFERROR(LN(INDEX(Data!$J$2:$J$497,MATCH(N152,Data!$A$2:$A$497,1))/INDEX(Data!$J$2:$J$497,MATCH(N140,Data!$A$2:$A$497,1))),"")</f>
      </c>
      <c r="AU152" s="560">
        <f>IFERROR(LN(INDEX(Data!$K$2:$K$497,MATCH(N152,Data!$A$2:$A$497,1))/INDEX(Data!$K$2:$K$497,MATCH(N140,Data!$A$2:$A$497,1))),"")</f>
      </c>
      <c r="AV152" s="561">
        <f>IFERROR(LN(INDEX(Data!$L$2:$L$497,MATCH(N152,Data!$A$2:$A$497,1))/INDEX(Data!$L$2:$L$497,MATCH(N140,Data!$A$2:$A$497,1))),"")</f>
      </c>
    </row>
    <row r="153">
      <c r="A153" s="432" t="inlineStr">
        <is>
          <t>Commodities +2%, Australian equities -2%</t>
        </is>
      </c>
      <c r="B153" s="433">
        <f>SUMPRODUCT(Risk!$B$54:$L$54,$B$165:$L$165)</f>
        <v>0.0698742390859716</v>
      </c>
      <c r="C153" s="433">
        <f>SQRT(SUMPRODUCT(MMULT($B$165:$L$165,Risk!$B$41:$L$51),$B$165:$L$165))</f>
        <v>0.0772456199556308</v>
      </c>
      <c r="D153" s="433">
        <f>SQRT(SUMPRODUCT(MMULT($B$172:$L$172,Risk!$B$41:$L$51),$B$172:$L$172))</f>
        <v>0.0117196927587188</v>
      </c>
      <c r="E153" s="483">
        <f>SUMPRODUCT(MMULT($B$165:$L$165,$F$28:$F$38))</f>
        <v>-0.0761400814349134</v>
      </c>
      <c r="F153" s="483">
        <f>SUMPRODUCT(MMULT($B$165:$L$165,$F$107:$F$117))</f>
        <v>0.00946864239074757</v>
      </c>
      <c r="G153" s="433">
        <f>B153-B$150</f>
        <v>-0.000157867172737122</v>
      </c>
      <c r="H153" s="483">
        <f>E153-E$150</f>
        <v>0.0074988283219815</v>
      </c>
      <c r="I153" s="592" t="str">
        <f>IF(AND(D153&lt;=Inputs!$B$27+0.00001,MIN($B$165:$L$165)&gt;=0,SUMPRODUCT(MMULT($B$165:$L$165,Inputs!$G$5:$G$15))&lt;=Inputs!$B$32,SUMPRODUCT(MMULT($B$165:$L$165,Inputs!$G$5:$G$15))&gt;=Inputs!$B$31),"MET","NOT MET")</f>
        <v>MET</v>
      </c>
      <c r="N153" s="337" t="n">
        <v>29372</v>
      </c>
      <c r="O153" s="116">
        <f>INDEX('Additional data'!$B$2:$B$965,MATCH(DATE(YEAR(N153),MONTH(N153),1),'Additional data'!$A$2:$A$965,0))</f>
        <v>39.5</v>
      </c>
      <c r="P153" s="489">
        <f>LN(O153)</f>
        <v>3.67630067190708</v>
      </c>
      <c r="Q153" s="489">
        <f>Q152+LN(1+INDEX('Additional data'!$H$2:$H$1196,MATCH(N153,'Additional data'!$G$2:$G$1196,1))+INDEX('Additional data'!$I$2:$I$1196,MATCH(N153,'Additional data'!$G$2:$G$1196,1)))</f>
        <v>0.64760105159162</v>
      </c>
      <c r="R153" s="77" t="n"/>
      <c r="S153" s="116">
        <f>IF(INDEX('Additional data'!$E$2:$E$699,MATCH(DATE(YEAR(N153),MONTH(N153),1),'Additional data'!$D$2:$D$699,0))=0,(INDEX('Additional data'!$E$2:$E$699,MATCH(DATE(YEAR(N153),MONTH(N153),1),'Additional data'!$D$2:$D$699,0)-1)+INDEX('Additional data'!$E$2:$E$699,MATCH(DATE(YEAR(N153),MONTH(N153),1),'Additional data'!$D$2:$D$699,0)+1))/2,INDEX('Additional data'!$E$2:$E$699,MATCH(DATE(YEAR(N153),MONTH(N153),1),'Additional data'!$D$2:$D$699,0)))</f>
        <v>13.83</v>
      </c>
      <c r="T153" s="425">
        <f>P153-P152</f>
        <v>0</v>
      </c>
      <c r="U153" s="425">
        <f>Q153-Q152</f>
        <v>0.0589290675292875</v>
      </c>
      <c r="V153" s="77" t="n"/>
      <c r="W153" s="116">
        <f>S153-S152</f>
        <v>0.550000000000001</v>
      </c>
      <c r="X153" s="425">
        <f>P153-P141</f>
        <v>0.780388733635296</v>
      </c>
      <c r="Y153" s="425">
        <f>Q153-Q141</f>
        <v>0.177738693714147</v>
      </c>
      <c r="Z153" s="77" t="n"/>
      <c r="AA153" s="116">
        <f>S153-S141</f>
        <v>3.29</v>
      </c>
      <c r="AB153" s="425">
        <f>P153-P93</f>
        <v>1.26396471495391</v>
      </c>
      <c r="AC153" s="425">
        <f>Q153-Q93</f>
        <v>0.542734383618968</v>
      </c>
      <c r="AD153" s="77" t="n"/>
      <c r="AE153" s="235">
        <f>S153-S93</f>
        <v>4.93</v>
      </c>
      <c r="AG153" s="554">
        <f>N153</f>
        <v>29372.0</v>
      </c>
      <c r="AH153" s="435">
        <f>IFERROR(INDEX('RBA 5Y yield'!$B$5:$B$661,MATCH(N153,'RBA 5Y yield'!$A$5:$A$661,1))*100,"")</f>
        <v>11.8</v>
      </c>
      <c r="AI153" s="435">
        <f>IF(AND(ISNUMBER(AH153),ISNUMBER(AH152)),AH153-AH152,"")</f>
        <v>0.349999999999998</v>
      </c>
      <c r="AJ153" s="435">
        <f>IF(AND(ISNUMBER(AH153),ISNUMBER(AH141)),AH153-AH141,"")</f>
        <v>2.1</v>
      </c>
      <c r="AK153" s="435">
        <f>IF(AND(ISNUMBER(AH153),ISNUMBER(AH93)),AH153-AH93,"")</f>
        <v>2.78</v>
      </c>
      <c r="AL153" s="560">
        <f>IFERROR(LN(INDEX(Data!$B$2:$B$497,MATCH(N153,Data!$A$2:$A$497,1))/INDEX(Data!$B$2:$B$497,MATCH(N141,Data!$A$2:$A$497,1))),"")</f>
      </c>
      <c r="AM153" s="560">
        <f>IFERROR(LN(INDEX(Data!$C$2:$C$497,MATCH(N153,Data!$A$2:$A$497,1))/INDEX(Data!$C$2:$C$497,MATCH(N141,Data!$A$2:$A$497,1))),"")</f>
      </c>
      <c r="AN153" s="560">
        <f>IFERROR(LN(INDEX(Data!$D$2:$D$497,MATCH(N153,Data!$A$2:$A$497,1))/INDEX(Data!$D$2:$D$497,MATCH(N141,Data!$A$2:$A$497,1))),"")</f>
      </c>
      <c r="AO153" s="560">
        <f>IFERROR(LN(INDEX(Data!$E$2:$E$497,MATCH(N153,Data!$A$2:$A$497,1))/INDEX(Data!$E$2:$E$497,MATCH(N141,Data!$A$2:$A$497,1))),"")</f>
      </c>
      <c r="AP153" s="560">
        <f>IFERROR(LN(INDEX(Data!$F$2:$F$497,MATCH(N153,Data!$A$2:$A$497,1))/INDEX(Data!$F$2:$F$497,MATCH(N141,Data!$A$2:$A$497,1))),"")</f>
      </c>
      <c r="AQ153" s="560">
        <f>IFERROR(LN(INDEX(Data!$G$2:$G$497,MATCH(N153,Data!$A$2:$A$497,1))/INDEX(Data!$G$2:$G$497,MATCH(N141,Data!$A$2:$A$497,1))),"")</f>
      </c>
      <c r="AR153" s="560">
        <f>IFERROR(LN(INDEX(Data!$H$2:$H$497,MATCH(N153,Data!$A$2:$A$497,1))/INDEX(Data!$H$2:$H$497,MATCH(N141,Data!$A$2:$A$497,1))),"")</f>
      </c>
      <c r="AS153" s="560">
        <f>IFERROR(LN(INDEX(Data!$I$2:$I$497,MATCH(N153,Data!$A$2:$A$497,1))/INDEX(Data!$I$2:$I$497,MATCH(N141,Data!$A$2:$A$497,1))),"")</f>
      </c>
      <c r="AT153" s="560">
        <f>IFERROR(LN(INDEX(Data!$J$2:$J$497,MATCH(N153,Data!$A$2:$A$497,1))/INDEX(Data!$J$2:$J$497,MATCH(N141,Data!$A$2:$A$497,1))),"")</f>
      </c>
      <c r="AU153" s="560">
        <f>IFERROR(LN(INDEX(Data!$K$2:$K$497,MATCH(N153,Data!$A$2:$A$497,1))/INDEX(Data!$K$2:$K$497,MATCH(N141,Data!$A$2:$A$497,1))),"")</f>
      </c>
      <c r="AV153" s="561">
        <f>IFERROR(LN(INDEX(Data!$L$2:$L$497,MATCH(N153,Data!$A$2:$A$497,1))/INDEX(Data!$L$2:$L$497,MATCH(N141,Data!$A$2:$A$497,1))),"")</f>
      </c>
    </row>
    <row r="154">
      <c r="A154" s="432" t="inlineStr">
        <is>
          <t>Commodities +4%, Australian equities -4%</t>
        </is>
      </c>
      <c r="B154" s="433">
        <f>SUMPRODUCT(Risk!$B$54:$L$54,$B$166:$L$166)</f>
        <v>0.0697163719132345</v>
      </c>
      <c r="C154" s="433">
        <f>SQRT(SUMPRODUCT(MMULT($B$166:$L$166,Risk!$B$41:$L$51),$B$166:$L$166))</f>
        <v>0.0764482943306257</v>
      </c>
      <c r="D154" s="433">
        <f>SQRT(SUMPRODUCT(MMULT($B$173:$L$173,Risk!$B$41:$L$51),$B$173:$L$173))</f>
        <v>0.0144594432799817</v>
      </c>
      <c r="E154" s="483">
        <f>SUMPRODUCT(MMULT($B$166:$L$166,$F$28:$F$38))</f>
        <v>-0.068641253112932</v>
      </c>
      <c r="F154" s="483">
        <f>SUMPRODUCT(MMULT($B$166:$L$166,$F$107:$F$117))</f>
        <v>0.0131264278280267</v>
      </c>
      <c r="G154" s="433">
        <f>B154-B$150</f>
        <v>-0.000315734345474231</v>
      </c>
      <c r="H154" s="483">
        <f>E154-E$150</f>
        <v>0.014997656643963</v>
      </c>
      <c r="I154" s="592" t="str">
        <f>IF(AND(D154&lt;=Inputs!$B$27+0.00001,MIN($B$166:$L$166)&gt;=0,SUMPRODUCT(MMULT($B$166:$L$166,Inputs!$G$5:$G$15))&lt;=Inputs!$B$32,SUMPRODUCT(MMULT($B$166:$L$166,Inputs!$G$5:$G$15))&gt;=Inputs!$B$31),"MET","NOT MET")</f>
        <v>MET</v>
      </c>
      <c r="N154" s="337" t="n">
        <v>29402</v>
      </c>
      <c r="O154" s="116">
        <f>INDEX('Additional data'!$B$2:$B$965,MATCH(DATE(YEAR(N154),MONTH(N154),1),'Additional data'!$A$2:$A$965,0))</f>
        <v>39.5</v>
      </c>
      <c r="P154" s="489">
        <f>LN(O154)</f>
        <v>3.67630067190708</v>
      </c>
      <c r="Q154" s="489">
        <f>Q153+LN(1+INDEX('Additional data'!$H$2:$H$1196,MATCH(N154,'Additional data'!$G$2:$G$1196,1))+INDEX('Additional data'!$I$2:$I$1196,MATCH(N154,'Additional data'!$G$2:$G$1196,1)))</f>
        <v>0.682871665673539</v>
      </c>
      <c r="R154" s="77" t="n"/>
      <c r="S154" s="116">
        <f>IF(INDEX('Additional data'!$E$2:$E$699,MATCH(DATE(YEAR(N154),MONTH(N154),1),'Additional data'!$D$2:$D$699,0))=0,(INDEX('Additional data'!$E$2:$E$699,MATCH(DATE(YEAR(N154),MONTH(N154),1),'Additional data'!$D$2:$D$699,0)-1)+INDEX('Additional data'!$E$2:$E$699,MATCH(DATE(YEAR(N154),MONTH(N154),1),'Additional data'!$D$2:$D$699,0)+1))/2,INDEX('Additional data'!$E$2:$E$699,MATCH(DATE(YEAR(N154),MONTH(N154),1),'Additional data'!$D$2:$D$699,0)))</f>
        <v>13.83</v>
      </c>
      <c r="T154" s="425">
        <f>P154-P153</f>
        <v>0</v>
      </c>
      <c r="U154" s="425">
        <f>Q154-Q153</f>
        <v>0.0352706140819193</v>
      </c>
      <c r="V154" s="77" t="n"/>
      <c r="W154" s="116">
        <f>S154-S153</f>
        <v>0</v>
      </c>
      <c r="X154" s="425">
        <f>P154-P142</f>
        <v>0.726612336854492</v>
      </c>
      <c r="Y154" s="425">
        <f>Q154-Q142</f>
        <v>0.167558044892149</v>
      </c>
      <c r="Z154" s="77" t="n"/>
      <c r="AA154" s="116">
        <f>S154-S142</f>
        <v>3.57</v>
      </c>
      <c r="AB154" s="425">
        <f>P154-P94</f>
        <v>1.26396471495391</v>
      </c>
      <c r="AC154" s="425">
        <f>Q154-Q94</f>
        <v>0.526551716111972</v>
      </c>
      <c r="AD154" s="77" t="n"/>
      <c r="AE154" s="235">
        <f>S154-S94</f>
        <v>5.03</v>
      </c>
      <c r="AG154" s="554">
        <f>N154</f>
        <v>29402.0</v>
      </c>
      <c r="AH154" s="435">
        <f>IFERROR(INDEX('RBA 5Y yield'!$B$5:$B$661,MATCH(N154,'RBA 5Y yield'!$A$5:$A$661,1))*100,"")</f>
        <v>11.78</v>
      </c>
      <c r="AI154" s="435">
        <f>IF(AND(ISNUMBER(AH154),ISNUMBER(AH153)),AH154-AH153,"")</f>
        <v>-0.0199999999999996</v>
      </c>
      <c r="AJ154" s="435">
        <f>IF(AND(ISNUMBER(AH154),ISNUMBER(AH142)),AH154-AH142,"")</f>
        <v>1.78</v>
      </c>
      <c r="AK154" s="435">
        <f>IF(AND(ISNUMBER(AH154),ISNUMBER(AH94)),AH154-AH94,"")</f>
        <v>2.75</v>
      </c>
      <c r="AL154" s="560">
        <f>IFERROR(LN(INDEX(Data!$B$2:$B$497,MATCH(N154,Data!$A$2:$A$497,1))/INDEX(Data!$B$2:$B$497,MATCH(N142,Data!$A$2:$A$497,1))),"")</f>
      </c>
      <c r="AM154" s="560">
        <f>IFERROR(LN(INDEX(Data!$C$2:$C$497,MATCH(N154,Data!$A$2:$A$497,1))/INDEX(Data!$C$2:$C$497,MATCH(N142,Data!$A$2:$A$497,1))),"")</f>
      </c>
      <c r="AN154" s="560">
        <f>IFERROR(LN(INDEX(Data!$D$2:$D$497,MATCH(N154,Data!$A$2:$A$497,1))/INDEX(Data!$D$2:$D$497,MATCH(N142,Data!$A$2:$A$497,1))),"")</f>
      </c>
      <c r="AO154" s="560">
        <f>IFERROR(LN(INDEX(Data!$E$2:$E$497,MATCH(N154,Data!$A$2:$A$497,1))/INDEX(Data!$E$2:$E$497,MATCH(N142,Data!$A$2:$A$497,1))),"")</f>
      </c>
      <c r="AP154" s="560">
        <f>IFERROR(LN(INDEX(Data!$F$2:$F$497,MATCH(N154,Data!$A$2:$A$497,1))/INDEX(Data!$F$2:$F$497,MATCH(N142,Data!$A$2:$A$497,1))),"")</f>
      </c>
      <c r="AQ154" s="560">
        <f>IFERROR(LN(INDEX(Data!$G$2:$G$497,MATCH(N154,Data!$A$2:$A$497,1))/INDEX(Data!$G$2:$G$497,MATCH(N142,Data!$A$2:$A$497,1))),"")</f>
      </c>
      <c r="AR154" s="560">
        <f>IFERROR(LN(INDEX(Data!$H$2:$H$497,MATCH(N154,Data!$A$2:$A$497,1))/INDEX(Data!$H$2:$H$497,MATCH(N142,Data!$A$2:$A$497,1))),"")</f>
      </c>
      <c r="AS154" s="560">
        <f>IFERROR(LN(INDEX(Data!$I$2:$I$497,MATCH(N154,Data!$A$2:$A$497,1))/INDEX(Data!$I$2:$I$497,MATCH(N142,Data!$A$2:$A$497,1))),"")</f>
      </c>
      <c r="AT154" s="560">
        <f>IFERROR(LN(INDEX(Data!$J$2:$J$497,MATCH(N154,Data!$A$2:$A$497,1))/INDEX(Data!$J$2:$J$497,MATCH(N142,Data!$A$2:$A$497,1))),"")</f>
      </c>
      <c r="AU154" s="560">
        <f>IFERROR(LN(INDEX(Data!$K$2:$K$497,MATCH(N154,Data!$A$2:$A$497,1))/INDEX(Data!$K$2:$K$497,MATCH(N142,Data!$A$2:$A$497,1))),"")</f>
      </c>
      <c r="AV154" s="561">
        <f>IFERROR(LN(INDEX(Data!$L$2:$L$497,MATCH(N154,Data!$A$2:$A$497,1))/INDEX(Data!$L$2:$L$497,MATCH(N142,Data!$A$2:$A$497,1))),"")</f>
      </c>
    </row>
    <row r="155">
      <c r="A155" s="432" t="inlineStr">
        <is>
          <t>Shorter duration: Australian fixed income -5%, cash +5%</t>
        </is>
      </c>
      <c r="B155" s="433">
        <f>SUMPRODUCT(Risk!$B$54:$L$54,$B$167:$L$167)</f>
        <v>0.0699067769555532</v>
      </c>
      <c r="C155" s="433">
        <f>SQRT(SUMPRODUCT(MMULT($B$167:$L$167,Risk!$B$41:$L$51),$B$167:$L$167))</f>
        <v>0.0782238655927981</v>
      </c>
      <c r="D155" s="433">
        <f>SQRT(SUMPRODUCT(MMULT($B$174:$L$174,Risk!$B$41:$L$51),$B$174:$L$174))</f>
        <v>0.0112388185263497</v>
      </c>
      <c r="E155" s="483">
        <f>SUMPRODUCT(MMULT($B$167:$L$167,$F$28:$F$38))</f>
        <v>-0.081196711265</v>
      </c>
      <c r="F155" s="483">
        <f>SUMPRODUCT(MMULT($B$167:$L$167,$F$107:$F$117))</f>
        <v>0.00692846798282354</v>
      </c>
      <c r="G155" s="433">
        <f>B155-B$150</f>
        <v>-0.000125329303155508</v>
      </c>
      <c r="H155" s="483">
        <f>E155-E$150</f>
        <v>0.00244219849189492</v>
      </c>
      <c r="I155" s="592" t="str">
        <f>IF(AND(D155&lt;=Inputs!$B$27+0.00001,MIN($B$167:$L$167)&gt;=0,SUMPRODUCT(MMULT($B$167:$L$167,Inputs!$G$5:$G$15))&lt;=Inputs!$B$32,SUMPRODUCT(MMULT($B$167:$L$167,Inputs!$G$5:$G$15))&gt;=Inputs!$B$31),"MET","NOT MET")</f>
        <v>MET</v>
      </c>
      <c r="N155" s="337" t="n">
        <v>29433</v>
      </c>
      <c r="O155" s="116">
        <f>INDEX('Additional data'!$B$2:$B$965,MATCH(DATE(YEAR(N155),MONTH(N155),1),'Additional data'!$A$2:$A$965,0))</f>
        <v>39.5</v>
      </c>
      <c r="P155" s="489">
        <f>LN(O155)</f>
        <v>3.67630067190708</v>
      </c>
      <c r="Q155" s="489">
        <f>Q154+LN(1+INDEX('Additional data'!$H$2:$H$1196,MATCH(N155,'Additional data'!$G$2:$G$1196,1))+INDEX('Additional data'!$I$2:$I$1196,MATCH(N155,'Additional data'!$G$2:$G$1196,1)))</f>
        <v>0.750904076065366</v>
      </c>
      <c r="R155" s="77" t="n"/>
      <c r="S155" s="116">
        <f>IF(INDEX('Additional data'!$E$2:$E$699,MATCH(DATE(YEAR(N155),MONTH(N155),1),'Additional data'!$D$2:$D$699,0))=0,(INDEX('Additional data'!$E$2:$E$699,MATCH(DATE(YEAR(N155),MONTH(N155),1),'Additional data'!$D$2:$D$699,0)-1)+INDEX('Additional data'!$E$2:$E$699,MATCH(DATE(YEAR(N155),MONTH(N155),1),'Additional data'!$D$2:$D$699,0)+1))/2,INDEX('Additional data'!$E$2:$E$699,MATCH(DATE(YEAR(N155),MONTH(N155),1),'Additional data'!$D$2:$D$699,0)))</f>
        <v>12.87</v>
      </c>
      <c r="T155" s="425">
        <f>P155-P154</f>
        <v>0</v>
      </c>
      <c r="U155" s="425">
        <f>Q155-Q154</f>
        <v>0.068032410391827</v>
      </c>
      <c r="V155" s="77" t="n"/>
      <c r="W155" s="116">
        <f>S155-S154</f>
        <v>-0.960000000000001</v>
      </c>
      <c r="X155" s="425">
        <f>P155-P143</f>
        <v>0.596686914372383</v>
      </c>
      <c r="Y155" s="425">
        <f>Q155-Q143</f>
        <v>0.219717106127686</v>
      </c>
      <c r="Z155" s="77" t="n"/>
      <c r="AA155" s="116">
        <f>S155-S143</f>
        <v>3.01</v>
      </c>
      <c r="AB155" s="425">
        <f>P155-P95</f>
        <v>1.26396471495391</v>
      </c>
      <c r="AC155" s="425">
        <f>Q155-Q95</f>
        <v>0.657736941509067</v>
      </c>
      <c r="AD155" s="77" t="n"/>
      <c r="AE155" s="235">
        <f>S155-S95</f>
        <v>4.72</v>
      </c>
      <c r="AG155" s="554">
        <f>N155</f>
        <v>29433.0</v>
      </c>
      <c r="AH155" s="435">
        <f>IFERROR(INDEX('RBA 5Y yield'!$B$5:$B$661,MATCH(N155,'RBA 5Y yield'!$A$5:$A$661,1))*100,"")</f>
        <v>11.78</v>
      </c>
      <c r="AI155" s="435">
        <f>IF(AND(ISNUMBER(AH155),ISNUMBER(AH154)),AH155-AH154,"")</f>
        <v>0</v>
      </c>
      <c r="AJ155" s="435">
        <f>IF(AND(ISNUMBER(AH155),ISNUMBER(AH143)),AH155-AH143,"")</f>
        <v>1.78</v>
      </c>
      <c r="AK155" s="435">
        <f>IF(AND(ISNUMBER(AH155),ISNUMBER(AH95)),AH155-AH95,"")</f>
        <v>2.38</v>
      </c>
      <c r="AL155" s="560">
        <f>IFERROR(LN(INDEX(Data!$B$2:$B$497,MATCH(N155,Data!$A$2:$A$497,1))/INDEX(Data!$B$2:$B$497,MATCH(N143,Data!$A$2:$A$497,1))),"")</f>
      </c>
      <c r="AM155" s="560">
        <f>IFERROR(LN(INDEX(Data!$C$2:$C$497,MATCH(N155,Data!$A$2:$A$497,1))/INDEX(Data!$C$2:$C$497,MATCH(N143,Data!$A$2:$A$497,1))),"")</f>
      </c>
      <c r="AN155" s="560">
        <f>IFERROR(LN(INDEX(Data!$D$2:$D$497,MATCH(N155,Data!$A$2:$A$497,1))/INDEX(Data!$D$2:$D$497,MATCH(N143,Data!$A$2:$A$497,1))),"")</f>
      </c>
      <c r="AO155" s="560">
        <f>IFERROR(LN(INDEX(Data!$E$2:$E$497,MATCH(N155,Data!$A$2:$A$497,1))/INDEX(Data!$E$2:$E$497,MATCH(N143,Data!$A$2:$A$497,1))),"")</f>
      </c>
      <c r="AP155" s="560">
        <f>IFERROR(LN(INDEX(Data!$F$2:$F$497,MATCH(N155,Data!$A$2:$A$497,1))/INDEX(Data!$F$2:$F$497,MATCH(N143,Data!$A$2:$A$497,1))),"")</f>
      </c>
      <c r="AQ155" s="560">
        <f>IFERROR(LN(INDEX(Data!$G$2:$G$497,MATCH(N155,Data!$A$2:$A$497,1))/INDEX(Data!$G$2:$G$497,MATCH(N143,Data!$A$2:$A$497,1))),"")</f>
      </c>
      <c r="AR155" s="560">
        <f>IFERROR(LN(INDEX(Data!$H$2:$H$497,MATCH(N155,Data!$A$2:$A$497,1))/INDEX(Data!$H$2:$H$497,MATCH(N143,Data!$A$2:$A$497,1))),"")</f>
      </c>
      <c r="AS155" s="560">
        <f>IFERROR(LN(INDEX(Data!$I$2:$I$497,MATCH(N155,Data!$A$2:$A$497,1))/INDEX(Data!$I$2:$I$497,MATCH(N143,Data!$A$2:$A$497,1))),"")</f>
      </c>
      <c r="AT155" s="560">
        <f>IFERROR(LN(INDEX(Data!$J$2:$J$497,MATCH(N155,Data!$A$2:$A$497,1))/INDEX(Data!$J$2:$J$497,MATCH(N143,Data!$A$2:$A$497,1))),"")</f>
      </c>
      <c r="AU155" s="560">
        <f>IFERROR(LN(INDEX(Data!$K$2:$K$497,MATCH(N155,Data!$A$2:$A$497,1))/INDEX(Data!$K$2:$K$497,MATCH(N143,Data!$A$2:$A$497,1))),"")</f>
      </c>
      <c r="AV155" s="561">
        <f>IFERROR(LN(INDEX(Data!$L$2:$L$497,MATCH(N155,Data!$A$2:$A$497,1))/INDEX(Data!$L$2:$L$497,MATCH(N143,Data!$A$2:$A$497,1))),"")</f>
      </c>
    </row>
    <row r="156">
      <c r="A156" s="437" t="inlineStr">
        <is>
          <t>Combined: commodities +2% (from world equities), AFI -3% to cash</t>
        </is>
      </c>
      <c r="B156" s="438">
        <f>SUMPRODUCT(Risk!$B$54:$L$54,$B$168:$L$168)</f>
        <v>0.0698090415040783</v>
      </c>
      <c r="C156" s="438">
        <f>SQRT(SUMPRODUCT(MMULT($B$168:$L$168,Risk!$B$41:$L$51),$B$168:$L$168))</f>
        <v>0.077644631231896</v>
      </c>
      <c r="D156" s="438">
        <f>SQRT(SUMPRODUCT(MMULT($B$175:$L$175,Risk!$B$41:$L$51),$B$175:$L$175))</f>
        <v>0.011967823488203</v>
      </c>
      <c r="E156" s="593">
        <f>SUMPRODUCT(MMULT($B$168:$L$168,$F$28:$F$38))</f>
        <v>-0.0737722227752053</v>
      </c>
      <c r="F156" s="593">
        <f>SUMPRODUCT(MMULT($B$168:$L$168,$F$107:$F$117))</f>
        <v>0.0115616738671388</v>
      </c>
      <c r="G156" s="438">
        <f>B156-B$150</f>
        <v>-0.000223064754630423</v>
      </c>
      <c r="H156" s="593">
        <f>E156-E$150</f>
        <v>0.00986668698168967</v>
      </c>
      <c r="I156" s="594" t="str">
        <f>IF(AND(D156&lt;=Inputs!$B$27+0.00001,MIN($B$168:$L$168)&gt;=0,SUMPRODUCT(MMULT($B$168:$L$168,Inputs!$G$5:$G$15))&lt;=Inputs!$B$32,SUMPRODUCT(MMULT($B$168:$L$168,Inputs!$G$5:$G$15))&gt;=Inputs!$B$31),"MET","NOT MET")</f>
        <v>MET</v>
      </c>
      <c r="N156" s="337" t="n">
        <v>29464</v>
      </c>
      <c r="O156" s="116">
        <f>INDEX('Additional data'!$B$2:$B$965,MATCH(DATE(YEAR(N156),MONTH(N156),1),'Additional data'!$A$2:$A$965,0))</f>
        <v>38</v>
      </c>
      <c r="P156" s="489">
        <f>LN(O156)</f>
        <v>3.63758615972639</v>
      </c>
      <c r="Q156" s="489">
        <f>Q155+LN(1+INDEX('Additional data'!$H$2:$H$1196,MATCH(N156,'Additional data'!$G$2:$G$1196,1))+INDEX('Additional data'!$I$2:$I$1196,MATCH(N156,'Additional data'!$G$2:$G$1196,1)))</f>
        <v>0.774522941664</v>
      </c>
      <c r="R156" s="77" t="n"/>
      <c r="S156" s="116">
        <f>IF(INDEX('Additional data'!$E$2:$E$699,MATCH(DATE(YEAR(N156),MONTH(N156),1),'Additional data'!$D$2:$D$699,0))=0,(INDEX('Additional data'!$E$2:$E$699,MATCH(DATE(YEAR(N156),MONTH(N156),1),'Additional data'!$D$2:$D$699,0)-1)+INDEX('Additional data'!$E$2:$E$699,MATCH(DATE(YEAR(N156),MONTH(N156),1),'Additional data'!$D$2:$D$699,0)+1))/2,INDEX('Additional data'!$E$2:$E$699,MATCH(DATE(YEAR(N156),MONTH(N156),1),'Additional data'!$D$2:$D$699,0)))</f>
        <v>12.33</v>
      </c>
      <c r="T156" s="425">
        <f>P156-P155</f>
        <v>-0.0387145121806904</v>
      </c>
      <c r="U156" s="425">
        <f>Q156-Q155</f>
        <v>0.023618865598634</v>
      </c>
      <c r="V156" s="77" t="n"/>
      <c r="W156" s="116">
        <f>S156-S155</f>
        <v>-0.539999999999999</v>
      </c>
      <c r="X156" s="425">
        <f>P156-P144</f>
        <v>0.360441426734209</v>
      </c>
      <c r="Y156" s="425">
        <f>Q156-Q144</f>
        <v>0.182146803413897</v>
      </c>
      <c r="Z156" s="77" t="n"/>
      <c r="AA156" s="116">
        <f>S156-S144</f>
        <v>2.55</v>
      </c>
      <c r="AB156" s="425">
        <f>P156-P96</f>
        <v>1.22525020277322</v>
      </c>
      <c r="AC156" s="425">
        <f>Q156-Q96</f>
        <v>0.705238747571033</v>
      </c>
      <c r="AD156" s="77" t="n"/>
      <c r="AE156" s="235">
        <f>S156-S96</f>
        <v>4.18</v>
      </c>
      <c r="AG156" s="554">
        <f>N156</f>
        <v>29464.0</v>
      </c>
      <c r="AH156" s="435">
        <f>IFERROR(INDEX('RBA 5Y yield'!$B$5:$B$661,MATCH(N156,'RBA 5Y yield'!$A$5:$A$661,1))*100,"")</f>
        <v>11.78</v>
      </c>
      <c r="AI156" s="435">
        <f>IF(AND(ISNUMBER(AH156),ISNUMBER(AH155)),AH156-AH155,"")</f>
        <v>0</v>
      </c>
      <c r="AJ156" s="435">
        <f>IF(AND(ISNUMBER(AH156),ISNUMBER(AH144)),AH156-AH144,"")</f>
        <v>1.78</v>
      </c>
      <c r="AK156" s="435">
        <f>IF(AND(ISNUMBER(AH156),ISNUMBER(AH96)),AH156-AH96,"")</f>
        <v>2.37</v>
      </c>
      <c r="AL156" s="560">
        <f>IFERROR(LN(INDEX(Data!$B$2:$B$497,MATCH(N156,Data!$A$2:$A$497,1))/INDEX(Data!$B$2:$B$497,MATCH(N144,Data!$A$2:$A$497,1))),"")</f>
      </c>
      <c r="AM156" s="560">
        <f>IFERROR(LN(INDEX(Data!$C$2:$C$497,MATCH(N156,Data!$A$2:$A$497,1))/INDEX(Data!$C$2:$C$497,MATCH(N144,Data!$A$2:$A$497,1))),"")</f>
      </c>
      <c r="AN156" s="560">
        <f>IFERROR(LN(INDEX(Data!$D$2:$D$497,MATCH(N156,Data!$A$2:$A$497,1))/INDEX(Data!$D$2:$D$497,MATCH(N144,Data!$A$2:$A$497,1))),"")</f>
      </c>
      <c r="AO156" s="560">
        <f>IFERROR(LN(INDEX(Data!$E$2:$E$497,MATCH(N156,Data!$A$2:$A$497,1))/INDEX(Data!$E$2:$E$497,MATCH(N144,Data!$A$2:$A$497,1))),"")</f>
      </c>
      <c r="AP156" s="560">
        <f>IFERROR(LN(INDEX(Data!$F$2:$F$497,MATCH(N156,Data!$A$2:$A$497,1))/INDEX(Data!$F$2:$F$497,MATCH(N144,Data!$A$2:$A$497,1))),"")</f>
      </c>
      <c r="AQ156" s="560">
        <f>IFERROR(LN(INDEX(Data!$G$2:$G$497,MATCH(N156,Data!$A$2:$A$497,1))/INDEX(Data!$G$2:$G$497,MATCH(N144,Data!$A$2:$A$497,1))),"")</f>
      </c>
      <c r="AR156" s="560">
        <f>IFERROR(LN(INDEX(Data!$H$2:$H$497,MATCH(N156,Data!$A$2:$A$497,1))/INDEX(Data!$H$2:$H$497,MATCH(N144,Data!$A$2:$A$497,1))),"")</f>
      </c>
      <c r="AS156" s="560">
        <f>IFERROR(LN(INDEX(Data!$I$2:$I$497,MATCH(N156,Data!$A$2:$A$497,1))/INDEX(Data!$I$2:$I$497,MATCH(N144,Data!$A$2:$A$497,1))),"")</f>
      </c>
      <c r="AT156" s="560">
        <f>IFERROR(LN(INDEX(Data!$J$2:$J$497,MATCH(N156,Data!$A$2:$A$497,1))/INDEX(Data!$J$2:$J$497,MATCH(N144,Data!$A$2:$A$497,1))),"")</f>
      </c>
      <c r="AU156" s="560">
        <f>IFERROR(LN(INDEX(Data!$K$2:$K$497,MATCH(N156,Data!$A$2:$A$497,1))/INDEX(Data!$K$2:$K$497,MATCH(N144,Data!$A$2:$A$497,1))),"")</f>
      </c>
      <c r="AV156" s="561">
        <f>IFERROR(LN(INDEX(Data!$L$2:$L$497,MATCH(N156,Data!$A$2:$A$497,1))/INDEX(Data!$L$2:$L$497,MATCH(N144,Data!$A$2:$A$497,1))),"")</f>
      </c>
    </row>
    <row r="157">
      <c r="N157" s="337" t="n">
        <v>29494</v>
      </c>
      <c r="O157" s="116">
        <f>INDEX('Additional data'!$B$2:$B$965,MATCH(DATE(YEAR(N157),MONTH(N157),1),'Additional data'!$A$2:$A$965,0))</f>
        <v>36</v>
      </c>
      <c r="P157" s="489">
        <f>LN(O157)</f>
        <v>3.58351893845611</v>
      </c>
      <c r="Q157" s="489">
        <f>Q156+LN(1+INDEX('Additional data'!$H$2:$H$1196,MATCH(N157,'Additional data'!$G$2:$G$1196,1))+INDEX('Additional data'!$I$2:$I$1196,MATCH(N157,'Additional data'!$G$2:$G$1196,1)))</f>
        <v>0.803499049900518</v>
      </c>
      <c r="R157" s="77" t="n"/>
      <c r="S157" s="116">
        <f>IF(INDEX('Additional data'!$E$2:$E$699,MATCH(DATE(YEAR(N157),MONTH(N157),1),'Additional data'!$D$2:$D$699,0))=0,(INDEX('Additional data'!$E$2:$E$699,MATCH(DATE(YEAR(N157),MONTH(N157),1),'Additional data'!$D$2:$D$699,0)-1)+INDEX('Additional data'!$E$2:$E$699,MATCH(DATE(YEAR(N157),MONTH(N157),1),'Additional data'!$D$2:$D$699,0)+1))/2,INDEX('Additional data'!$E$2:$E$699,MATCH(DATE(YEAR(N157),MONTH(N157),1),'Additional data'!$D$2:$D$699,0)))</f>
        <v>11.69</v>
      </c>
      <c r="T157" s="425">
        <f>P157-P156</f>
        <v>-0.0540672212702757</v>
      </c>
      <c r="U157" s="425">
        <f>Q157-Q156</f>
        <v>0.0289761082365172</v>
      </c>
      <c r="V157" s="77" t="n"/>
      <c r="W157" s="116">
        <f>S157-S156</f>
        <v>-0.640000000000001</v>
      </c>
      <c r="X157" s="425">
        <f>P157-P145</f>
        <v>0.233614851181505</v>
      </c>
      <c r="Y157" s="425">
        <f>Q157-Q145</f>
        <v>0.211122911650414</v>
      </c>
      <c r="Z157" s="77" t="n"/>
      <c r="AA157" s="116">
        <f>S157-S145</f>
        <v>1.82</v>
      </c>
      <c r="AB157" s="425">
        <f>P157-P97</f>
        <v>1.17118298150295</v>
      </c>
      <c r="AC157" s="425">
        <f>Q157-Q97</f>
        <v>0.772228298005767</v>
      </c>
      <c r="AD157" s="77" t="n"/>
      <c r="AE157" s="235">
        <f>S157-S97</f>
        <v>3.59</v>
      </c>
      <c r="AG157" s="554">
        <f>N157</f>
        <v>29494.0</v>
      </c>
      <c r="AH157" s="435">
        <f>IFERROR(INDEX('RBA 5Y yield'!$B$5:$B$661,MATCH(N157,'RBA 5Y yield'!$A$5:$A$661,1))*100,"")</f>
        <v>11.79</v>
      </c>
      <c r="AI157" s="435">
        <f>IF(AND(ISNUMBER(AH157),ISNUMBER(AH156)),AH157-AH156,"")</f>
        <v>0.0100000000000016</v>
      </c>
      <c r="AJ157" s="435">
        <f>IF(AND(ISNUMBER(AH157),ISNUMBER(AH145)),AH157-AH145,"")</f>
        <v>1.78</v>
      </c>
      <c r="AK157" s="435">
        <f>IF(AND(ISNUMBER(AH157),ISNUMBER(AH97)),AH157-AH97,"")</f>
        <v>2.35</v>
      </c>
      <c r="AL157" s="560">
        <f>IFERROR(LN(INDEX(Data!$B$2:$B$497,MATCH(N157,Data!$A$2:$A$497,1))/INDEX(Data!$B$2:$B$497,MATCH(N145,Data!$A$2:$A$497,1))),"")</f>
      </c>
      <c r="AM157" s="560">
        <f>IFERROR(LN(INDEX(Data!$C$2:$C$497,MATCH(N157,Data!$A$2:$A$497,1))/INDEX(Data!$C$2:$C$497,MATCH(N145,Data!$A$2:$A$497,1))),"")</f>
      </c>
      <c r="AN157" s="560">
        <f>IFERROR(LN(INDEX(Data!$D$2:$D$497,MATCH(N157,Data!$A$2:$A$497,1))/INDEX(Data!$D$2:$D$497,MATCH(N145,Data!$A$2:$A$497,1))),"")</f>
      </c>
      <c r="AO157" s="560">
        <f>IFERROR(LN(INDEX(Data!$E$2:$E$497,MATCH(N157,Data!$A$2:$A$497,1))/INDEX(Data!$E$2:$E$497,MATCH(N145,Data!$A$2:$A$497,1))),"")</f>
      </c>
      <c r="AP157" s="560">
        <f>IFERROR(LN(INDEX(Data!$F$2:$F$497,MATCH(N157,Data!$A$2:$A$497,1))/INDEX(Data!$F$2:$F$497,MATCH(N145,Data!$A$2:$A$497,1))),"")</f>
      </c>
      <c r="AQ157" s="560">
        <f>IFERROR(LN(INDEX(Data!$G$2:$G$497,MATCH(N157,Data!$A$2:$A$497,1))/INDEX(Data!$G$2:$G$497,MATCH(N145,Data!$A$2:$A$497,1))),"")</f>
      </c>
      <c r="AR157" s="560">
        <f>IFERROR(LN(INDEX(Data!$H$2:$H$497,MATCH(N157,Data!$A$2:$A$497,1))/INDEX(Data!$H$2:$H$497,MATCH(N145,Data!$A$2:$A$497,1))),"")</f>
      </c>
      <c r="AS157" s="560">
        <f>IFERROR(LN(INDEX(Data!$I$2:$I$497,MATCH(N157,Data!$A$2:$A$497,1))/INDEX(Data!$I$2:$I$497,MATCH(N145,Data!$A$2:$A$497,1))),"")</f>
      </c>
      <c r="AT157" s="560">
        <f>IFERROR(LN(INDEX(Data!$J$2:$J$497,MATCH(N157,Data!$A$2:$A$497,1))/INDEX(Data!$J$2:$J$497,MATCH(N145,Data!$A$2:$A$497,1))),"")</f>
      </c>
      <c r="AU157" s="560">
        <f>IFERROR(LN(INDEX(Data!$K$2:$K$497,MATCH(N157,Data!$A$2:$A$497,1))/INDEX(Data!$K$2:$K$497,MATCH(N145,Data!$A$2:$A$497,1))),"")</f>
      </c>
      <c r="AV157" s="561">
        <f>IFERROR(LN(INDEX(Data!$L$2:$L$497,MATCH(N157,Data!$A$2:$A$497,1))/INDEX(Data!$L$2:$L$497,MATCH(N145,Data!$A$2:$A$497,1))),"")</f>
      </c>
    </row>
    <row r="158">
      <c r="N158" s="337" t="n">
        <v>29525</v>
      </c>
      <c r="O158" s="116">
        <f>INDEX('Additional data'!$B$2:$B$965,MATCH(DATE(YEAR(N158),MONTH(N158),1),'Additional data'!$A$2:$A$965,0))</f>
        <v>36</v>
      </c>
      <c r="P158" s="489">
        <f>LN(O158)</f>
        <v>3.58351893845611</v>
      </c>
      <c r="Q158" s="489">
        <f>Q157+LN(1+INDEX('Additional data'!$H$2:$H$1196,MATCH(N158,'Additional data'!$G$2:$G$1196,1))+INDEX('Additional data'!$I$2:$I$1196,MATCH(N158,'Additional data'!$G$2:$G$1196,1)))</f>
        <v>0.823203633174853</v>
      </c>
      <c r="R158" s="77" t="n"/>
      <c r="S158" s="116">
        <f>IF(INDEX('Additional data'!$E$2:$E$699,MATCH(DATE(YEAR(N158),MONTH(N158),1),'Additional data'!$D$2:$D$699,0))=0,(INDEX('Additional data'!$E$2:$E$699,MATCH(DATE(YEAR(N158),MONTH(N158),1),'Additional data'!$D$2:$D$699,0)-1)+INDEX('Additional data'!$E$2:$E$699,MATCH(DATE(YEAR(N158),MONTH(N158),1),'Additional data'!$D$2:$D$699,0)+1))/2,INDEX('Additional data'!$E$2:$E$699,MATCH(DATE(YEAR(N158),MONTH(N158),1),'Additional data'!$D$2:$D$699,0)))</f>
        <v>11.22</v>
      </c>
      <c r="T158" s="425">
        <f>P158-P157</f>
        <v>0</v>
      </c>
      <c r="U158" s="425">
        <f>Q158-Q157</f>
        <v>0.0197045832743354</v>
      </c>
      <c r="V158" s="77" t="n"/>
      <c r="W158" s="116">
        <f>S158-S157</f>
        <v>-0.469999999999999</v>
      </c>
      <c r="X158" s="425">
        <f>P158-P146</f>
        <v>0.216223108469636</v>
      </c>
      <c r="Y158" s="425">
        <f>Q158-Q146</f>
        <v>0.305874369247661</v>
      </c>
      <c r="Z158" s="77" t="n"/>
      <c r="AA158" s="116">
        <f>S158-S146</f>
        <v>1.18</v>
      </c>
      <c r="AB158" s="425">
        <f>P158-P98</f>
        <v>1.17118298150295</v>
      </c>
      <c r="AC158" s="425">
        <f>Q158-Q98</f>
        <v>0.734796689909293</v>
      </c>
      <c r="AD158" s="77" t="n"/>
      <c r="AE158" s="235">
        <f>S158-S98</f>
        <v>3.27</v>
      </c>
      <c r="AG158" s="554">
        <f>N158</f>
        <v>29525.0</v>
      </c>
      <c r="AH158" s="435">
        <f>IFERROR(INDEX('RBA 5Y yield'!$B$5:$B$661,MATCH(N158,'RBA 5Y yield'!$A$5:$A$661,1))*100,"")</f>
        <v>11.88</v>
      </c>
      <c r="AI158" s="435">
        <f>IF(AND(ISNUMBER(AH158),ISNUMBER(AH157)),AH158-AH157,"")</f>
        <v>0.0899999999999999</v>
      </c>
      <c r="AJ158" s="435">
        <f>IF(AND(ISNUMBER(AH158),ISNUMBER(AH146)),AH158-AH146,"")</f>
        <v>1.88</v>
      </c>
      <c r="AK158" s="435">
        <f>IF(AND(ISNUMBER(AH158),ISNUMBER(AH98)),AH158-AH98,"")</f>
        <v>2.48</v>
      </c>
      <c r="AL158" s="560">
        <f>IFERROR(LN(INDEX(Data!$B$2:$B$497,MATCH(N158,Data!$A$2:$A$497,1))/INDEX(Data!$B$2:$B$497,MATCH(N146,Data!$A$2:$A$497,1))),"")</f>
      </c>
      <c r="AM158" s="560">
        <f>IFERROR(LN(INDEX(Data!$C$2:$C$497,MATCH(N158,Data!$A$2:$A$497,1))/INDEX(Data!$C$2:$C$497,MATCH(N146,Data!$A$2:$A$497,1))),"")</f>
      </c>
      <c r="AN158" s="560">
        <f>IFERROR(LN(INDEX(Data!$D$2:$D$497,MATCH(N158,Data!$A$2:$A$497,1))/INDEX(Data!$D$2:$D$497,MATCH(N146,Data!$A$2:$A$497,1))),"")</f>
      </c>
      <c r="AO158" s="560">
        <f>IFERROR(LN(INDEX(Data!$E$2:$E$497,MATCH(N158,Data!$A$2:$A$497,1))/INDEX(Data!$E$2:$E$497,MATCH(N146,Data!$A$2:$A$497,1))),"")</f>
      </c>
      <c r="AP158" s="560">
        <f>IFERROR(LN(INDEX(Data!$F$2:$F$497,MATCH(N158,Data!$A$2:$A$497,1))/INDEX(Data!$F$2:$F$497,MATCH(N146,Data!$A$2:$A$497,1))),"")</f>
      </c>
      <c r="AQ158" s="560">
        <f>IFERROR(LN(INDEX(Data!$G$2:$G$497,MATCH(N158,Data!$A$2:$A$497,1))/INDEX(Data!$G$2:$G$497,MATCH(N146,Data!$A$2:$A$497,1))),"")</f>
      </c>
      <c r="AR158" s="560">
        <f>IFERROR(LN(INDEX(Data!$H$2:$H$497,MATCH(N158,Data!$A$2:$A$497,1))/INDEX(Data!$H$2:$H$497,MATCH(N146,Data!$A$2:$A$497,1))),"")</f>
      </c>
      <c r="AS158" s="560">
        <f>IFERROR(LN(INDEX(Data!$I$2:$I$497,MATCH(N158,Data!$A$2:$A$497,1))/INDEX(Data!$I$2:$I$497,MATCH(N146,Data!$A$2:$A$497,1))),"")</f>
      </c>
      <c r="AT158" s="560">
        <f>IFERROR(LN(INDEX(Data!$J$2:$J$497,MATCH(N158,Data!$A$2:$A$497,1))/INDEX(Data!$J$2:$J$497,MATCH(N146,Data!$A$2:$A$497,1))),"")</f>
      </c>
      <c r="AU158" s="560">
        <f>IFERROR(LN(INDEX(Data!$K$2:$K$497,MATCH(N158,Data!$A$2:$A$497,1))/INDEX(Data!$K$2:$K$497,MATCH(N146,Data!$A$2:$A$497,1))),"")</f>
      </c>
      <c r="AV158" s="561">
        <f>IFERROR(LN(INDEX(Data!$L$2:$L$497,MATCH(N158,Data!$A$2:$A$497,1))/INDEX(Data!$L$2:$L$497,MATCH(N146,Data!$A$2:$A$497,1))),"")</f>
      </c>
    </row>
    <row r="159">
      <c r="N159" s="337" t="n">
        <v>29555</v>
      </c>
      <c r="O159" s="116">
        <f>INDEX('Additional data'!$B$2:$B$965,MATCH(DATE(YEAR(N159),MONTH(N159),1),'Additional data'!$A$2:$A$965,0))</f>
        <v>36</v>
      </c>
      <c r="P159" s="489">
        <f>LN(O159)</f>
        <v>3.58351893845611</v>
      </c>
      <c r="Q159" s="489">
        <f>Q158+LN(1+INDEX('Additional data'!$H$2:$H$1196,MATCH(N159,'Additional data'!$G$2:$G$1196,1))+INDEX('Additional data'!$I$2:$I$1196,MATCH(N159,'Additional data'!$G$2:$G$1196,1)))</f>
        <v>0.923591807206121</v>
      </c>
      <c r="R159" s="77" t="n"/>
      <c r="S159" s="116">
        <f>IF(INDEX('Additional data'!$E$2:$E$699,MATCH(DATE(YEAR(N159),MONTH(N159),1),'Additional data'!$D$2:$D$699,0))=0,(INDEX('Additional data'!$E$2:$E$699,MATCH(DATE(YEAR(N159),MONTH(N159),1),'Additional data'!$D$2:$D$699,0)-1)+INDEX('Additional data'!$E$2:$E$699,MATCH(DATE(YEAR(N159),MONTH(N159),1),'Additional data'!$D$2:$D$699,0)+1))/2,INDEX('Additional data'!$E$2:$E$699,MATCH(DATE(YEAR(N159),MONTH(N159),1),'Additional data'!$D$2:$D$699,0)))</f>
        <v>11.27</v>
      </c>
      <c r="T159" s="425">
        <f>P159-P158</f>
        <v>0</v>
      </c>
      <c r="U159" s="425">
        <f>Q159-Q158</f>
        <v>0.100388174031269</v>
      </c>
      <c r="V159" s="77" t="n"/>
      <c r="W159" s="116">
        <f>S159-S158</f>
        <v>0.0499999999999989</v>
      </c>
      <c r="X159" s="425">
        <f>P159-P147</f>
        <v>0.149531733970964</v>
      </c>
      <c r="Y159" s="425">
        <f>Q159-Q147</f>
        <v>0.346014462933573</v>
      </c>
      <c r="Z159" s="77" t="n"/>
      <c r="AA159" s="116">
        <f>S159-S147</f>
        <v>1.15</v>
      </c>
      <c r="AB159" s="425">
        <f>P159-P99</f>
        <v>1.17118298150295</v>
      </c>
      <c r="AC159" s="425">
        <f>Q159-Q99</f>
        <v>0.805043707028575</v>
      </c>
      <c r="AD159" s="77" t="n"/>
      <c r="AE159" s="235">
        <f>S159-S99</f>
        <v>3.22</v>
      </c>
      <c r="AG159" s="554">
        <f>N159</f>
        <v>29555.0</v>
      </c>
      <c r="AH159" s="435">
        <f>IFERROR(INDEX('RBA 5Y yield'!$B$5:$B$661,MATCH(N159,'RBA 5Y yield'!$A$5:$A$661,1))*100,"")</f>
        <v>12.42</v>
      </c>
      <c r="AI159" s="435">
        <f>IF(AND(ISNUMBER(AH159),ISNUMBER(AH158)),AH159-AH158,"")</f>
        <v>0.539999999999999</v>
      </c>
      <c r="AJ159" s="435">
        <f>IF(AND(ISNUMBER(AH159),ISNUMBER(AH147)),AH159-AH147,"")</f>
        <v>2.42</v>
      </c>
      <c r="AK159" s="435">
        <f>IF(AND(ISNUMBER(AH159),ISNUMBER(AH99)),AH159-AH99,"")</f>
        <v>3.01</v>
      </c>
      <c r="AL159" s="560">
        <f>IFERROR(LN(INDEX(Data!$B$2:$B$497,MATCH(N159,Data!$A$2:$A$497,1))/INDEX(Data!$B$2:$B$497,MATCH(N147,Data!$A$2:$A$497,1))),"")</f>
      </c>
      <c r="AM159" s="560">
        <f>IFERROR(LN(INDEX(Data!$C$2:$C$497,MATCH(N159,Data!$A$2:$A$497,1))/INDEX(Data!$C$2:$C$497,MATCH(N147,Data!$A$2:$A$497,1))),"")</f>
      </c>
      <c r="AN159" s="560">
        <f>IFERROR(LN(INDEX(Data!$D$2:$D$497,MATCH(N159,Data!$A$2:$A$497,1))/INDEX(Data!$D$2:$D$497,MATCH(N147,Data!$A$2:$A$497,1))),"")</f>
      </c>
      <c r="AO159" s="560">
        <f>IFERROR(LN(INDEX(Data!$E$2:$E$497,MATCH(N159,Data!$A$2:$A$497,1))/INDEX(Data!$E$2:$E$497,MATCH(N147,Data!$A$2:$A$497,1))),"")</f>
      </c>
      <c r="AP159" s="560">
        <f>IFERROR(LN(INDEX(Data!$F$2:$F$497,MATCH(N159,Data!$A$2:$A$497,1))/INDEX(Data!$F$2:$F$497,MATCH(N147,Data!$A$2:$A$497,1))),"")</f>
      </c>
      <c r="AQ159" s="560">
        <f>IFERROR(LN(INDEX(Data!$G$2:$G$497,MATCH(N159,Data!$A$2:$A$497,1))/INDEX(Data!$G$2:$G$497,MATCH(N147,Data!$A$2:$A$497,1))),"")</f>
      </c>
      <c r="AR159" s="560">
        <f>IFERROR(LN(INDEX(Data!$H$2:$H$497,MATCH(N159,Data!$A$2:$A$497,1))/INDEX(Data!$H$2:$H$497,MATCH(N147,Data!$A$2:$A$497,1))),"")</f>
      </c>
      <c r="AS159" s="560">
        <f>IFERROR(LN(INDEX(Data!$I$2:$I$497,MATCH(N159,Data!$A$2:$A$497,1))/INDEX(Data!$I$2:$I$497,MATCH(N147,Data!$A$2:$A$497,1))),"")</f>
      </c>
      <c r="AT159" s="560">
        <f>IFERROR(LN(INDEX(Data!$J$2:$J$497,MATCH(N159,Data!$A$2:$A$497,1))/INDEX(Data!$J$2:$J$497,MATCH(N147,Data!$A$2:$A$497,1))),"")</f>
      </c>
      <c r="AU159" s="560">
        <f>IFERROR(LN(INDEX(Data!$K$2:$K$497,MATCH(N159,Data!$A$2:$A$497,1))/INDEX(Data!$K$2:$K$497,MATCH(N147,Data!$A$2:$A$497,1))),"")</f>
      </c>
      <c r="AV159" s="561">
        <f>IFERROR(LN(INDEX(Data!$L$2:$L$497,MATCH(N159,Data!$A$2:$A$497,1))/INDEX(Data!$L$2:$L$497,MATCH(N147,Data!$A$2:$A$497,1))),"")</f>
      </c>
    </row>
    <row r="160">
      <c r="A160" s="548" t="inlineStr">
        <is>
          <t>11b. Option weights (row form) and active weights vs benchmark</t>
        </is>
      </c>
      <c r="B160" s="549" t="n"/>
      <c r="C160" s="549" t="n"/>
      <c r="D160" s="549" t="n"/>
      <c r="E160" s="549" t="n"/>
      <c r="F160" s="549" t="n"/>
      <c r="G160" s="549" t="n"/>
      <c r="H160" s="549" t="n"/>
      <c r="I160" s="549" t="n"/>
      <c r="J160" s="549" t="n"/>
      <c r="K160" s="549" t="n"/>
      <c r="L160" s="550" t="n"/>
      <c r="N160" s="337" t="n">
        <v>29586</v>
      </c>
      <c r="O160" s="116">
        <f>INDEX('Additional data'!$B$2:$B$965,MATCH(DATE(YEAR(N160),MONTH(N160),1),'Additional data'!$A$2:$A$965,0))</f>
        <v>37</v>
      </c>
      <c r="P160" s="489">
        <f>LN(O160)</f>
        <v>3.61091791264422</v>
      </c>
      <c r="Q160" s="489">
        <f>Q159+LN(1+INDEX('Additional data'!$H$2:$H$1196,MATCH(N160,'Additional data'!$G$2:$G$1196,1))+INDEX('Additional data'!$I$2:$I$1196,MATCH(N160,'Additional data'!$G$2:$G$1196,1)))</f>
        <v>0.891585011071035</v>
      </c>
      <c r="R160" s="77" t="n"/>
      <c r="S160" s="116">
        <f>IF(INDEX('Additional data'!$E$2:$E$699,MATCH(DATE(YEAR(N160),MONTH(N160),1),'Additional data'!$D$2:$D$699,0))=0,(INDEX('Additional data'!$E$2:$E$699,MATCH(DATE(YEAR(N160),MONTH(N160),1),'Additional data'!$D$2:$D$699,0)-1)+INDEX('Additional data'!$E$2:$E$699,MATCH(DATE(YEAR(N160),MONTH(N160),1),'Additional data'!$D$2:$D$699,0)+1))/2,INDEX('Additional data'!$E$2:$E$699,MATCH(DATE(YEAR(N160),MONTH(N160),1),'Additional data'!$D$2:$D$699,0)))</f>
        <v>12.45</v>
      </c>
      <c r="T160" s="425">
        <f>P160-P159</f>
        <v>0.0273989741881144</v>
      </c>
      <c r="U160" s="425">
        <f>Q160-Q159</f>
        <v>-0.0320067961350865</v>
      </c>
      <c r="V160" s="77" t="n"/>
      <c r="W160" s="116">
        <f>S160-S159</f>
        <v>1.18</v>
      </c>
      <c r="X160" s="425">
        <f>P160-P148</f>
        <v>0.129677823308533</v>
      </c>
      <c r="Y160" s="425">
        <f>Q160-Q148</f>
        <v>0.287073665558405</v>
      </c>
      <c r="Z160" s="77" t="n"/>
      <c r="AA160" s="116">
        <f>S160-S148</f>
        <v>2.33</v>
      </c>
      <c r="AB160" s="425">
        <f>P160-P100</f>
        <v>1.19858195569106</v>
      </c>
      <c r="AC160" s="425">
        <f>Q160-Q100</f>
        <v>0.784300103172199</v>
      </c>
      <c r="AD160" s="77" t="n"/>
      <c r="AE160" s="235">
        <f>S160-S100</f>
        <v>4.75</v>
      </c>
      <c r="AG160" s="554">
        <f>N160</f>
        <v>29586.0</v>
      </c>
      <c r="AH160" s="435">
        <f>IFERROR(INDEX('RBA 5Y yield'!$B$5:$B$661,MATCH(N160,'RBA 5Y yield'!$A$5:$A$661,1))*100,"")</f>
        <v>12.72</v>
      </c>
      <c r="AI160" s="435">
        <f>IF(AND(ISNUMBER(AH160),ISNUMBER(AH159)),AH160-AH159,"")</f>
        <v>0.300000000000001</v>
      </c>
      <c r="AJ160" s="435">
        <f>IF(AND(ISNUMBER(AH160),ISNUMBER(AH148)),AH160-AH148,"")</f>
        <v>2.7</v>
      </c>
      <c r="AK160" s="435">
        <f>IF(AND(ISNUMBER(AH160),ISNUMBER(AH100)),AH160-AH100,"")</f>
        <v>3.33</v>
      </c>
      <c r="AL160" s="560">
        <f>IFERROR(LN(INDEX(Data!$B$2:$B$497,MATCH(N160,Data!$A$2:$A$497,1))/INDEX(Data!$B$2:$B$497,MATCH(N148,Data!$A$2:$A$497,1))),"")</f>
      </c>
      <c r="AM160" s="560">
        <f>IFERROR(LN(INDEX(Data!$C$2:$C$497,MATCH(N160,Data!$A$2:$A$497,1))/INDEX(Data!$C$2:$C$497,MATCH(N148,Data!$A$2:$A$497,1))),"")</f>
      </c>
      <c r="AN160" s="560">
        <f>IFERROR(LN(INDEX(Data!$D$2:$D$497,MATCH(N160,Data!$A$2:$A$497,1))/INDEX(Data!$D$2:$D$497,MATCH(N148,Data!$A$2:$A$497,1))),"")</f>
      </c>
      <c r="AO160" s="560">
        <f>IFERROR(LN(INDEX(Data!$E$2:$E$497,MATCH(N160,Data!$A$2:$A$497,1))/INDEX(Data!$E$2:$E$497,MATCH(N148,Data!$A$2:$A$497,1))),"")</f>
      </c>
      <c r="AP160" s="560">
        <f>IFERROR(LN(INDEX(Data!$F$2:$F$497,MATCH(N160,Data!$A$2:$A$497,1))/INDEX(Data!$F$2:$F$497,MATCH(N148,Data!$A$2:$A$497,1))),"")</f>
      </c>
      <c r="AQ160" s="560">
        <f>IFERROR(LN(INDEX(Data!$G$2:$G$497,MATCH(N160,Data!$A$2:$A$497,1))/INDEX(Data!$G$2:$G$497,MATCH(N148,Data!$A$2:$A$497,1))),"")</f>
      </c>
      <c r="AR160" s="560">
        <f>IFERROR(LN(INDEX(Data!$H$2:$H$497,MATCH(N160,Data!$A$2:$A$497,1))/INDEX(Data!$H$2:$H$497,MATCH(N148,Data!$A$2:$A$497,1))),"")</f>
      </c>
      <c r="AS160" s="560">
        <f>IFERROR(LN(INDEX(Data!$I$2:$I$497,MATCH(N160,Data!$A$2:$A$497,1))/INDEX(Data!$I$2:$I$497,MATCH(N148,Data!$A$2:$A$497,1))),"")</f>
      </c>
      <c r="AT160" s="560">
        <f>IFERROR(LN(INDEX(Data!$J$2:$J$497,MATCH(N160,Data!$A$2:$A$497,1))/INDEX(Data!$J$2:$J$497,MATCH(N148,Data!$A$2:$A$497,1))),"")</f>
      </c>
      <c r="AU160" s="560">
        <f>IFERROR(LN(INDEX(Data!$K$2:$K$497,MATCH(N160,Data!$A$2:$A$497,1))/INDEX(Data!$K$2:$K$497,MATCH(N148,Data!$A$2:$A$497,1))),"")</f>
      </c>
      <c r="AV160" s="561">
        <f>IFERROR(LN(INDEX(Data!$L$2:$L$497,MATCH(N160,Data!$A$2:$A$497,1))/INDEX(Data!$L$2:$L$497,MATCH(N148,Data!$A$2:$A$497,1))),"")</f>
      </c>
    </row>
    <row r="161" ht="40" customHeight="1">
      <c r="A161" s="551" t="inlineStr">
        <is>
          <t>Weights</t>
        </is>
      </c>
      <c r="B161" s="552" t="inlineStr">
        <is>
          <t>Australian Equities</t>
        </is>
      </c>
      <c r="C161" s="552" t="inlineStr">
        <is>
          <t>World Equities</t>
        </is>
      </c>
      <c r="D161" s="552" t="inlineStr">
        <is>
          <t>Emerging Markets</t>
        </is>
      </c>
      <c r="E161" s="552" t="inlineStr">
        <is>
          <t>Listed Property</t>
        </is>
      </c>
      <c r="F161" s="552" t="inlineStr">
        <is>
          <t>Commodities</t>
        </is>
      </c>
      <c r="G161" s="552" t="inlineStr">
        <is>
          <t>Direct Property</t>
        </is>
      </c>
      <c r="H161" s="552" t="inlineStr">
        <is>
          <t>Hedge Funds</t>
        </is>
      </c>
      <c r="I161" s="552" t="inlineStr">
        <is>
          <t>Private Equity</t>
        </is>
      </c>
      <c r="J161" s="552" t="inlineStr">
        <is>
          <t>Australian Fixed Income</t>
        </is>
      </c>
      <c r="K161" s="552" t="inlineStr">
        <is>
          <t>World Fixed Income</t>
        </is>
      </c>
      <c r="L161" s="553" t="inlineStr">
        <is>
          <t>Cash</t>
        </is>
      </c>
      <c r="N161" s="337" t="n">
        <v>29617</v>
      </c>
      <c r="O161" s="116">
        <f>INDEX('Additional data'!$B$2:$B$965,MATCH(DATE(YEAR(N161),MONTH(N161),1),'Additional data'!$A$2:$A$965,0))</f>
        <v>38</v>
      </c>
      <c r="P161" s="489">
        <f>LN(O161)</f>
        <v>3.63758615972639</v>
      </c>
      <c r="Q161" s="489">
        <f>Q160+LN(1+INDEX('Additional data'!$H$2:$H$1196,MATCH(N161,'Additional data'!$G$2:$G$1196,1))+INDEX('Additional data'!$I$2:$I$1196,MATCH(N161,'Additional data'!$G$2:$G$1196,1)))</f>
        <v>0.850554661513043</v>
      </c>
      <c r="R161" s="77" t="n"/>
      <c r="S161" s="116">
        <f>IF(INDEX('Additional data'!$E$2:$E$699,MATCH(DATE(YEAR(N161),MONTH(N161),1),'Additional data'!$D$2:$D$699,0))=0,(INDEX('Additional data'!$E$2:$E$699,MATCH(DATE(YEAR(N161),MONTH(N161),1),'Additional data'!$D$2:$D$699,0)-1)+INDEX('Additional data'!$E$2:$E$699,MATCH(DATE(YEAR(N161),MONTH(N161),1),'Additional data'!$D$2:$D$699,0)+1))/2,INDEX('Additional data'!$E$2:$E$699,MATCH(DATE(YEAR(N161),MONTH(N161),1),'Additional data'!$D$2:$D$699,0)))</f>
        <v>12.61</v>
      </c>
      <c r="T161" s="425">
        <f>P161-P160</f>
        <v>0.0266682470821613</v>
      </c>
      <c r="U161" s="425">
        <f>Q161-Q160</f>
        <v>-0.0410303495579919</v>
      </c>
      <c r="V161" s="77" t="n"/>
      <c r="W161" s="116">
        <f>S161-S160</f>
        <v>0.16</v>
      </c>
      <c r="X161" s="425">
        <f>P161-P149</f>
        <v>0.156346070390694</v>
      </c>
      <c r="Y161" s="425">
        <f>Q161-Q149</f>
        <v>0.184948216640602</v>
      </c>
      <c r="Z161" s="77" t="n"/>
      <c r="AA161" s="116">
        <f>S161-S149</f>
        <v>2.58</v>
      </c>
      <c r="AB161" s="425">
        <f>P161-P101</f>
        <v>1.22525020277322</v>
      </c>
      <c r="AC161" s="425">
        <f>Q161-Q101</f>
        <v>0.624420619775826</v>
      </c>
      <c r="AD161" s="77" t="n"/>
      <c r="AE161" s="235">
        <f>S161-S101</f>
        <v>4.96</v>
      </c>
      <c r="AG161" s="554">
        <f>N161</f>
        <v>29617.0</v>
      </c>
      <c r="AH161" s="435">
        <f>IFERROR(INDEX('RBA 5Y yield'!$B$5:$B$661,MATCH(N161,'RBA 5Y yield'!$A$5:$A$661,1))*100,"")</f>
        <v>13.1</v>
      </c>
      <c r="AI161" s="435">
        <f>IF(AND(ISNUMBER(AH161),ISNUMBER(AH160)),AH161-AH160,"")</f>
        <v>0.380000000000001</v>
      </c>
      <c r="AJ161" s="435">
        <f>IF(AND(ISNUMBER(AH161),ISNUMBER(AH149)),AH161-AH149,"")</f>
        <v>2.68</v>
      </c>
      <c r="AK161" s="435">
        <f>IF(AND(ISNUMBER(AH161),ISNUMBER(AH101)),AH161-AH101,"")</f>
        <v>3.68</v>
      </c>
      <c r="AL161" s="560">
        <f>IFERROR(LN(INDEX(Data!$B$2:$B$497,MATCH(N161,Data!$A$2:$A$497,1))/INDEX(Data!$B$2:$B$497,MATCH(N149,Data!$A$2:$A$497,1))),"")</f>
      </c>
      <c r="AM161" s="560">
        <f>IFERROR(LN(INDEX(Data!$C$2:$C$497,MATCH(N161,Data!$A$2:$A$497,1))/INDEX(Data!$C$2:$C$497,MATCH(N149,Data!$A$2:$A$497,1))),"")</f>
      </c>
      <c r="AN161" s="560">
        <f>IFERROR(LN(INDEX(Data!$D$2:$D$497,MATCH(N161,Data!$A$2:$A$497,1))/INDEX(Data!$D$2:$D$497,MATCH(N149,Data!$A$2:$A$497,1))),"")</f>
      </c>
      <c r="AO161" s="560">
        <f>IFERROR(LN(INDEX(Data!$E$2:$E$497,MATCH(N161,Data!$A$2:$A$497,1))/INDEX(Data!$E$2:$E$497,MATCH(N149,Data!$A$2:$A$497,1))),"")</f>
      </c>
      <c r="AP161" s="560">
        <f>IFERROR(LN(INDEX(Data!$F$2:$F$497,MATCH(N161,Data!$A$2:$A$497,1))/INDEX(Data!$F$2:$F$497,MATCH(N149,Data!$A$2:$A$497,1))),"")</f>
      </c>
      <c r="AQ161" s="560">
        <f>IFERROR(LN(INDEX(Data!$G$2:$G$497,MATCH(N161,Data!$A$2:$A$497,1))/INDEX(Data!$G$2:$G$497,MATCH(N149,Data!$A$2:$A$497,1))),"")</f>
      </c>
      <c r="AR161" s="560">
        <f>IFERROR(LN(INDEX(Data!$H$2:$H$497,MATCH(N161,Data!$A$2:$A$497,1))/INDEX(Data!$H$2:$H$497,MATCH(N149,Data!$A$2:$A$497,1))),"")</f>
      </c>
      <c r="AS161" s="560">
        <f>IFERROR(LN(INDEX(Data!$I$2:$I$497,MATCH(N161,Data!$A$2:$A$497,1))/INDEX(Data!$I$2:$I$497,MATCH(N149,Data!$A$2:$A$497,1))),"")</f>
      </c>
      <c r="AT161" s="560">
        <f>IFERROR(LN(INDEX(Data!$J$2:$J$497,MATCH(N161,Data!$A$2:$A$497,1))/INDEX(Data!$J$2:$J$497,MATCH(N149,Data!$A$2:$A$497,1))),"")</f>
      </c>
      <c r="AU161" s="560">
        <f>IFERROR(LN(INDEX(Data!$K$2:$K$497,MATCH(N161,Data!$A$2:$A$497,1))/INDEX(Data!$K$2:$K$497,MATCH(N149,Data!$A$2:$A$497,1))),"")</f>
      </c>
      <c r="AV161" s="561">
        <f>IFERROR(LN(INDEX(Data!$L$2:$L$497,MATCH(N161,Data!$A$2:$A$497,1))/INDEX(Data!$L$2:$L$497,MATCH(N149,Data!$A$2:$A$497,1))),"")</f>
      </c>
    </row>
    <row r="162">
      <c r="A162" s="595" t="inlineStr">
        <is>
          <t>Recommended (no change)</t>
        </is>
      </c>
      <c r="B162" s="483">
        <f>Risk!B$58+0</f>
        <v>0.2738</v>
      </c>
      <c r="C162" s="483">
        <f>Risk!C$58+0</f>
        <v>0.279</v>
      </c>
      <c r="D162" s="483">
        <f>Risk!D$58+0</f>
        <v>0.0672</v>
      </c>
      <c r="E162" s="483">
        <f>Risk!E$58+0</f>
        <v>0.0867</v>
      </c>
      <c r="F162" s="483">
        <f>Risk!F$58+0</f>
        <v>0.0244</v>
      </c>
      <c r="G162" s="483">
        <f>Risk!G$58+0</f>
        <v>0</v>
      </c>
      <c r="H162" s="483">
        <f>Risk!H$58+0</f>
        <v>0</v>
      </c>
      <c r="I162" s="483">
        <f>Risk!I$58+0</f>
        <v>0</v>
      </c>
      <c r="J162" s="483">
        <f>Risk!J$58+0</f>
        <v>0.12</v>
      </c>
      <c r="K162" s="483">
        <f>Risk!K$58+0</f>
        <v>0.1289</v>
      </c>
      <c r="L162" s="596">
        <f>Risk!L$58+0</f>
        <v>0.02</v>
      </c>
      <c r="N162" s="337" t="n">
        <v>29645</v>
      </c>
      <c r="O162" s="116">
        <f>INDEX('Additional data'!$B$2:$B$965,MATCH(DATE(YEAR(N162),MONTH(N162),1),'Additional data'!$A$2:$A$965,0))</f>
        <v>38</v>
      </c>
      <c r="P162" s="489">
        <f>LN(O162)</f>
        <v>3.63758615972639</v>
      </c>
      <c r="Q162" s="489">
        <f>Q161+LN(1+INDEX('Additional data'!$H$2:$H$1196,MATCH(N162,'Additional data'!$G$2:$G$1196,1))+INDEX('Additional data'!$I$2:$I$1196,MATCH(N162,'Additional data'!$G$2:$G$1196,1)))</f>
        <v>0.86721510240615</v>
      </c>
      <c r="R162" s="77" t="n"/>
      <c r="S162" s="116">
        <f>IF(INDEX('Additional data'!$E$2:$E$699,MATCH(DATE(YEAR(N162),MONTH(N162),1),'Additional data'!$D$2:$D$699,0))=0,(INDEX('Additional data'!$E$2:$E$699,MATCH(DATE(YEAR(N162),MONTH(N162),1),'Additional data'!$D$2:$D$699,0)-1)+INDEX('Additional data'!$E$2:$E$699,MATCH(DATE(YEAR(N162),MONTH(N162),1),'Additional data'!$D$2:$D$699,0)+1))/2,INDEX('Additional data'!$E$2:$E$699,MATCH(DATE(YEAR(N162),MONTH(N162),1),'Additional data'!$D$2:$D$699,0)))</f>
        <v>13.36</v>
      </c>
      <c r="T162" s="425">
        <f>P162-P161</f>
        <v>0</v>
      </c>
      <c r="U162" s="425">
        <f>Q162-Q161</f>
        <v>0.0166604408931071</v>
      </c>
      <c r="V162" s="77" t="n"/>
      <c r="W162" s="116">
        <f>S162-S161</f>
        <v>0.75</v>
      </c>
      <c r="X162" s="425">
        <f>P162-P150</f>
        <v>0.0266682470821613</v>
      </c>
      <c r="Y162" s="425">
        <f>Q162-Q150</f>
        <v>0.205014450668542</v>
      </c>
      <c r="Z162" s="77" t="n"/>
      <c r="AA162" s="116">
        <f>S162-S150</f>
        <v>3.3</v>
      </c>
      <c r="AB162" s="425">
        <f>P162-P102</f>
        <v>1.1501826297398</v>
      </c>
      <c r="AC162" s="425">
        <f>Q162-Q102</f>
        <v>0.634602094571224</v>
      </c>
      <c r="AD162" s="77" t="n"/>
      <c r="AE162" s="235">
        <f>S162-S102</f>
        <v>5.01</v>
      </c>
      <c r="AG162" s="554">
        <f>N162</f>
        <v>29645.0</v>
      </c>
      <c r="AH162" s="435">
        <f>IFERROR(INDEX('RBA 5Y yield'!$B$5:$B$661,MATCH(N162,'RBA 5Y yield'!$A$5:$A$661,1))*100,"")</f>
        <v>13.1</v>
      </c>
      <c r="AI162" s="435">
        <f>IF(AND(ISNUMBER(AH162),ISNUMBER(AH161)),AH162-AH161,"")</f>
        <v>0</v>
      </c>
      <c r="AJ162" s="435">
        <f>IF(AND(ISNUMBER(AH162),ISNUMBER(AH150)),AH162-AH150,"")</f>
        <v>2.2</v>
      </c>
      <c r="AK162" s="435">
        <f>IF(AND(ISNUMBER(AH162),ISNUMBER(AH102)),AH162-AH102,"")</f>
        <v>3.71</v>
      </c>
      <c r="AL162" s="560">
        <f>IFERROR(LN(INDEX(Data!$B$2:$B$497,MATCH(N162,Data!$A$2:$A$497,1))/INDEX(Data!$B$2:$B$497,MATCH(N150,Data!$A$2:$A$497,1))),"")</f>
      </c>
      <c r="AM162" s="560">
        <f>IFERROR(LN(INDEX(Data!$C$2:$C$497,MATCH(N162,Data!$A$2:$A$497,1))/INDEX(Data!$C$2:$C$497,MATCH(N150,Data!$A$2:$A$497,1))),"")</f>
      </c>
      <c r="AN162" s="560">
        <f>IFERROR(LN(INDEX(Data!$D$2:$D$497,MATCH(N162,Data!$A$2:$A$497,1))/INDEX(Data!$D$2:$D$497,MATCH(N150,Data!$A$2:$A$497,1))),"")</f>
      </c>
      <c r="AO162" s="560">
        <f>IFERROR(LN(INDEX(Data!$E$2:$E$497,MATCH(N162,Data!$A$2:$A$497,1))/INDEX(Data!$E$2:$E$497,MATCH(N150,Data!$A$2:$A$497,1))),"")</f>
      </c>
      <c r="AP162" s="560">
        <f>IFERROR(LN(INDEX(Data!$F$2:$F$497,MATCH(N162,Data!$A$2:$A$497,1))/INDEX(Data!$F$2:$F$497,MATCH(N150,Data!$A$2:$A$497,1))),"")</f>
      </c>
      <c r="AQ162" s="560">
        <f>IFERROR(LN(INDEX(Data!$G$2:$G$497,MATCH(N162,Data!$A$2:$A$497,1))/INDEX(Data!$G$2:$G$497,MATCH(N150,Data!$A$2:$A$497,1))),"")</f>
      </c>
      <c r="AR162" s="560">
        <f>IFERROR(LN(INDEX(Data!$H$2:$H$497,MATCH(N162,Data!$A$2:$A$497,1))/INDEX(Data!$H$2:$H$497,MATCH(N150,Data!$A$2:$A$497,1))),"")</f>
      </c>
      <c r="AS162" s="560">
        <f>IFERROR(LN(INDEX(Data!$I$2:$I$497,MATCH(N162,Data!$A$2:$A$497,1))/INDEX(Data!$I$2:$I$497,MATCH(N150,Data!$A$2:$A$497,1))),"")</f>
      </c>
      <c r="AT162" s="560">
        <f>IFERROR(LN(INDEX(Data!$J$2:$J$497,MATCH(N162,Data!$A$2:$A$497,1))/INDEX(Data!$J$2:$J$497,MATCH(N150,Data!$A$2:$A$497,1))),"")</f>
      </c>
      <c r="AU162" s="560">
        <f>IFERROR(LN(INDEX(Data!$K$2:$K$497,MATCH(N162,Data!$A$2:$A$497,1))/INDEX(Data!$K$2:$K$497,MATCH(N150,Data!$A$2:$A$497,1))),"")</f>
      </c>
      <c r="AV162" s="561">
        <f>IFERROR(LN(INDEX(Data!$L$2:$L$497,MATCH(N162,Data!$A$2:$A$497,1))/INDEX(Data!$L$2:$L$497,MATCH(N150,Data!$A$2:$A$497,1))),"")</f>
      </c>
    </row>
    <row r="163">
      <c r="A163" s="595" t="inlineStr">
        <is>
          <t>Commodities +2%, world equities -2%</t>
        </is>
      </c>
      <c r="B163" s="483">
        <f>Risk!B$58+0</f>
        <v>0.2738</v>
      </c>
      <c r="C163" s="482">
        <f>Risk!C$58+-0.02</f>
        <v>0.259</v>
      </c>
      <c r="D163" s="483">
        <f>Risk!D$58+0</f>
        <v>0.0672</v>
      </c>
      <c r="E163" s="483">
        <f>Risk!E$58+0</f>
        <v>0.0867</v>
      </c>
      <c r="F163" s="482">
        <f>Risk!F$58+0.02</f>
        <v>0.0444</v>
      </c>
      <c r="G163" s="483">
        <f>Risk!G$58+0</f>
        <v>0</v>
      </c>
      <c r="H163" s="483">
        <f>Risk!H$58+0</f>
        <v>0</v>
      </c>
      <c r="I163" s="483">
        <f>Risk!I$58+0</f>
        <v>0</v>
      </c>
      <c r="J163" s="483">
        <f>Risk!J$58+0</f>
        <v>0.12</v>
      </c>
      <c r="K163" s="483">
        <f>Risk!K$58+0</f>
        <v>0.1289</v>
      </c>
      <c r="L163" s="596">
        <f>Risk!L$58+0</f>
        <v>0.02</v>
      </c>
      <c r="N163" s="337" t="n">
        <v>29676</v>
      </c>
      <c r="O163" s="116">
        <f>INDEX('Additional data'!$B$2:$B$965,MATCH(DATE(YEAR(N163),MONTH(N163),1),'Additional data'!$A$2:$A$965,0))</f>
        <v>38</v>
      </c>
      <c r="P163" s="489">
        <f>LN(O163)</f>
        <v>3.63758615972639</v>
      </c>
      <c r="Q163" s="489">
        <f>Q162+LN(1+INDEX('Additional data'!$H$2:$H$1196,MATCH(N163,'Additional data'!$G$2:$G$1196,1))+INDEX('Additional data'!$I$2:$I$1196,MATCH(N163,'Additional data'!$G$2:$G$1196,1)))</f>
        <v>0.914861755873503</v>
      </c>
      <c r="R163" s="77" t="n"/>
      <c r="S163" s="116">
        <f>IF(INDEX('Additional data'!$E$2:$E$699,MATCH(DATE(YEAR(N163),MONTH(N163),1),'Additional data'!$D$2:$D$699,0))=0,(INDEX('Additional data'!$E$2:$E$699,MATCH(DATE(YEAR(N163),MONTH(N163),1),'Additional data'!$D$2:$D$699,0)-1)+INDEX('Additional data'!$E$2:$E$699,MATCH(DATE(YEAR(N163),MONTH(N163),1),'Additional data'!$D$2:$D$699,0)+1))/2,INDEX('Additional data'!$E$2:$E$699,MATCH(DATE(YEAR(N163),MONTH(N163),1),'Additional data'!$D$2:$D$699,0)))</f>
        <v>14.63</v>
      </c>
      <c r="T163" s="425">
        <f>P163-P162</f>
        <v>0</v>
      </c>
      <c r="U163" s="425">
        <f>Q163-Q162</f>
        <v>0.047646653467353</v>
      </c>
      <c r="V163" s="77" t="n"/>
      <c r="W163" s="116">
        <f>S163-S162</f>
        <v>1.27</v>
      </c>
      <c r="X163" s="425">
        <f>P163-P151</f>
        <v>0</v>
      </c>
      <c r="Y163" s="425">
        <f>Q163-Q151</f>
        <v>0.376977938643276</v>
      </c>
      <c r="Z163" s="77" t="n"/>
      <c r="AA163" s="116">
        <f>S163-S151</f>
        <v>3.16</v>
      </c>
      <c r="AB163" s="425">
        <f>P163-P103</f>
        <v>1.14438070712369</v>
      </c>
      <c r="AC163" s="425">
        <f>Q163-Q103</f>
        <v>0.655412094085017</v>
      </c>
      <c r="AD163" s="77" t="n"/>
      <c r="AE163" s="235">
        <f>S163-S103</f>
        <v>6.23</v>
      </c>
      <c r="AG163" s="554">
        <f>N163</f>
        <v>29676.0</v>
      </c>
      <c r="AH163" s="435">
        <f>IFERROR(INDEX('RBA 5Y yield'!$B$5:$B$661,MATCH(N163,'RBA 5Y yield'!$A$5:$A$661,1))*100,"")</f>
        <v>13.1</v>
      </c>
      <c r="AI163" s="435">
        <f>IF(AND(ISNUMBER(AH163),ISNUMBER(AH162)),AH163-AH162,"")</f>
        <v>0</v>
      </c>
      <c r="AJ163" s="435">
        <f>IF(AND(ISNUMBER(AH163),ISNUMBER(AH151)),AH163-AH151,"")</f>
        <v>1.9</v>
      </c>
      <c r="AK163" s="435">
        <f>IF(AND(ISNUMBER(AH163),ISNUMBER(AH103)),AH163-AH103,"")</f>
        <v>3.67</v>
      </c>
      <c r="AL163" s="560">
        <f>IFERROR(LN(INDEX(Data!$B$2:$B$497,MATCH(N163,Data!$A$2:$A$497,1))/INDEX(Data!$B$2:$B$497,MATCH(N151,Data!$A$2:$A$497,1))),"")</f>
      </c>
      <c r="AM163" s="560">
        <f>IFERROR(LN(INDEX(Data!$C$2:$C$497,MATCH(N163,Data!$A$2:$A$497,1))/INDEX(Data!$C$2:$C$497,MATCH(N151,Data!$A$2:$A$497,1))),"")</f>
      </c>
      <c r="AN163" s="560">
        <f>IFERROR(LN(INDEX(Data!$D$2:$D$497,MATCH(N163,Data!$A$2:$A$497,1))/INDEX(Data!$D$2:$D$497,MATCH(N151,Data!$A$2:$A$497,1))),"")</f>
      </c>
      <c r="AO163" s="560">
        <f>IFERROR(LN(INDEX(Data!$E$2:$E$497,MATCH(N163,Data!$A$2:$A$497,1))/INDEX(Data!$E$2:$E$497,MATCH(N151,Data!$A$2:$A$497,1))),"")</f>
      </c>
      <c r="AP163" s="560">
        <f>IFERROR(LN(INDEX(Data!$F$2:$F$497,MATCH(N163,Data!$A$2:$A$497,1))/INDEX(Data!$F$2:$F$497,MATCH(N151,Data!$A$2:$A$497,1))),"")</f>
      </c>
      <c r="AQ163" s="560">
        <f>IFERROR(LN(INDEX(Data!$G$2:$G$497,MATCH(N163,Data!$A$2:$A$497,1))/INDEX(Data!$G$2:$G$497,MATCH(N151,Data!$A$2:$A$497,1))),"")</f>
      </c>
      <c r="AR163" s="560">
        <f>IFERROR(LN(INDEX(Data!$H$2:$H$497,MATCH(N163,Data!$A$2:$A$497,1))/INDEX(Data!$H$2:$H$497,MATCH(N151,Data!$A$2:$A$497,1))),"")</f>
      </c>
      <c r="AS163" s="560">
        <f>IFERROR(LN(INDEX(Data!$I$2:$I$497,MATCH(N163,Data!$A$2:$A$497,1))/INDEX(Data!$I$2:$I$497,MATCH(N151,Data!$A$2:$A$497,1))),"")</f>
      </c>
      <c r="AT163" s="560">
        <f>IFERROR(LN(INDEX(Data!$J$2:$J$497,MATCH(N163,Data!$A$2:$A$497,1))/INDEX(Data!$J$2:$J$497,MATCH(N151,Data!$A$2:$A$497,1))),"")</f>
      </c>
      <c r="AU163" s="560">
        <f>IFERROR(LN(INDEX(Data!$K$2:$K$497,MATCH(N163,Data!$A$2:$A$497,1))/INDEX(Data!$K$2:$K$497,MATCH(N151,Data!$A$2:$A$497,1))),"")</f>
      </c>
      <c r="AV163" s="561">
        <f>IFERROR(LN(INDEX(Data!$L$2:$L$497,MATCH(N163,Data!$A$2:$A$497,1))/INDEX(Data!$L$2:$L$497,MATCH(N151,Data!$A$2:$A$497,1))),"")</f>
      </c>
    </row>
    <row r="164">
      <c r="A164" s="595" t="inlineStr">
        <is>
          <t>Commodities +1%, world equities -1%</t>
        </is>
      </c>
      <c r="B164" s="483">
        <f>Risk!B$58+0</f>
        <v>0.2738</v>
      </c>
      <c r="C164" s="482">
        <f>Risk!C$58+-0.01</f>
        <v>0.269</v>
      </c>
      <c r="D164" s="483">
        <f>Risk!D$58+0</f>
        <v>0.0672</v>
      </c>
      <c r="E164" s="483">
        <f>Risk!E$58+0</f>
        <v>0.0867</v>
      </c>
      <c r="F164" s="482">
        <f>Risk!F$58+0.01</f>
        <v>0.0344</v>
      </c>
      <c r="G164" s="483">
        <f>Risk!G$58+0</f>
        <v>0</v>
      </c>
      <c r="H164" s="483">
        <f>Risk!H$58+0</f>
        <v>0</v>
      </c>
      <c r="I164" s="483">
        <f>Risk!I$58+0</f>
        <v>0</v>
      </c>
      <c r="J164" s="483">
        <f>Risk!J$58+0</f>
        <v>0.12</v>
      </c>
      <c r="K164" s="483">
        <f>Risk!K$58+0</f>
        <v>0.1289</v>
      </c>
      <c r="L164" s="596">
        <f>Risk!L$58+0</f>
        <v>0.02</v>
      </c>
      <c r="N164" s="337" t="n">
        <v>29706</v>
      </c>
      <c r="O164" s="116">
        <f>INDEX('Additional data'!$B$2:$B$965,MATCH(DATE(YEAR(N164),MONTH(N164),1),'Additional data'!$A$2:$A$965,0))</f>
        <v>38</v>
      </c>
      <c r="P164" s="489">
        <f>LN(O164)</f>
        <v>3.63758615972639</v>
      </c>
      <c r="Q164" s="489">
        <f>Q163+LN(1+INDEX('Additional data'!$H$2:$H$1196,MATCH(N164,'Additional data'!$G$2:$G$1196,1))+INDEX('Additional data'!$I$2:$I$1196,MATCH(N164,'Additional data'!$G$2:$G$1196,1)))</f>
        <v>0.904003012538627</v>
      </c>
      <c r="R164" s="77" t="n"/>
      <c r="S164" s="116">
        <f>IF(INDEX('Additional data'!$E$2:$E$699,MATCH(DATE(YEAR(N164),MONTH(N164),1),'Additional data'!$D$2:$D$699,0))=0,(INDEX('Additional data'!$E$2:$E$699,MATCH(DATE(YEAR(N164),MONTH(N164),1),'Additional data'!$D$2:$D$699,0)-1)+INDEX('Additional data'!$E$2:$E$699,MATCH(DATE(YEAR(N164),MONTH(N164),1),'Additional data'!$D$2:$D$699,0)+1))/2,INDEX('Additional data'!$E$2:$E$699,MATCH(DATE(YEAR(N164),MONTH(N164),1),'Additional data'!$D$2:$D$699,0)))</f>
        <v>16.69</v>
      </c>
      <c r="T164" s="425">
        <f>P164-P163</f>
        <v>0</v>
      </c>
      <c r="U164" s="425">
        <f>Q164-Q163</f>
        <v>-0.0108587433348758</v>
      </c>
      <c r="V164" s="77" t="n"/>
      <c r="W164" s="116">
        <f>S164-S163</f>
        <v>2.06</v>
      </c>
      <c r="X164" s="425">
        <f>P164-P152</f>
        <v>-0.0387145121806904</v>
      </c>
      <c r="Y164" s="425">
        <f>Q164-Q152</f>
        <v>0.315331028476295</v>
      </c>
      <c r="Z164" s="77" t="n"/>
      <c r="AA164" s="116">
        <f>S164-S152</f>
        <v>3.41</v>
      </c>
      <c r="AB164" s="425">
        <f>P164-P104</f>
        <v>1.13861225272695</v>
      </c>
      <c r="AC164" s="425">
        <f>Q164-Q104</f>
        <v>0.655311007403102</v>
      </c>
      <c r="AD164" s="77" t="n"/>
      <c r="AE164" s="235">
        <f>S164-S104</f>
        <v>7.08</v>
      </c>
      <c r="AG164" s="554">
        <f>N164</f>
        <v>29706.0</v>
      </c>
      <c r="AH164" s="435">
        <f>IFERROR(INDEX('RBA 5Y yield'!$B$5:$B$661,MATCH(N164,'RBA 5Y yield'!$A$5:$A$661,1))*100,"")</f>
        <v>13.1</v>
      </c>
      <c r="AI164" s="435">
        <f>IF(AND(ISNUMBER(AH164),ISNUMBER(AH163)),AH164-AH163,"")</f>
        <v>0</v>
      </c>
      <c r="AJ164" s="435">
        <f>IF(AND(ISNUMBER(AH164),ISNUMBER(AH152)),AH164-AH152,"")</f>
        <v>1.65</v>
      </c>
      <c r="AK164" s="435">
        <f>IF(AND(ISNUMBER(AH164),ISNUMBER(AH104)),AH164-AH104,"")</f>
        <v>3.68</v>
      </c>
      <c r="AL164" s="560">
        <f>IFERROR(LN(INDEX(Data!$B$2:$B$497,MATCH(N164,Data!$A$2:$A$497,1))/INDEX(Data!$B$2:$B$497,MATCH(N152,Data!$A$2:$A$497,1))),"")</f>
      </c>
      <c r="AM164" s="560">
        <f>IFERROR(LN(INDEX(Data!$C$2:$C$497,MATCH(N164,Data!$A$2:$A$497,1))/INDEX(Data!$C$2:$C$497,MATCH(N152,Data!$A$2:$A$497,1))),"")</f>
      </c>
      <c r="AN164" s="560">
        <f>IFERROR(LN(INDEX(Data!$D$2:$D$497,MATCH(N164,Data!$A$2:$A$497,1))/INDEX(Data!$D$2:$D$497,MATCH(N152,Data!$A$2:$A$497,1))),"")</f>
      </c>
      <c r="AO164" s="560">
        <f>IFERROR(LN(INDEX(Data!$E$2:$E$497,MATCH(N164,Data!$A$2:$A$497,1))/INDEX(Data!$E$2:$E$497,MATCH(N152,Data!$A$2:$A$497,1))),"")</f>
      </c>
      <c r="AP164" s="560">
        <f>IFERROR(LN(INDEX(Data!$F$2:$F$497,MATCH(N164,Data!$A$2:$A$497,1))/INDEX(Data!$F$2:$F$497,MATCH(N152,Data!$A$2:$A$497,1))),"")</f>
      </c>
      <c r="AQ164" s="560">
        <f>IFERROR(LN(INDEX(Data!$G$2:$G$497,MATCH(N164,Data!$A$2:$A$497,1))/INDEX(Data!$G$2:$G$497,MATCH(N152,Data!$A$2:$A$497,1))),"")</f>
      </c>
      <c r="AR164" s="560">
        <f>IFERROR(LN(INDEX(Data!$H$2:$H$497,MATCH(N164,Data!$A$2:$A$497,1))/INDEX(Data!$H$2:$H$497,MATCH(N152,Data!$A$2:$A$497,1))),"")</f>
      </c>
      <c r="AS164" s="560">
        <f>IFERROR(LN(INDEX(Data!$I$2:$I$497,MATCH(N164,Data!$A$2:$A$497,1))/INDEX(Data!$I$2:$I$497,MATCH(N152,Data!$A$2:$A$497,1))),"")</f>
      </c>
      <c r="AT164" s="560">
        <f>IFERROR(LN(INDEX(Data!$J$2:$J$497,MATCH(N164,Data!$A$2:$A$497,1))/INDEX(Data!$J$2:$J$497,MATCH(N152,Data!$A$2:$A$497,1))),"")</f>
      </c>
      <c r="AU164" s="560">
        <f>IFERROR(LN(INDEX(Data!$K$2:$K$497,MATCH(N164,Data!$A$2:$A$497,1))/INDEX(Data!$K$2:$K$497,MATCH(N152,Data!$A$2:$A$497,1))),"")</f>
      </c>
      <c r="AV164" s="561">
        <f>IFERROR(LN(INDEX(Data!$L$2:$L$497,MATCH(N164,Data!$A$2:$A$497,1))/INDEX(Data!$L$2:$L$497,MATCH(N152,Data!$A$2:$A$497,1))),"")</f>
      </c>
    </row>
    <row r="165">
      <c r="A165" s="595" t="inlineStr">
        <is>
          <t>Commodities +2%, Australian equities -2%</t>
        </is>
      </c>
      <c r="B165" s="482">
        <f>Risk!B$58+-0.02</f>
        <v>0.2538</v>
      </c>
      <c r="C165" s="483">
        <f>Risk!C$58+0</f>
        <v>0.279</v>
      </c>
      <c r="D165" s="483">
        <f>Risk!D$58+0</f>
        <v>0.0672</v>
      </c>
      <c r="E165" s="483">
        <f>Risk!E$58+0</f>
        <v>0.0867</v>
      </c>
      <c r="F165" s="482">
        <f>Risk!F$58+0.02</f>
        <v>0.0444</v>
      </c>
      <c r="G165" s="483">
        <f>Risk!G$58+0</f>
        <v>0</v>
      </c>
      <c r="H165" s="483">
        <f>Risk!H$58+0</f>
        <v>0</v>
      </c>
      <c r="I165" s="483">
        <f>Risk!I$58+0</f>
        <v>0</v>
      </c>
      <c r="J165" s="483">
        <f>Risk!J$58+0</f>
        <v>0.12</v>
      </c>
      <c r="K165" s="483">
        <f>Risk!K$58+0</f>
        <v>0.1289</v>
      </c>
      <c r="L165" s="596">
        <f>Risk!L$58+0</f>
        <v>0.02</v>
      </c>
      <c r="N165" s="337" t="n">
        <v>29737</v>
      </c>
      <c r="O165" s="116">
        <f>INDEX('Additional data'!$B$2:$B$965,MATCH(DATE(YEAR(N165),MONTH(N165),1),'Additional data'!$A$2:$A$965,0))</f>
        <v>38</v>
      </c>
      <c r="P165" s="489">
        <f>LN(O165)</f>
        <v>3.63758615972639</v>
      </c>
      <c r="Q165" s="489">
        <f>Q164+LN(1+INDEX('Additional data'!$H$2:$H$1196,MATCH(N165,'Additional data'!$G$2:$G$1196,1))+INDEX('Additional data'!$I$2:$I$1196,MATCH(N165,'Additional data'!$G$2:$G$1196,1)))</f>
        <v>0.916721784946402</v>
      </c>
      <c r="R165" s="77" t="n"/>
      <c r="S165" s="116">
        <f>IF(INDEX('Additional data'!$E$2:$E$699,MATCH(DATE(YEAR(N165),MONTH(N165),1),'Additional data'!$D$2:$D$699,0))=0,(INDEX('Additional data'!$E$2:$E$699,MATCH(DATE(YEAR(N165),MONTH(N165),1),'Additional data'!$D$2:$D$699,0)-1)+INDEX('Additional data'!$E$2:$E$699,MATCH(DATE(YEAR(N165),MONTH(N165),1),'Additional data'!$D$2:$D$699,0)+1))/2,INDEX('Additional data'!$E$2:$E$699,MATCH(DATE(YEAR(N165),MONTH(N165),1),'Additional data'!$D$2:$D$699,0)))</f>
        <v>16.28</v>
      </c>
      <c r="T165" s="425">
        <f>P165-P164</f>
        <v>0</v>
      </c>
      <c r="U165" s="425">
        <f>Q165-Q164</f>
        <v>0.0127187724077749</v>
      </c>
      <c r="V165" s="77" t="n"/>
      <c r="W165" s="116">
        <f>S165-S164</f>
        <v>-0.41</v>
      </c>
      <c r="X165" s="425">
        <f>P165-P153</f>
        <v>-0.0387145121806904</v>
      </c>
      <c r="Y165" s="425">
        <f>Q165-Q153</f>
        <v>0.269120733354782</v>
      </c>
      <c r="Z165" s="77" t="n"/>
      <c r="AA165" s="116">
        <f>S165-S153</f>
        <v>2.45</v>
      </c>
      <c r="AB165" s="425">
        <f>P165-P105</f>
        <v>1.13861225272695</v>
      </c>
      <c r="AC165" s="425">
        <f>Q165-Q105</f>
        <v>0.677777131265756</v>
      </c>
      <c r="AD165" s="77" t="n"/>
      <c r="AE165" s="235">
        <f>S165-S105</f>
        <v>6.04</v>
      </c>
      <c r="AG165" s="554">
        <f>N165</f>
        <v>29737.0</v>
      </c>
      <c r="AH165" s="435">
        <f>IFERROR(INDEX('RBA 5Y yield'!$B$5:$B$661,MATCH(N165,'RBA 5Y yield'!$A$5:$A$661,1))*100,"")</f>
        <v>13.1</v>
      </c>
      <c r="AI165" s="435">
        <f>IF(AND(ISNUMBER(AH165),ISNUMBER(AH164)),AH165-AH164,"")</f>
        <v>0</v>
      </c>
      <c r="AJ165" s="435">
        <f>IF(AND(ISNUMBER(AH165),ISNUMBER(AH153)),AH165-AH153,"")</f>
        <v>1.3</v>
      </c>
      <c r="AK165" s="435">
        <f>IF(AND(ISNUMBER(AH165),ISNUMBER(AH105)),AH165-AH105,"")</f>
        <v>3.68</v>
      </c>
      <c r="AL165" s="560">
        <f>IFERROR(LN(INDEX(Data!$B$2:$B$497,MATCH(N165,Data!$A$2:$A$497,1))/INDEX(Data!$B$2:$B$497,MATCH(N153,Data!$A$2:$A$497,1))),"")</f>
      </c>
      <c r="AM165" s="560">
        <f>IFERROR(LN(INDEX(Data!$C$2:$C$497,MATCH(N165,Data!$A$2:$A$497,1))/INDEX(Data!$C$2:$C$497,MATCH(N153,Data!$A$2:$A$497,1))),"")</f>
      </c>
      <c r="AN165" s="560">
        <f>IFERROR(LN(INDEX(Data!$D$2:$D$497,MATCH(N165,Data!$A$2:$A$497,1))/INDEX(Data!$D$2:$D$497,MATCH(N153,Data!$A$2:$A$497,1))),"")</f>
      </c>
      <c r="AO165" s="560">
        <f>IFERROR(LN(INDEX(Data!$E$2:$E$497,MATCH(N165,Data!$A$2:$A$497,1))/INDEX(Data!$E$2:$E$497,MATCH(N153,Data!$A$2:$A$497,1))),"")</f>
      </c>
      <c r="AP165" s="560">
        <f>IFERROR(LN(INDEX(Data!$F$2:$F$497,MATCH(N165,Data!$A$2:$A$497,1))/INDEX(Data!$F$2:$F$497,MATCH(N153,Data!$A$2:$A$497,1))),"")</f>
      </c>
      <c r="AQ165" s="560">
        <f>IFERROR(LN(INDEX(Data!$G$2:$G$497,MATCH(N165,Data!$A$2:$A$497,1))/INDEX(Data!$G$2:$G$497,MATCH(N153,Data!$A$2:$A$497,1))),"")</f>
      </c>
      <c r="AR165" s="560">
        <f>IFERROR(LN(INDEX(Data!$H$2:$H$497,MATCH(N165,Data!$A$2:$A$497,1))/INDEX(Data!$H$2:$H$497,MATCH(N153,Data!$A$2:$A$497,1))),"")</f>
      </c>
      <c r="AS165" s="560">
        <f>IFERROR(LN(INDEX(Data!$I$2:$I$497,MATCH(N165,Data!$A$2:$A$497,1))/INDEX(Data!$I$2:$I$497,MATCH(N153,Data!$A$2:$A$497,1))),"")</f>
      </c>
      <c r="AT165" s="560">
        <f>IFERROR(LN(INDEX(Data!$J$2:$J$497,MATCH(N165,Data!$A$2:$A$497,1))/INDEX(Data!$J$2:$J$497,MATCH(N153,Data!$A$2:$A$497,1))),"")</f>
      </c>
      <c r="AU165" s="560">
        <f>IFERROR(LN(INDEX(Data!$K$2:$K$497,MATCH(N165,Data!$A$2:$A$497,1))/INDEX(Data!$K$2:$K$497,MATCH(N153,Data!$A$2:$A$497,1))),"")</f>
      </c>
      <c r="AV165" s="561">
        <f>IFERROR(LN(INDEX(Data!$L$2:$L$497,MATCH(N165,Data!$A$2:$A$497,1))/INDEX(Data!$L$2:$L$497,MATCH(N153,Data!$A$2:$A$497,1))),"")</f>
      </c>
    </row>
    <row r="166">
      <c r="A166" s="595" t="inlineStr">
        <is>
          <t>Commodities +4%, Australian equities -4%</t>
        </is>
      </c>
      <c r="B166" s="482">
        <f>Risk!B$58+-0.04</f>
        <v>0.2338</v>
      </c>
      <c r="C166" s="483">
        <f>Risk!C$58+0</f>
        <v>0.279</v>
      </c>
      <c r="D166" s="483">
        <f>Risk!D$58+0</f>
        <v>0.0672</v>
      </c>
      <c r="E166" s="483">
        <f>Risk!E$58+0</f>
        <v>0.0867</v>
      </c>
      <c r="F166" s="482">
        <f>Risk!F$58+0.04</f>
        <v>0.0644</v>
      </c>
      <c r="G166" s="483">
        <f>Risk!G$58+0</f>
        <v>0</v>
      </c>
      <c r="H166" s="483">
        <f>Risk!H$58+0</f>
        <v>0</v>
      </c>
      <c r="I166" s="483">
        <f>Risk!I$58+0</f>
        <v>0</v>
      </c>
      <c r="J166" s="483">
        <f>Risk!J$58+0</f>
        <v>0.12</v>
      </c>
      <c r="K166" s="483">
        <f>Risk!K$58+0</f>
        <v>0.1289</v>
      </c>
      <c r="L166" s="596">
        <f>Risk!L$58+0</f>
        <v>0.02</v>
      </c>
      <c r="N166" s="337" t="n">
        <v>29767</v>
      </c>
      <c r="O166" s="116">
        <f>INDEX('Additional data'!$B$2:$B$965,MATCH(DATE(YEAR(N166),MONTH(N166),1),'Additional data'!$A$2:$A$965,0))</f>
        <v>36</v>
      </c>
      <c r="P166" s="489">
        <f>LN(O166)</f>
        <v>3.58351893845611</v>
      </c>
      <c r="Q166" s="489">
        <f>Q165+LN(1+INDEX('Additional data'!$H$2:$H$1196,MATCH(N166,'Additional data'!$G$2:$G$1196,1))+INDEX('Additional data'!$I$2:$I$1196,MATCH(N166,'Additional data'!$G$2:$G$1196,1)))</f>
        <v>0.906772454092734</v>
      </c>
      <c r="R166" s="77" t="n"/>
      <c r="S166" s="116">
        <f>IF(INDEX('Additional data'!$E$2:$E$699,MATCH(DATE(YEAR(N166),MONTH(N166),1),'Additional data'!$D$2:$D$699,0))=0,(INDEX('Additional data'!$E$2:$E$699,MATCH(DATE(YEAR(N166),MONTH(N166),1),'Additional data'!$D$2:$D$699,0)-1)+INDEX('Additional data'!$E$2:$E$699,MATCH(DATE(YEAR(N166),MONTH(N166),1),'Additional data'!$D$2:$D$699,0)+1))/2,INDEX('Additional data'!$E$2:$E$699,MATCH(DATE(YEAR(N166),MONTH(N166),1),'Additional data'!$D$2:$D$699,0)))</f>
        <v>15.58</v>
      </c>
      <c r="T166" s="425">
        <f>P166-P165</f>
        <v>-0.0540672212702757</v>
      </c>
      <c r="U166" s="425">
        <f>Q166-Q165</f>
        <v>-0.00994933085366812</v>
      </c>
      <c r="V166" s="77" t="n"/>
      <c r="W166" s="116">
        <f>S166-S165</f>
        <v>-0.700000000000001</v>
      </c>
      <c r="X166" s="425">
        <f>P166-P154</f>
        <v>-0.0927817334509662</v>
      </c>
      <c r="Y166" s="425">
        <f>Q166-Q154</f>
        <v>0.223900788419195</v>
      </c>
      <c r="Z166" s="77" t="n"/>
      <c r="AA166" s="116">
        <f>S166-S154</f>
        <v>1.75</v>
      </c>
      <c r="AB166" s="425">
        <f>P166-P106</f>
        <v>1.08454503145667</v>
      </c>
      <c r="AC166" s="425">
        <f>Q166-Q106</f>
        <v>0.62390661335416</v>
      </c>
      <c r="AD166" s="77" t="n"/>
      <c r="AE166" s="235">
        <f>S166-S106</f>
        <v>5.31</v>
      </c>
      <c r="AG166" s="554">
        <f>N166</f>
        <v>29767.0</v>
      </c>
      <c r="AH166" s="435">
        <f>IFERROR(INDEX('RBA 5Y yield'!$B$5:$B$661,MATCH(N166,'RBA 5Y yield'!$A$5:$A$661,1))*100,"")</f>
        <v>13.1</v>
      </c>
      <c r="AI166" s="435">
        <f>IF(AND(ISNUMBER(AH166),ISNUMBER(AH165)),AH166-AH165,"")</f>
        <v>0</v>
      </c>
      <c r="AJ166" s="435">
        <f>IF(AND(ISNUMBER(AH166),ISNUMBER(AH154)),AH166-AH154,"")</f>
        <v>1.32</v>
      </c>
      <c r="AK166" s="435">
        <f>IF(AND(ISNUMBER(AH166),ISNUMBER(AH106)),AH166-AH106,"")</f>
        <v>3.69</v>
      </c>
      <c r="AL166" s="560">
        <f>IFERROR(LN(INDEX(Data!$B$2:$B$497,MATCH(N166,Data!$A$2:$A$497,1))/INDEX(Data!$B$2:$B$497,MATCH(N154,Data!$A$2:$A$497,1))),"")</f>
      </c>
      <c r="AM166" s="560">
        <f>IFERROR(LN(INDEX(Data!$C$2:$C$497,MATCH(N166,Data!$A$2:$A$497,1))/INDEX(Data!$C$2:$C$497,MATCH(N154,Data!$A$2:$A$497,1))),"")</f>
      </c>
      <c r="AN166" s="560">
        <f>IFERROR(LN(INDEX(Data!$D$2:$D$497,MATCH(N166,Data!$A$2:$A$497,1))/INDEX(Data!$D$2:$D$497,MATCH(N154,Data!$A$2:$A$497,1))),"")</f>
      </c>
      <c r="AO166" s="560">
        <f>IFERROR(LN(INDEX(Data!$E$2:$E$497,MATCH(N166,Data!$A$2:$A$497,1))/INDEX(Data!$E$2:$E$497,MATCH(N154,Data!$A$2:$A$497,1))),"")</f>
      </c>
      <c r="AP166" s="560">
        <f>IFERROR(LN(INDEX(Data!$F$2:$F$497,MATCH(N166,Data!$A$2:$A$497,1))/INDEX(Data!$F$2:$F$497,MATCH(N154,Data!$A$2:$A$497,1))),"")</f>
      </c>
      <c r="AQ166" s="560">
        <f>IFERROR(LN(INDEX(Data!$G$2:$G$497,MATCH(N166,Data!$A$2:$A$497,1))/INDEX(Data!$G$2:$G$497,MATCH(N154,Data!$A$2:$A$497,1))),"")</f>
      </c>
      <c r="AR166" s="560">
        <f>IFERROR(LN(INDEX(Data!$H$2:$H$497,MATCH(N166,Data!$A$2:$A$497,1))/INDEX(Data!$H$2:$H$497,MATCH(N154,Data!$A$2:$A$497,1))),"")</f>
      </c>
      <c r="AS166" s="560">
        <f>IFERROR(LN(INDEX(Data!$I$2:$I$497,MATCH(N166,Data!$A$2:$A$497,1))/INDEX(Data!$I$2:$I$497,MATCH(N154,Data!$A$2:$A$497,1))),"")</f>
      </c>
      <c r="AT166" s="560">
        <f>IFERROR(LN(INDEX(Data!$J$2:$J$497,MATCH(N166,Data!$A$2:$A$497,1))/INDEX(Data!$J$2:$J$497,MATCH(N154,Data!$A$2:$A$497,1))),"")</f>
      </c>
      <c r="AU166" s="560">
        <f>IFERROR(LN(INDEX(Data!$K$2:$K$497,MATCH(N166,Data!$A$2:$A$497,1))/INDEX(Data!$K$2:$K$497,MATCH(N154,Data!$A$2:$A$497,1))),"")</f>
      </c>
      <c r="AV166" s="561">
        <f>IFERROR(LN(INDEX(Data!$L$2:$L$497,MATCH(N166,Data!$A$2:$A$497,1))/INDEX(Data!$L$2:$L$497,MATCH(N154,Data!$A$2:$A$497,1))),"")</f>
      </c>
    </row>
    <row r="167">
      <c r="A167" s="595" t="inlineStr">
        <is>
          <t>Shorter duration: Australian fixed income -5%, cash +5%</t>
        </is>
      </c>
      <c r="B167" s="483">
        <f>Risk!B$58+0</f>
        <v>0.2738</v>
      </c>
      <c r="C167" s="483">
        <f>Risk!C$58+0</f>
        <v>0.279</v>
      </c>
      <c r="D167" s="483">
        <f>Risk!D$58+0</f>
        <v>0.0672</v>
      </c>
      <c r="E167" s="483">
        <f>Risk!E$58+0</f>
        <v>0.0867</v>
      </c>
      <c r="F167" s="483">
        <f>Risk!F$58+0</f>
        <v>0.0244</v>
      </c>
      <c r="G167" s="483">
        <f>Risk!G$58+0</f>
        <v>0</v>
      </c>
      <c r="H167" s="483">
        <f>Risk!H$58+0</f>
        <v>0</v>
      </c>
      <c r="I167" s="483">
        <f>Risk!I$58+0</f>
        <v>0</v>
      </c>
      <c r="J167" s="482">
        <f>Risk!J$58+-0.05</f>
        <v>0.07</v>
      </c>
      <c r="K167" s="483">
        <f>Risk!K$58+0</f>
        <v>0.1289</v>
      </c>
      <c r="L167" s="597">
        <f>Risk!L$58+0.05</f>
        <v>0.07</v>
      </c>
      <c r="N167" s="337" t="n">
        <v>29798</v>
      </c>
      <c r="O167" s="116">
        <f>INDEX('Additional data'!$B$2:$B$965,MATCH(DATE(YEAR(N167),MONTH(N167),1),'Additional data'!$A$2:$A$965,0))</f>
        <v>36</v>
      </c>
      <c r="P167" s="489">
        <f>LN(O167)</f>
        <v>3.58351893845611</v>
      </c>
      <c r="Q167" s="489">
        <f>Q166+LN(1+INDEX('Additional data'!$H$2:$H$1196,MATCH(N167,'Additional data'!$G$2:$G$1196,1))+INDEX('Additional data'!$I$2:$I$1196,MATCH(N167,'Additional data'!$G$2:$G$1196,1)))</f>
        <v>0.903667639139255</v>
      </c>
      <c r="R167" s="77" t="n"/>
      <c r="S167" s="116">
        <f>IF(INDEX('Additional data'!$E$2:$E$699,MATCH(DATE(YEAR(N167),MONTH(N167),1),'Additional data'!$D$2:$D$699,0))=0,(INDEX('Additional data'!$E$2:$E$699,MATCH(DATE(YEAR(N167),MONTH(N167),1),'Additional data'!$D$2:$D$699,0)-1)+INDEX('Additional data'!$E$2:$E$699,MATCH(DATE(YEAR(N167),MONTH(N167),1),'Additional data'!$D$2:$D$699,0)+1))/2,INDEX('Additional data'!$E$2:$E$699,MATCH(DATE(YEAR(N167),MONTH(N167),1),'Additional data'!$D$2:$D$699,0)))</f>
        <v>15.39</v>
      </c>
      <c r="T167" s="425">
        <f>P167-P166</f>
        <v>0</v>
      </c>
      <c r="U167" s="425">
        <f>Q167-Q166</f>
        <v>-0.00310481495347881</v>
      </c>
      <c r="V167" s="77" t="n"/>
      <c r="W167" s="116">
        <f>S167-S166</f>
        <v>-0.19</v>
      </c>
      <c r="X167" s="425">
        <f>P167-P155</f>
        <v>-0.0927817334509662</v>
      </c>
      <c r="Y167" s="425">
        <f>Q167-Q155</f>
        <v>0.152763563073889</v>
      </c>
      <c r="Z167" s="77" t="n"/>
      <c r="AA167" s="116">
        <f>S167-S155</f>
        <v>2.52</v>
      </c>
      <c r="AB167" s="425">
        <f>P167-P107</f>
        <v>1.08454503145667</v>
      </c>
      <c r="AC167" s="425">
        <f>Q167-Q107</f>
        <v>0.626719272164719</v>
      </c>
      <c r="AD167" s="77" t="n"/>
      <c r="AE167" s="235">
        <f>S167-S107</f>
        <v>5.72</v>
      </c>
      <c r="AG167" s="554">
        <f>N167</f>
        <v>29798.0</v>
      </c>
      <c r="AH167" s="435">
        <f>IFERROR(INDEX('RBA 5Y yield'!$B$5:$B$661,MATCH(N167,'RBA 5Y yield'!$A$5:$A$661,1))*100,"")</f>
        <v>13.75</v>
      </c>
      <c r="AI167" s="435">
        <f>IF(AND(ISNUMBER(AH167),ISNUMBER(AH166)),AH167-AH166,"")</f>
        <v>0.65</v>
      </c>
      <c r="AJ167" s="435">
        <f>IF(AND(ISNUMBER(AH167),ISNUMBER(AH155)),AH167-AH155,"")</f>
        <v>1.97</v>
      </c>
      <c r="AK167" s="435">
        <f>IF(AND(ISNUMBER(AH167),ISNUMBER(AH107)),AH167-AH107,"")</f>
        <v>4.33</v>
      </c>
      <c r="AL167" s="560">
        <f>IFERROR(LN(INDEX(Data!$B$2:$B$497,MATCH(N167,Data!$A$2:$A$497,1))/INDEX(Data!$B$2:$B$497,MATCH(N155,Data!$A$2:$A$497,1))),"")</f>
      </c>
      <c r="AM167" s="560">
        <f>IFERROR(LN(INDEX(Data!$C$2:$C$497,MATCH(N167,Data!$A$2:$A$497,1))/INDEX(Data!$C$2:$C$497,MATCH(N155,Data!$A$2:$A$497,1))),"")</f>
      </c>
      <c r="AN167" s="560">
        <f>IFERROR(LN(INDEX(Data!$D$2:$D$497,MATCH(N167,Data!$A$2:$A$497,1))/INDEX(Data!$D$2:$D$497,MATCH(N155,Data!$A$2:$A$497,1))),"")</f>
      </c>
      <c r="AO167" s="560">
        <f>IFERROR(LN(INDEX(Data!$E$2:$E$497,MATCH(N167,Data!$A$2:$A$497,1))/INDEX(Data!$E$2:$E$497,MATCH(N155,Data!$A$2:$A$497,1))),"")</f>
      </c>
      <c r="AP167" s="560">
        <f>IFERROR(LN(INDEX(Data!$F$2:$F$497,MATCH(N167,Data!$A$2:$A$497,1))/INDEX(Data!$F$2:$F$497,MATCH(N155,Data!$A$2:$A$497,1))),"")</f>
      </c>
      <c r="AQ167" s="560">
        <f>IFERROR(LN(INDEX(Data!$G$2:$G$497,MATCH(N167,Data!$A$2:$A$497,1))/INDEX(Data!$G$2:$G$497,MATCH(N155,Data!$A$2:$A$497,1))),"")</f>
      </c>
      <c r="AR167" s="560">
        <f>IFERROR(LN(INDEX(Data!$H$2:$H$497,MATCH(N167,Data!$A$2:$A$497,1))/INDEX(Data!$H$2:$H$497,MATCH(N155,Data!$A$2:$A$497,1))),"")</f>
      </c>
      <c r="AS167" s="560">
        <f>IFERROR(LN(INDEX(Data!$I$2:$I$497,MATCH(N167,Data!$A$2:$A$497,1))/INDEX(Data!$I$2:$I$497,MATCH(N155,Data!$A$2:$A$497,1))),"")</f>
      </c>
      <c r="AT167" s="560">
        <f>IFERROR(LN(INDEX(Data!$J$2:$J$497,MATCH(N167,Data!$A$2:$A$497,1))/INDEX(Data!$J$2:$J$497,MATCH(N155,Data!$A$2:$A$497,1))),"")</f>
      </c>
      <c r="AU167" s="560">
        <f>IFERROR(LN(INDEX(Data!$K$2:$K$497,MATCH(N167,Data!$A$2:$A$497,1))/INDEX(Data!$K$2:$K$497,MATCH(N155,Data!$A$2:$A$497,1))),"")</f>
      </c>
      <c r="AV167" s="561">
        <f>IFERROR(LN(INDEX(Data!$L$2:$L$497,MATCH(N167,Data!$A$2:$A$497,1))/INDEX(Data!$L$2:$L$497,MATCH(N155,Data!$A$2:$A$497,1))),"")</f>
      </c>
    </row>
    <row r="168">
      <c r="A168" s="595" t="inlineStr">
        <is>
          <t>Combined: commodities +2% (from world equities), AFI -3% to cash</t>
        </is>
      </c>
      <c r="B168" s="483">
        <f>Risk!B$58+0</f>
        <v>0.2738</v>
      </c>
      <c r="C168" s="482">
        <f>Risk!C$58+-0.02</f>
        <v>0.259</v>
      </c>
      <c r="D168" s="483">
        <f>Risk!D$58+0</f>
        <v>0.0672</v>
      </c>
      <c r="E168" s="483">
        <f>Risk!E$58+0</f>
        <v>0.0867</v>
      </c>
      <c r="F168" s="482">
        <f>Risk!F$58+0.02</f>
        <v>0.0444</v>
      </c>
      <c r="G168" s="483">
        <f>Risk!G$58+0</f>
        <v>0</v>
      </c>
      <c r="H168" s="483">
        <f>Risk!H$58+0</f>
        <v>0</v>
      </c>
      <c r="I168" s="483">
        <f>Risk!I$58+0</f>
        <v>0</v>
      </c>
      <c r="J168" s="482">
        <f>Risk!J$58+-0.03</f>
        <v>0.09</v>
      </c>
      <c r="K168" s="483">
        <f>Risk!K$58+0</f>
        <v>0.1289</v>
      </c>
      <c r="L168" s="597">
        <f>Risk!L$58+0.03</f>
        <v>0.05</v>
      </c>
      <c r="N168" s="337" t="n">
        <v>29829</v>
      </c>
      <c r="O168" s="116">
        <f>INDEX('Additional data'!$B$2:$B$965,MATCH(DATE(YEAR(N168),MONTH(N168),1),'Additional data'!$A$2:$A$965,0))</f>
        <v>36</v>
      </c>
      <c r="P168" s="489">
        <f>LN(O168)</f>
        <v>3.58351893845611</v>
      </c>
      <c r="Q168" s="489">
        <f>Q167+LN(1+INDEX('Additional data'!$H$2:$H$1196,MATCH(N168,'Additional data'!$G$2:$G$1196,1))+INDEX('Additional data'!$I$2:$I$1196,MATCH(N168,'Additional data'!$G$2:$G$1196,1)))</f>
        <v>0.844554374646749</v>
      </c>
      <c r="R168" s="77" t="n"/>
      <c r="S168" s="116">
        <f>IF(INDEX('Additional data'!$E$2:$E$699,MATCH(DATE(YEAR(N168),MONTH(N168),1),'Additional data'!$D$2:$D$699,0))=0,(INDEX('Additional data'!$E$2:$E$699,MATCH(DATE(YEAR(N168),MONTH(N168),1),'Additional data'!$D$2:$D$699,0)-1)+INDEX('Additional data'!$E$2:$E$699,MATCH(DATE(YEAR(N168),MONTH(N168),1),'Additional data'!$D$2:$D$699,0)+1))/2,INDEX('Additional data'!$E$2:$E$699,MATCH(DATE(YEAR(N168),MONTH(N168),1),'Additional data'!$D$2:$D$699,0)))</f>
        <v>15.72</v>
      </c>
      <c r="T168" s="425">
        <f>P168-P167</f>
        <v>0</v>
      </c>
      <c r="U168" s="425">
        <f>Q168-Q167</f>
        <v>-0.0591132644925065</v>
      </c>
      <c r="V168" s="77" t="n"/>
      <c r="W168" s="116">
        <f>S168-S167</f>
        <v>0.33</v>
      </c>
      <c r="X168" s="425">
        <f>P168-P156</f>
        <v>-0.0540672212702757</v>
      </c>
      <c r="Y168" s="425">
        <f>Q168-Q156</f>
        <v>0.0700314329827485</v>
      </c>
      <c r="Z168" s="77" t="n"/>
      <c r="AA168" s="116">
        <f>S168-S156</f>
        <v>3.39</v>
      </c>
      <c r="AB168" s="425">
        <f>P168-P108</f>
        <v>1.08454503145667</v>
      </c>
      <c r="AC168" s="425">
        <f>Q168-Q108</f>
        <v>0.56910713379848</v>
      </c>
      <c r="AD168" s="77" t="n"/>
      <c r="AE168" s="235">
        <f>S168-S108</f>
        <v>6.36</v>
      </c>
      <c r="AG168" s="554">
        <f>N168</f>
        <v>29829.0</v>
      </c>
      <c r="AH168" s="435">
        <f>IFERROR(INDEX('RBA 5Y yield'!$B$5:$B$661,MATCH(N168,'RBA 5Y yield'!$A$5:$A$661,1))*100,"")</f>
        <v>15</v>
      </c>
      <c r="AI168" s="435">
        <f>IF(AND(ISNUMBER(AH168),ISNUMBER(AH167)),AH168-AH167,"")</f>
        <v>1.25</v>
      </c>
      <c r="AJ168" s="435">
        <f>IF(AND(ISNUMBER(AH168),ISNUMBER(AH156)),AH168-AH156,"")</f>
        <v>3.22</v>
      </c>
      <c r="AK168" s="435">
        <f>IF(AND(ISNUMBER(AH168),ISNUMBER(AH108)),AH168-AH108,"")</f>
        <v>5.59</v>
      </c>
      <c r="AL168" s="560">
        <f>IFERROR(LN(INDEX(Data!$B$2:$B$497,MATCH(N168,Data!$A$2:$A$497,1))/INDEX(Data!$B$2:$B$497,MATCH(N156,Data!$A$2:$A$497,1))),"")</f>
      </c>
      <c r="AM168" s="560">
        <f>IFERROR(LN(INDEX(Data!$C$2:$C$497,MATCH(N168,Data!$A$2:$A$497,1))/INDEX(Data!$C$2:$C$497,MATCH(N156,Data!$A$2:$A$497,1))),"")</f>
      </c>
      <c r="AN168" s="560">
        <f>IFERROR(LN(INDEX(Data!$D$2:$D$497,MATCH(N168,Data!$A$2:$A$497,1))/INDEX(Data!$D$2:$D$497,MATCH(N156,Data!$A$2:$A$497,1))),"")</f>
      </c>
      <c r="AO168" s="560">
        <f>IFERROR(LN(INDEX(Data!$E$2:$E$497,MATCH(N168,Data!$A$2:$A$497,1))/INDEX(Data!$E$2:$E$497,MATCH(N156,Data!$A$2:$A$497,1))),"")</f>
      </c>
      <c r="AP168" s="560">
        <f>IFERROR(LN(INDEX(Data!$F$2:$F$497,MATCH(N168,Data!$A$2:$A$497,1))/INDEX(Data!$F$2:$F$497,MATCH(N156,Data!$A$2:$A$497,1))),"")</f>
      </c>
      <c r="AQ168" s="560">
        <f>IFERROR(LN(INDEX(Data!$G$2:$G$497,MATCH(N168,Data!$A$2:$A$497,1))/INDEX(Data!$G$2:$G$497,MATCH(N156,Data!$A$2:$A$497,1))),"")</f>
      </c>
      <c r="AR168" s="560">
        <f>IFERROR(LN(INDEX(Data!$H$2:$H$497,MATCH(N168,Data!$A$2:$A$497,1))/INDEX(Data!$H$2:$H$497,MATCH(N156,Data!$A$2:$A$497,1))),"")</f>
      </c>
      <c r="AS168" s="560">
        <f>IFERROR(LN(INDEX(Data!$I$2:$I$497,MATCH(N168,Data!$A$2:$A$497,1))/INDEX(Data!$I$2:$I$497,MATCH(N156,Data!$A$2:$A$497,1))),"")</f>
      </c>
      <c r="AT168" s="560">
        <f>IFERROR(LN(INDEX(Data!$J$2:$J$497,MATCH(N168,Data!$A$2:$A$497,1))/INDEX(Data!$J$2:$J$497,MATCH(N156,Data!$A$2:$A$497,1))),"")</f>
      </c>
      <c r="AU168" s="560">
        <f>IFERROR(LN(INDEX(Data!$K$2:$K$497,MATCH(N168,Data!$A$2:$A$497,1))/INDEX(Data!$K$2:$K$497,MATCH(N156,Data!$A$2:$A$497,1))),"")</f>
      </c>
      <c r="AV168" s="561">
        <f>IFERROR(LN(INDEX(Data!$L$2:$L$497,MATCH(N168,Data!$A$2:$A$497,1))/INDEX(Data!$L$2:$L$497,MATCH(N156,Data!$A$2:$A$497,1))),"")</f>
      </c>
    </row>
    <row r="169">
      <c r="A169" s="595" t="inlineStr">
        <is>
          <t>Active: Recommended (no change)</t>
        </is>
      </c>
      <c r="B169" s="483">
        <f>B162-Risk!B$57</f>
        <v>0.0238</v>
      </c>
      <c r="C169" s="483">
        <f>C162-Risk!C$57</f>
        <v>0.039</v>
      </c>
      <c r="D169" s="483">
        <f>D162-Risk!D$57</f>
        <v>0.0372</v>
      </c>
      <c r="E169" s="483">
        <f>E162-Risk!E$57</f>
        <v>0.0167</v>
      </c>
      <c r="F169" s="483">
        <f>F162-Risk!F$57</f>
        <v>0.0044</v>
      </c>
      <c r="G169" s="483">
        <f>G162-Risk!G$57</f>
        <v>-0.05</v>
      </c>
      <c r="H169" s="483">
        <f>H162-Risk!H$57</f>
        <v>-0.03</v>
      </c>
      <c r="I169" s="483">
        <f>I162-Risk!I$57</f>
        <v>-0.03</v>
      </c>
      <c r="J169" s="483">
        <f>J162-Risk!J$57</f>
        <v>-0.02</v>
      </c>
      <c r="K169" s="483">
        <f>K162-Risk!K$57</f>
        <v>0.0189</v>
      </c>
      <c r="L169" s="596">
        <f>L162-Risk!L$57</f>
        <v>-0.01</v>
      </c>
      <c r="N169" s="337" t="n">
        <v>29859</v>
      </c>
      <c r="O169" s="116">
        <f>INDEX('Additional data'!$B$2:$B$965,MATCH(DATE(YEAR(N169),MONTH(N169),1),'Additional data'!$A$2:$A$965,0))</f>
        <v>36</v>
      </c>
      <c r="P169" s="489">
        <f>LN(O169)</f>
        <v>3.58351893845611</v>
      </c>
      <c r="Q169" s="489">
        <f>Q168+LN(1+INDEX('Additional data'!$H$2:$H$1196,MATCH(N169,'Additional data'!$G$2:$G$1196,1))+INDEX('Additional data'!$I$2:$I$1196,MATCH(N169,'Additional data'!$G$2:$G$1196,1)))</f>
        <v>0.783210744405697</v>
      </c>
      <c r="R169" s="77" t="n"/>
      <c r="S169" s="116">
        <f>IF(INDEX('Additional data'!$E$2:$E$699,MATCH(DATE(YEAR(N169),MONTH(N169),1),'Additional data'!$D$2:$D$699,0))=0,(INDEX('Additional data'!$E$2:$E$699,MATCH(DATE(YEAR(N169),MONTH(N169),1),'Additional data'!$D$2:$D$699,0)-1)+INDEX('Additional data'!$E$2:$E$699,MATCH(DATE(YEAR(N169),MONTH(N169),1),'Additional data'!$D$2:$D$699,0)+1))/2,INDEX('Additional data'!$E$2:$E$699,MATCH(DATE(YEAR(N169),MONTH(N169),1),'Additional data'!$D$2:$D$699,0)))</f>
        <v>15.35</v>
      </c>
      <c r="T169" s="425">
        <f>P169-P168</f>
        <v>0</v>
      </c>
      <c r="U169" s="425">
        <f>Q169-Q168</f>
        <v>-0.0613436302410519</v>
      </c>
      <c r="V169" s="77" t="n"/>
      <c r="W169" s="116">
        <f>S169-S168</f>
        <v>-0.370000000000001</v>
      </c>
      <c r="X169" s="425">
        <f>P169-P157</f>
        <v>0</v>
      </c>
      <c r="Y169" s="425">
        <f>Q169-Q157</f>
        <v>-0.0202883054948206</v>
      </c>
      <c r="Z169" s="77" t="n"/>
      <c r="AA169" s="116">
        <f>S169-S157</f>
        <v>3.66</v>
      </c>
      <c r="AB169" s="425">
        <f>P169-P109</f>
        <v>0.951630098319464</v>
      </c>
      <c r="AC169" s="425">
        <f>Q169-Q109</f>
        <v>0.483070890967056</v>
      </c>
      <c r="AD169" s="77" t="n"/>
      <c r="AE169" s="235">
        <f>S169-S109</f>
        <v>6.04</v>
      </c>
      <c r="AG169" s="554">
        <f>N169</f>
        <v>29859.0</v>
      </c>
      <c r="AH169" s="435">
        <f>IFERROR(INDEX('RBA 5Y yield'!$B$5:$B$661,MATCH(N169,'RBA 5Y yield'!$A$5:$A$661,1))*100,"")</f>
        <v>15</v>
      </c>
      <c r="AI169" s="435">
        <f>IF(AND(ISNUMBER(AH169),ISNUMBER(AH168)),AH169-AH168,"")</f>
        <v>0</v>
      </c>
      <c r="AJ169" s="435">
        <f>IF(AND(ISNUMBER(AH169),ISNUMBER(AH157)),AH169-AH157,"")</f>
        <v>3.21</v>
      </c>
      <c r="AK169" s="435">
        <f>IF(AND(ISNUMBER(AH169),ISNUMBER(AH109)),AH169-AH109,"")</f>
        <v>5.59</v>
      </c>
      <c r="AL169" s="560">
        <f>IFERROR(LN(INDEX(Data!$B$2:$B$497,MATCH(N169,Data!$A$2:$A$497,1))/INDEX(Data!$B$2:$B$497,MATCH(N157,Data!$A$2:$A$497,1))),"")</f>
      </c>
      <c r="AM169" s="560">
        <f>IFERROR(LN(INDEX(Data!$C$2:$C$497,MATCH(N169,Data!$A$2:$A$497,1))/INDEX(Data!$C$2:$C$497,MATCH(N157,Data!$A$2:$A$497,1))),"")</f>
      </c>
      <c r="AN169" s="560">
        <f>IFERROR(LN(INDEX(Data!$D$2:$D$497,MATCH(N169,Data!$A$2:$A$497,1))/INDEX(Data!$D$2:$D$497,MATCH(N157,Data!$A$2:$A$497,1))),"")</f>
      </c>
      <c r="AO169" s="560">
        <f>IFERROR(LN(INDEX(Data!$E$2:$E$497,MATCH(N169,Data!$A$2:$A$497,1))/INDEX(Data!$E$2:$E$497,MATCH(N157,Data!$A$2:$A$497,1))),"")</f>
      </c>
      <c r="AP169" s="560">
        <f>IFERROR(LN(INDEX(Data!$F$2:$F$497,MATCH(N169,Data!$A$2:$A$497,1))/INDEX(Data!$F$2:$F$497,MATCH(N157,Data!$A$2:$A$497,1))),"")</f>
      </c>
      <c r="AQ169" s="560">
        <f>IFERROR(LN(INDEX(Data!$G$2:$G$497,MATCH(N169,Data!$A$2:$A$497,1))/INDEX(Data!$G$2:$G$497,MATCH(N157,Data!$A$2:$A$497,1))),"")</f>
      </c>
      <c r="AR169" s="560">
        <f>IFERROR(LN(INDEX(Data!$H$2:$H$497,MATCH(N169,Data!$A$2:$A$497,1))/INDEX(Data!$H$2:$H$497,MATCH(N157,Data!$A$2:$A$497,1))),"")</f>
      </c>
      <c r="AS169" s="560">
        <f>IFERROR(LN(INDEX(Data!$I$2:$I$497,MATCH(N169,Data!$A$2:$A$497,1))/INDEX(Data!$I$2:$I$497,MATCH(N157,Data!$A$2:$A$497,1))),"")</f>
      </c>
      <c r="AT169" s="560">
        <f>IFERROR(LN(INDEX(Data!$J$2:$J$497,MATCH(N169,Data!$A$2:$A$497,1))/INDEX(Data!$J$2:$J$497,MATCH(N157,Data!$A$2:$A$497,1))),"")</f>
      </c>
      <c r="AU169" s="560">
        <f>IFERROR(LN(INDEX(Data!$K$2:$K$497,MATCH(N169,Data!$A$2:$A$497,1))/INDEX(Data!$K$2:$K$497,MATCH(N157,Data!$A$2:$A$497,1))),"")</f>
      </c>
      <c r="AV169" s="561">
        <f>IFERROR(LN(INDEX(Data!$L$2:$L$497,MATCH(N169,Data!$A$2:$A$497,1))/INDEX(Data!$L$2:$L$497,MATCH(N157,Data!$A$2:$A$497,1))),"")</f>
      </c>
    </row>
    <row r="170">
      <c r="A170" s="595" t="inlineStr">
        <is>
          <t>Active: Commodities +2%, world equities -2%</t>
        </is>
      </c>
      <c r="B170" s="483">
        <f>B163-Risk!B$57</f>
        <v>0.0238</v>
      </c>
      <c r="C170" s="483">
        <f>C163-Risk!C$57</f>
        <v>0.019</v>
      </c>
      <c r="D170" s="483">
        <f>D163-Risk!D$57</f>
        <v>0.0372</v>
      </c>
      <c r="E170" s="483">
        <f>E163-Risk!E$57</f>
        <v>0.0167</v>
      </c>
      <c r="F170" s="483">
        <f>F163-Risk!F$57</f>
        <v>0.0244</v>
      </c>
      <c r="G170" s="483">
        <f>G163-Risk!G$57</f>
        <v>-0.05</v>
      </c>
      <c r="H170" s="483">
        <f>H163-Risk!H$57</f>
        <v>-0.03</v>
      </c>
      <c r="I170" s="483">
        <f>I163-Risk!I$57</f>
        <v>-0.03</v>
      </c>
      <c r="J170" s="483">
        <f>J163-Risk!J$57</f>
        <v>-0.02</v>
      </c>
      <c r="K170" s="483">
        <f>K163-Risk!K$57</f>
        <v>0.0189</v>
      </c>
      <c r="L170" s="596">
        <f>L163-Risk!L$57</f>
        <v>-0.01</v>
      </c>
      <c r="N170" s="337" t="n">
        <v>29890</v>
      </c>
      <c r="O170" s="116">
        <f>INDEX('Additional data'!$B$2:$B$965,MATCH(DATE(YEAR(N170),MONTH(N170),1),'Additional data'!$A$2:$A$965,0))</f>
        <v>35</v>
      </c>
      <c r="P170" s="489">
        <f>LN(O170)</f>
        <v>3.55534806148941</v>
      </c>
      <c r="Q170" s="489">
        <f>Q169+LN(1+INDEX('Additional data'!$H$2:$H$1196,MATCH(N170,'Additional data'!$G$2:$G$1196,1))+INDEX('Additional data'!$I$2:$I$1196,MATCH(N170,'Additional data'!$G$2:$G$1196,1)))</f>
        <v>0.842705316191337</v>
      </c>
      <c r="R170" s="77" t="n"/>
      <c r="S170" s="116">
        <f>IF(INDEX('Additional data'!$E$2:$E$699,MATCH(DATE(YEAR(N170),MONTH(N170),1),'Additional data'!$D$2:$D$699,0))=0,(INDEX('Additional data'!$E$2:$E$699,MATCH(DATE(YEAR(N170),MONTH(N170),1),'Additional data'!$D$2:$D$699,0)-1)+INDEX('Additional data'!$E$2:$E$699,MATCH(DATE(YEAR(N170),MONTH(N170),1),'Additional data'!$D$2:$D$699,0)+1))/2,INDEX('Additional data'!$E$2:$E$699,MATCH(DATE(YEAR(N170),MONTH(N170),1),'Additional data'!$D$2:$D$699,0)))</f>
        <v>14.69</v>
      </c>
      <c r="T170" s="425">
        <f>P170-P169</f>
        <v>-0.0281708769666964</v>
      </c>
      <c r="U170" s="425">
        <f>Q170-Q169</f>
        <v>0.0594945717856397</v>
      </c>
      <c r="V170" s="77" t="n"/>
      <c r="W170" s="116">
        <f>S170-S169</f>
        <v>-0.66</v>
      </c>
      <c r="X170" s="425">
        <f>P170-P158</f>
        <v>-0.0281708769666964</v>
      </c>
      <c r="Y170" s="425">
        <f>Q170-Q158</f>
        <v>0.0195016830164836</v>
      </c>
      <c r="Z170" s="77" t="n"/>
      <c r="AA170" s="116">
        <f>S170-S158</f>
        <v>3.47</v>
      </c>
      <c r="AB170" s="425">
        <f>P170-P110</f>
        <v>0.923459221352768</v>
      </c>
      <c r="AC170" s="425">
        <f>Q170-Q110</f>
        <v>0.56287021609306</v>
      </c>
      <c r="AD170" s="77" t="n"/>
      <c r="AE170" s="235">
        <f>S170-S110</f>
        <v>5.63</v>
      </c>
      <c r="AG170" s="554">
        <f>N170</f>
        <v>29890.0</v>
      </c>
      <c r="AH170" s="435">
        <f>IFERROR(INDEX('RBA 5Y yield'!$B$5:$B$661,MATCH(N170,'RBA 5Y yield'!$A$5:$A$661,1))*100,"")</f>
        <v>15</v>
      </c>
      <c r="AI170" s="435">
        <f>IF(AND(ISNUMBER(AH170),ISNUMBER(AH169)),AH170-AH169,"")</f>
        <v>0</v>
      </c>
      <c r="AJ170" s="435">
        <f>IF(AND(ISNUMBER(AH170),ISNUMBER(AH158)),AH170-AH158,"")</f>
        <v>3.12</v>
      </c>
      <c r="AK170" s="435">
        <f>IF(AND(ISNUMBER(AH170),ISNUMBER(AH110)),AH170-AH110,"")</f>
        <v>5.59</v>
      </c>
      <c r="AL170" s="560">
        <f>IFERROR(LN(INDEX(Data!$B$2:$B$497,MATCH(N170,Data!$A$2:$A$497,1))/INDEX(Data!$B$2:$B$497,MATCH(N158,Data!$A$2:$A$497,1))),"")</f>
      </c>
      <c r="AM170" s="560">
        <f>IFERROR(LN(INDEX(Data!$C$2:$C$497,MATCH(N170,Data!$A$2:$A$497,1))/INDEX(Data!$C$2:$C$497,MATCH(N158,Data!$A$2:$A$497,1))),"")</f>
      </c>
      <c r="AN170" s="560">
        <f>IFERROR(LN(INDEX(Data!$D$2:$D$497,MATCH(N170,Data!$A$2:$A$497,1))/INDEX(Data!$D$2:$D$497,MATCH(N158,Data!$A$2:$A$497,1))),"")</f>
      </c>
      <c r="AO170" s="560">
        <f>IFERROR(LN(INDEX(Data!$E$2:$E$497,MATCH(N170,Data!$A$2:$A$497,1))/INDEX(Data!$E$2:$E$497,MATCH(N158,Data!$A$2:$A$497,1))),"")</f>
      </c>
      <c r="AP170" s="560">
        <f>IFERROR(LN(INDEX(Data!$F$2:$F$497,MATCH(N170,Data!$A$2:$A$497,1))/INDEX(Data!$F$2:$F$497,MATCH(N158,Data!$A$2:$A$497,1))),"")</f>
      </c>
      <c r="AQ170" s="560">
        <f>IFERROR(LN(INDEX(Data!$G$2:$G$497,MATCH(N170,Data!$A$2:$A$497,1))/INDEX(Data!$G$2:$G$497,MATCH(N158,Data!$A$2:$A$497,1))),"")</f>
      </c>
      <c r="AR170" s="560">
        <f>IFERROR(LN(INDEX(Data!$H$2:$H$497,MATCH(N170,Data!$A$2:$A$497,1))/INDEX(Data!$H$2:$H$497,MATCH(N158,Data!$A$2:$A$497,1))),"")</f>
      </c>
      <c r="AS170" s="560">
        <f>IFERROR(LN(INDEX(Data!$I$2:$I$497,MATCH(N170,Data!$A$2:$A$497,1))/INDEX(Data!$I$2:$I$497,MATCH(N158,Data!$A$2:$A$497,1))),"")</f>
      </c>
      <c r="AT170" s="560">
        <f>IFERROR(LN(INDEX(Data!$J$2:$J$497,MATCH(N170,Data!$A$2:$A$497,1))/INDEX(Data!$J$2:$J$497,MATCH(N158,Data!$A$2:$A$497,1))),"")</f>
      </c>
      <c r="AU170" s="560">
        <f>IFERROR(LN(INDEX(Data!$K$2:$K$497,MATCH(N170,Data!$A$2:$A$497,1))/INDEX(Data!$K$2:$K$497,MATCH(N158,Data!$A$2:$A$497,1))),"")</f>
      </c>
      <c r="AV170" s="561">
        <f>IFERROR(LN(INDEX(Data!$L$2:$L$497,MATCH(N170,Data!$A$2:$A$497,1))/INDEX(Data!$L$2:$L$497,MATCH(N158,Data!$A$2:$A$497,1))),"")</f>
      </c>
    </row>
    <row r="171">
      <c r="A171" s="595" t="inlineStr">
        <is>
          <t>Active: Commodities +1%, world equities -1%</t>
        </is>
      </c>
      <c r="B171" s="483">
        <f>B164-Risk!B$57</f>
        <v>0.0238</v>
      </c>
      <c r="C171" s="483">
        <f>C164-Risk!C$57</f>
        <v>0.029</v>
      </c>
      <c r="D171" s="483">
        <f>D164-Risk!D$57</f>
        <v>0.0372</v>
      </c>
      <c r="E171" s="483">
        <f>E164-Risk!E$57</f>
        <v>0.0167</v>
      </c>
      <c r="F171" s="483">
        <f>F164-Risk!F$57</f>
        <v>0.0144</v>
      </c>
      <c r="G171" s="483">
        <f>G164-Risk!G$57</f>
        <v>-0.05</v>
      </c>
      <c r="H171" s="483">
        <f>H164-Risk!H$57</f>
        <v>-0.03</v>
      </c>
      <c r="I171" s="483">
        <f>I164-Risk!I$57</f>
        <v>-0.03</v>
      </c>
      <c r="J171" s="483">
        <f>J164-Risk!J$57</f>
        <v>-0.02</v>
      </c>
      <c r="K171" s="483">
        <f>K164-Risk!K$57</f>
        <v>0.0189</v>
      </c>
      <c r="L171" s="596">
        <f>L164-Risk!L$57</f>
        <v>-0.01</v>
      </c>
      <c r="N171" s="337" t="n">
        <v>29920</v>
      </c>
      <c r="O171" s="116">
        <f>INDEX('Additional data'!$B$2:$B$965,MATCH(DATE(YEAR(N171),MONTH(N171),1),'Additional data'!$A$2:$A$965,0))</f>
        <v>36</v>
      </c>
      <c r="P171" s="489">
        <f>LN(O171)</f>
        <v>3.58351893845611</v>
      </c>
      <c r="Q171" s="489">
        <f>Q170+LN(1+INDEX('Additional data'!$H$2:$H$1196,MATCH(N171,'Additional data'!$G$2:$G$1196,1))+INDEX('Additional data'!$I$2:$I$1196,MATCH(N171,'Additional data'!$G$2:$G$1196,1)))</f>
        <v>0.886435079052662</v>
      </c>
      <c r="R171" s="77" t="n"/>
      <c r="S171" s="116">
        <f>IF(INDEX('Additional data'!$E$2:$E$699,MATCH(DATE(YEAR(N171),MONTH(N171),1),'Additional data'!$D$2:$D$699,0))=0,(INDEX('Additional data'!$E$2:$E$699,MATCH(DATE(YEAR(N171),MONTH(N171),1),'Additional data'!$D$2:$D$699,0)-1)+INDEX('Additional data'!$E$2:$E$699,MATCH(DATE(YEAR(N171),MONTH(N171),1),'Additional data'!$D$2:$D$699,0)+1))/2,INDEX('Additional data'!$E$2:$E$699,MATCH(DATE(YEAR(N171),MONTH(N171),1),'Additional data'!$D$2:$D$699,0)))</f>
        <v>14.62</v>
      </c>
      <c r="T171" s="425">
        <f>P171-P170</f>
        <v>0.0281708769666964</v>
      </c>
      <c r="U171" s="425">
        <f>Q171-Q170</f>
        <v>0.0437297628613252</v>
      </c>
      <c r="V171" s="77" t="n"/>
      <c r="W171" s="116">
        <f>S171-S170</f>
        <v>-0.0700000000000003</v>
      </c>
      <c r="X171" s="425">
        <f>P171-P159</f>
        <v>0</v>
      </c>
      <c r="Y171" s="425">
        <f>Q171-Q159</f>
        <v>-0.0371567281534597</v>
      </c>
      <c r="Z171" s="77" t="n"/>
      <c r="AA171" s="116">
        <f>S171-S159</f>
        <v>3.35</v>
      </c>
      <c r="AB171" s="425">
        <f>P171-P111</f>
        <v>0.951630098319464</v>
      </c>
      <c r="AC171" s="425">
        <f>Q171-Q111</f>
        <v>0.599028713458067</v>
      </c>
      <c r="AD171" s="77" t="n"/>
      <c r="AE171" s="235">
        <f>S171-S111</f>
        <v>5.1</v>
      </c>
      <c r="AG171" s="554">
        <f>N171</f>
        <v>29920.0</v>
      </c>
      <c r="AH171" s="435">
        <f>IFERROR(INDEX('RBA 5Y yield'!$B$5:$B$661,MATCH(N171,'RBA 5Y yield'!$A$5:$A$661,1))*100,"")</f>
        <v>15</v>
      </c>
      <c r="AI171" s="435">
        <f>IF(AND(ISNUMBER(AH171),ISNUMBER(AH170)),AH171-AH170,"")</f>
        <v>0</v>
      </c>
      <c r="AJ171" s="435">
        <f>IF(AND(ISNUMBER(AH171),ISNUMBER(AH159)),AH171-AH159,"")</f>
        <v>2.58</v>
      </c>
      <c r="AK171" s="435">
        <f>IF(AND(ISNUMBER(AH171),ISNUMBER(AH111)),AH171-AH111,"")</f>
        <v>5.26</v>
      </c>
      <c r="AL171" s="560">
        <f>IFERROR(LN(INDEX(Data!$B$2:$B$497,MATCH(N171,Data!$A$2:$A$497,1))/INDEX(Data!$B$2:$B$497,MATCH(N159,Data!$A$2:$A$497,1))),"")</f>
      </c>
      <c r="AM171" s="560">
        <f>IFERROR(LN(INDEX(Data!$C$2:$C$497,MATCH(N171,Data!$A$2:$A$497,1))/INDEX(Data!$C$2:$C$497,MATCH(N159,Data!$A$2:$A$497,1))),"")</f>
      </c>
      <c r="AN171" s="560">
        <f>IFERROR(LN(INDEX(Data!$D$2:$D$497,MATCH(N171,Data!$A$2:$A$497,1))/INDEX(Data!$D$2:$D$497,MATCH(N159,Data!$A$2:$A$497,1))),"")</f>
      </c>
      <c r="AO171" s="560">
        <f>IFERROR(LN(INDEX(Data!$E$2:$E$497,MATCH(N171,Data!$A$2:$A$497,1))/INDEX(Data!$E$2:$E$497,MATCH(N159,Data!$A$2:$A$497,1))),"")</f>
      </c>
      <c r="AP171" s="560">
        <f>IFERROR(LN(INDEX(Data!$F$2:$F$497,MATCH(N171,Data!$A$2:$A$497,1))/INDEX(Data!$F$2:$F$497,MATCH(N159,Data!$A$2:$A$497,1))),"")</f>
      </c>
      <c r="AQ171" s="560">
        <f>IFERROR(LN(INDEX(Data!$G$2:$G$497,MATCH(N171,Data!$A$2:$A$497,1))/INDEX(Data!$G$2:$G$497,MATCH(N159,Data!$A$2:$A$497,1))),"")</f>
      </c>
      <c r="AR171" s="560">
        <f>IFERROR(LN(INDEX(Data!$H$2:$H$497,MATCH(N171,Data!$A$2:$A$497,1))/INDEX(Data!$H$2:$H$497,MATCH(N159,Data!$A$2:$A$497,1))),"")</f>
      </c>
      <c r="AS171" s="560">
        <f>IFERROR(LN(INDEX(Data!$I$2:$I$497,MATCH(N171,Data!$A$2:$A$497,1))/INDEX(Data!$I$2:$I$497,MATCH(N159,Data!$A$2:$A$497,1))),"")</f>
      </c>
      <c r="AT171" s="560">
        <f>IFERROR(LN(INDEX(Data!$J$2:$J$497,MATCH(N171,Data!$A$2:$A$497,1))/INDEX(Data!$J$2:$J$497,MATCH(N159,Data!$A$2:$A$497,1))),"")</f>
      </c>
      <c r="AU171" s="560">
        <f>IFERROR(LN(INDEX(Data!$K$2:$K$497,MATCH(N171,Data!$A$2:$A$497,1))/INDEX(Data!$K$2:$K$497,MATCH(N159,Data!$A$2:$A$497,1))),"")</f>
      </c>
      <c r="AV171" s="561">
        <f>IFERROR(LN(INDEX(Data!$L$2:$L$497,MATCH(N171,Data!$A$2:$A$497,1))/INDEX(Data!$L$2:$L$497,MATCH(N159,Data!$A$2:$A$497,1))),"")</f>
      </c>
    </row>
    <row r="172">
      <c r="A172" s="595" t="inlineStr">
        <is>
          <t>Active: Commodities +2%, Australian equities -2%</t>
        </is>
      </c>
      <c r="B172" s="483">
        <f>B165-Risk!B$57</f>
        <v>0.00379999999999997</v>
      </c>
      <c r="C172" s="483">
        <f>C165-Risk!C$57</f>
        <v>0.039</v>
      </c>
      <c r="D172" s="483">
        <f>D165-Risk!D$57</f>
        <v>0.0372</v>
      </c>
      <c r="E172" s="483">
        <f>E165-Risk!E$57</f>
        <v>0.0167</v>
      </c>
      <c r="F172" s="483">
        <f>F165-Risk!F$57</f>
        <v>0.0244</v>
      </c>
      <c r="G172" s="483">
        <f>G165-Risk!G$57</f>
        <v>-0.05</v>
      </c>
      <c r="H172" s="483">
        <f>H165-Risk!H$57</f>
        <v>-0.03</v>
      </c>
      <c r="I172" s="483">
        <f>I165-Risk!I$57</f>
        <v>-0.03</v>
      </c>
      <c r="J172" s="483">
        <f>J165-Risk!J$57</f>
        <v>-0.02</v>
      </c>
      <c r="K172" s="483">
        <f>K165-Risk!K$57</f>
        <v>0.0189</v>
      </c>
      <c r="L172" s="596">
        <f>L165-Risk!L$57</f>
        <v>-0.01</v>
      </c>
      <c r="N172" s="337" t="n">
        <v>29951</v>
      </c>
      <c r="O172" s="116">
        <f>INDEX('Additional data'!$B$2:$B$965,MATCH(DATE(YEAR(N172),MONTH(N172),1),'Additional data'!$A$2:$A$965,0))</f>
        <v>35</v>
      </c>
      <c r="P172" s="489">
        <f>LN(O172)</f>
        <v>3.55534806148941</v>
      </c>
      <c r="Q172" s="489">
        <f>Q171+LN(1+INDEX('Additional data'!$H$2:$H$1196,MATCH(N172,'Additional data'!$G$2:$G$1196,1))+INDEX('Additional data'!$I$2:$I$1196,MATCH(N172,'Additional data'!$G$2:$G$1196,1)))</f>
        <v>0.858447042512493</v>
      </c>
      <c r="R172" s="77" t="n"/>
      <c r="S172" s="116">
        <f>IF(INDEX('Additional data'!$E$2:$E$699,MATCH(DATE(YEAR(N172),MONTH(N172),1),'Additional data'!$D$2:$D$699,0))=0,(INDEX('Additional data'!$E$2:$E$699,MATCH(DATE(YEAR(N172),MONTH(N172),1),'Additional data'!$D$2:$D$699,0)-1)+INDEX('Additional data'!$E$2:$E$699,MATCH(DATE(YEAR(N172),MONTH(N172),1),'Additional data'!$D$2:$D$699,0)+1))/2,INDEX('Additional data'!$E$2:$E$699,MATCH(DATE(YEAR(N172),MONTH(N172),1),'Additional data'!$D$2:$D$699,0)))</f>
        <v>15.54</v>
      </c>
      <c r="T172" s="425">
        <f>P172-P171</f>
        <v>-0.0281708769666964</v>
      </c>
      <c r="U172" s="425">
        <f>Q172-Q171</f>
        <v>-0.0279880365401687</v>
      </c>
      <c r="V172" s="77" t="n"/>
      <c r="W172" s="116">
        <f>S172-S171</f>
        <v>0.92</v>
      </c>
      <c r="X172" s="425">
        <f>P172-P160</f>
        <v>-0.0555698511548108</v>
      </c>
      <c r="Y172" s="425">
        <f>Q172-Q160</f>
        <v>-0.0331379685585419</v>
      </c>
      <c r="Z172" s="77" t="n"/>
      <c r="AA172" s="116">
        <f>S172-S160</f>
        <v>3.09</v>
      </c>
      <c r="AB172" s="425">
        <f>P172-P112</f>
        <v>0.923459221352768</v>
      </c>
      <c r="AC172" s="425">
        <f>Q172-Q112</f>
        <v>0.512300181895299</v>
      </c>
      <c r="AD172" s="77" t="n"/>
      <c r="AE172" s="235">
        <f>S172-S112</f>
        <v>6.1</v>
      </c>
      <c r="AG172" s="554">
        <f>N172</f>
        <v>29951.0</v>
      </c>
      <c r="AH172" s="435">
        <f>IFERROR(INDEX('RBA 5Y yield'!$B$5:$B$661,MATCH(N172,'RBA 5Y yield'!$A$5:$A$661,1))*100,"")</f>
        <v>14.9</v>
      </c>
      <c r="AI172" s="435">
        <f>IF(AND(ISNUMBER(AH172),ISNUMBER(AH171)),AH172-AH171,"")</f>
        <v>-0.100000000000001</v>
      </c>
      <c r="AJ172" s="435">
        <f>IF(AND(ISNUMBER(AH172),ISNUMBER(AH160)),AH172-AH160,"")</f>
        <v>2.18</v>
      </c>
      <c r="AK172" s="435">
        <f>IF(AND(ISNUMBER(AH172),ISNUMBER(AH112)),AH172-AH112,"")</f>
        <v>4.69</v>
      </c>
      <c r="AL172" s="560">
        <f>IFERROR(LN(INDEX(Data!$B$2:$B$497,MATCH(N172,Data!$A$2:$A$497,1))/INDEX(Data!$B$2:$B$497,MATCH(N160,Data!$A$2:$A$497,1))),"")</f>
      </c>
      <c r="AM172" s="560">
        <f>IFERROR(LN(INDEX(Data!$C$2:$C$497,MATCH(N172,Data!$A$2:$A$497,1))/INDEX(Data!$C$2:$C$497,MATCH(N160,Data!$A$2:$A$497,1))),"")</f>
      </c>
      <c r="AN172" s="560">
        <f>IFERROR(LN(INDEX(Data!$D$2:$D$497,MATCH(N172,Data!$A$2:$A$497,1))/INDEX(Data!$D$2:$D$497,MATCH(N160,Data!$A$2:$A$497,1))),"")</f>
      </c>
      <c r="AO172" s="560">
        <f>IFERROR(LN(INDEX(Data!$E$2:$E$497,MATCH(N172,Data!$A$2:$A$497,1))/INDEX(Data!$E$2:$E$497,MATCH(N160,Data!$A$2:$A$497,1))),"")</f>
      </c>
      <c r="AP172" s="560">
        <f>IFERROR(LN(INDEX(Data!$F$2:$F$497,MATCH(N172,Data!$A$2:$A$497,1))/INDEX(Data!$F$2:$F$497,MATCH(N160,Data!$A$2:$A$497,1))),"")</f>
      </c>
      <c r="AQ172" s="560">
        <f>IFERROR(LN(INDEX(Data!$G$2:$G$497,MATCH(N172,Data!$A$2:$A$497,1))/INDEX(Data!$G$2:$G$497,MATCH(N160,Data!$A$2:$A$497,1))),"")</f>
      </c>
      <c r="AR172" s="560">
        <f>IFERROR(LN(INDEX(Data!$H$2:$H$497,MATCH(N172,Data!$A$2:$A$497,1))/INDEX(Data!$H$2:$H$497,MATCH(N160,Data!$A$2:$A$497,1))),"")</f>
      </c>
      <c r="AS172" s="560">
        <f>IFERROR(LN(INDEX(Data!$I$2:$I$497,MATCH(N172,Data!$A$2:$A$497,1))/INDEX(Data!$I$2:$I$497,MATCH(N160,Data!$A$2:$A$497,1))),"")</f>
      </c>
      <c r="AT172" s="560">
        <f>IFERROR(LN(INDEX(Data!$J$2:$J$497,MATCH(N172,Data!$A$2:$A$497,1))/INDEX(Data!$J$2:$J$497,MATCH(N160,Data!$A$2:$A$497,1))),"")</f>
      </c>
      <c r="AU172" s="560">
        <f>IFERROR(LN(INDEX(Data!$K$2:$K$497,MATCH(N172,Data!$A$2:$A$497,1))/INDEX(Data!$K$2:$K$497,MATCH(N160,Data!$A$2:$A$497,1))),"")</f>
      </c>
      <c r="AV172" s="561">
        <f>IFERROR(LN(INDEX(Data!$L$2:$L$497,MATCH(N172,Data!$A$2:$A$497,1))/INDEX(Data!$L$2:$L$497,MATCH(N160,Data!$A$2:$A$497,1))),"")</f>
      </c>
    </row>
    <row r="173">
      <c r="A173" s="595" t="inlineStr">
        <is>
          <t>Active: Commodities +4%, Australian equities -4%</t>
        </is>
      </c>
      <c r="B173" s="483">
        <f>B166-Risk!B$57</f>
        <v>-0.0162</v>
      </c>
      <c r="C173" s="483">
        <f>C166-Risk!C$57</f>
        <v>0.039</v>
      </c>
      <c r="D173" s="483">
        <f>D166-Risk!D$57</f>
        <v>0.0372</v>
      </c>
      <c r="E173" s="483">
        <f>E166-Risk!E$57</f>
        <v>0.0167</v>
      </c>
      <c r="F173" s="483">
        <f>F166-Risk!F$57</f>
        <v>0.0444</v>
      </c>
      <c r="G173" s="483">
        <f>G166-Risk!G$57</f>
        <v>-0.05</v>
      </c>
      <c r="H173" s="483">
        <f>H166-Risk!H$57</f>
        <v>-0.03</v>
      </c>
      <c r="I173" s="483">
        <f>I166-Risk!I$57</f>
        <v>-0.03</v>
      </c>
      <c r="J173" s="483">
        <f>J166-Risk!J$57</f>
        <v>-0.02</v>
      </c>
      <c r="K173" s="483">
        <f>K166-Risk!K$57</f>
        <v>0.0189</v>
      </c>
      <c r="L173" s="596">
        <f>L166-Risk!L$57</f>
        <v>-0.01</v>
      </c>
      <c r="N173" s="337" t="n">
        <v>29982</v>
      </c>
      <c r="O173" s="116">
        <f>INDEX('Additional data'!$B$2:$B$965,MATCH(DATE(YEAR(N173),MONTH(N173),1),'Additional data'!$A$2:$A$965,0))</f>
        <v>33.85</v>
      </c>
      <c r="P173" s="489">
        <f>LN(O173)</f>
        <v>3.52193899935828</v>
      </c>
      <c r="Q173" s="489">
        <f>Q172+LN(1+INDEX('Additional data'!$H$2:$H$1196,MATCH(N173,'Additional data'!$G$2:$G$1196,1))+INDEX('Additional data'!$I$2:$I$1196,MATCH(N173,'Additional data'!$G$2:$G$1196,1)))</f>
        <v>0.83384692564426</v>
      </c>
      <c r="R173" s="77" t="n"/>
      <c r="S173" s="116">
        <f>IF(INDEX('Additional data'!$E$2:$E$699,MATCH(DATE(YEAR(N173),MONTH(N173),1),'Additional data'!$D$2:$D$699,0))=0,(INDEX('Additional data'!$E$2:$E$699,MATCH(DATE(YEAR(N173),MONTH(N173),1),'Additional data'!$D$2:$D$699,0)-1)+INDEX('Additional data'!$E$2:$E$699,MATCH(DATE(YEAR(N173),MONTH(N173),1),'Additional data'!$D$2:$D$699,0)+1))/2,INDEX('Additional data'!$E$2:$E$699,MATCH(DATE(YEAR(N173),MONTH(N173),1),'Additional data'!$D$2:$D$699,0)))</f>
        <v>16.21</v>
      </c>
      <c r="T173" s="425">
        <f>P173-P172</f>
        <v>-0.0334090621311294</v>
      </c>
      <c r="U173" s="425">
        <f>Q173-Q172</f>
        <v>-0.0246001168682327</v>
      </c>
      <c r="V173" s="77" t="n"/>
      <c r="W173" s="116">
        <f>S173-S172</f>
        <v>0.670000000000002</v>
      </c>
      <c r="X173" s="425">
        <f>P173-P161</f>
        <v>-0.115647160368102</v>
      </c>
      <c r="Y173" s="425">
        <f>Q173-Q161</f>
        <v>-0.0167077358687827</v>
      </c>
      <c r="Z173" s="77" t="n"/>
      <c r="AA173" s="116">
        <f>S173-S161</f>
        <v>3.6</v>
      </c>
      <c r="AB173" s="425">
        <f>P173-P113</f>
        <v>0.890050159221638</v>
      </c>
      <c r="AC173" s="425">
        <f>Q173-Q113</f>
        <v>0.525090454245625</v>
      </c>
      <c r="AD173" s="77" t="n"/>
      <c r="AE173" s="235">
        <f>S173-S113</f>
        <v>7.28</v>
      </c>
      <c r="AG173" s="554">
        <f>N173</f>
        <v>29982.0</v>
      </c>
      <c r="AH173" s="435">
        <f>IFERROR(INDEX('RBA 5Y yield'!$B$5:$B$661,MATCH(N173,'RBA 5Y yield'!$A$5:$A$661,1))*100,"")</f>
        <v>15</v>
      </c>
      <c r="AI173" s="435">
        <f>IF(AND(ISNUMBER(AH173),ISNUMBER(AH172)),AH173-AH172,"")</f>
        <v>0.100000000000001</v>
      </c>
      <c r="AJ173" s="435">
        <f>IF(AND(ISNUMBER(AH173),ISNUMBER(AH161)),AH173-AH161,"")</f>
        <v>1.9</v>
      </c>
      <c r="AK173" s="435">
        <f>IF(AND(ISNUMBER(AH173),ISNUMBER(AH113)),AH173-AH113,"")</f>
        <v>4.78</v>
      </c>
      <c r="AL173" s="560">
        <f>IFERROR(LN(INDEX(Data!$B$2:$B$497,MATCH(N173,Data!$A$2:$A$497,1))/INDEX(Data!$B$2:$B$497,MATCH(N161,Data!$A$2:$A$497,1))),"")</f>
      </c>
      <c r="AM173" s="560">
        <f>IFERROR(LN(INDEX(Data!$C$2:$C$497,MATCH(N173,Data!$A$2:$A$497,1))/INDEX(Data!$C$2:$C$497,MATCH(N161,Data!$A$2:$A$497,1))),"")</f>
      </c>
      <c r="AN173" s="560">
        <f>IFERROR(LN(INDEX(Data!$D$2:$D$497,MATCH(N173,Data!$A$2:$A$497,1))/INDEX(Data!$D$2:$D$497,MATCH(N161,Data!$A$2:$A$497,1))),"")</f>
      </c>
      <c r="AO173" s="560">
        <f>IFERROR(LN(INDEX(Data!$E$2:$E$497,MATCH(N173,Data!$A$2:$A$497,1))/INDEX(Data!$E$2:$E$497,MATCH(N161,Data!$A$2:$A$497,1))),"")</f>
      </c>
      <c r="AP173" s="560">
        <f>IFERROR(LN(INDEX(Data!$F$2:$F$497,MATCH(N173,Data!$A$2:$A$497,1))/INDEX(Data!$F$2:$F$497,MATCH(N161,Data!$A$2:$A$497,1))),"")</f>
      </c>
      <c r="AQ173" s="560">
        <f>IFERROR(LN(INDEX(Data!$G$2:$G$497,MATCH(N173,Data!$A$2:$A$497,1))/INDEX(Data!$G$2:$G$497,MATCH(N161,Data!$A$2:$A$497,1))),"")</f>
      </c>
      <c r="AR173" s="560">
        <f>IFERROR(LN(INDEX(Data!$H$2:$H$497,MATCH(N173,Data!$A$2:$A$497,1))/INDEX(Data!$H$2:$H$497,MATCH(N161,Data!$A$2:$A$497,1))),"")</f>
      </c>
      <c r="AS173" s="560">
        <f>IFERROR(LN(INDEX(Data!$I$2:$I$497,MATCH(N173,Data!$A$2:$A$497,1))/INDEX(Data!$I$2:$I$497,MATCH(N161,Data!$A$2:$A$497,1))),"")</f>
      </c>
      <c r="AT173" s="560">
        <f>IFERROR(LN(INDEX(Data!$J$2:$J$497,MATCH(N173,Data!$A$2:$A$497,1))/INDEX(Data!$J$2:$J$497,MATCH(N161,Data!$A$2:$A$497,1))),"")</f>
      </c>
      <c r="AU173" s="560">
        <f>IFERROR(LN(INDEX(Data!$K$2:$K$497,MATCH(N173,Data!$A$2:$A$497,1))/INDEX(Data!$K$2:$K$497,MATCH(N161,Data!$A$2:$A$497,1))),"")</f>
      </c>
      <c r="AV173" s="561">
        <f>IFERROR(LN(INDEX(Data!$L$2:$L$497,MATCH(N173,Data!$A$2:$A$497,1))/INDEX(Data!$L$2:$L$497,MATCH(N161,Data!$A$2:$A$497,1))),"")</f>
      </c>
    </row>
    <row r="174">
      <c r="A174" s="595" t="inlineStr">
        <is>
          <t>Active: Shorter duration: Australian fixed income -5%, cash +5%</t>
        </is>
      </c>
      <c r="B174" s="483">
        <f>B167-Risk!B$57</f>
        <v>0.0238</v>
      </c>
      <c r="C174" s="483">
        <f>C167-Risk!C$57</f>
        <v>0.039</v>
      </c>
      <c r="D174" s="483">
        <f>D167-Risk!D$57</f>
        <v>0.0372</v>
      </c>
      <c r="E174" s="483">
        <f>E167-Risk!E$57</f>
        <v>0.0167</v>
      </c>
      <c r="F174" s="483">
        <f>F167-Risk!F$57</f>
        <v>0.0044</v>
      </c>
      <c r="G174" s="483">
        <f>G167-Risk!G$57</f>
        <v>-0.05</v>
      </c>
      <c r="H174" s="483">
        <f>H167-Risk!H$57</f>
        <v>-0.03</v>
      </c>
      <c r="I174" s="483">
        <f>I167-Risk!I$57</f>
        <v>-0.03</v>
      </c>
      <c r="J174" s="483">
        <f>J167-Risk!J$57</f>
        <v>-0.07</v>
      </c>
      <c r="K174" s="483">
        <f>K167-Risk!K$57</f>
        <v>0.0189</v>
      </c>
      <c r="L174" s="596">
        <f>L167-Risk!L$57</f>
        <v>0.04</v>
      </c>
      <c r="N174" s="337" t="n">
        <v>30010</v>
      </c>
      <c r="O174" s="116">
        <f>INDEX('Additional data'!$B$2:$B$965,MATCH(DATE(YEAR(N174),MONTH(N174),1),'Additional data'!$A$2:$A$965,0))</f>
        <v>31.56</v>
      </c>
      <c r="P174" s="489">
        <f>LN(O174)</f>
        <v>3.45189049597767</v>
      </c>
      <c r="Q174" s="489">
        <f>Q173+LN(1+INDEX('Additional data'!$H$2:$H$1196,MATCH(N174,'Additional data'!$G$2:$G$1196,1))+INDEX('Additional data'!$I$2:$I$1196,MATCH(N174,'Additional data'!$G$2:$G$1196,1)))</f>
        <v>0.783185010842032</v>
      </c>
      <c r="R174" s="77" t="n"/>
      <c r="S174" s="116">
        <f>IF(INDEX('Additional data'!$E$2:$E$699,MATCH(DATE(YEAR(N174),MONTH(N174),1),'Additional data'!$D$2:$D$699,0))=0,(INDEX('Additional data'!$E$2:$E$699,MATCH(DATE(YEAR(N174),MONTH(N174),1),'Additional data'!$D$2:$D$699,0)-1)+INDEX('Additional data'!$E$2:$E$699,MATCH(DATE(YEAR(N174),MONTH(N174),1),'Additional data'!$D$2:$D$699,0)+1))/2,INDEX('Additional data'!$E$2:$E$699,MATCH(DATE(YEAR(N174),MONTH(N174),1),'Additional data'!$D$2:$D$699,0)))</f>
        <v>17.12</v>
      </c>
      <c r="T174" s="425">
        <f>P174-P173</f>
        <v>-0.0700485033806109</v>
      </c>
      <c r="U174" s="425">
        <f>Q174-Q173</f>
        <v>-0.050661914802228</v>
      </c>
      <c r="V174" s="77" t="n"/>
      <c r="W174" s="116">
        <f>S174-S173</f>
        <v>0.91</v>
      </c>
      <c r="X174" s="425">
        <f>P174-P162</f>
        <v>-0.185695663748712</v>
      </c>
      <c r="Y174" s="425">
        <f>Q174-Q162</f>
        <v>-0.0840300915641179</v>
      </c>
      <c r="Z174" s="77" t="n"/>
      <c r="AA174" s="116">
        <f>S174-S162</f>
        <v>3.76</v>
      </c>
      <c r="AB174" s="425">
        <f>P174-P114</f>
        <v>0.820001655841027</v>
      </c>
      <c r="AC174" s="425">
        <f>Q174-Q114</f>
        <v>0.490456300520594</v>
      </c>
      <c r="AD174" s="77" t="n"/>
      <c r="AE174" s="235">
        <f>S174-S114</f>
        <v>7.81</v>
      </c>
      <c r="AG174" s="554">
        <f>N174</f>
        <v>30010.0</v>
      </c>
      <c r="AH174" s="435">
        <f>IFERROR(INDEX('RBA 5Y yield'!$B$5:$B$661,MATCH(N174,'RBA 5Y yield'!$A$5:$A$661,1))*100,"")</f>
        <v>15.1</v>
      </c>
      <c r="AI174" s="435">
        <f>IF(AND(ISNUMBER(AH174),ISNUMBER(AH173)),AH174-AH173,"")</f>
        <v>0.0999999999999996</v>
      </c>
      <c r="AJ174" s="435">
        <f>IF(AND(ISNUMBER(AH174),ISNUMBER(AH162)),AH174-AH162,"")</f>
        <v>2</v>
      </c>
      <c r="AK174" s="435">
        <f>IF(AND(ISNUMBER(AH174),ISNUMBER(AH114)),AH174-AH114,"")</f>
        <v>4.89</v>
      </c>
      <c r="AL174" s="560">
        <f>IFERROR(LN(INDEX(Data!$B$2:$B$497,MATCH(N174,Data!$A$2:$A$497,1))/INDEX(Data!$B$2:$B$497,MATCH(N162,Data!$A$2:$A$497,1))),"")</f>
      </c>
      <c r="AM174" s="560">
        <f>IFERROR(LN(INDEX(Data!$C$2:$C$497,MATCH(N174,Data!$A$2:$A$497,1))/INDEX(Data!$C$2:$C$497,MATCH(N162,Data!$A$2:$A$497,1))),"")</f>
      </c>
      <c r="AN174" s="560">
        <f>IFERROR(LN(INDEX(Data!$D$2:$D$497,MATCH(N174,Data!$A$2:$A$497,1))/INDEX(Data!$D$2:$D$497,MATCH(N162,Data!$A$2:$A$497,1))),"")</f>
      </c>
      <c r="AO174" s="560">
        <f>IFERROR(LN(INDEX(Data!$E$2:$E$497,MATCH(N174,Data!$A$2:$A$497,1))/INDEX(Data!$E$2:$E$497,MATCH(N162,Data!$A$2:$A$497,1))),"")</f>
      </c>
      <c r="AP174" s="560">
        <f>IFERROR(LN(INDEX(Data!$F$2:$F$497,MATCH(N174,Data!$A$2:$A$497,1))/INDEX(Data!$F$2:$F$497,MATCH(N162,Data!$A$2:$A$497,1))),"")</f>
      </c>
      <c r="AQ174" s="560">
        <f>IFERROR(LN(INDEX(Data!$G$2:$G$497,MATCH(N174,Data!$A$2:$A$497,1))/INDEX(Data!$G$2:$G$497,MATCH(N162,Data!$A$2:$A$497,1))),"")</f>
      </c>
      <c r="AR174" s="560">
        <f>IFERROR(LN(INDEX(Data!$H$2:$H$497,MATCH(N174,Data!$A$2:$A$497,1))/INDEX(Data!$H$2:$H$497,MATCH(N162,Data!$A$2:$A$497,1))),"")</f>
      </c>
      <c r="AS174" s="560">
        <f>IFERROR(LN(INDEX(Data!$I$2:$I$497,MATCH(N174,Data!$A$2:$A$497,1))/INDEX(Data!$I$2:$I$497,MATCH(N162,Data!$A$2:$A$497,1))),"")</f>
      </c>
      <c r="AT174" s="560">
        <f>IFERROR(LN(INDEX(Data!$J$2:$J$497,MATCH(N174,Data!$A$2:$A$497,1))/INDEX(Data!$J$2:$J$497,MATCH(N162,Data!$A$2:$A$497,1))),"")</f>
      </c>
      <c r="AU174" s="560">
        <f>IFERROR(LN(INDEX(Data!$K$2:$K$497,MATCH(N174,Data!$A$2:$A$497,1))/INDEX(Data!$K$2:$K$497,MATCH(N162,Data!$A$2:$A$497,1))),"")</f>
      </c>
      <c r="AV174" s="561">
        <f>IFERROR(LN(INDEX(Data!$L$2:$L$497,MATCH(N174,Data!$A$2:$A$497,1))/INDEX(Data!$L$2:$L$497,MATCH(N162,Data!$A$2:$A$497,1))),"")</f>
      </c>
    </row>
    <row r="175">
      <c r="A175" s="598" t="inlineStr">
        <is>
          <t>Active: Combined: commodities +2% (from world equities), AFI -3% to cash</t>
        </is>
      </c>
      <c r="B175" s="599">
        <f>B168-Risk!B$57</f>
        <v>0.0238</v>
      </c>
      <c r="C175" s="599">
        <f>C168-Risk!C$57</f>
        <v>0.019</v>
      </c>
      <c r="D175" s="599">
        <f>D168-Risk!D$57</f>
        <v>0.0372</v>
      </c>
      <c r="E175" s="599">
        <f>E168-Risk!E$57</f>
        <v>0.0167</v>
      </c>
      <c r="F175" s="599">
        <f>F168-Risk!F$57</f>
        <v>0.0244</v>
      </c>
      <c r="G175" s="599">
        <f>G168-Risk!G$57</f>
        <v>-0.05</v>
      </c>
      <c r="H175" s="599">
        <f>H168-Risk!H$57</f>
        <v>-0.03</v>
      </c>
      <c r="I175" s="599">
        <f>I168-Risk!I$57</f>
        <v>-0.03</v>
      </c>
      <c r="J175" s="599">
        <f>J168-Risk!J$57</f>
        <v>-0.05</v>
      </c>
      <c r="K175" s="599">
        <f>K168-Risk!K$57</f>
        <v>0.0189</v>
      </c>
      <c r="L175" s="600">
        <f>L168-Risk!L$57</f>
        <v>0.02</v>
      </c>
      <c r="N175" s="337" t="n">
        <v>30041</v>
      </c>
      <c r="O175" s="116">
        <f>INDEX('Additional data'!$B$2:$B$965,MATCH(DATE(YEAR(N175),MONTH(N175),1),'Additional data'!$A$2:$A$965,0))</f>
        <v>28.48</v>
      </c>
      <c r="P175" s="489">
        <f>LN(O175)</f>
        <v>3.34920208654378</v>
      </c>
      <c r="Q175" s="489">
        <f>Q174+LN(1+INDEX('Additional data'!$H$2:$H$1196,MATCH(N175,'Additional data'!$G$2:$G$1196,1))+INDEX('Additional data'!$I$2:$I$1196,MATCH(N175,'Additional data'!$G$2:$G$1196,1)))</f>
        <v>0.774749532020931</v>
      </c>
      <c r="R175" s="77" t="n"/>
      <c r="S175" s="116">
        <f>IF(INDEX('Additional data'!$E$2:$E$699,MATCH(DATE(YEAR(N175),MONTH(N175),1),'Additional data'!$D$2:$D$699,0))=0,(INDEX('Additional data'!$E$2:$E$699,MATCH(DATE(YEAR(N175),MONTH(N175),1),'Additional data'!$D$2:$D$699,0)-1)+INDEX('Additional data'!$E$2:$E$699,MATCH(DATE(YEAR(N175),MONTH(N175),1),'Additional data'!$D$2:$D$699,0)+1))/2,INDEX('Additional data'!$E$2:$E$699,MATCH(DATE(YEAR(N175),MONTH(N175),1),'Additional data'!$D$2:$D$699,0)))</f>
        <v>18.89</v>
      </c>
      <c r="T175" s="425">
        <f>P175-P174</f>
        <v>-0.102688409433898</v>
      </c>
      <c r="U175" s="425">
        <f>Q175-Q174</f>
        <v>-0.00843547882110163</v>
      </c>
      <c r="V175" s="77" t="n"/>
      <c r="W175" s="116">
        <f>S175-S174</f>
        <v>1.77</v>
      </c>
      <c r="X175" s="425">
        <f>P175-P163</f>
        <v>-0.288384073182611</v>
      </c>
      <c r="Y175" s="425">
        <f>Q175-Q163</f>
        <v>-0.140112223852573</v>
      </c>
      <c r="Z175" s="77" t="n"/>
      <c r="AA175" s="116">
        <f>S175-S163</f>
        <v>4.26</v>
      </c>
      <c r="AB175" s="425">
        <f>P175-P115</f>
        <v>0.717313246407129</v>
      </c>
      <c r="AC175" s="425">
        <f>Q175-Q115</f>
        <v>0.491768173154372</v>
      </c>
      <c r="AD175" s="77" t="n"/>
      <c r="AE175" s="235">
        <f>S175-S115</f>
        <v>9.16</v>
      </c>
      <c r="AG175" s="554">
        <f>N175</f>
        <v>30041.0</v>
      </c>
      <c r="AH175" s="435">
        <f>IFERROR(INDEX('RBA 5Y yield'!$B$5:$B$661,MATCH(N175,'RBA 5Y yield'!$A$5:$A$661,1))*100,"")</f>
        <v>15.2</v>
      </c>
      <c r="AI175" s="435">
        <f>IF(AND(ISNUMBER(AH175),ISNUMBER(AH174)),AH175-AH174,"")</f>
        <v>0.0999999999999996</v>
      </c>
      <c r="AJ175" s="435">
        <f>IF(AND(ISNUMBER(AH175),ISNUMBER(AH163)),AH175-AH163,"")</f>
        <v>2.1</v>
      </c>
      <c r="AK175" s="435">
        <f>IF(AND(ISNUMBER(AH175),ISNUMBER(AH115)),AH175-AH115,"")</f>
        <v>4.99</v>
      </c>
      <c r="AL175" s="560">
        <f>IFERROR(LN(INDEX(Data!$B$2:$B$497,MATCH(N175,Data!$A$2:$A$497,1))/INDEX(Data!$B$2:$B$497,MATCH(N163,Data!$A$2:$A$497,1))),"")</f>
      </c>
      <c r="AM175" s="560">
        <f>IFERROR(LN(INDEX(Data!$C$2:$C$497,MATCH(N175,Data!$A$2:$A$497,1))/INDEX(Data!$C$2:$C$497,MATCH(N163,Data!$A$2:$A$497,1))),"")</f>
      </c>
      <c r="AN175" s="560">
        <f>IFERROR(LN(INDEX(Data!$D$2:$D$497,MATCH(N175,Data!$A$2:$A$497,1))/INDEX(Data!$D$2:$D$497,MATCH(N163,Data!$A$2:$A$497,1))),"")</f>
      </c>
      <c r="AO175" s="560">
        <f>IFERROR(LN(INDEX(Data!$E$2:$E$497,MATCH(N175,Data!$A$2:$A$497,1))/INDEX(Data!$E$2:$E$497,MATCH(N163,Data!$A$2:$A$497,1))),"")</f>
      </c>
      <c r="AP175" s="560">
        <f>IFERROR(LN(INDEX(Data!$F$2:$F$497,MATCH(N175,Data!$A$2:$A$497,1))/INDEX(Data!$F$2:$F$497,MATCH(N163,Data!$A$2:$A$497,1))),"")</f>
      </c>
      <c r="AQ175" s="560">
        <f>IFERROR(LN(INDEX(Data!$G$2:$G$497,MATCH(N175,Data!$A$2:$A$497,1))/INDEX(Data!$G$2:$G$497,MATCH(N163,Data!$A$2:$A$497,1))),"")</f>
      </c>
      <c r="AR175" s="560">
        <f>IFERROR(LN(INDEX(Data!$H$2:$H$497,MATCH(N175,Data!$A$2:$A$497,1))/INDEX(Data!$H$2:$H$497,MATCH(N163,Data!$A$2:$A$497,1))),"")</f>
      </c>
      <c r="AS175" s="560">
        <f>IFERROR(LN(INDEX(Data!$I$2:$I$497,MATCH(N175,Data!$A$2:$A$497,1))/INDEX(Data!$I$2:$I$497,MATCH(N163,Data!$A$2:$A$497,1))),"")</f>
      </c>
      <c r="AT175" s="560">
        <f>IFERROR(LN(INDEX(Data!$J$2:$J$497,MATCH(N175,Data!$A$2:$A$497,1))/INDEX(Data!$J$2:$J$497,MATCH(N163,Data!$A$2:$A$497,1))),"")</f>
      </c>
      <c r="AU175" s="560">
        <f>IFERROR(LN(INDEX(Data!$K$2:$K$497,MATCH(N175,Data!$A$2:$A$497,1))/INDEX(Data!$K$2:$K$497,MATCH(N163,Data!$A$2:$A$497,1))),"")</f>
      </c>
      <c r="AV175" s="561">
        <f>IFERROR(LN(INDEX(Data!$L$2:$L$497,MATCH(N175,Data!$A$2:$A$497,1))/INDEX(Data!$L$2:$L$497,MATCH(N163,Data!$A$2:$A$497,1))),"")</f>
      </c>
    </row>
    <row r="176">
      <c r="N176" s="337" t="n">
        <v>30071</v>
      </c>
      <c r="O176" s="116">
        <f>INDEX('Additional data'!$B$2:$B$965,MATCH(DATE(YEAR(N176),MONTH(N176),1),'Additional data'!$A$2:$A$965,0))</f>
        <v>33.45</v>
      </c>
      <c r="P176" s="489">
        <f>LN(O176)</f>
        <v>3.51005178657424</v>
      </c>
      <c r="Q176" s="489">
        <f>Q175+LN(1+INDEX('Additional data'!$H$2:$H$1196,MATCH(N176,'Additional data'!$G$2:$G$1196,1))+INDEX('Additional data'!$I$2:$I$1196,MATCH(N176,'Additional data'!$G$2:$G$1196,1)))</f>
        <v>0.8175216238648</v>
      </c>
      <c r="R176" s="77" t="n"/>
      <c r="S176" s="116">
        <f>IF(INDEX('Additional data'!$E$2:$E$699,MATCH(DATE(YEAR(N176),MONTH(N176),1),'Additional data'!$D$2:$D$699,0))=0,(INDEX('Additional data'!$E$2:$E$699,MATCH(DATE(YEAR(N176),MONTH(N176),1),'Additional data'!$D$2:$D$699,0)-1)+INDEX('Additional data'!$E$2:$E$699,MATCH(DATE(YEAR(N176),MONTH(N176),1),'Additional data'!$D$2:$D$699,0)+1))/2,INDEX('Additional data'!$E$2:$E$699,MATCH(DATE(YEAR(N176),MONTH(N176),1),'Additional data'!$D$2:$D$699,0)))</f>
        <v>21.39</v>
      </c>
      <c r="T176" s="425">
        <f>P176-P175</f>
        <v>0.160849700030463</v>
      </c>
      <c r="U176" s="425">
        <f>Q176-Q175</f>
        <v>0.0427720918438691</v>
      </c>
      <c r="V176" s="77" t="n"/>
      <c r="W176" s="116">
        <f>S176-S175</f>
        <v>2.5</v>
      </c>
      <c r="X176" s="425">
        <f>P176-P164</f>
        <v>-0.127534373152148</v>
      </c>
      <c r="Y176" s="425">
        <f>Q176-Q164</f>
        <v>-0.0864813886738276</v>
      </c>
      <c r="Z176" s="77" t="n"/>
      <c r="AA176" s="116">
        <f>S176-S164</f>
        <v>4.7</v>
      </c>
      <c r="AB176" s="425">
        <f>P176-P116</f>
        <v>0.878162946437592</v>
      </c>
      <c r="AC176" s="425">
        <f>Q176-Q116</f>
        <v>0.529254260569004</v>
      </c>
      <c r="AD176" s="77" t="n"/>
      <c r="AE176" s="235">
        <f>S176-S116</f>
        <v>10.53</v>
      </c>
      <c r="AG176" s="554">
        <f>N176</f>
        <v>30071.0</v>
      </c>
      <c r="AH176" s="435">
        <f>IFERROR(INDEX('RBA 5Y yield'!$B$5:$B$661,MATCH(N176,'RBA 5Y yield'!$A$5:$A$661,1))*100,"")</f>
        <v>15.3</v>
      </c>
      <c r="AI176" s="435">
        <f>IF(AND(ISNUMBER(AH176),ISNUMBER(AH175)),AH176-AH175,"")</f>
        <v>0.0999999999999996</v>
      </c>
      <c r="AJ176" s="435">
        <f>IF(AND(ISNUMBER(AH176),ISNUMBER(AH164)),AH176-AH164,"")</f>
        <v>2.2</v>
      </c>
      <c r="AK176" s="435">
        <f>IF(AND(ISNUMBER(AH176),ISNUMBER(AH116)),AH176-AH116,"")</f>
        <v>5.08</v>
      </c>
      <c r="AL176" s="560">
        <f>IFERROR(LN(INDEX(Data!$B$2:$B$497,MATCH(N176,Data!$A$2:$A$497,1))/INDEX(Data!$B$2:$B$497,MATCH(N164,Data!$A$2:$A$497,1))),"")</f>
      </c>
      <c r="AM176" s="560">
        <f>IFERROR(LN(INDEX(Data!$C$2:$C$497,MATCH(N176,Data!$A$2:$A$497,1))/INDEX(Data!$C$2:$C$497,MATCH(N164,Data!$A$2:$A$497,1))),"")</f>
      </c>
      <c r="AN176" s="560">
        <f>IFERROR(LN(INDEX(Data!$D$2:$D$497,MATCH(N176,Data!$A$2:$A$497,1))/INDEX(Data!$D$2:$D$497,MATCH(N164,Data!$A$2:$A$497,1))),"")</f>
      </c>
      <c r="AO176" s="560">
        <f>IFERROR(LN(INDEX(Data!$E$2:$E$497,MATCH(N176,Data!$A$2:$A$497,1))/INDEX(Data!$E$2:$E$497,MATCH(N164,Data!$A$2:$A$497,1))),"")</f>
      </c>
      <c r="AP176" s="560">
        <f>IFERROR(LN(INDEX(Data!$F$2:$F$497,MATCH(N176,Data!$A$2:$A$497,1))/INDEX(Data!$F$2:$F$497,MATCH(N164,Data!$A$2:$A$497,1))),"")</f>
      </c>
      <c r="AQ176" s="560">
        <f>IFERROR(LN(INDEX(Data!$G$2:$G$497,MATCH(N176,Data!$A$2:$A$497,1))/INDEX(Data!$G$2:$G$497,MATCH(N164,Data!$A$2:$A$497,1))),"")</f>
      </c>
      <c r="AR176" s="560">
        <f>IFERROR(LN(INDEX(Data!$H$2:$H$497,MATCH(N176,Data!$A$2:$A$497,1))/INDEX(Data!$H$2:$H$497,MATCH(N164,Data!$A$2:$A$497,1))),"")</f>
      </c>
      <c r="AS176" s="560">
        <f>IFERROR(LN(INDEX(Data!$I$2:$I$497,MATCH(N176,Data!$A$2:$A$497,1))/INDEX(Data!$I$2:$I$497,MATCH(N164,Data!$A$2:$A$497,1))),"")</f>
      </c>
      <c r="AT176" s="560">
        <f>IFERROR(LN(INDEX(Data!$J$2:$J$497,MATCH(N176,Data!$A$2:$A$497,1))/INDEX(Data!$J$2:$J$497,MATCH(N164,Data!$A$2:$A$497,1))),"")</f>
      </c>
      <c r="AU176" s="560">
        <f>IFERROR(LN(INDEX(Data!$K$2:$K$497,MATCH(N176,Data!$A$2:$A$497,1))/INDEX(Data!$K$2:$K$497,MATCH(N164,Data!$A$2:$A$497,1))),"")</f>
      </c>
      <c r="AV176" s="561">
        <f>IFERROR(LN(INDEX(Data!$L$2:$L$497,MATCH(N176,Data!$A$2:$A$497,1))/INDEX(Data!$L$2:$L$497,MATCH(N164,Data!$A$2:$A$497,1))),"")</f>
      </c>
    </row>
    <row r="177">
      <c r="N177" s="337" t="n">
        <v>30102</v>
      </c>
      <c r="O177" s="116">
        <f>INDEX('Additional data'!$B$2:$B$965,MATCH(DATE(YEAR(N177),MONTH(N177),1),'Additional data'!$A$2:$A$965,0))</f>
        <v>35.93</v>
      </c>
      <c r="P177" s="489">
        <f>LN(O177)</f>
        <v>3.58157260112543</v>
      </c>
      <c r="Q177" s="489">
        <f>Q176+LN(1+INDEX('Additional data'!$H$2:$H$1196,MATCH(N177,'Additional data'!$G$2:$G$1196,1))+INDEX('Additional data'!$I$2:$I$1196,MATCH(N177,'Additional data'!$G$2:$G$1196,1)))</f>
        <v>0.788401725290948</v>
      </c>
      <c r="R177" s="77" t="n"/>
      <c r="S177" s="116">
        <f>IF(INDEX('Additional data'!$E$2:$E$699,MATCH(DATE(YEAR(N177),MONTH(N177),1),'Additional data'!$D$2:$D$699,0))=0,(INDEX('Additional data'!$E$2:$E$699,MATCH(DATE(YEAR(N177),MONTH(N177),1),'Additional data'!$D$2:$D$699,0)-1)+INDEX('Additional data'!$E$2:$E$699,MATCH(DATE(YEAR(N177),MONTH(N177),1),'Additional data'!$D$2:$D$699,0)+1))/2,INDEX('Additional data'!$E$2:$E$699,MATCH(DATE(YEAR(N177),MONTH(N177),1),'Additional data'!$D$2:$D$699,0)))</f>
        <v>18.45</v>
      </c>
      <c r="T177" s="425">
        <f>P177-P176</f>
        <v>0.0715208145511896</v>
      </c>
      <c r="U177" s="425">
        <f>Q177-Q176</f>
        <v>-0.0291198985738521</v>
      </c>
      <c r="V177" s="77" t="n"/>
      <c r="W177" s="116">
        <f>S177-S176</f>
        <v>-2.94</v>
      </c>
      <c r="X177" s="425">
        <f>P177-P165</f>
        <v>-0.0560135586009585</v>
      </c>
      <c r="Y177" s="425">
        <f>Q177-Q165</f>
        <v>-0.128320059655455</v>
      </c>
      <c r="Z177" s="77" t="n"/>
      <c r="AA177" s="116">
        <f>S177-S165</f>
        <v>2.17</v>
      </c>
      <c r="AB177" s="425">
        <f>P177-P117</f>
        <v>0.949683760988781</v>
      </c>
      <c r="AC177" s="425">
        <f>Q177-Q117</f>
        <v>0.511195309354577</v>
      </c>
      <c r="AD177" s="77" t="n"/>
      <c r="AE177" s="235">
        <f>S177-S117</f>
        <v>7.51</v>
      </c>
      <c r="AG177" s="554">
        <f>N177</f>
        <v>30102.0</v>
      </c>
      <c r="AH177" s="435">
        <f>IFERROR(INDEX('RBA 5Y yield'!$B$5:$B$661,MATCH(N177,'RBA 5Y yield'!$A$5:$A$661,1))*100,"")</f>
        <v>16.4</v>
      </c>
      <c r="AI177" s="435">
        <f>IF(AND(ISNUMBER(AH177),ISNUMBER(AH176)),AH177-AH176,"")</f>
        <v>1.1</v>
      </c>
      <c r="AJ177" s="435">
        <f>IF(AND(ISNUMBER(AH177),ISNUMBER(AH165)),AH177-AH165,"")</f>
        <v>3.3</v>
      </c>
      <c r="AK177" s="435">
        <f>IF(AND(ISNUMBER(AH177),ISNUMBER(AH117)),AH177-AH117,"")</f>
        <v>6.18</v>
      </c>
      <c r="AL177" s="560">
        <f>IFERROR(LN(INDEX(Data!$B$2:$B$497,MATCH(N177,Data!$A$2:$A$497,1))/INDEX(Data!$B$2:$B$497,MATCH(N165,Data!$A$2:$A$497,1))),"")</f>
      </c>
      <c r="AM177" s="560">
        <f>IFERROR(LN(INDEX(Data!$C$2:$C$497,MATCH(N177,Data!$A$2:$A$497,1))/INDEX(Data!$C$2:$C$497,MATCH(N165,Data!$A$2:$A$497,1))),"")</f>
      </c>
      <c r="AN177" s="560">
        <f>IFERROR(LN(INDEX(Data!$D$2:$D$497,MATCH(N177,Data!$A$2:$A$497,1))/INDEX(Data!$D$2:$D$497,MATCH(N165,Data!$A$2:$A$497,1))),"")</f>
      </c>
      <c r="AO177" s="560">
        <f>IFERROR(LN(INDEX(Data!$E$2:$E$497,MATCH(N177,Data!$A$2:$A$497,1))/INDEX(Data!$E$2:$E$497,MATCH(N165,Data!$A$2:$A$497,1))),"")</f>
      </c>
      <c r="AP177" s="560">
        <f>IFERROR(LN(INDEX(Data!$F$2:$F$497,MATCH(N177,Data!$A$2:$A$497,1))/INDEX(Data!$F$2:$F$497,MATCH(N165,Data!$A$2:$A$497,1))),"")</f>
      </c>
      <c r="AQ177" s="560">
        <f>IFERROR(LN(INDEX(Data!$G$2:$G$497,MATCH(N177,Data!$A$2:$A$497,1))/INDEX(Data!$G$2:$G$497,MATCH(N165,Data!$A$2:$A$497,1))),"")</f>
      </c>
      <c r="AR177" s="560">
        <f>IFERROR(LN(INDEX(Data!$H$2:$H$497,MATCH(N177,Data!$A$2:$A$497,1))/INDEX(Data!$H$2:$H$497,MATCH(N165,Data!$A$2:$A$497,1))),"")</f>
      </c>
      <c r="AS177" s="560">
        <f>IFERROR(LN(INDEX(Data!$I$2:$I$497,MATCH(N177,Data!$A$2:$A$497,1))/INDEX(Data!$I$2:$I$497,MATCH(N165,Data!$A$2:$A$497,1))),"")</f>
      </c>
      <c r="AT177" s="560">
        <f>IFERROR(LN(INDEX(Data!$J$2:$J$497,MATCH(N177,Data!$A$2:$A$497,1))/INDEX(Data!$J$2:$J$497,MATCH(N165,Data!$A$2:$A$497,1))),"")</f>
      </c>
      <c r="AU177" s="560">
        <f>IFERROR(LN(INDEX(Data!$K$2:$K$497,MATCH(N177,Data!$A$2:$A$497,1))/INDEX(Data!$K$2:$K$497,MATCH(N165,Data!$A$2:$A$497,1))),"")</f>
      </c>
      <c r="AV177" s="561">
        <f>IFERROR(LN(INDEX(Data!$L$2:$L$497,MATCH(N177,Data!$A$2:$A$497,1))/INDEX(Data!$L$2:$L$497,MATCH(N165,Data!$A$2:$A$497,1))),"")</f>
      </c>
    </row>
    <row r="178">
      <c r="A178" s="519" t="inlineStr">
        <is>
          <t>12. Other mitigation tools (not modelled; discuss in the report)</t>
        </is>
      </c>
      <c r="B178" s="520" t="n"/>
      <c r="C178" s="520" t="n"/>
      <c r="D178" s="520" t="n"/>
      <c r="E178" s="520" t="n"/>
      <c r="F178" s="520" t="n"/>
      <c r="G178" s="520" t="n"/>
      <c r="H178" s="520" t="n"/>
      <c r="I178" s="521" t="n"/>
      <c r="N178" s="337" t="n">
        <v>30132</v>
      </c>
      <c r="O178" s="116">
        <f>INDEX('Additional data'!$B$2:$B$965,MATCH(DATE(YEAR(N178),MONTH(N178),1),'Additional data'!$A$2:$A$965,0))</f>
        <v>35.07</v>
      </c>
      <c r="P178" s="489">
        <f>LN(O178)</f>
        <v>3.55734606415209</v>
      </c>
      <c r="Q178" s="489">
        <f>Q177+LN(1+INDEX('Additional data'!$H$2:$H$1196,MATCH(N178,'Additional data'!$G$2:$G$1196,1))+INDEX('Additional data'!$I$2:$I$1196,MATCH(N178,'Additional data'!$G$2:$G$1196,1)))</f>
        <v>0.766973777877327</v>
      </c>
      <c r="R178" s="77" t="n"/>
      <c r="S178" s="116">
        <f>IF(INDEX('Additional data'!$E$2:$E$699,MATCH(DATE(YEAR(N178),MONTH(N178),1),'Additional data'!$D$2:$D$699,0))=0,(INDEX('Additional data'!$E$2:$E$699,MATCH(DATE(YEAR(N178),MONTH(N178),1),'Additional data'!$D$2:$D$699,0)-1)+INDEX('Additional data'!$E$2:$E$699,MATCH(DATE(YEAR(N178),MONTH(N178),1),'Additional data'!$D$2:$D$699,0)+1))/2,INDEX('Additional data'!$E$2:$E$699,MATCH(DATE(YEAR(N178),MONTH(N178),1),'Additional data'!$D$2:$D$699,0)))</f>
        <v>18.57</v>
      </c>
      <c r="T178" s="425">
        <f>P178-P177</f>
        <v>-0.0242265369733405</v>
      </c>
      <c r="U178" s="425">
        <f>Q178-Q177</f>
        <v>-0.0214279474136204</v>
      </c>
      <c r="V178" s="77" t="n"/>
      <c r="W178" s="116">
        <f>S178-S177</f>
        <v>0.120000000000001</v>
      </c>
      <c r="X178" s="425">
        <f>P178-P166</f>
        <v>-0.0261728743040233</v>
      </c>
      <c r="Y178" s="425">
        <f>Q178-Q166</f>
        <v>-0.139798676215407</v>
      </c>
      <c r="Z178" s="77" t="n"/>
      <c r="AA178" s="116">
        <f>S178-S166</f>
        <v>2.99</v>
      </c>
      <c r="AB178" s="425">
        <f>P178-P118</f>
        <v>0.925457224015441</v>
      </c>
      <c r="AC178" s="425">
        <f>Q178-Q118</f>
        <v>0.439834993192748</v>
      </c>
      <c r="AD178" s="77" t="n"/>
      <c r="AE178" s="235">
        <f>S178-S118</f>
        <v>7.62</v>
      </c>
      <c r="AG178" s="554">
        <f>N178</f>
        <v>30132.0</v>
      </c>
      <c r="AH178" s="435">
        <f>IFERROR(INDEX('RBA 5Y yield'!$B$5:$B$661,MATCH(N178,'RBA 5Y yield'!$A$5:$A$661,1))*100,"")</f>
        <v>16.4</v>
      </c>
      <c r="AI178" s="435">
        <f>IF(AND(ISNUMBER(AH178),ISNUMBER(AH177)),AH178-AH177,"")</f>
        <v>0</v>
      </c>
      <c r="AJ178" s="435">
        <f>IF(AND(ISNUMBER(AH178),ISNUMBER(AH166)),AH178-AH166,"")</f>
        <v>3.3</v>
      </c>
      <c r="AK178" s="435">
        <f>IF(AND(ISNUMBER(AH178),ISNUMBER(AH118)),AH178-AH118,"")</f>
        <v>6.19</v>
      </c>
      <c r="AL178" s="560">
        <f>IFERROR(LN(INDEX(Data!$B$2:$B$497,MATCH(N178,Data!$A$2:$A$497,1))/INDEX(Data!$B$2:$B$497,MATCH(N166,Data!$A$2:$A$497,1))),"")</f>
      </c>
      <c r="AM178" s="560">
        <f>IFERROR(LN(INDEX(Data!$C$2:$C$497,MATCH(N178,Data!$A$2:$A$497,1))/INDEX(Data!$C$2:$C$497,MATCH(N166,Data!$A$2:$A$497,1))),"")</f>
      </c>
      <c r="AN178" s="560">
        <f>IFERROR(LN(INDEX(Data!$D$2:$D$497,MATCH(N178,Data!$A$2:$A$497,1))/INDEX(Data!$D$2:$D$497,MATCH(N166,Data!$A$2:$A$497,1))),"")</f>
      </c>
      <c r="AO178" s="560">
        <f>IFERROR(LN(INDEX(Data!$E$2:$E$497,MATCH(N178,Data!$A$2:$A$497,1))/INDEX(Data!$E$2:$E$497,MATCH(N166,Data!$A$2:$A$497,1))),"")</f>
      </c>
      <c r="AP178" s="560">
        <f>IFERROR(LN(INDEX(Data!$F$2:$F$497,MATCH(N178,Data!$A$2:$A$497,1))/INDEX(Data!$F$2:$F$497,MATCH(N166,Data!$A$2:$A$497,1))),"")</f>
      </c>
      <c r="AQ178" s="560">
        <f>IFERROR(LN(INDEX(Data!$G$2:$G$497,MATCH(N178,Data!$A$2:$A$497,1))/INDEX(Data!$G$2:$G$497,MATCH(N166,Data!$A$2:$A$497,1))),"")</f>
      </c>
      <c r="AR178" s="560">
        <f>IFERROR(LN(INDEX(Data!$H$2:$H$497,MATCH(N178,Data!$A$2:$A$497,1))/INDEX(Data!$H$2:$H$497,MATCH(N166,Data!$A$2:$A$497,1))),"")</f>
      </c>
      <c r="AS178" s="560">
        <f>IFERROR(LN(INDEX(Data!$I$2:$I$497,MATCH(N178,Data!$A$2:$A$497,1))/INDEX(Data!$I$2:$I$497,MATCH(N166,Data!$A$2:$A$497,1))),"")</f>
      </c>
      <c r="AT178" s="560">
        <f>IFERROR(LN(INDEX(Data!$J$2:$J$497,MATCH(N178,Data!$A$2:$A$497,1))/INDEX(Data!$J$2:$J$497,MATCH(N166,Data!$A$2:$A$497,1))),"")</f>
      </c>
      <c r="AU178" s="560">
        <f>IFERROR(LN(INDEX(Data!$K$2:$K$497,MATCH(N178,Data!$A$2:$A$497,1))/INDEX(Data!$K$2:$K$497,MATCH(N166,Data!$A$2:$A$497,1))),"")</f>
      </c>
      <c r="AV178" s="561">
        <f>IFERROR(LN(INDEX(Data!$L$2:$L$497,MATCH(N178,Data!$A$2:$A$497,1))/INDEX(Data!$L$2:$L$497,MATCH(N166,Data!$A$2:$A$497,1))),"")</f>
      </c>
    </row>
    <row r="179">
      <c r="A179" s="522" t="inlineStr">
        <is>
          <t>Tool</t>
        </is>
      </c>
      <c r="B179" s="601" t="inlineStr">
        <is>
          <t>How it helps</t>
        </is>
      </c>
      <c r="C179" s="602" t="n"/>
      <c r="D179" s="602" t="n"/>
      <c r="E179" s="603" t="n"/>
      <c r="F179" s="601" t="inlineStr">
        <is>
          <t>Cost or drawback</t>
        </is>
      </c>
      <c r="G179" s="602" t="n"/>
      <c r="H179" s="602" t="n"/>
      <c r="I179" s="603" t="n"/>
      <c r="N179" s="337" t="n">
        <v>30163</v>
      </c>
      <c r="O179" s="116">
        <f>INDEX('Additional data'!$B$2:$B$965,MATCH(DATE(YEAR(N179),MONTH(N179),1),'Additional data'!$A$2:$A$965,0))</f>
        <v>34.16</v>
      </c>
      <c r="P179" s="489">
        <f>LN(O179)</f>
        <v>3.53105536892037</v>
      </c>
      <c r="Q179" s="489">
        <f>Q178+LN(1+INDEX('Additional data'!$H$2:$H$1196,MATCH(N179,'Additional data'!$G$2:$G$1196,1))+INDEX('Additional data'!$I$2:$I$1196,MATCH(N179,'Additional data'!$G$2:$G$1196,1)))</f>
        <v>0.745239285731321</v>
      </c>
      <c r="R179" s="77" t="n"/>
      <c r="S179" s="116">
        <f>IF(INDEX('Additional data'!$E$2:$E$699,MATCH(DATE(YEAR(N179),MONTH(N179),1),'Additional data'!$D$2:$D$699,0))=0,(INDEX('Additional data'!$E$2:$E$699,MATCH(DATE(YEAR(N179),MONTH(N179),1),'Additional data'!$D$2:$D$699,0)-1)+INDEX('Additional data'!$E$2:$E$699,MATCH(DATE(YEAR(N179),MONTH(N179),1),'Additional data'!$D$2:$D$699,0)+1))/2,INDEX('Additional data'!$E$2:$E$699,MATCH(DATE(YEAR(N179),MONTH(N179),1),'Additional data'!$D$2:$D$699,0)))</f>
        <v>17.29</v>
      </c>
      <c r="T179" s="425">
        <f>P179-P178</f>
        <v>-0.0262906952317175</v>
      </c>
      <c r="U179" s="425">
        <f>Q179-Q178</f>
        <v>-0.0217344921460062</v>
      </c>
      <c r="V179" s="77" t="n"/>
      <c r="W179" s="116">
        <f>S179-S178</f>
        <v>-1.28</v>
      </c>
      <c r="X179" s="425">
        <f>P179-P167</f>
        <v>-0.0524635695357407</v>
      </c>
      <c r="Y179" s="425">
        <f>Q179-Q167</f>
        <v>-0.158428353407934</v>
      </c>
      <c r="Z179" s="77" t="n"/>
      <c r="AA179" s="116">
        <f>S179-S167</f>
        <v>1.9</v>
      </c>
      <c r="AB179" s="425">
        <f>P179-P119</f>
        <v>0.899166528783723</v>
      </c>
      <c r="AC179" s="425">
        <f>Q179-Q119</f>
        <v>0.430881835411475</v>
      </c>
      <c r="AD179" s="77" t="n"/>
      <c r="AE179" s="235">
        <f>S179-S119</f>
        <v>6.57</v>
      </c>
      <c r="AG179" s="554">
        <f>N179</f>
        <v>30163.0</v>
      </c>
      <c r="AH179" s="435">
        <f>IFERROR(INDEX('RBA 5Y yield'!$B$5:$B$661,MATCH(N179,'RBA 5Y yield'!$A$5:$A$661,1))*100,"")</f>
        <v>16.4</v>
      </c>
      <c r="AI179" s="435">
        <f>IF(AND(ISNUMBER(AH179),ISNUMBER(AH178)),AH179-AH178,"")</f>
        <v>0</v>
      </c>
      <c r="AJ179" s="435">
        <f>IF(AND(ISNUMBER(AH179),ISNUMBER(AH167)),AH179-AH167,"")</f>
        <v>2.65</v>
      </c>
      <c r="AK179" s="435">
        <f>IF(AND(ISNUMBER(AH179),ISNUMBER(AH119)),AH179-AH119,"")</f>
        <v>6.19</v>
      </c>
      <c r="AL179" s="560">
        <f>IFERROR(LN(INDEX(Data!$B$2:$B$497,MATCH(N179,Data!$A$2:$A$497,1))/INDEX(Data!$B$2:$B$497,MATCH(N167,Data!$A$2:$A$497,1))),"")</f>
      </c>
      <c r="AM179" s="560">
        <f>IFERROR(LN(INDEX(Data!$C$2:$C$497,MATCH(N179,Data!$A$2:$A$497,1))/INDEX(Data!$C$2:$C$497,MATCH(N167,Data!$A$2:$A$497,1))),"")</f>
      </c>
      <c r="AN179" s="560">
        <f>IFERROR(LN(INDEX(Data!$D$2:$D$497,MATCH(N179,Data!$A$2:$A$497,1))/INDEX(Data!$D$2:$D$497,MATCH(N167,Data!$A$2:$A$497,1))),"")</f>
      </c>
      <c r="AO179" s="560">
        <f>IFERROR(LN(INDEX(Data!$E$2:$E$497,MATCH(N179,Data!$A$2:$A$497,1))/INDEX(Data!$E$2:$E$497,MATCH(N167,Data!$A$2:$A$497,1))),"")</f>
      </c>
      <c r="AP179" s="560">
        <f>IFERROR(LN(INDEX(Data!$F$2:$F$497,MATCH(N179,Data!$A$2:$A$497,1))/INDEX(Data!$F$2:$F$497,MATCH(N167,Data!$A$2:$A$497,1))),"")</f>
      </c>
      <c r="AQ179" s="560">
        <f>IFERROR(LN(INDEX(Data!$G$2:$G$497,MATCH(N179,Data!$A$2:$A$497,1))/INDEX(Data!$G$2:$G$497,MATCH(N167,Data!$A$2:$A$497,1))),"")</f>
      </c>
      <c r="AR179" s="560">
        <f>IFERROR(LN(INDEX(Data!$H$2:$H$497,MATCH(N179,Data!$A$2:$A$497,1))/INDEX(Data!$H$2:$H$497,MATCH(N167,Data!$A$2:$A$497,1))),"")</f>
      </c>
      <c r="AS179" s="560">
        <f>IFERROR(LN(INDEX(Data!$I$2:$I$497,MATCH(N179,Data!$A$2:$A$497,1))/INDEX(Data!$I$2:$I$497,MATCH(N167,Data!$A$2:$A$497,1))),"")</f>
      </c>
      <c r="AT179" s="560">
        <f>IFERROR(LN(INDEX(Data!$J$2:$J$497,MATCH(N179,Data!$A$2:$A$497,1))/INDEX(Data!$J$2:$J$497,MATCH(N167,Data!$A$2:$A$497,1))),"")</f>
      </c>
      <c r="AU179" s="560">
        <f>IFERROR(LN(INDEX(Data!$K$2:$K$497,MATCH(N179,Data!$A$2:$A$497,1))/INDEX(Data!$K$2:$K$497,MATCH(N167,Data!$A$2:$A$497,1))),"")</f>
      </c>
      <c r="AV179" s="561">
        <f>IFERROR(LN(INDEX(Data!$L$2:$L$497,MATCH(N179,Data!$A$2:$A$497,1))/INDEX(Data!$L$2:$L$497,MATCH(N167,Data!$A$2:$A$497,1))),"")</f>
      </c>
    </row>
    <row r="180" ht="40" customHeight="1">
      <c r="A180" s="604" t="inlineStr">
        <is>
          <t>Oil call options or equity put overlay</t>
        </is>
      </c>
      <c r="B180" s="605" t="inlineStr">
        <is>
          <t>Pays off directly in a spike; caps the loss without changing the SAA</t>
        </is>
      </c>
      <c r="C180" s="606" t="n"/>
      <c r="D180" s="606" t="n"/>
      <c r="E180" s="607" t="n"/>
      <c r="F180" s="605" t="inlineStr">
        <is>
          <t>Premium is a certain drag (typically 1-3% of notional a year); needs a derivatives mandate</t>
        </is>
      </c>
      <c r="G180" s="606" t="n"/>
      <c r="H180" s="606" t="n"/>
      <c r="I180" s="607" t="n"/>
      <c r="N180" s="337" t="n">
        <v>30194</v>
      </c>
      <c r="O180" s="116">
        <f>INDEX('Additional data'!$B$2:$B$965,MATCH(DATE(YEAR(N180),MONTH(N180),1),'Additional data'!$A$2:$A$965,0))</f>
        <v>33.95</v>
      </c>
      <c r="P180" s="489">
        <f>LN(O180)</f>
        <v>3.52488885400471</v>
      </c>
      <c r="Q180" s="489">
        <f>Q179+LN(1+INDEX('Additional data'!$H$2:$H$1196,MATCH(N180,'Additional data'!$G$2:$G$1196,1))+INDEX('Additional data'!$I$2:$I$1196,MATCH(N180,'Additional data'!$G$2:$G$1196,1)))</f>
        <v>0.858478681337832</v>
      </c>
      <c r="R180" s="77" t="n"/>
      <c r="S180" s="116">
        <f>IF(INDEX('Additional data'!$E$2:$E$699,MATCH(DATE(YEAR(N180),MONTH(N180),1),'Additional data'!$D$2:$D$699,0))=0,(INDEX('Additional data'!$E$2:$E$699,MATCH(DATE(YEAR(N180),MONTH(N180),1),'Additional data'!$D$2:$D$699,0)-1)+INDEX('Additional data'!$E$2:$E$699,MATCH(DATE(YEAR(N180),MONTH(N180),1),'Additional data'!$D$2:$D$699,0)+1))/2,INDEX('Additional data'!$E$2:$E$699,MATCH(DATE(YEAR(N180),MONTH(N180),1),'Additional data'!$D$2:$D$699,0)))</f>
        <v>17.17</v>
      </c>
      <c r="T180" s="425">
        <f>P180-P179</f>
        <v>-0.00616651491566378</v>
      </c>
      <c r="U180" s="425">
        <f>Q180-Q179</f>
        <v>0.113239395606511</v>
      </c>
      <c r="V180" s="77" t="n"/>
      <c r="W180" s="116">
        <f>S180-S179</f>
        <v>-0.119999999999997</v>
      </c>
      <c r="X180" s="425">
        <f>P180-P168</f>
        <v>-0.0586300844514045</v>
      </c>
      <c r="Y180" s="425">
        <f>Q180-Q168</f>
        <v>0.0139243066910831</v>
      </c>
      <c r="Z180" s="77" t="n"/>
      <c r="AA180" s="116">
        <f>S180-S168</f>
        <v>1.45</v>
      </c>
      <c r="AB180" s="425">
        <f>P180-P120</f>
        <v>0.826888988755997</v>
      </c>
      <c r="AC180" s="425">
        <f>Q180-Q120</f>
        <v>0.557409125344921</v>
      </c>
      <c r="AD180" s="77" t="n"/>
      <c r="AE180" s="235">
        <f>S180-S120</f>
        <v>6.27</v>
      </c>
      <c r="AG180" s="554">
        <f>N180</f>
        <v>30194.0</v>
      </c>
      <c r="AH180" s="435">
        <f>IFERROR(INDEX('RBA 5Y yield'!$B$5:$B$661,MATCH(N180,'RBA 5Y yield'!$A$5:$A$661,1))*100,"")</f>
        <v>16.6</v>
      </c>
      <c r="AI180" s="435">
        <f>IF(AND(ISNUMBER(AH180),ISNUMBER(AH179)),AH180-AH179,"")</f>
        <v>0.199999999999999</v>
      </c>
      <c r="AJ180" s="435">
        <f>IF(AND(ISNUMBER(AH180),ISNUMBER(AH168)),AH180-AH168,"")</f>
        <v>1.6</v>
      </c>
      <c r="AK180" s="435">
        <f>IF(AND(ISNUMBER(AH180),ISNUMBER(AH120)),AH180-AH120,"")</f>
        <v>6.4</v>
      </c>
      <c r="AL180" s="560">
        <f>IFERROR(LN(INDEX(Data!$B$2:$B$497,MATCH(N180,Data!$A$2:$A$497,1))/INDEX(Data!$B$2:$B$497,MATCH(N168,Data!$A$2:$A$497,1))),"")</f>
      </c>
      <c r="AM180" s="560">
        <f>IFERROR(LN(INDEX(Data!$C$2:$C$497,MATCH(N180,Data!$A$2:$A$497,1))/INDEX(Data!$C$2:$C$497,MATCH(N168,Data!$A$2:$A$497,1))),"")</f>
      </c>
      <c r="AN180" s="560">
        <f>IFERROR(LN(INDEX(Data!$D$2:$D$497,MATCH(N180,Data!$A$2:$A$497,1))/INDEX(Data!$D$2:$D$497,MATCH(N168,Data!$A$2:$A$497,1))),"")</f>
      </c>
      <c r="AO180" s="560">
        <f>IFERROR(LN(INDEX(Data!$E$2:$E$497,MATCH(N180,Data!$A$2:$A$497,1))/INDEX(Data!$E$2:$E$497,MATCH(N168,Data!$A$2:$A$497,1))),"")</f>
      </c>
      <c r="AP180" s="560">
        <f>IFERROR(LN(INDEX(Data!$F$2:$F$497,MATCH(N180,Data!$A$2:$A$497,1))/INDEX(Data!$F$2:$F$497,MATCH(N168,Data!$A$2:$A$497,1))),"")</f>
      </c>
      <c r="AQ180" s="560">
        <f>IFERROR(LN(INDEX(Data!$G$2:$G$497,MATCH(N180,Data!$A$2:$A$497,1))/INDEX(Data!$G$2:$G$497,MATCH(N168,Data!$A$2:$A$497,1))),"")</f>
      </c>
      <c r="AR180" s="560">
        <f>IFERROR(LN(INDEX(Data!$H$2:$H$497,MATCH(N180,Data!$A$2:$A$497,1))/INDEX(Data!$H$2:$H$497,MATCH(N168,Data!$A$2:$A$497,1))),"")</f>
      </c>
      <c r="AS180" s="560">
        <f>IFERROR(LN(INDEX(Data!$I$2:$I$497,MATCH(N180,Data!$A$2:$A$497,1))/INDEX(Data!$I$2:$I$497,MATCH(N168,Data!$A$2:$A$497,1))),"")</f>
      </c>
      <c r="AT180" s="560">
        <f>IFERROR(LN(INDEX(Data!$J$2:$J$497,MATCH(N180,Data!$A$2:$A$497,1))/INDEX(Data!$J$2:$J$497,MATCH(N168,Data!$A$2:$A$497,1))),"")</f>
      </c>
      <c r="AU180" s="560">
        <f>IFERROR(LN(INDEX(Data!$K$2:$K$497,MATCH(N180,Data!$A$2:$A$497,1))/INDEX(Data!$K$2:$K$497,MATCH(N168,Data!$A$2:$A$497,1))),"")</f>
      </c>
      <c r="AV180" s="561">
        <f>IFERROR(LN(INDEX(Data!$L$2:$L$497,MATCH(N180,Data!$A$2:$A$497,1))/INDEX(Data!$L$2:$L$497,MATCH(N168,Data!$A$2:$A$497,1))),"")</f>
      </c>
    </row>
    <row r="181" ht="40" customHeight="1">
      <c r="A181" s="604" t="inlineStr">
        <is>
          <t>Inflation-linked bonds in place of some nominal bonds</t>
        </is>
      </c>
      <c r="B181" s="605" t="inlineStr">
        <is>
          <t>Oil shocks feed headline inflation; real-yield bonds protect purchasing power</t>
        </is>
      </c>
      <c r="C181" s="606" t="n"/>
      <c r="D181" s="606" t="n"/>
      <c r="E181" s="607" t="n"/>
      <c r="F181" s="605" t="inlineStr">
        <is>
          <t>Not in the asset universe or fee schedule; lower expected return than nominal bonds today</t>
        </is>
      </c>
      <c r="G181" s="606" t="n"/>
      <c r="H181" s="606" t="n"/>
      <c r="I181" s="607" t="n"/>
      <c r="N181" s="337" t="n">
        <v>30224</v>
      </c>
      <c r="O181" s="116">
        <f>INDEX('Additional data'!$B$2:$B$965,MATCH(DATE(YEAR(N181),MONTH(N181),1),'Additional data'!$A$2:$A$965,0))</f>
        <v>35.63</v>
      </c>
      <c r="P181" s="489">
        <f>LN(O181)</f>
        <v>3.57318797961774</v>
      </c>
      <c r="Q181" s="489">
        <f>Q180+LN(1+INDEX('Additional data'!$H$2:$H$1196,MATCH(N181,'Additional data'!$G$2:$G$1196,1))+INDEX('Additional data'!$I$2:$I$1196,MATCH(N181,'Additional data'!$G$2:$G$1196,1)))</f>
        <v>0.876515043823931</v>
      </c>
      <c r="R181" s="77" t="n"/>
      <c r="S181" s="116">
        <f>IF(INDEX('Additional data'!$E$2:$E$699,MATCH(DATE(YEAR(N181),MONTH(N181),1),'Additional data'!$D$2:$D$699,0))=0,(INDEX('Additional data'!$E$2:$E$699,MATCH(DATE(YEAR(N181),MONTH(N181),1),'Additional data'!$D$2:$D$699,0)-1)+INDEX('Additional data'!$E$2:$E$699,MATCH(DATE(YEAR(N181),MONTH(N181),1),'Additional data'!$D$2:$D$699,0)+1))/2,INDEX('Additional data'!$E$2:$E$699,MATCH(DATE(YEAR(N181),MONTH(N181),1),'Additional data'!$D$2:$D$699,0)))</f>
        <v>15.46</v>
      </c>
      <c r="T181" s="425">
        <f>P181-P180</f>
        <v>0.0482991256130392</v>
      </c>
      <c r="U181" s="425">
        <f>Q181-Q180</f>
        <v>0.0180363624860987</v>
      </c>
      <c r="V181" s="77" t="n"/>
      <c r="W181" s="116">
        <f>S181-S180</f>
        <v>-1.71</v>
      </c>
      <c r="X181" s="425">
        <f>P181-P169</f>
        <v>-0.0103309588383653</v>
      </c>
      <c r="Y181" s="425">
        <f>Q181-Q169</f>
        <v>0.0933042994182338</v>
      </c>
      <c r="Z181" s="77" t="n"/>
      <c r="AA181" s="116">
        <f>S181-S169</f>
        <v>0.110000000000001</v>
      </c>
      <c r="AB181" s="425">
        <f>P181-P121</f>
        <v>0.875188114369036</v>
      </c>
      <c r="AC181" s="425">
        <f>Q181-Q121</f>
        <v>0.573846766467322</v>
      </c>
      <c r="AD181" s="77" t="n"/>
      <c r="AE181" s="235">
        <f>S181-S121</f>
        <v>5.03</v>
      </c>
      <c r="AG181" s="554">
        <f>N181</f>
        <v>30224.0</v>
      </c>
      <c r="AH181" s="435">
        <f>IFERROR(INDEX('RBA 5Y yield'!$B$5:$B$661,MATCH(N181,'RBA 5Y yield'!$A$5:$A$661,1))*100,"")</f>
        <v>15.2</v>
      </c>
      <c r="AI181" s="435">
        <f>IF(AND(ISNUMBER(AH181),ISNUMBER(AH180)),AH181-AH180,"")</f>
        <v>-1.4</v>
      </c>
      <c r="AJ181" s="435">
        <f>IF(AND(ISNUMBER(AH181),ISNUMBER(AH169)),AH181-AH169,"")</f>
        <v>0.199999999999999</v>
      </c>
      <c r="AK181" s="435">
        <f>IF(AND(ISNUMBER(AH181),ISNUMBER(AH121)),AH181-AH121,"")</f>
        <v>5.17</v>
      </c>
      <c r="AL181" s="560">
        <f>IFERROR(LN(INDEX(Data!$B$2:$B$497,MATCH(N181,Data!$A$2:$A$497,1))/INDEX(Data!$B$2:$B$497,MATCH(N169,Data!$A$2:$A$497,1))),"")</f>
      </c>
      <c r="AM181" s="560">
        <f>IFERROR(LN(INDEX(Data!$C$2:$C$497,MATCH(N181,Data!$A$2:$A$497,1))/INDEX(Data!$C$2:$C$497,MATCH(N169,Data!$A$2:$A$497,1))),"")</f>
      </c>
      <c r="AN181" s="560">
        <f>IFERROR(LN(INDEX(Data!$D$2:$D$497,MATCH(N181,Data!$A$2:$A$497,1))/INDEX(Data!$D$2:$D$497,MATCH(N169,Data!$A$2:$A$497,1))),"")</f>
      </c>
      <c r="AO181" s="560">
        <f>IFERROR(LN(INDEX(Data!$E$2:$E$497,MATCH(N181,Data!$A$2:$A$497,1))/INDEX(Data!$E$2:$E$497,MATCH(N169,Data!$A$2:$A$497,1))),"")</f>
      </c>
      <c r="AP181" s="560">
        <f>IFERROR(LN(INDEX(Data!$F$2:$F$497,MATCH(N181,Data!$A$2:$A$497,1))/INDEX(Data!$F$2:$F$497,MATCH(N169,Data!$A$2:$A$497,1))),"")</f>
      </c>
      <c r="AQ181" s="560">
        <f>IFERROR(LN(INDEX(Data!$G$2:$G$497,MATCH(N181,Data!$A$2:$A$497,1))/INDEX(Data!$G$2:$G$497,MATCH(N169,Data!$A$2:$A$497,1))),"")</f>
      </c>
      <c r="AR181" s="560">
        <f>IFERROR(LN(INDEX(Data!$H$2:$H$497,MATCH(N181,Data!$A$2:$A$497,1))/INDEX(Data!$H$2:$H$497,MATCH(N169,Data!$A$2:$A$497,1))),"")</f>
      </c>
      <c r="AS181" s="560">
        <f>IFERROR(LN(INDEX(Data!$I$2:$I$497,MATCH(N181,Data!$A$2:$A$497,1))/INDEX(Data!$I$2:$I$497,MATCH(N169,Data!$A$2:$A$497,1))),"")</f>
      </c>
      <c r="AT181" s="560">
        <f>IFERROR(LN(INDEX(Data!$J$2:$J$497,MATCH(N181,Data!$A$2:$A$497,1))/INDEX(Data!$J$2:$J$497,MATCH(N169,Data!$A$2:$A$497,1))),"")</f>
      </c>
      <c r="AU181" s="560">
        <f>IFERROR(LN(INDEX(Data!$K$2:$K$497,MATCH(N181,Data!$A$2:$A$497,1))/INDEX(Data!$K$2:$K$497,MATCH(N169,Data!$A$2:$A$497,1))),"")</f>
      </c>
      <c r="AV181" s="561">
        <f>IFERROR(LN(INDEX(Data!$L$2:$L$497,MATCH(N181,Data!$A$2:$A$497,1))/INDEX(Data!$L$2:$L$497,MATCH(N169,Data!$A$2:$A$497,1))),"")</f>
      </c>
    </row>
    <row r="182" ht="40" customHeight="1">
      <c r="A182" s="604" t="inlineStr">
        <is>
          <t>Energy and resources tilt within Australian equities</t>
        </is>
      </c>
      <c r="B182" s="605" t="inlineStr">
        <is>
          <t>ASX energy and miners have positive oil betas; keeps the equity weight unchanged</t>
        </is>
      </c>
      <c r="C182" s="606" t="n"/>
      <c r="D182" s="606" t="n"/>
      <c r="E182" s="607" t="n"/>
      <c r="F182" s="605" t="inlineStr">
        <is>
          <t>Concentration and active risk; adds to tracking error</t>
        </is>
      </c>
      <c r="G182" s="606" t="n"/>
      <c r="H182" s="606" t="n"/>
      <c r="I182" s="607" t="n"/>
      <c r="N182" s="337" t="n">
        <v>30255</v>
      </c>
      <c r="O182" s="116">
        <f>INDEX('Additional data'!$B$2:$B$965,MATCH(DATE(YEAR(N182),MONTH(N182),1),'Additional data'!$A$2:$A$965,0))</f>
        <v>35.68</v>
      </c>
      <c r="P182" s="489">
        <f>LN(O182)</f>
        <v>3.57459030771181</v>
      </c>
      <c r="Q182" s="489">
        <f>Q181+LN(1+INDEX('Additional data'!$H$2:$H$1196,MATCH(N182,'Additional data'!$G$2:$G$1196,1))+INDEX('Additional data'!$I$2:$I$1196,MATCH(N182,'Additional data'!$G$2:$G$1196,1)))</f>
        <v>0.988861103655469</v>
      </c>
      <c r="R182" s="77" t="n"/>
      <c r="S182" s="116">
        <f>IF(INDEX('Additional data'!$E$2:$E$699,MATCH(DATE(YEAR(N182),MONTH(N182),1),'Additional data'!$D$2:$D$699,0))=0,(INDEX('Additional data'!$E$2:$E$699,MATCH(DATE(YEAR(N182),MONTH(N182),1),'Additional data'!$D$2:$D$699,0)-1)+INDEX('Additional data'!$E$2:$E$699,MATCH(DATE(YEAR(N182),MONTH(N182),1),'Additional data'!$D$2:$D$699,0)+1))/2,INDEX('Additional data'!$E$2:$E$699,MATCH(DATE(YEAR(N182),MONTH(N182),1),'Additional data'!$D$2:$D$699,0)))</f>
        <v>14.57</v>
      </c>
      <c r="T182" s="425">
        <f>P182-P181</f>
        <v>0.00140232809406404</v>
      </c>
      <c r="U182" s="425">
        <f>Q182-Q181</f>
        <v>0.112346059831538</v>
      </c>
      <c r="V182" s="77" t="n"/>
      <c r="W182" s="116">
        <f>S182-S181</f>
        <v>-0.890000000000001</v>
      </c>
      <c r="X182" s="425">
        <f>P182-P170</f>
        <v>0.0192422462223951</v>
      </c>
      <c r="Y182" s="425">
        <f>Q182-Q170</f>
        <v>0.146155787464133</v>
      </c>
      <c r="Z182" s="77" t="n"/>
      <c r="AA182" s="116">
        <f>S182-S170</f>
        <v>-0.119999999999999</v>
      </c>
      <c r="AB182" s="425">
        <f>P182-P122</f>
        <v>0.8765904424631</v>
      </c>
      <c r="AC182" s="425">
        <f>Q182-Q122</f>
        <v>0.725973696310706</v>
      </c>
      <c r="AD182" s="77" t="n"/>
      <c r="AE182" s="235">
        <f>S182-S122</f>
        <v>4.55</v>
      </c>
      <c r="AG182" s="554">
        <f>N182</f>
        <v>30255.0</v>
      </c>
      <c r="AH182" s="435">
        <f>IFERROR(INDEX('RBA 5Y yield'!$B$5:$B$661,MATCH(N182,'RBA 5Y yield'!$A$5:$A$661,1))*100,"")</f>
        <v>14.55</v>
      </c>
      <c r="AI182" s="435">
        <f>IF(AND(ISNUMBER(AH182),ISNUMBER(AH181)),AH182-AH181,"")</f>
        <v>-0.65</v>
      </c>
      <c r="AJ182" s="435">
        <f>IF(AND(ISNUMBER(AH182),ISNUMBER(AH170)),AH182-AH170,"")</f>
        <v>-0.450000000000001</v>
      </c>
      <c r="AK182" s="435">
        <f>IF(AND(ISNUMBER(AH182),ISNUMBER(AH122)),AH182-AH122,"")</f>
        <v>4.71</v>
      </c>
      <c r="AL182" s="560">
        <f>IFERROR(LN(INDEX(Data!$B$2:$B$497,MATCH(N182,Data!$A$2:$A$497,1))/INDEX(Data!$B$2:$B$497,MATCH(N170,Data!$A$2:$A$497,1))),"")</f>
      </c>
      <c r="AM182" s="560">
        <f>IFERROR(LN(INDEX(Data!$C$2:$C$497,MATCH(N182,Data!$A$2:$A$497,1))/INDEX(Data!$C$2:$C$497,MATCH(N170,Data!$A$2:$A$497,1))),"")</f>
      </c>
      <c r="AN182" s="560">
        <f>IFERROR(LN(INDEX(Data!$D$2:$D$497,MATCH(N182,Data!$A$2:$A$497,1))/INDEX(Data!$D$2:$D$497,MATCH(N170,Data!$A$2:$A$497,1))),"")</f>
      </c>
      <c r="AO182" s="560">
        <f>IFERROR(LN(INDEX(Data!$E$2:$E$497,MATCH(N182,Data!$A$2:$A$497,1))/INDEX(Data!$E$2:$E$497,MATCH(N170,Data!$A$2:$A$497,1))),"")</f>
      </c>
      <c r="AP182" s="560">
        <f>IFERROR(LN(INDEX(Data!$F$2:$F$497,MATCH(N182,Data!$A$2:$A$497,1))/INDEX(Data!$F$2:$F$497,MATCH(N170,Data!$A$2:$A$497,1))),"")</f>
      </c>
      <c r="AQ182" s="560">
        <f>IFERROR(LN(INDEX(Data!$G$2:$G$497,MATCH(N182,Data!$A$2:$A$497,1))/INDEX(Data!$G$2:$G$497,MATCH(N170,Data!$A$2:$A$497,1))),"")</f>
      </c>
      <c r="AR182" s="560">
        <f>IFERROR(LN(INDEX(Data!$H$2:$H$497,MATCH(N182,Data!$A$2:$A$497,1))/INDEX(Data!$H$2:$H$497,MATCH(N170,Data!$A$2:$A$497,1))),"")</f>
      </c>
      <c r="AS182" s="560">
        <f>IFERROR(LN(INDEX(Data!$I$2:$I$497,MATCH(N182,Data!$A$2:$A$497,1))/INDEX(Data!$I$2:$I$497,MATCH(N170,Data!$A$2:$A$497,1))),"")</f>
      </c>
      <c r="AT182" s="560">
        <f>IFERROR(LN(INDEX(Data!$J$2:$J$497,MATCH(N182,Data!$A$2:$A$497,1))/INDEX(Data!$J$2:$J$497,MATCH(N170,Data!$A$2:$A$497,1))),"")</f>
      </c>
      <c r="AU182" s="560">
        <f>IFERROR(LN(INDEX(Data!$K$2:$K$497,MATCH(N182,Data!$A$2:$A$497,1))/INDEX(Data!$K$2:$K$497,MATCH(N170,Data!$A$2:$A$497,1))),"")</f>
      </c>
      <c r="AV182" s="561">
        <f>IFERROR(LN(INDEX(Data!$L$2:$L$497,MATCH(N182,Data!$A$2:$A$497,1))/INDEX(Data!$L$2:$L$497,MATCH(N170,Data!$A$2:$A$497,1))),"")</f>
      </c>
    </row>
    <row r="183" ht="40" customHeight="1">
      <c r="A183" s="604" t="inlineStr">
        <is>
          <t>Keep world equities unhedged</t>
        </is>
      </c>
      <c r="B183" s="605" t="inlineStr">
        <is>
          <t>The AUD tends to fall in global risk-off episodes, cushioning offshore assets in A$</t>
        </is>
      </c>
      <c r="C183" s="606" t="n"/>
      <c r="D183" s="606" t="n"/>
      <c r="E183" s="607" t="n"/>
      <c r="F183" s="605" t="inlineStr">
        <is>
          <t>Currency volatility in normal times; the AUD is partly a commodity currency</t>
        </is>
      </c>
      <c r="G183" s="606" t="n"/>
      <c r="H183" s="606" t="n"/>
      <c r="I183" s="607" t="n"/>
      <c r="N183" s="337" t="n">
        <v>30285</v>
      </c>
      <c r="O183" s="116">
        <f>INDEX('Additional data'!$B$2:$B$965,MATCH(DATE(YEAR(N183),MONTH(N183),1),'Additional data'!$A$2:$A$965,0))</f>
        <v>34.15</v>
      </c>
      <c r="P183" s="489">
        <f>LN(O183)</f>
        <v>3.5307625860168</v>
      </c>
      <c r="Q183" s="489">
        <f>Q182+LN(1+INDEX('Additional data'!$H$2:$H$1196,MATCH(N183,'Additional data'!$G$2:$G$1196,1))+INDEX('Additional data'!$I$2:$I$1196,MATCH(N183,'Additional data'!$G$2:$G$1196,1)))</f>
        <v>1.04059929905988</v>
      </c>
      <c r="R183" s="77" t="n"/>
      <c r="S183" s="116">
        <f>IF(INDEX('Additional data'!$E$2:$E$699,MATCH(DATE(YEAR(N183),MONTH(N183),1),'Additional data'!$D$2:$D$699,0))=0,(INDEX('Additional data'!$E$2:$E$699,MATCH(DATE(YEAR(N183),MONTH(N183),1),'Additional data'!$D$2:$D$699,0)-1)+INDEX('Additional data'!$E$2:$E$699,MATCH(DATE(YEAR(N183),MONTH(N183),1),'Additional data'!$D$2:$D$699,0)+1))/2,INDEX('Additional data'!$E$2:$E$699,MATCH(DATE(YEAR(N183),MONTH(N183),1),'Additional data'!$D$2:$D$699,0)))</f>
        <v>14.76</v>
      </c>
      <c r="T183" s="425">
        <f>P183-P182</f>
        <v>-0.0438277216950098</v>
      </c>
      <c r="U183" s="425">
        <f>Q183-Q182</f>
        <v>0.0517381954044143</v>
      </c>
      <c r="V183" s="77" t="n"/>
      <c r="W183" s="116">
        <f>S183-S182</f>
        <v>0.19</v>
      </c>
      <c r="X183" s="425">
        <f>P183-P171</f>
        <v>-0.0527563524393111</v>
      </c>
      <c r="Y183" s="425">
        <f>Q183-Q171</f>
        <v>0.154164220007222</v>
      </c>
      <c r="Z183" s="77" t="n"/>
      <c r="AA183" s="116">
        <f>S183-S171</f>
        <v>0.140000000000001</v>
      </c>
      <c r="AB183" s="425">
        <f>P183-P123</f>
        <v>0.83276272076809</v>
      </c>
      <c r="AC183" s="425">
        <f>Q183-Q123</f>
        <v>0.733695006298346</v>
      </c>
      <c r="AD183" s="77" t="n"/>
      <c r="AE183" s="235">
        <f>S183-S123</f>
        <v>4.75</v>
      </c>
      <c r="AG183" s="554">
        <f>N183</f>
        <v>30285.0</v>
      </c>
      <c r="AH183" s="435">
        <f>IFERROR(INDEX('RBA 5Y yield'!$B$5:$B$661,MATCH(N183,'RBA 5Y yield'!$A$5:$A$661,1))*100,"")</f>
        <v>14.6</v>
      </c>
      <c r="AI183" s="435">
        <f>IF(AND(ISNUMBER(AH183),ISNUMBER(AH182)),AH183-AH182,"")</f>
        <v>0.0500000000000007</v>
      </c>
      <c r="AJ183" s="435">
        <f>IF(AND(ISNUMBER(AH183),ISNUMBER(AH171)),AH183-AH171,"")</f>
        <v>-0.4</v>
      </c>
      <c r="AK183" s="435">
        <f>IF(AND(ISNUMBER(AH183),ISNUMBER(AH123)),AH183-AH123,"")</f>
        <v>4.88</v>
      </c>
      <c r="AL183" s="560">
        <f>IFERROR(LN(INDEX(Data!$B$2:$B$497,MATCH(N183,Data!$A$2:$A$497,1))/INDEX(Data!$B$2:$B$497,MATCH(N171,Data!$A$2:$A$497,1))),"")</f>
      </c>
      <c r="AM183" s="560">
        <f>IFERROR(LN(INDEX(Data!$C$2:$C$497,MATCH(N183,Data!$A$2:$A$497,1))/INDEX(Data!$C$2:$C$497,MATCH(N171,Data!$A$2:$A$497,1))),"")</f>
      </c>
      <c r="AN183" s="560">
        <f>IFERROR(LN(INDEX(Data!$D$2:$D$497,MATCH(N183,Data!$A$2:$A$497,1))/INDEX(Data!$D$2:$D$497,MATCH(N171,Data!$A$2:$A$497,1))),"")</f>
      </c>
      <c r="AO183" s="560">
        <f>IFERROR(LN(INDEX(Data!$E$2:$E$497,MATCH(N183,Data!$A$2:$A$497,1))/INDEX(Data!$E$2:$E$497,MATCH(N171,Data!$A$2:$A$497,1))),"")</f>
      </c>
      <c r="AP183" s="560">
        <f>IFERROR(LN(INDEX(Data!$F$2:$F$497,MATCH(N183,Data!$A$2:$A$497,1))/INDEX(Data!$F$2:$F$497,MATCH(N171,Data!$A$2:$A$497,1))),"")</f>
      </c>
      <c r="AQ183" s="560">
        <f>IFERROR(LN(INDEX(Data!$G$2:$G$497,MATCH(N183,Data!$A$2:$A$497,1))/INDEX(Data!$G$2:$G$497,MATCH(N171,Data!$A$2:$A$497,1))),"")</f>
      </c>
      <c r="AR183" s="560">
        <f>IFERROR(LN(INDEX(Data!$H$2:$H$497,MATCH(N183,Data!$A$2:$A$497,1))/INDEX(Data!$H$2:$H$497,MATCH(N171,Data!$A$2:$A$497,1))),"")</f>
      </c>
      <c r="AS183" s="560">
        <f>IFERROR(LN(INDEX(Data!$I$2:$I$497,MATCH(N183,Data!$A$2:$A$497,1))/INDEX(Data!$I$2:$I$497,MATCH(N171,Data!$A$2:$A$497,1))),"")</f>
      </c>
      <c r="AT183" s="560">
        <f>IFERROR(LN(INDEX(Data!$J$2:$J$497,MATCH(N183,Data!$A$2:$A$497,1))/INDEX(Data!$J$2:$J$497,MATCH(N171,Data!$A$2:$A$497,1))),"")</f>
      </c>
      <c r="AU183" s="560">
        <f>IFERROR(LN(INDEX(Data!$K$2:$K$497,MATCH(N183,Data!$A$2:$A$497,1))/INDEX(Data!$K$2:$K$497,MATCH(N171,Data!$A$2:$A$497,1))),"")</f>
      </c>
      <c r="AV183" s="561">
        <f>IFERROR(LN(INDEX(Data!$L$2:$L$497,MATCH(N183,Data!$A$2:$A$497,1))/INDEX(Data!$L$2:$L$497,MATCH(N171,Data!$A$2:$A$497,1))),"")</f>
      </c>
    </row>
    <row r="184" ht="40" customHeight="1">
      <c r="A184" s="604" t="inlineStr">
        <is>
          <t>Shorter fixed income duration</t>
        </is>
      </c>
      <c r="B184" s="605" t="inlineStr">
        <is>
          <t>Rates rose with oil in 2022 (section 7, 12-month yield beta); less duration means smaller bond losses</t>
        </is>
      </c>
      <c r="C184" s="606" t="n"/>
      <c r="D184" s="606" t="n"/>
      <c r="E184" s="607" t="n"/>
      <c r="F184" s="605" t="inlineStr">
        <is>
          <t>Gives up term premium and the hedge bonds provide in demand-led recessions</t>
        </is>
      </c>
      <c r="G184" s="606" t="n"/>
      <c r="H184" s="606" t="n"/>
      <c r="I184" s="607" t="n"/>
      <c r="N184" s="337" t="n">
        <v>30316</v>
      </c>
      <c r="O184" s="116">
        <f>INDEX('Additional data'!$B$2:$B$965,MATCH(DATE(YEAR(N184),MONTH(N184),1),'Additional data'!$A$2:$A$965,0))</f>
        <v>31.72</v>
      </c>
      <c r="P184" s="489">
        <f>LN(O184)</f>
        <v>3.45694739676665</v>
      </c>
      <c r="Q184" s="489">
        <f>Q183+LN(1+INDEX('Additional data'!$H$2:$H$1196,MATCH(N184,'Additional data'!$G$2:$G$1196,1))+INDEX('Additional data'!$I$2:$I$1196,MATCH(N184,'Additional data'!$G$2:$G$1196,1)))</f>
        <v>1.05282426868245</v>
      </c>
      <c r="R184" s="77" t="n"/>
      <c r="S184" s="116">
        <f>IF(INDEX('Additional data'!$E$2:$E$699,MATCH(DATE(YEAR(N184),MONTH(N184),1),'Additional data'!$D$2:$D$699,0))=0,(INDEX('Additional data'!$E$2:$E$699,MATCH(DATE(YEAR(N184),MONTH(N184),1),'Additional data'!$D$2:$D$699,0)-1)+INDEX('Additional data'!$E$2:$E$699,MATCH(DATE(YEAR(N184),MONTH(N184),1),'Additional data'!$D$2:$D$699,0)+1))/2,INDEX('Additional data'!$E$2:$E$699,MATCH(DATE(YEAR(N184),MONTH(N184),1),'Additional data'!$D$2:$D$699,0)))</f>
        <v>12.13</v>
      </c>
      <c r="T184" s="425">
        <f>P184-P183</f>
        <v>-0.0738151892501517</v>
      </c>
      <c r="U184" s="425">
        <f>Q184-Q183</f>
        <v>0.0122249696225689</v>
      </c>
      <c r="V184" s="77" t="n"/>
      <c r="W184" s="116">
        <f>S184-S183</f>
        <v>-2.63</v>
      </c>
      <c r="X184" s="425">
        <f>P184-P172</f>
        <v>-0.0984006647227664</v>
      </c>
      <c r="Y184" s="425">
        <f>Q184-Q172</f>
        <v>0.194377226169959</v>
      </c>
      <c r="Z184" s="77" t="n"/>
      <c r="AA184" s="116">
        <f>S184-S172</f>
        <v>-3.41</v>
      </c>
      <c r="AB184" s="425">
        <f>P184-P124</f>
        <v>0.758947531517939</v>
      </c>
      <c r="AC184" s="425">
        <f>Q184-Q124</f>
        <v>0.738348710424597</v>
      </c>
      <c r="AD184" s="77" t="n"/>
      <c r="AE184" s="235">
        <f>S184-S124</f>
        <v>2.38</v>
      </c>
      <c r="AG184" s="554">
        <f>N184</f>
        <v>30316.0</v>
      </c>
      <c r="AH184" s="435">
        <f>IFERROR(INDEX('RBA 5Y yield'!$B$5:$B$661,MATCH(N184,'RBA 5Y yield'!$A$5:$A$661,1))*100,"")</f>
        <v>14</v>
      </c>
      <c r="AI184" s="435">
        <f>IF(AND(ISNUMBER(AH184),ISNUMBER(AH183)),AH184-AH183,"")</f>
        <v>-0.599999999999998</v>
      </c>
      <c r="AJ184" s="435">
        <f>IF(AND(ISNUMBER(AH184),ISNUMBER(AH172)),AH184-AH172,"")</f>
        <v>-0.899999999999997</v>
      </c>
      <c r="AK184" s="435">
        <f>IF(AND(ISNUMBER(AH184),ISNUMBER(AH124)),AH184-AH124,"")</f>
        <v>4.5</v>
      </c>
      <c r="AL184" s="560">
        <f>IFERROR(LN(INDEX(Data!$B$2:$B$497,MATCH(N184,Data!$A$2:$A$497,1))/INDEX(Data!$B$2:$B$497,MATCH(N172,Data!$A$2:$A$497,1))),"")</f>
      </c>
      <c r="AM184" s="560">
        <f>IFERROR(LN(INDEX(Data!$C$2:$C$497,MATCH(N184,Data!$A$2:$A$497,1))/INDEX(Data!$C$2:$C$497,MATCH(N172,Data!$A$2:$A$497,1))),"")</f>
      </c>
      <c r="AN184" s="560">
        <f>IFERROR(LN(INDEX(Data!$D$2:$D$497,MATCH(N184,Data!$A$2:$A$497,1))/INDEX(Data!$D$2:$D$497,MATCH(N172,Data!$A$2:$A$497,1))),"")</f>
      </c>
      <c r="AO184" s="560">
        <f>IFERROR(LN(INDEX(Data!$E$2:$E$497,MATCH(N184,Data!$A$2:$A$497,1))/INDEX(Data!$E$2:$E$497,MATCH(N172,Data!$A$2:$A$497,1))),"")</f>
      </c>
      <c r="AP184" s="560">
        <f>IFERROR(LN(INDEX(Data!$F$2:$F$497,MATCH(N184,Data!$A$2:$A$497,1))/INDEX(Data!$F$2:$F$497,MATCH(N172,Data!$A$2:$A$497,1))),"")</f>
      </c>
      <c r="AQ184" s="560">
        <f>IFERROR(LN(INDEX(Data!$G$2:$G$497,MATCH(N184,Data!$A$2:$A$497,1))/INDEX(Data!$G$2:$G$497,MATCH(N172,Data!$A$2:$A$497,1))),"")</f>
      </c>
      <c r="AR184" s="560">
        <f>IFERROR(LN(INDEX(Data!$H$2:$H$497,MATCH(N184,Data!$A$2:$A$497,1))/INDEX(Data!$H$2:$H$497,MATCH(N172,Data!$A$2:$A$497,1))),"")</f>
      </c>
      <c r="AS184" s="560">
        <f>IFERROR(LN(INDEX(Data!$I$2:$I$497,MATCH(N184,Data!$A$2:$A$497,1))/INDEX(Data!$I$2:$I$497,MATCH(N172,Data!$A$2:$A$497,1))),"")</f>
      </c>
      <c r="AT184" s="560">
        <f>IFERROR(LN(INDEX(Data!$J$2:$J$497,MATCH(N184,Data!$A$2:$A$497,1))/INDEX(Data!$J$2:$J$497,MATCH(N172,Data!$A$2:$A$497,1))),"")</f>
      </c>
      <c r="AU184" s="560">
        <f>IFERROR(LN(INDEX(Data!$K$2:$K$497,MATCH(N184,Data!$A$2:$A$497,1))/INDEX(Data!$K$2:$K$497,MATCH(N172,Data!$A$2:$A$497,1))),"")</f>
      </c>
      <c r="AV184" s="561">
        <f>IFERROR(LN(INDEX(Data!$L$2:$L$497,MATCH(N184,Data!$A$2:$A$497,1))/INDEX(Data!$L$2:$L$497,MATCH(N172,Data!$A$2:$A$497,1))),"")</f>
      </c>
    </row>
    <row r="185" ht="40" customHeight="1">
      <c r="A185" s="608" t="inlineStr">
        <is>
          <t>Liquidity buffer and rebalancing rule</t>
        </is>
      </c>
      <c r="B185" s="609" t="inlineStr">
        <is>
          <t>Cash at the 2% floor plus liquid assets let the fund rebalance into a sell-off</t>
        </is>
      </c>
      <c r="C185" s="610" t="n"/>
      <c r="D185" s="610" t="n"/>
      <c r="E185" s="611" t="n"/>
      <c r="F185" s="609" t="inlineStr">
        <is>
          <t>Small cash drag</t>
        </is>
      </c>
      <c r="G185" s="610" t="n"/>
      <c r="H185" s="610" t="n"/>
      <c r="I185" s="611" t="n"/>
      <c r="N185" s="337" t="n">
        <v>30347</v>
      </c>
      <c r="O185" s="116">
        <f>INDEX('Additional data'!$B$2:$B$965,MATCH(DATE(YEAR(N185),MONTH(N185),1),'Additional data'!$A$2:$A$965,0))</f>
        <v>31.19</v>
      </c>
      <c r="P185" s="489">
        <f>LN(O185)</f>
        <v>3.44009753061971</v>
      </c>
      <c r="Q185" s="489">
        <f>Q184+LN(1+INDEX('Additional data'!$H$2:$H$1196,MATCH(N185,'Additional data'!$G$2:$G$1196,1))+INDEX('Additional data'!$I$2:$I$1196,MATCH(N185,'Additional data'!$G$2:$G$1196,1)))</f>
        <v>1.09473367175966</v>
      </c>
      <c r="R185" s="77" t="n"/>
      <c r="S185" s="116">
        <f>IF(INDEX('Additional data'!$E$2:$E$699,MATCH(DATE(YEAR(N185),MONTH(N185),1),'Additional data'!$D$2:$D$699,0))=0,(INDEX('Additional data'!$E$2:$E$699,MATCH(DATE(YEAR(N185),MONTH(N185),1),'Additional data'!$D$2:$D$699,0)-1)+INDEX('Additional data'!$E$2:$E$699,MATCH(DATE(YEAR(N185),MONTH(N185),1),'Additional data'!$D$2:$D$699,0)+1))/2,INDEX('Additional data'!$E$2:$E$699,MATCH(DATE(YEAR(N185),MONTH(N185),1),'Additional data'!$D$2:$D$699,0)))</f>
        <v>10.65</v>
      </c>
      <c r="T185" s="425">
        <f>P185-P184</f>
        <v>-0.0168498661469352</v>
      </c>
      <c r="U185" s="425">
        <f>Q185-Q184</f>
        <v>0.0419094030772096</v>
      </c>
      <c r="V185" s="77" t="n"/>
      <c r="W185" s="116">
        <f>S185-S184</f>
        <v>-1.48</v>
      </c>
      <c r="X185" s="425">
        <f>P185-P173</f>
        <v>-0.0818414687385722</v>
      </c>
      <c r="Y185" s="425">
        <f>Q185-Q173</f>
        <v>0.260886746115402</v>
      </c>
      <c r="Z185" s="77" t="n"/>
      <c r="AA185" s="116">
        <f>S185-S173</f>
        <v>-5.56</v>
      </c>
      <c r="AB185" s="425">
        <f>P185-P125</f>
        <v>0.742097665371003</v>
      </c>
      <c r="AC185" s="425">
        <f>Q185-Q125</f>
        <v>0.836934290695363</v>
      </c>
      <c r="AD185" s="77" t="n"/>
      <c r="AE185" s="235">
        <f>S185-S125</f>
        <v>1.16</v>
      </c>
      <c r="AG185" s="554">
        <f>N185</f>
        <v>30347.0</v>
      </c>
      <c r="AH185" s="435">
        <f>IFERROR(INDEX('RBA 5Y yield'!$B$5:$B$661,MATCH(N185,'RBA 5Y yield'!$A$5:$A$661,1))*100,"")</f>
        <v>12.6</v>
      </c>
      <c r="AI185" s="435">
        <f>IF(AND(ISNUMBER(AH185),ISNUMBER(AH184)),AH185-AH184,"")</f>
        <v>-1.4</v>
      </c>
      <c r="AJ185" s="435">
        <f>IF(AND(ISNUMBER(AH185),ISNUMBER(AH173)),AH185-AH173,"")</f>
        <v>-2.4</v>
      </c>
      <c r="AK185" s="435">
        <f>IF(AND(ISNUMBER(AH185),ISNUMBER(AH125)),AH185-AH125,"")</f>
        <v>3.28</v>
      </c>
      <c r="AL185" s="560">
        <f>IFERROR(LN(INDEX(Data!$B$2:$B$497,MATCH(N185,Data!$A$2:$A$497,1))/INDEX(Data!$B$2:$B$497,MATCH(N173,Data!$A$2:$A$497,1))),"")</f>
      </c>
      <c r="AM185" s="560">
        <f>IFERROR(LN(INDEX(Data!$C$2:$C$497,MATCH(N185,Data!$A$2:$A$497,1))/INDEX(Data!$C$2:$C$497,MATCH(N173,Data!$A$2:$A$497,1))),"")</f>
      </c>
      <c r="AN185" s="560">
        <f>IFERROR(LN(INDEX(Data!$D$2:$D$497,MATCH(N185,Data!$A$2:$A$497,1))/INDEX(Data!$D$2:$D$497,MATCH(N173,Data!$A$2:$A$497,1))),"")</f>
      </c>
      <c r="AO185" s="560">
        <f>IFERROR(LN(INDEX(Data!$E$2:$E$497,MATCH(N185,Data!$A$2:$A$497,1))/INDEX(Data!$E$2:$E$497,MATCH(N173,Data!$A$2:$A$497,1))),"")</f>
      </c>
      <c r="AP185" s="560">
        <f>IFERROR(LN(INDEX(Data!$F$2:$F$497,MATCH(N185,Data!$A$2:$A$497,1))/INDEX(Data!$F$2:$F$497,MATCH(N173,Data!$A$2:$A$497,1))),"")</f>
      </c>
      <c r="AQ185" s="560">
        <f>IFERROR(LN(INDEX(Data!$G$2:$G$497,MATCH(N185,Data!$A$2:$A$497,1))/INDEX(Data!$G$2:$G$497,MATCH(N173,Data!$A$2:$A$497,1))),"")</f>
      </c>
      <c r="AR185" s="560">
        <f>IFERROR(LN(INDEX(Data!$H$2:$H$497,MATCH(N185,Data!$A$2:$A$497,1))/INDEX(Data!$H$2:$H$497,MATCH(N173,Data!$A$2:$A$497,1))),"")</f>
      </c>
      <c r="AS185" s="560">
        <f>IFERROR(LN(INDEX(Data!$I$2:$I$497,MATCH(N185,Data!$A$2:$A$497,1))/INDEX(Data!$I$2:$I$497,MATCH(N173,Data!$A$2:$A$497,1))),"")</f>
      </c>
      <c r="AT185" s="560">
        <f>IFERROR(LN(INDEX(Data!$J$2:$J$497,MATCH(N185,Data!$A$2:$A$497,1))/INDEX(Data!$J$2:$J$497,MATCH(N173,Data!$A$2:$A$497,1))),"")</f>
      </c>
      <c r="AU185" s="560">
        <f>IFERROR(LN(INDEX(Data!$K$2:$K$497,MATCH(N185,Data!$A$2:$A$497,1))/INDEX(Data!$K$2:$K$497,MATCH(N173,Data!$A$2:$A$497,1))),"")</f>
      </c>
      <c r="AV185" s="561">
        <f>IFERROR(LN(INDEX(Data!$L$2:$L$497,MATCH(N185,Data!$A$2:$A$497,1))/INDEX(Data!$L$2:$L$497,MATCH(N173,Data!$A$2:$A$497,1))),"")</f>
      </c>
    </row>
    <row r="186">
      <c r="N186" s="337" t="n">
        <v>30375</v>
      </c>
      <c r="O186" s="116">
        <f>INDEX('Additional data'!$B$2:$B$965,MATCH(DATE(YEAR(N186),MONTH(N186),1),'Additional data'!$A$2:$A$965,0))</f>
        <v>28.95</v>
      </c>
      <c r="P186" s="489">
        <f>LN(O186)</f>
        <v>3.365570204019</v>
      </c>
      <c r="Q186" s="489">
        <f>Q185+LN(1+INDEX('Additional data'!$H$2:$H$1196,MATCH(N186,'Additional data'!$G$2:$G$1196,1))+INDEX('Additional data'!$I$2:$I$1196,MATCH(N186,'Additional data'!$G$2:$G$1196,1)))</f>
        <v>1.12632923334941</v>
      </c>
      <c r="R186" s="77" t="n"/>
      <c r="S186" s="116">
        <f>IF(INDEX('Additional data'!$E$2:$E$699,MATCH(DATE(YEAR(N186),MONTH(N186),1),'Additional data'!$D$2:$D$699,0))=0,(INDEX('Additional data'!$E$2:$E$699,MATCH(DATE(YEAR(N186),MONTH(N186),1),'Additional data'!$D$2:$D$699,0)-1)+INDEX('Additional data'!$E$2:$E$699,MATCH(DATE(YEAR(N186),MONTH(N186),1),'Additional data'!$D$2:$D$699,0)+1))/2,INDEX('Additional data'!$E$2:$E$699,MATCH(DATE(YEAR(N186),MONTH(N186),1),'Additional data'!$D$2:$D$699,0)))</f>
        <v>13.77</v>
      </c>
      <c r="T186" s="425">
        <f>P186-P185</f>
        <v>-0.0745273266007076</v>
      </c>
      <c r="U186" s="425">
        <f>Q186-Q185</f>
        <v>0.0315955615897505</v>
      </c>
      <c r="V186" s="77" t="n"/>
      <c r="W186" s="116">
        <f>S186-S185</f>
        <v>3.12</v>
      </c>
      <c r="X186" s="425">
        <f>P186-P174</f>
        <v>-0.086320291958669</v>
      </c>
      <c r="Y186" s="425">
        <f>Q186-Q174</f>
        <v>0.34314422250738</v>
      </c>
      <c r="Z186" s="77" t="n"/>
      <c r="AA186" s="116">
        <f>S186-S174</f>
        <v>-3.35</v>
      </c>
      <c r="AB186" s="425">
        <f>P186-P126</f>
        <v>0.667570338770296</v>
      </c>
      <c r="AC186" s="425">
        <f>Q186-Q126</f>
        <v>0.877873367288266</v>
      </c>
      <c r="AD186" s="77" t="n"/>
      <c r="AE186" s="235">
        <f>S186-S126</f>
        <v>4.22</v>
      </c>
      <c r="AG186" s="554">
        <f>N186</f>
        <v>30375.0</v>
      </c>
      <c r="AH186" s="435">
        <f>IFERROR(INDEX('RBA 5Y yield'!$B$5:$B$661,MATCH(N186,'RBA 5Y yield'!$A$5:$A$661,1))*100,"")</f>
        <v>13.4</v>
      </c>
      <c r="AI186" s="435">
        <f>IF(AND(ISNUMBER(AH186),ISNUMBER(AH185)),AH186-AH185,"")</f>
        <v>0.800000000000001</v>
      </c>
      <c r="AJ186" s="435">
        <f>IF(AND(ISNUMBER(AH186),ISNUMBER(AH174)),AH186-AH174,"")</f>
        <v>-1.7</v>
      </c>
      <c r="AK186" s="435">
        <f>IF(AND(ISNUMBER(AH186),ISNUMBER(AH126)),AH186-AH126,"")</f>
        <v>4.31</v>
      </c>
      <c r="AL186" s="560">
        <f>IFERROR(LN(INDEX(Data!$B$2:$B$497,MATCH(N186,Data!$A$2:$A$497,1))/INDEX(Data!$B$2:$B$497,MATCH(N174,Data!$A$2:$A$497,1))),"")</f>
      </c>
      <c r="AM186" s="560">
        <f>IFERROR(LN(INDEX(Data!$C$2:$C$497,MATCH(N186,Data!$A$2:$A$497,1))/INDEX(Data!$C$2:$C$497,MATCH(N174,Data!$A$2:$A$497,1))),"")</f>
      </c>
      <c r="AN186" s="560">
        <f>IFERROR(LN(INDEX(Data!$D$2:$D$497,MATCH(N186,Data!$A$2:$A$497,1))/INDEX(Data!$D$2:$D$497,MATCH(N174,Data!$A$2:$A$497,1))),"")</f>
      </c>
      <c r="AO186" s="560">
        <f>IFERROR(LN(INDEX(Data!$E$2:$E$497,MATCH(N186,Data!$A$2:$A$497,1))/INDEX(Data!$E$2:$E$497,MATCH(N174,Data!$A$2:$A$497,1))),"")</f>
      </c>
      <c r="AP186" s="560">
        <f>IFERROR(LN(INDEX(Data!$F$2:$F$497,MATCH(N186,Data!$A$2:$A$497,1))/INDEX(Data!$F$2:$F$497,MATCH(N174,Data!$A$2:$A$497,1))),"")</f>
      </c>
      <c r="AQ186" s="560">
        <f>IFERROR(LN(INDEX(Data!$G$2:$G$497,MATCH(N186,Data!$A$2:$A$497,1))/INDEX(Data!$G$2:$G$497,MATCH(N174,Data!$A$2:$A$497,1))),"")</f>
      </c>
      <c r="AR186" s="560">
        <f>IFERROR(LN(INDEX(Data!$H$2:$H$497,MATCH(N186,Data!$A$2:$A$497,1))/INDEX(Data!$H$2:$H$497,MATCH(N174,Data!$A$2:$A$497,1))),"")</f>
      </c>
      <c r="AS186" s="560">
        <f>IFERROR(LN(INDEX(Data!$I$2:$I$497,MATCH(N186,Data!$A$2:$A$497,1))/INDEX(Data!$I$2:$I$497,MATCH(N174,Data!$A$2:$A$497,1))),"")</f>
      </c>
      <c r="AT186" s="560">
        <f>IFERROR(LN(INDEX(Data!$J$2:$J$497,MATCH(N186,Data!$A$2:$A$497,1))/INDEX(Data!$J$2:$J$497,MATCH(N174,Data!$A$2:$A$497,1))),"")</f>
      </c>
      <c r="AU186" s="560">
        <f>IFERROR(LN(INDEX(Data!$K$2:$K$497,MATCH(N186,Data!$A$2:$A$497,1))/INDEX(Data!$K$2:$K$497,MATCH(N174,Data!$A$2:$A$497,1))),"")</f>
      </c>
      <c r="AV186" s="561">
        <f>IFERROR(LN(INDEX(Data!$L$2:$L$497,MATCH(N186,Data!$A$2:$A$497,1))/INDEX(Data!$L$2:$L$497,MATCH(N174,Data!$A$2:$A$497,1))),"")</f>
      </c>
    </row>
    <row r="187">
      <c r="N187" s="337" t="n">
        <v>30406</v>
      </c>
      <c r="O187" s="116">
        <f>INDEX('Additional data'!$B$2:$B$965,MATCH(DATE(YEAR(N187),MONTH(N187),1),'Additional data'!$A$2:$A$965,0))</f>
        <v>28.82</v>
      </c>
      <c r="P187" s="489">
        <f>LN(O187)</f>
        <v>3.36106959057138</v>
      </c>
      <c r="Q187" s="489">
        <f>Q186+LN(1+INDEX('Additional data'!$H$2:$H$1196,MATCH(N187,'Additional data'!$G$2:$G$1196,1))+INDEX('Additional data'!$I$2:$I$1196,MATCH(N187,'Additional data'!$G$2:$G$1196,1)))</f>
        <v>1.16015078182492</v>
      </c>
      <c r="R187" s="77" t="n"/>
      <c r="S187" s="116">
        <f>IF(INDEX('Additional data'!$E$2:$E$699,MATCH(DATE(YEAR(N187),MONTH(N187),1),'Additional data'!$D$2:$D$699,0))=0,(INDEX('Additional data'!$E$2:$E$699,MATCH(DATE(YEAR(N187),MONTH(N187),1),'Additional data'!$D$2:$D$699,0)-1)+INDEX('Additional data'!$E$2:$E$699,MATCH(DATE(YEAR(N187),MONTH(N187),1),'Additional data'!$D$2:$D$699,0)+1))/2,INDEX('Additional data'!$E$2:$E$699,MATCH(DATE(YEAR(N187),MONTH(N187),1),'Additional data'!$D$2:$D$699,0)))</f>
        <v>15.26</v>
      </c>
      <c r="T187" s="425">
        <f>P187-P186</f>
        <v>-0.00450061344762842</v>
      </c>
      <c r="U187" s="425">
        <f>Q187-Q186</f>
        <v>0.0338215484755107</v>
      </c>
      <c r="V187" s="77" t="n"/>
      <c r="W187" s="116">
        <f>S187-S186</f>
        <v>1.49</v>
      </c>
      <c r="X187" s="425">
        <f>P187-P175</f>
        <v>0.0118675040276011</v>
      </c>
      <c r="Y187" s="425">
        <f>Q187-Q175</f>
        <v>0.385401249803992</v>
      </c>
      <c r="Z187" s="77" t="n"/>
      <c r="AA187" s="116">
        <f>S187-S175</f>
        <v>-3.63</v>
      </c>
      <c r="AB187" s="425">
        <f>P187-P127</f>
        <v>0.663069725322667</v>
      </c>
      <c r="AC187" s="425">
        <f>Q187-Q127</f>
        <v>0.878453581983975</v>
      </c>
      <c r="AD187" s="77" t="n"/>
      <c r="AE187" s="235">
        <f>S187-S127</f>
        <v>5.22</v>
      </c>
      <c r="AG187" s="554">
        <f>N187</f>
        <v>30406.0</v>
      </c>
      <c r="AH187" s="435">
        <f>IFERROR(INDEX('RBA 5Y yield'!$B$5:$B$661,MATCH(N187,'RBA 5Y yield'!$A$5:$A$661,1))*100,"")</f>
        <v>14.4</v>
      </c>
      <c r="AI187" s="435">
        <f>IF(AND(ISNUMBER(AH187),ISNUMBER(AH186)),AH187-AH186,"")</f>
        <v>0.999999999999998</v>
      </c>
      <c r="AJ187" s="435">
        <f>IF(AND(ISNUMBER(AH187),ISNUMBER(AH175)),AH187-AH175,"")</f>
        <v>-0.800000000000001</v>
      </c>
      <c r="AK187" s="435">
        <f>IF(AND(ISNUMBER(AH187),ISNUMBER(AH127)),AH187-AH127,"")</f>
        <v>5.32</v>
      </c>
      <c r="AL187" s="560">
        <f>IFERROR(LN(INDEX(Data!$B$2:$B$497,MATCH(N187,Data!$A$2:$A$497,1))/INDEX(Data!$B$2:$B$497,MATCH(N175,Data!$A$2:$A$497,1))),"")</f>
      </c>
      <c r="AM187" s="560">
        <f>IFERROR(LN(INDEX(Data!$C$2:$C$497,MATCH(N187,Data!$A$2:$A$497,1))/INDEX(Data!$C$2:$C$497,MATCH(N175,Data!$A$2:$A$497,1))),"")</f>
      </c>
      <c r="AN187" s="560">
        <f>IFERROR(LN(INDEX(Data!$D$2:$D$497,MATCH(N187,Data!$A$2:$A$497,1))/INDEX(Data!$D$2:$D$497,MATCH(N175,Data!$A$2:$A$497,1))),"")</f>
      </c>
      <c r="AO187" s="560">
        <f>IFERROR(LN(INDEX(Data!$E$2:$E$497,MATCH(N187,Data!$A$2:$A$497,1))/INDEX(Data!$E$2:$E$497,MATCH(N175,Data!$A$2:$A$497,1))),"")</f>
      </c>
      <c r="AP187" s="560">
        <f>IFERROR(LN(INDEX(Data!$F$2:$F$497,MATCH(N187,Data!$A$2:$A$497,1))/INDEX(Data!$F$2:$F$497,MATCH(N175,Data!$A$2:$A$497,1))),"")</f>
      </c>
      <c r="AQ187" s="560">
        <f>IFERROR(LN(INDEX(Data!$G$2:$G$497,MATCH(N187,Data!$A$2:$A$497,1))/INDEX(Data!$G$2:$G$497,MATCH(N175,Data!$A$2:$A$497,1))),"")</f>
      </c>
      <c r="AR187" s="560">
        <f>IFERROR(LN(INDEX(Data!$H$2:$H$497,MATCH(N187,Data!$A$2:$A$497,1))/INDEX(Data!$H$2:$H$497,MATCH(N175,Data!$A$2:$A$497,1))),"")</f>
      </c>
      <c r="AS187" s="560">
        <f>IFERROR(LN(INDEX(Data!$I$2:$I$497,MATCH(N187,Data!$A$2:$A$497,1))/INDEX(Data!$I$2:$I$497,MATCH(N175,Data!$A$2:$A$497,1))),"")</f>
      </c>
      <c r="AT187" s="560">
        <f>IFERROR(LN(INDEX(Data!$J$2:$J$497,MATCH(N187,Data!$A$2:$A$497,1))/INDEX(Data!$J$2:$J$497,MATCH(N175,Data!$A$2:$A$497,1))),"")</f>
      </c>
      <c r="AU187" s="560">
        <f>IFERROR(LN(INDEX(Data!$K$2:$K$497,MATCH(N187,Data!$A$2:$A$497,1))/INDEX(Data!$K$2:$K$497,MATCH(N175,Data!$A$2:$A$497,1))),"")</f>
      </c>
      <c r="AV187" s="561">
        <f>IFERROR(LN(INDEX(Data!$L$2:$L$497,MATCH(N187,Data!$A$2:$A$497,1))/INDEX(Data!$L$2:$L$497,MATCH(N175,Data!$A$2:$A$497,1))),"")</f>
      </c>
    </row>
    <row r="188">
      <c r="N188" s="337" t="n">
        <v>30436</v>
      </c>
      <c r="O188" s="116">
        <f>INDEX('Additional data'!$B$2:$B$965,MATCH(DATE(YEAR(N188),MONTH(N188),1),'Additional data'!$A$2:$A$965,0))</f>
        <v>30.61</v>
      </c>
      <c r="P188" s="489">
        <f>LN(O188)</f>
        <v>3.42132675295732</v>
      </c>
      <c r="Q188" s="489">
        <f>Q187+LN(1+INDEX('Additional data'!$H$2:$H$1196,MATCH(N188,'Additional data'!$G$2:$G$1196,1))+INDEX('Additional data'!$I$2:$I$1196,MATCH(N188,'Additional data'!$G$2:$G$1196,1)))</f>
        <v>1.23126140928288</v>
      </c>
      <c r="R188" s="77" t="n"/>
      <c r="S188" s="116">
        <f>IF(INDEX('Additional data'!$E$2:$E$699,MATCH(DATE(YEAR(N188),MONTH(N188),1),'Additional data'!$D$2:$D$699,0))=0,(INDEX('Additional data'!$E$2:$E$699,MATCH(DATE(YEAR(N188),MONTH(N188),1),'Additional data'!$D$2:$D$699,0)-1)+INDEX('Additional data'!$E$2:$E$699,MATCH(DATE(YEAR(N188),MONTH(N188),1),'Additional data'!$D$2:$D$699,0)+1))/2,INDEX('Additional data'!$E$2:$E$699,MATCH(DATE(YEAR(N188),MONTH(N188),1),'Additional data'!$D$2:$D$699,0)))</f>
        <v>13.92</v>
      </c>
      <c r="T188" s="425">
        <f>P188-P187</f>
        <v>0.0602571623859451</v>
      </c>
      <c r="U188" s="425">
        <f>Q188-Q187</f>
        <v>0.0711106274579529</v>
      </c>
      <c r="V188" s="77" t="n"/>
      <c r="W188" s="116">
        <f>S188-S187</f>
        <v>-1.34</v>
      </c>
      <c r="X188" s="425">
        <f>P188-P176</f>
        <v>-0.0887250336169165</v>
      </c>
      <c r="Y188" s="425">
        <f>Q188-Q176</f>
        <v>0.413739785418076</v>
      </c>
      <c r="Z188" s="77" t="n"/>
      <c r="AA188" s="116">
        <f>S188-S176</f>
        <v>-7.47</v>
      </c>
      <c r="AB188" s="425">
        <f>P188-P128</f>
        <v>0.723326887708613</v>
      </c>
      <c r="AC188" s="425">
        <f>Q188-Q128</f>
        <v>0.868814059756819</v>
      </c>
      <c r="AD188" s="77" t="n"/>
      <c r="AE188" s="235">
        <f>S188-S128</f>
        <v>3.06</v>
      </c>
      <c r="AG188" s="554">
        <f>N188</f>
        <v>30436.0</v>
      </c>
      <c r="AH188" s="435">
        <f>IFERROR(INDEX('RBA 5Y yield'!$B$5:$B$661,MATCH(N188,'RBA 5Y yield'!$A$5:$A$661,1))*100,"")</f>
        <v>13.5</v>
      </c>
      <c r="AI188" s="435">
        <f>IF(AND(ISNUMBER(AH188),ISNUMBER(AH187)),AH188-AH187,"")</f>
        <v>-0.899999999999999</v>
      </c>
      <c r="AJ188" s="435">
        <f>IF(AND(ISNUMBER(AH188),ISNUMBER(AH176)),AH188-AH176,"")</f>
        <v>-1.8</v>
      </c>
      <c r="AK188" s="435">
        <f>IF(AND(ISNUMBER(AH188),ISNUMBER(AH128)),AH188-AH128,"")</f>
        <v>4.41</v>
      </c>
      <c r="AL188" s="560">
        <f>IFERROR(LN(INDEX(Data!$B$2:$B$497,MATCH(N188,Data!$A$2:$A$497,1))/INDEX(Data!$B$2:$B$497,MATCH(N176,Data!$A$2:$A$497,1))),"")</f>
      </c>
      <c r="AM188" s="560">
        <f>IFERROR(LN(INDEX(Data!$C$2:$C$497,MATCH(N188,Data!$A$2:$A$497,1))/INDEX(Data!$C$2:$C$497,MATCH(N176,Data!$A$2:$A$497,1))),"")</f>
      </c>
      <c r="AN188" s="560">
        <f>IFERROR(LN(INDEX(Data!$D$2:$D$497,MATCH(N188,Data!$A$2:$A$497,1))/INDEX(Data!$D$2:$D$497,MATCH(N176,Data!$A$2:$A$497,1))),"")</f>
      </c>
      <c r="AO188" s="560">
        <f>IFERROR(LN(INDEX(Data!$E$2:$E$497,MATCH(N188,Data!$A$2:$A$497,1))/INDEX(Data!$E$2:$E$497,MATCH(N176,Data!$A$2:$A$497,1))),"")</f>
      </c>
      <c r="AP188" s="560">
        <f>IFERROR(LN(INDEX(Data!$F$2:$F$497,MATCH(N188,Data!$A$2:$A$497,1))/INDEX(Data!$F$2:$F$497,MATCH(N176,Data!$A$2:$A$497,1))),"")</f>
      </c>
      <c r="AQ188" s="560">
        <f>IFERROR(LN(INDEX(Data!$G$2:$G$497,MATCH(N188,Data!$A$2:$A$497,1))/INDEX(Data!$G$2:$G$497,MATCH(N176,Data!$A$2:$A$497,1))),"")</f>
      </c>
      <c r="AR188" s="560">
        <f>IFERROR(LN(INDEX(Data!$H$2:$H$497,MATCH(N188,Data!$A$2:$A$497,1))/INDEX(Data!$H$2:$H$497,MATCH(N176,Data!$A$2:$A$497,1))),"")</f>
      </c>
      <c r="AS188" s="560">
        <f>IFERROR(LN(INDEX(Data!$I$2:$I$497,MATCH(N188,Data!$A$2:$A$497,1))/INDEX(Data!$I$2:$I$497,MATCH(N176,Data!$A$2:$A$497,1))),"")</f>
      </c>
      <c r="AT188" s="560">
        <f>IFERROR(LN(INDEX(Data!$J$2:$J$497,MATCH(N188,Data!$A$2:$A$497,1))/INDEX(Data!$J$2:$J$497,MATCH(N176,Data!$A$2:$A$497,1))),"")</f>
      </c>
      <c r="AU188" s="560">
        <f>IFERROR(LN(INDEX(Data!$K$2:$K$497,MATCH(N188,Data!$A$2:$A$497,1))/INDEX(Data!$K$2:$K$497,MATCH(N176,Data!$A$2:$A$497,1))),"")</f>
      </c>
      <c r="AV188" s="561">
        <f>IFERROR(LN(INDEX(Data!$L$2:$L$497,MATCH(N188,Data!$A$2:$A$497,1))/INDEX(Data!$L$2:$L$497,MATCH(N176,Data!$A$2:$A$497,1))),"")</f>
      </c>
    </row>
    <row r="189">
      <c r="N189" s="337" t="n">
        <v>30467</v>
      </c>
      <c r="O189" s="116">
        <f>INDEX('Additional data'!$B$2:$B$965,MATCH(DATE(YEAR(N189),MONTH(N189),1),'Additional data'!$A$2:$A$965,0))</f>
        <v>30</v>
      </c>
      <c r="P189" s="489">
        <f>LN(O189)</f>
        <v>3.40119738166216</v>
      </c>
      <c r="Q189" s="489">
        <f>Q188+LN(1+INDEX('Additional data'!$H$2:$H$1196,MATCH(N189,'Additional data'!$G$2:$G$1196,1))+INDEX('Additional data'!$I$2:$I$1196,MATCH(N189,'Additional data'!$G$2:$G$1196,1)))</f>
        <v>1.24318998014815</v>
      </c>
      <c r="R189" s="77" t="n"/>
      <c r="S189" s="116">
        <f>IF(INDEX('Additional data'!$E$2:$E$699,MATCH(DATE(YEAR(N189),MONTH(N189),1),'Additional data'!$D$2:$D$699,0))=0,(INDEX('Additional data'!$E$2:$E$699,MATCH(DATE(YEAR(N189),MONTH(N189),1),'Additional data'!$D$2:$D$699,0)-1)+INDEX('Additional data'!$E$2:$E$699,MATCH(DATE(YEAR(N189),MONTH(N189),1),'Additional data'!$D$2:$D$699,0)+1))/2,INDEX('Additional data'!$E$2:$E$699,MATCH(DATE(YEAR(N189),MONTH(N189),1),'Additional data'!$D$2:$D$699,0)))</f>
        <v>12.15</v>
      </c>
      <c r="T189" s="425">
        <f>P189-P188</f>
        <v>-0.0201293712951656</v>
      </c>
      <c r="U189" s="425">
        <f>Q189-Q188</f>
        <v>0.0119285708652739</v>
      </c>
      <c r="V189" s="77" t="n"/>
      <c r="W189" s="116">
        <f>S189-S188</f>
        <v>-1.77</v>
      </c>
      <c r="X189" s="425">
        <f>P189-P177</f>
        <v>-0.180375219463272</v>
      </c>
      <c r="Y189" s="425">
        <f>Q189-Q177</f>
        <v>0.454788254857202</v>
      </c>
      <c r="Z189" s="77" t="n"/>
      <c r="AA189" s="116">
        <f>S189-S177</f>
        <v>-6.3</v>
      </c>
      <c r="AB189" s="425">
        <f>P189-P129</f>
        <v>0.703197516413447</v>
      </c>
      <c r="AC189" s="425">
        <f>Q189-Q129</f>
        <v>0.858296441792262</v>
      </c>
      <c r="AD189" s="77" t="n"/>
      <c r="AE189" s="235">
        <f>S189-S129</f>
        <v>1.55</v>
      </c>
      <c r="AG189" s="554">
        <f>N189</f>
        <v>30467.0</v>
      </c>
      <c r="AH189" s="435">
        <f>IFERROR(INDEX('RBA 5Y yield'!$B$5:$B$661,MATCH(N189,'RBA 5Y yield'!$A$5:$A$661,1))*100,"")</f>
        <v>12.8</v>
      </c>
      <c r="AI189" s="435">
        <f>IF(AND(ISNUMBER(AH189),ISNUMBER(AH188)),AH189-AH188,"")</f>
        <v>-0.699999999999999</v>
      </c>
      <c r="AJ189" s="435">
        <f>IF(AND(ISNUMBER(AH189),ISNUMBER(AH177)),AH189-AH177,"")</f>
        <v>-3.6</v>
      </c>
      <c r="AK189" s="435">
        <f>IF(AND(ISNUMBER(AH189),ISNUMBER(AH129)),AH189-AH129,"")</f>
        <v>3.71</v>
      </c>
      <c r="AL189" s="560">
        <f>IFERROR(LN(INDEX(Data!$B$2:$B$497,MATCH(N189,Data!$A$2:$A$497,1))/INDEX(Data!$B$2:$B$497,MATCH(N177,Data!$A$2:$A$497,1))),"")</f>
      </c>
      <c r="AM189" s="560">
        <f>IFERROR(LN(INDEX(Data!$C$2:$C$497,MATCH(N189,Data!$A$2:$A$497,1))/INDEX(Data!$C$2:$C$497,MATCH(N177,Data!$A$2:$A$497,1))),"")</f>
      </c>
      <c r="AN189" s="560">
        <f>IFERROR(LN(INDEX(Data!$D$2:$D$497,MATCH(N189,Data!$A$2:$A$497,1))/INDEX(Data!$D$2:$D$497,MATCH(N177,Data!$A$2:$A$497,1))),"")</f>
      </c>
      <c r="AO189" s="560">
        <f>IFERROR(LN(INDEX(Data!$E$2:$E$497,MATCH(N189,Data!$A$2:$A$497,1))/INDEX(Data!$E$2:$E$497,MATCH(N177,Data!$A$2:$A$497,1))),"")</f>
      </c>
      <c r="AP189" s="560">
        <f>IFERROR(LN(INDEX(Data!$F$2:$F$497,MATCH(N189,Data!$A$2:$A$497,1))/INDEX(Data!$F$2:$F$497,MATCH(N177,Data!$A$2:$A$497,1))),"")</f>
      </c>
      <c r="AQ189" s="560">
        <f>IFERROR(LN(INDEX(Data!$G$2:$G$497,MATCH(N189,Data!$A$2:$A$497,1))/INDEX(Data!$G$2:$G$497,MATCH(N177,Data!$A$2:$A$497,1))),"")</f>
      </c>
      <c r="AR189" s="560">
        <f>IFERROR(LN(INDEX(Data!$H$2:$H$497,MATCH(N189,Data!$A$2:$A$497,1))/INDEX(Data!$H$2:$H$497,MATCH(N177,Data!$A$2:$A$497,1))),"")</f>
      </c>
      <c r="AS189" s="560">
        <f>IFERROR(LN(INDEX(Data!$I$2:$I$497,MATCH(N189,Data!$A$2:$A$497,1))/INDEX(Data!$I$2:$I$497,MATCH(N177,Data!$A$2:$A$497,1))),"")</f>
      </c>
      <c r="AT189" s="560">
        <f>IFERROR(LN(INDEX(Data!$J$2:$J$497,MATCH(N189,Data!$A$2:$A$497,1))/INDEX(Data!$J$2:$J$497,MATCH(N177,Data!$A$2:$A$497,1))),"")</f>
      </c>
      <c r="AU189" s="560">
        <f>IFERROR(LN(INDEX(Data!$K$2:$K$497,MATCH(N189,Data!$A$2:$A$497,1))/INDEX(Data!$K$2:$K$497,MATCH(N177,Data!$A$2:$A$497,1))),"")</f>
      </c>
      <c r="AV189" s="561">
        <f>IFERROR(LN(INDEX(Data!$L$2:$L$497,MATCH(N189,Data!$A$2:$A$497,1))/INDEX(Data!$L$2:$L$497,MATCH(N177,Data!$A$2:$A$497,1))),"")</f>
      </c>
    </row>
    <row r="190">
      <c r="N190" s="337" t="n">
        <v>30497</v>
      </c>
      <c r="O190" s="116">
        <f>INDEX('Additional data'!$B$2:$B$965,MATCH(DATE(YEAR(N190),MONTH(N190),1),'Additional data'!$A$2:$A$965,0))</f>
        <v>31</v>
      </c>
      <c r="P190" s="489">
        <f>LN(O190)</f>
        <v>3.43398720448515</v>
      </c>
      <c r="Q190" s="489">
        <f>Q189+LN(1+INDEX('Additional data'!$H$2:$H$1196,MATCH(N190,'Additional data'!$G$2:$G$1196,1))+INDEX('Additional data'!$I$2:$I$1196,MATCH(N190,'Additional data'!$G$2:$G$1196,1)))</f>
        <v>1.27990756308331</v>
      </c>
      <c r="R190" s="77" t="n"/>
      <c r="S190" s="116">
        <f>IF(INDEX('Additional data'!$E$2:$E$699,MATCH(DATE(YEAR(N190),MONTH(N190),1),'Additional data'!$D$2:$D$699,0))=0,(INDEX('Additional data'!$E$2:$E$699,MATCH(DATE(YEAR(N190),MONTH(N190),1),'Additional data'!$D$2:$D$699,0)-1)+INDEX('Additional data'!$E$2:$E$699,MATCH(DATE(YEAR(N190),MONTH(N190),1),'Additional data'!$D$2:$D$699,0)+1))/2,INDEX('Additional data'!$E$2:$E$699,MATCH(DATE(YEAR(N190),MONTH(N190),1),'Additional data'!$D$2:$D$699,0)))</f>
        <v>14.24</v>
      </c>
      <c r="T190" s="425">
        <f>P190-P189</f>
        <v>0.0327898228229908</v>
      </c>
      <c r="U190" s="425">
        <f>Q190-Q189</f>
        <v>0.0367175829351627</v>
      </c>
      <c r="V190" s="77" t="n"/>
      <c r="W190" s="116">
        <f>S190-S189</f>
        <v>2.09</v>
      </c>
      <c r="X190" s="425">
        <f>P190-P178</f>
        <v>-0.12335885966694</v>
      </c>
      <c r="Y190" s="425">
        <f>Q190-Q178</f>
        <v>0.512933785205985</v>
      </c>
      <c r="Z190" s="77" t="n"/>
      <c r="AA190" s="116">
        <f>S190-S178</f>
        <v>-4.33</v>
      </c>
      <c r="AB190" s="425">
        <f>P190-P130</f>
        <v>0.735987339236438</v>
      </c>
      <c r="AC190" s="425">
        <f>Q190-Q130</f>
        <v>0.906580661098891</v>
      </c>
      <c r="AD190" s="77" t="n"/>
      <c r="AE190" s="235">
        <f>S190-S130</f>
        <v>3.61</v>
      </c>
      <c r="AG190" s="554">
        <f>N190</f>
        <v>30497.0</v>
      </c>
      <c r="AH190" s="435">
        <f>IFERROR(INDEX('RBA 5Y yield'!$B$5:$B$661,MATCH(N190,'RBA 5Y yield'!$A$5:$A$661,1))*100,"")</f>
        <v>14.3</v>
      </c>
      <c r="AI190" s="435">
        <f>IF(AND(ISNUMBER(AH190),ISNUMBER(AH189)),AH190-AH189,"")</f>
        <v>1.5</v>
      </c>
      <c r="AJ190" s="435">
        <f>IF(AND(ISNUMBER(AH190),ISNUMBER(AH178)),AH190-AH178,"")</f>
        <v>-2.1</v>
      </c>
      <c r="AK190" s="435">
        <f>IF(AND(ISNUMBER(AH190),ISNUMBER(AH130)),AH190-AH130,"")</f>
        <v>5.21</v>
      </c>
      <c r="AL190" s="560">
        <f>IFERROR(LN(INDEX(Data!$B$2:$B$497,MATCH(N190,Data!$A$2:$A$497,1))/INDEX(Data!$B$2:$B$497,MATCH(N178,Data!$A$2:$A$497,1))),"")</f>
      </c>
      <c r="AM190" s="560">
        <f>IFERROR(LN(INDEX(Data!$C$2:$C$497,MATCH(N190,Data!$A$2:$A$497,1))/INDEX(Data!$C$2:$C$497,MATCH(N178,Data!$A$2:$A$497,1))),"")</f>
      </c>
      <c r="AN190" s="560">
        <f>IFERROR(LN(INDEX(Data!$D$2:$D$497,MATCH(N190,Data!$A$2:$A$497,1))/INDEX(Data!$D$2:$D$497,MATCH(N178,Data!$A$2:$A$497,1))),"")</f>
      </c>
      <c r="AO190" s="560">
        <f>IFERROR(LN(INDEX(Data!$E$2:$E$497,MATCH(N190,Data!$A$2:$A$497,1))/INDEX(Data!$E$2:$E$497,MATCH(N178,Data!$A$2:$A$497,1))),"")</f>
      </c>
      <c r="AP190" s="560">
        <f>IFERROR(LN(INDEX(Data!$F$2:$F$497,MATCH(N190,Data!$A$2:$A$497,1))/INDEX(Data!$F$2:$F$497,MATCH(N178,Data!$A$2:$A$497,1))),"")</f>
      </c>
      <c r="AQ190" s="560">
        <f>IFERROR(LN(INDEX(Data!$G$2:$G$497,MATCH(N190,Data!$A$2:$A$497,1))/INDEX(Data!$G$2:$G$497,MATCH(N178,Data!$A$2:$A$497,1))),"")</f>
      </c>
      <c r="AR190" s="560">
        <f>IFERROR(LN(INDEX(Data!$H$2:$H$497,MATCH(N190,Data!$A$2:$A$497,1))/INDEX(Data!$H$2:$H$497,MATCH(N178,Data!$A$2:$A$497,1))),"")</f>
      </c>
      <c r="AS190" s="560">
        <f>IFERROR(LN(INDEX(Data!$I$2:$I$497,MATCH(N190,Data!$A$2:$A$497,1))/INDEX(Data!$I$2:$I$497,MATCH(N178,Data!$A$2:$A$497,1))),"")</f>
      </c>
      <c r="AT190" s="560">
        <f>IFERROR(LN(INDEX(Data!$J$2:$J$497,MATCH(N190,Data!$A$2:$A$497,1))/INDEX(Data!$J$2:$J$497,MATCH(N178,Data!$A$2:$A$497,1))),"")</f>
      </c>
      <c r="AU190" s="560">
        <f>IFERROR(LN(INDEX(Data!$K$2:$K$497,MATCH(N190,Data!$A$2:$A$497,1))/INDEX(Data!$K$2:$K$497,MATCH(N178,Data!$A$2:$A$497,1))),"")</f>
      </c>
      <c r="AV190" s="561">
        <f>IFERROR(LN(INDEX(Data!$L$2:$L$497,MATCH(N190,Data!$A$2:$A$497,1))/INDEX(Data!$L$2:$L$497,MATCH(N178,Data!$A$2:$A$497,1))),"")</f>
      </c>
    </row>
    <row r="191">
      <c r="N191" s="337" t="n">
        <v>30528</v>
      </c>
      <c r="O191" s="116">
        <f>INDEX('Additional data'!$B$2:$B$965,MATCH(DATE(YEAR(N191),MONTH(N191),1),'Additional data'!$A$2:$A$965,0))</f>
        <v>31.66</v>
      </c>
      <c r="P191" s="489">
        <f>LN(O191)</f>
        <v>3.45505405445287</v>
      </c>
      <c r="Q191" s="489">
        <f>Q190+LN(1+INDEX('Additional data'!$H$2:$H$1196,MATCH(N191,'Additional data'!$G$2:$G$1196,1))+INDEX('Additional data'!$I$2:$I$1196,MATCH(N191,'Additional data'!$G$2:$G$1196,1)))</f>
        <v>1.2461439329305</v>
      </c>
      <c r="R191" s="77" t="n"/>
      <c r="S191" s="116">
        <f>IF(INDEX('Additional data'!$E$2:$E$699,MATCH(DATE(YEAR(N191),MONTH(N191),1),'Additional data'!$D$2:$D$699,0))=0,(INDEX('Additional data'!$E$2:$E$699,MATCH(DATE(YEAR(N191),MONTH(N191),1),'Additional data'!$D$2:$D$699,0)-1)+INDEX('Additional data'!$E$2:$E$699,MATCH(DATE(YEAR(N191),MONTH(N191),1),'Additional data'!$D$2:$D$699,0)+1))/2,INDEX('Additional data'!$E$2:$E$699,MATCH(DATE(YEAR(N191),MONTH(N191),1),'Additional data'!$D$2:$D$699,0)))</f>
        <v>12.8</v>
      </c>
      <c r="T191" s="425">
        <f>P191-P190</f>
        <v>0.02106684996772</v>
      </c>
      <c r="U191" s="425">
        <f>Q191-Q190</f>
        <v>-0.033763630152809</v>
      </c>
      <c r="V191" s="77" t="n"/>
      <c r="W191" s="116">
        <f>S191-S190</f>
        <v>-1.44</v>
      </c>
      <c r="X191" s="425">
        <f>P191-P179</f>
        <v>-0.0760013144675029</v>
      </c>
      <c r="Y191" s="425">
        <f>Q191-Q179</f>
        <v>0.500904647199183</v>
      </c>
      <c r="Z191" s="77" t="n"/>
      <c r="AA191" s="116">
        <f>S191-S179</f>
        <v>-4.49</v>
      </c>
      <c r="AB191" s="425">
        <f>P191-P131</f>
        <v>0.757054189204158</v>
      </c>
      <c r="AC191" s="425">
        <f>Q191-Q131</f>
        <v>0.817571556720103</v>
      </c>
      <c r="AD191" s="77" t="n"/>
      <c r="AE191" s="235">
        <f>S191-S131</f>
        <v>2.96</v>
      </c>
      <c r="AG191" s="554">
        <f>N191</f>
        <v>30528.0</v>
      </c>
      <c r="AH191" s="435">
        <f>IFERROR(INDEX('RBA 5Y yield'!$B$5:$B$661,MATCH(N191,'RBA 5Y yield'!$A$5:$A$661,1))*100,"")</f>
        <v>14.3</v>
      </c>
      <c r="AI191" s="435">
        <f>IF(AND(ISNUMBER(AH191),ISNUMBER(AH190)),AH191-AH190,"")</f>
        <v>0</v>
      </c>
      <c r="AJ191" s="435">
        <f>IF(AND(ISNUMBER(AH191),ISNUMBER(AH179)),AH191-AH179,"")</f>
        <v>-2.1</v>
      </c>
      <c r="AK191" s="435">
        <f>IF(AND(ISNUMBER(AH191),ISNUMBER(AH131)),AH191-AH131,"")</f>
        <v>5.21</v>
      </c>
      <c r="AL191" s="560">
        <f>IFERROR(LN(INDEX(Data!$B$2:$B$497,MATCH(N191,Data!$A$2:$A$497,1))/INDEX(Data!$B$2:$B$497,MATCH(N179,Data!$A$2:$A$497,1))),"")</f>
      </c>
      <c r="AM191" s="560">
        <f>IFERROR(LN(INDEX(Data!$C$2:$C$497,MATCH(N191,Data!$A$2:$A$497,1))/INDEX(Data!$C$2:$C$497,MATCH(N179,Data!$A$2:$A$497,1))),"")</f>
      </c>
      <c r="AN191" s="560">
        <f>IFERROR(LN(INDEX(Data!$D$2:$D$497,MATCH(N191,Data!$A$2:$A$497,1))/INDEX(Data!$D$2:$D$497,MATCH(N179,Data!$A$2:$A$497,1))),"")</f>
      </c>
      <c r="AO191" s="560">
        <f>IFERROR(LN(INDEX(Data!$E$2:$E$497,MATCH(N191,Data!$A$2:$A$497,1))/INDEX(Data!$E$2:$E$497,MATCH(N179,Data!$A$2:$A$497,1))),"")</f>
      </c>
      <c r="AP191" s="560">
        <f>IFERROR(LN(INDEX(Data!$F$2:$F$497,MATCH(N191,Data!$A$2:$A$497,1))/INDEX(Data!$F$2:$F$497,MATCH(N179,Data!$A$2:$A$497,1))),"")</f>
      </c>
      <c r="AQ191" s="560">
        <f>IFERROR(LN(INDEX(Data!$G$2:$G$497,MATCH(N191,Data!$A$2:$A$497,1))/INDEX(Data!$G$2:$G$497,MATCH(N179,Data!$A$2:$A$497,1))),"")</f>
      </c>
      <c r="AR191" s="560">
        <f>IFERROR(LN(INDEX(Data!$H$2:$H$497,MATCH(N191,Data!$A$2:$A$497,1))/INDEX(Data!$H$2:$H$497,MATCH(N179,Data!$A$2:$A$497,1))),"")</f>
      </c>
      <c r="AS191" s="560">
        <f>IFERROR(LN(INDEX(Data!$I$2:$I$497,MATCH(N191,Data!$A$2:$A$497,1))/INDEX(Data!$I$2:$I$497,MATCH(N179,Data!$A$2:$A$497,1))),"")</f>
      </c>
      <c r="AT191" s="560">
        <f>IFERROR(LN(INDEX(Data!$J$2:$J$497,MATCH(N191,Data!$A$2:$A$497,1))/INDEX(Data!$J$2:$J$497,MATCH(N179,Data!$A$2:$A$497,1))),"")</f>
      </c>
      <c r="AU191" s="560">
        <f>IFERROR(LN(INDEX(Data!$K$2:$K$497,MATCH(N191,Data!$A$2:$A$497,1))/INDEX(Data!$K$2:$K$497,MATCH(N179,Data!$A$2:$A$497,1))),"")</f>
      </c>
      <c r="AV191" s="561">
        <f>IFERROR(LN(INDEX(Data!$L$2:$L$497,MATCH(N191,Data!$A$2:$A$497,1))/INDEX(Data!$L$2:$L$497,MATCH(N179,Data!$A$2:$A$497,1))),"")</f>
      </c>
    </row>
    <row r="192">
      <c r="N192" s="337" t="n">
        <v>30559</v>
      </c>
      <c r="O192" s="116">
        <f>INDEX('Additional data'!$B$2:$B$965,MATCH(DATE(YEAR(N192),MONTH(N192),1),'Additional data'!$A$2:$A$965,0))</f>
        <v>31.91</v>
      </c>
      <c r="P192" s="489">
        <f>LN(O192)</f>
        <v>3.46291944029015</v>
      </c>
      <c r="Q192" s="489">
        <f>Q191+LN(1+INDEX('Additional data'!$H$2:$H$1196,MATCH(N192,'Additional data'!$G$2:$G$1196,1))+INDEX('Additional data'!$I$2:$I$1196,MATCH(N192,'Additional data'!$G$2:$G$1196,1)))</f>
        <v>1.24874055877777</v>
      </c>
      <c r="R192" s="77" t="n"/>
      <c r="S192" s="116">
        <f>IF(INDEX('Additional data'!$E$2:$E$699,MATCH(DATE(YEAR(N192),MONTH(N192),1),'Additional data'!$D$2:$D$699,0))=0,(INDEX('Additional data'!$E$2:$E$699,MATCH(DATE(YEAR(N192),MONTH(N192),1),'Additional data'!$D$2:$D$699,0)-1)+INDEX('Additional data'!$E$2:$E$699,MATCH(DATE(YEAR(N192),MONTH(N192),1),'Additional data'!$D$2:$D$699,0)+1))/2,INDEX('Additional data'!$E$2:$E$699,MATCH(DATE(YEAR(N192),MONTH(N192),1),'Additional data'!$D$2:$D$699,0)))</f>
        <v>12.16</v>
      </c>
      <c r="T192" s="425">
        <f>P192-P191</f>
        <v>0.00786538583728591</v>
      </c>
      <c r="U192" s="425">
        <f>Q192-Q191</f>
        <v>0.00259662584726583</v>
      </c>
      <c r="V192" s="77" t="n"/>
      <c r="W192" s="116">
        <f>S192-S191</f>
        <v>-0.640000000000001</v>
      </c>
      <c r="X192" s="425">
        <f>P192-P180</f>
        <v>-0.0619694137145532</v>
      </c>
      <c r="Y192" s="425">
        <f>Q192-Q180</f>
        <v>0.390261877439937</v>
      </c>
      <c r="Z192" s="77" t="n"/>
      <c r="AA192" s="116">
        <f>S192-S180</f>
        <v>-5.01</v>
      </c>
      <c r="AB192" s="425">
        <f>P192-P132</f>
        <v>0.764919575041444</v>
      </c>
      <c r="AC192" s="425">
        <f>Q192-Q132</f>
        <v>0.777683570961213</v>
      </c>
      <c r="AD192" s="77" t="n"/>
      <c r="AE192" s="235">
        <f>S192-S132</f>
        <v>2.46</v>
      </c>
      <c r="AG192" s="554">
        <f>N192</f>
        <v>30559.0</v>
      </c>
      <c r="AH192" s="435">
        <f>IFERROR(INDEX('RBA 5Y yield'!$B$5:$B$661,MATCH(N192,'RBA 5Y yield'!$A$5:$A$661,1))*100,"")</f>
        <v>14.4</v>
      </c>
      <c r="AI192" s="435">
        <f>IF(AND(ISNUMBER(AH192),ISNUMBER(AH191)),AH192-AH191,"")</f>
        <v>0.0999999999999996</v>
      </c>
      <c r="AJ192" s="435">
        <f>IF(AND(ISNUMBER(AH192),ISNUMBER(AH180)),AH192-AH180,"")</f>
        <v>-2.2</v>
      </c>
      <c r="AK192" s="435">
        <f>IF(AND(ISNUMBER(AH192),ISNUMBER(AH132)),AH192-AH132,"")</f>
        <v>5.41</v>
      </c>
      <c r="AL192" s="560">
        <f>IFERROR(LN(INDEX(Data!$B$2:$B$497,MATCH(N192,Data!$A$2:$A$497,1))/INDEX(Data!$B$2:$B$497,MATCH(N180,Data!$A$2:$A$497,1))),"")</f>
      </c>
      <c r="AM192" s="560">
        <f>IFERROR(LN(INDEX(Data!$C$2:$C$497,MATCH(N192,Data!$A$2:$A$497,1))/INDEX(Data!$C$2:$C$497,MATCH(N180,Data!$A$2:$A$497,1))),"")</f>
      </c>
      <c r="AN192" s="560">
        <f>IFERROR(LN(INDEX(Data!$D$2:$D$497,MATCH(N192,Data!$A$2:$A$497,1))/INDEX(Data!$D$2:$D$497,MATCH(N180,Data!$A$2:$A$497,1))),"")</f>
      </c>
      <c r="AO192" s="560">
        <f>IFERROR(LN(INDEX(Data!$E$2:$E$497,MATCH(N192,Data!$A$2:$A$497,1))/INDEX(Data!$E$2:$E$497,MATCH(N180,Data!$A$2:$A$497,1))),"")</f>
      </c>
      <c r="AP192" s="560">
        <f>IFERROR(LN(INDEX(Data!$F$2:$F$497,MATCH(N192,Data!$A$2:$A$497,1))/INDEX(Data!$F$2:$F$497,MATCH(N180,Data!$A$2:$A$497,1))),"")</f>
      </c>
      <c r="AQ192" s="560">
        <f>IFERROR(LN(INDEX(Data!$G$2:$G$497,MATCH(N192,Data!$A$2:$A$497,1))/INDEX(Data!$G$2:$G$497,MATCH(N180,Data!$A$2:$A$497,1))),"")</f>
      </c>
      <c r="AR192" s="560">
        <f>IFERROR(LN(INDEX(Data!$H$2:$H$497,MATCH(N192,Data!$A$2:$A$497,1))/INDEX(Data!$H$2:$H$497,MATCH(N180,Data!$A$2:$A$497,1))),"")</f>
      </c>
      <c r="AS192" s="560">
        <f>IFERROR(LN(INDEX(Data!$I$2:$I$497,MATCH(N192,Data!$A$2:$A$497,1))/INDEX(Data!$I$2:$I$497,MATCH(N180,Data!$A$2:$A$497,1))),"")</f>
      </c>
      <c r="AT192" s="560">
        <f>IFERROR(LN(INDEX(Data!$J$2:$J$497,MATCH(N192,Data!$A$2:$A$497,1))/INDEX(Data!$J$2:$J$497,MATCH(N180,Data!$A$2:$A$497,1))),"")</f>
      </c>
      <c r="AU192" s="560">
        <f>IFERROR(LN(INDEX(Data!$K$2:$K$497,MATCH(N192,Data!$A$2:$A$497,1))/INDEX(Data!$K$2:$K$497,MATCH(N180,Data!$A$2:$A$497,1))),"")</f>
      </c>
      <c r="AV192" s="561">
        <f>IFERROR(LN(INDEX(Data!$L$2:$L$497,MATCH(N192,Data!$A$2:$A$497,1))/INDEX(Data!$L$2:$L$497,MATCH(N180,Data!$A$2:$A$497,1))),"")</f>
      </c>
    </row>
    <row r="193">
      <c r="N193" s="337" t="n">
        <v>30589</v>
      </c>
      <c r="O193" s="116">
        <f>INDEX('Additional data'!$B$2:$B$965,MATCH(DATE(YEAR(N193),MONTH(N193),1),'Additional data'!$A$2:$A$965,0))</f>
        <v>31.11</v>
      </c>
      <c r="P193" s="489">
        <f>LN(O193)</f>
        <v>3.43752931090955</v>
      </c>
      <c r="Q193" s="489">
        <f>Q192+LN(1+INDEX('Additional data'!$H$2:$H$1196,MATCH(N193,'Additional data'!$G$2:$G$1196,1))+INDEX('Additional data'!$I$2:$I$1196,MATCH(N193,'Additional data'!$G$2:$G$1196,1)))</f>
        <v>1.26540099967088</v>
      </c>
      <c r="R193" s="77" t="n"/>
      <c r="S193" s="116">
        <f>IF(INDEX('Additional data'!$E$2:$E$699,MATCH(DATE(YEAR(N193),MONTH(N193),1),'Additional data'!$D$2:$D$699,0))=0,(INDEX('Additional data'!$E$2:$E$699,MATCH(DATE(YEAR(N193),MONTH(N193),1),'Additional data'!$D$2:$D$699,0)-1)+INDEX('Additional data'!$E$2:$E$699,MATCH(DATE(YEAR(N193),MONTH(N193),1),'Additional data'!$D$2:$D$699,0)+1))/2,INDEX('Additional data'!$E$2:$E$699,MATCH(DATE(YEAR(N193),MONTH(N193),1),'Additional data'!$D$2:$D$699,0)))</f>
        <v>11.06</v>
      </c>
      <c r="T193" s="425">
        <f>P193-P192</f>
        <v>-0.0253901293806065</v>
      </c>
      <c r="U193" s="425">
        <f>Q193-Q192</f>
        <v>0.0166604408931075</v>
      </c>
      <c r="V193" s="77" t="n"/>
      <c r="W193" s="116">
        <f>S193-S192</f>
        <v>-1.1</v>
      </c>
      <c r="X193" s="425">
        <f>P193-P181</f>
        <v>-0.135658668708199</v>
      </c>
      <c r="Y193" s="425">
        <f>Q193-Q181</f>
        <v>0.388885955846946</v>
      </c>
      <c r="Z193" s="77" t="n"/>
      <c r="AA193" s="116">
        <f>S193-S181</f>
        <v>-4.4</v>
      </c>
      <c r="AB193" s="425">
        <f>P193-P133</f>
        <v>0.739529445660837</v>
      </c>
      <c r="AC193" s="425">
        <f>Q193-Q133</f>
        <v>0.802577816781424</v>
      </c>
      <c r="AD193" s="77" t="n"/>
      <c r="AE193" s="235">
        <f>S193-S133</f>
        <v>1.34</v>
      </c>
      <c r="AG193" s="554">
        <f>N193</f>
        <v>30589.0</v>
      </c>
      <c r="AH193" s="435">
        <f>IFERROR(INDEX('RBA 5Y yield'!$B$5:$B$661,MATCH(N193,'RBA 5Y yield'!$A$5:$A$661,1))*100,"")</f>
        <v>13.5</v>
      </c>
      <c r="AI193" s="435">
        <f>IF(AND(ISNUMBER(AH193),ISNUMBER(AH192)),AH193-AH192,"")</f>
        <v>-0.899999999999999</v>
      </c>
      <c r="AJ193" s="435">
        <f>IF(AND(ISNUMBER(AH193),ISNUMBER(AH181)),AH193-AH181,"")</f>
        <v>-1.7</v>
      </c>
      <c r="AK193" s="435">
        <f>IF(AND(ISNUMBER(AH193),ISNUMBER(AH133)),AH193-AH133,"")</f>
        <v>4.5</v>
      </c>
      <c r="AL193" s="560">
        <f>IFERROR(LN(INDEX(Data!$B$2:$B$497,MATCH(N193,Data!$A$2:$A$497,1))/INDEX(Data!$B$2:$B$497,MATCH(N181,Data!$A$2:$A$497,1))),"")</f>
      </c>
      <c r="AM193" s="560">
        <f>IFERROR(LN(INDEX(Data!$C$2:$C$497,MATCH(N193,Data!$A$2:$A$497,1))/INDEX(Data!$C$2:$C$497,MATCH(N181,Data!$A$2:$A$497,1))),"")</f>
      </c>
      <c r="AN193" s="560">
        <f>IFERROR(LN(INDEX(Data!$D$2:$D$497,MATCH(N193,Data!$A$2:$A$497,1))/INDEX(Data!$D$2:$D$497,MATCH(N181,Data!$A$2:$A$497,1))),"")</f>
      </c>
      <c r="AO193" s="560">
        <f>IFERROR(LN(INDEX(Data!$E$2:$E$497,MATCH(N193,Data!$A$2:$A$497,1))/INDEX(Data!$E$2:$E$497,MATCH(N181,Data!$A$2:$A$497,1))),"")</f>
      </c>
      <c r="AP193" s="560">
        <f>IFERROR(LN(INDEX(Data!$F$2:$F$497,MATCH(N193,Data!$A$2:$A$497,1))/INDEX(Data!$F$2:$F$497,MATCH(N181,Data!$A$2:$A$497,1))),"")</f>
      </c>
      <c r="AQ193" s="560">
        <f>IFERROR(LN(INDEX(Data!$G$2:$G$497,MATCH(N193,Data!$A$2:$A$497,1))/INDEX(Data!$G$2:$G$497,MATCH(N181,Data!$A$2:$A$497,1))),"")</f>
      </c>
      <c r="AR193" s="560">
        <f>IFERROR(LN(INDEX(Data!$H$2:$H$497,MATCH(N193,Data!$A$2:$A$497,1))/INDEX(Data!$H$2:$H$497,MATCH(N181,Data!$A$2:$A$497,1))),"")</f>
      </c>
      <c r="AS193" s="560">
        <f>IFERROR(LN(INDEX(Data!$I$2:$I$497,MATCH(N193,Data!$A$2:$A$497,1))/INDEX(Data!$I$2:$I$497,MATCH(N181,Data!$A$2:$A$497,1))),"")</f>
      </c>
      <c r="AT193" s="560">
        <f>IFERROR(LN(INDEX(Data!$J$2:$J$497,MATCH(N193,Data!$A$2:$A$497,1))/INDEX(Data!$J$2:$J$497,MATCH(N181,Data!$A$2:$A$497,1))),"")</f>
      </c>
      <c r="AU193" s="560">
        <f>IFERROR(LN(INDEX(Data!$K$2:$K$497,MATCH(N193,Data!$A$2:$A$497,1))/INDEX(Data!$K$2:$K$497,MATCH(N181,Data!$A$2:$A$497,1))),"")</f>
      </c>
      <c r="AV193" s="561">
        <f>IFERROR(LN(INDEX(Data!$L$2:$L$497,MATCH(N193,Data!$A$2:$A$497,1))/INDEX(Data!$L$2:$L$497,MATCH(N181,Data!$A$2:$A$497,1))),"")</f>
      </c>
    </row>
    <row r="194">
      <c r="N194" s="337" t="n">
        <v>30620</v>
      </c>
      <c r="O194" s="116">
        <f>INDEX('Additional data'!$B$2:$B$965,MATCH(DATE(YEAR(N194),MONTH(N194),1),'Additional data'!$A$2:$A$965,0))</f>
        <v>30.41</v>
      </c>
      <c r="P194" s="489">
        <f>LN(O194)</f>
        <v>3.41477150168927</v>
      </c>
      <c r="Q194" s="489">
        <f>Q193+LN(1+INDEX('Additional data'!$H$2:$H$1196,MATCH(N194,'Additional data'!$G$2:$G$1196,1))+INDEX('Additional data'!$I$2:$I$1196,MATCH(N194,'Additional data'!$G$2:$G$1196,1)))</f>
        <v>1.23833808012119</v>
      </c>
      <c r="R194" s="77" t="n"/>
      <c r="S194" s="116">
        <f>IF(INDEX('Additional data'!$E$2:$E$699,MATCH(DATE(YEAR(N194),MONTH(N194),1),'Additional data'!$D$2:$D$699,0))=0,(INDEX('Additional data'!$E$2:$E$699,MATCH(DATE(YEAR(N194),MONTH(N194),1),'Additional data'!$D$2:$D$699,0)-1)+INDEX('Additional data'!$E$2:$E$699,MATCH(DATE(YEAR(N194),MONTH(N194),1),'Additional data'!$D$2:$D$699,0)+1))/2,INDEX('Additional data'!$E$2:$E$699,MATCH(DATE(YEAR(N194),MONTH(N194),1),'Additional data'!$D$2:$D$699,0)))</f>
        <v>10.94</v>
      </c>
      <c r="T194" s="425">
        <f>P194-P193</f>
        <v>-0.0227578092202725</v>
      </c>
      <c r="U194" s="425">
        <f>Q194-Q193</f>
        <v>-0.027062919549689</v>
      </c>
      <c r="V194" s="77" t="n"/>
      <c r="W194" s="116">
        <f>S194-S193</f>
        <v>-0.120000000000001</v>
      </c>
      <c r="X194" s="425">
        <f>P194-P182</f>
        <v>-0.159818806022535</v>
      </c>
      <c r="Y194" s="425">
        <f>Q194-Q182</f>
        <v>0.249476976465719</v>
      </c>
      <c r="Z194" s="77" t="n"/>
      <c r="AA194" s="116">
        <f>S194-S182</f>
        <v>-3.63</v>
      </c>
      <c r="AB194" s="425">
        <f>P194-P134</f>
        <v>0.716771636440565</v>
      </c>
      <c r="AC194" s="425">
        <f>Q194-Q134</f>
        <v>0.894523683813937</v>
      </c>
      <c r="AD194" s="77" t="n"/>
      <c r="AE194" s="235">
        <f>S194-S134</f>
        <v>1.2</v>
      </c>
      <c r="AG194" s="554">
        <f>N194</f>
        <v>30620.0</v>
      </c>
      <c r="AH194" s="435">
        <f>IFERROR(INDEX('RBA 5Y yield'!$B$5:$B$661,MATCH(N194,'RBA 5Y yield'!$A$5:$A$661,1))*100,"")</f>
        <v>12.35</v>
      </c>
      <c r="AI194" s="435">
        <f>IF(AND(ISNUMBER(AH194),ISNUMBER(AH193)),AH194-AH193,"")</f>
        <v>-1.15</v>
      </c>
      <c r="AJ194" s="435">
        <f>IF(AND(ISNUMBER(AH194),ISNUMBER(AH182)),AH194-AH182,"")</f>
        <v>-2.2</v>
      </c>
      <c r="AK194" s="435">
        <f>IF(AND(ISNUMBER(AH194),ISNUMBER(AH134)),AH194-AH134,"")</f>
        <v>3.49</v>
      </c>
      <c r="AL194" s="560">
        <f>IFERROR(LN(INDEX(Data!$B$2:$B$497,MATCH(N194,Data!$A$2:$A$497,1))/INDEX(Data!$B$2:$B$497,MATCH(N182,Data!$A$2:$A$497,1))),"")</f>
      </c>
      <c r="AM194" s="560">
        <f>IFERROR(LN(INDEX(Data!$C$2:$C$497,MATCH(N194,Data!$A$2:$A$497,1))/INDEX(Data!$C$2:$C$497,MATCH(N182,Data!$A$2:$A$497,1))),"")</f>
      </c>
      <c r="AN194" s="560">
        <f>IFERROR(LN(INDEX(Data!$D$2:$D$497,MATCH(N194,Data!$A$2:$A$497,1))/INDEX(Data!$D$2:$D$497,MATCH(N182,Data!$A$2:$A$497,1))),"")</f>
      </c>
      <c r="AO194" s="560">
        <f>IFERROR(LN(INDEX(Data!$E$2:$E$497,MATCH(N194,Data!$A$2:$A$497,1))/INDEX(Data!$E$2:$E$497,MATCH(N182,Data!$A$2:$A$497,1))),"")</f>
      </c>
      <c r="AP194" s="560">
        <f>IFERROR(LN(INDEX(Data!$F$2:$F$497,MATCH(N194,Data!$A$2:$A$497,1))/INDEX(Data!$F$2:$F$497,MATCH(N182,Data!$A$2:$A$497,1))),"")</f>
      </c>
      <c r="AQ194" s="560">
        <f>IFERROR(LN(INDEX(Data!$G$2:$G$497,MATCH(N194,Data!$A$2:$A$497,1))/INDEX(Data!$G$2:$G$497,MATCH(N182,Data!$A$2:$A$497,1))),"")</f>
      </c>
      <c r="AR194" s="560">
        <f>IFERROR(LN(INDEX(Data!$H$2:$H$497,MATCH(N194,Data!$A$2:$A$497,1))/INDEX(Data!$H$2:$H$497,MATCH(N182,Data!$A$2:$A$497,1))),"")</f>
      </c>
      <c r="AS194" s="560">
        <f>IFERROR(LN(INDEX(Data!$I$2:$I$497,MATCH(N194,Data!$A$2:$A$497,1))/INDEX(Data!$I$2:$I$497,MATCH(N182,Data!$A$2:$A$497,1))),"")</f>
      </c>
      <c r="AT194" s="560">
        <f>IFERROR(LN(INDEX(Data!$J$2:$J$497,MATCH(N194,Data!$A$2:$A$497,1))/INDEX(Data!$J$2:$J$497,MATCH(N182,Data!$A$2:$A$497,1))),"")</f>
      </c>
      <c r="AU194" s="560">
        <f>IFERROR(LN(INDEX(Data!$K$2:$K$497,MATCH(N194,Data!$A$2:$A$497,1))/INDEX(Data!$K$2:$K$497,MATCH(N182,Data!$A$2:$A$497,1))),"")</f>
      </c>
      <c r="AV194" s="561">
        <f>IFERROR(LN(INDEX(Data!$L$2:$L$497,MATCH(N194,Data!$A$2:$A$497,1))/INDEX(Data!$L$2:$L$497,MATCH(N182,Data!$A$2:$A$497,1))),"")</f>
      </c>
    </row>
    <row r="195">
      <c r="N195" s="337" t="n">
        <v>30650</v>
      </c>
      <c r="O195" s="116">
        <f>INDEX('Additional data'!$B$2:$B$965,MATCH(DATE(YEAR(N195),MONTH(N195),1),'Additional data'!$A$2:$A$965,0))</f>
        <v>29.84</v>
      </c>
      <c r="P195" s="489">
        <f>LN(O195)</f>
        <v>3.39584977533556</v>
      </c>
      <c r="Q195" s="489">
        <f>Q194+LN(1+INDEX('Additional data'!$H$2:$H$1196,MATCH(N195,'Additional data'!$G$2:$G$1196,1))+INDEX('Additional data'!$I$2:$I$1196,MATCH(N195,'Additional data'!$G$2:$G$1196,1)))</f>
        <v>1.26663394927604</v>
      </c>
      <c r="R195" s="77" t="n"/>
      <c r="S195" s="116">
        <f>IF(INDEX('Additional data'!$E$2:$E$699,MATCH(DATE(YEAR(N195),MONTH(N195),1),'Additional data'!$D$2:$D$699,0))=0,(INDEX('Additional data'!$E$2:$E$699,MATCH(DATE(YEAR(N195),MONTH(N195),1),'Additional data'!$D$2:$D$699,0)-1)+INDEX('Additional data'!$E$2:$E$699,MATCH(DATE(YEAR(N195),MONTH(N195),1),'Additional data'!$D$2:$D$699,0)+1))/2,INDEX('Additional data'!$E$2:$E$699,MATCH(DATE(YEAR(N195),MONTH(N195),1),'Additional data'!$D$2:$D$699,0)))</f>
        <v>10.55</v>
      </c>
      <c r="T195" s="425">
        <f>P195-P194</f>
        <v>-0.0189217263537129</v>
      </c>
      <c r="U195" s="425">
        <f>Q195-Q194</f>
        <v>0.0282958691548472</v>
      </c>
      <c r="V195" s="77" t="n"/>
      <c r="W195" s="116">
        <f>S195-S194</f>
        <v>-0.389999999999999</v>
      </c>
      <c r="X195" s="425">
        <f>P195-P183</f>
        <v>-0.134912810681239</v>
      </c>
      <c r="Y195" s="425">
        <f>Q195-Q183</f>
        <v>0.226034650216152</v>
      </c>
      <c r="Z195" s="77" t="n"/>
      <c r="AA195" s="116">
        <f>S195-S183</f>
        <v>-4.21</v>
      </c>
      <c r="AB195" s="425">
        <f>P195-P135</f>
        <v>0.697849910086852</v>
      </c>
      <c r="AC195" s="425">
        <f>Q195-Q135</f>
        <v>0.889288069759993</v>
      </c>
      <c r="AD195" s="77" t="n"/>
      <c r="AE195" s="235">
        <f>S195-S135</f>
        <v>1.36</v>
      </c>
      <c r="AG195" s="554">
        <f>N195</f>
        <v>30650.0</v>
      </c>
      <c r="AH195" s="435">
        <f>IFERROR(INDEX('RBA 5Y yield'!$B$5:$B$661,MATCH(N195,'RBA 5Y yield'!$A$5:$A$661,1))*100,"")</f>
        <v>11.9</v>
      </c>
      <c r="AI195" s="435">
        <f>IF(AND(ISNUMBER(AH195),ISNUMBER(AH194)),AH195-AH194,"")</f>
        <v>-0.450000000000001</v>
      </c>
      <c r="AJ195" s="435">
        <f>IF(AND(ISNUMBER(AH195),ISNUMBER(AH183)),AH195-AH183,"")</f>
        <v>-2.7</v>
      </c>
      <c r="AK195" s="435">
        <f>IF(AND(ISNUMBER(AH195),ISNUMBER(AH135)),AH195-AH135,"")</f>
        <v>3.1</v>
      </c>
      <c r="AL195" s="560">
        <f>IFERROR(LN(INDEX(Data!$B$2:$B$497,MATCH(N195,Data!$A$2:$A$497,1))/INDEX(Data!$B$2:$B$497,MATCH(N183,Data!$A$2:$A$497,1))),"")</f>
      </c>
      <c r="AM195" s="560">
        <f>IFERROR(LN(INDEX(Data!$C$2:$C$497,MATCH(N195,Data!$A$2:$A$497,1))/INDEX(Data!$C$2:$C$497,MATCH(N183,Data!$A$2:$A$497,1))),"")</f>
      </c>
      <c r="AN195" s="560">
        <f>IFERROR(LN(INDEX(Data!$D$2:$D$497,MATCH(N195,Data!$A$2:$A$497,1))/INDEX(Data!$D$2:$D$497,MATCH(N183,Data!$A$2:$A$497,1))),"")</f>
      </c>
      <c r="AO195" s="560">
        <f>IFERROR(LN(INDEX(Data!$E$2:$E$497,MATCH(N195,Data!$A$2:$A$497,1))/INDEX(Data!$E$2:$E$497,MATCH(N183,Data!$A$2:$A$497,1))),"")</f>
      </c>
      <c r="AP195" s="560">
        <f>IFERROR(LN(INDEX(Data!$F$2:$F$497,MATCH(N195,Data!$A$2:$A$497,1))/INDEX(Data!$F$2:$F$497,MATCH(N183,Data!$A$2:$A$497,1))),"")</f>
      </c>
      <c r="AQ195" s="560">
        <f>IFERROR(LN(INDEX(Data!$G$2:$G$497,MATCH(N195,Data!$A$2:$A$497,1))/INDEX(Data!$G$2:$G$497,MATCH(N183,Data!$A$2:$A$497,1))),"")</f>
      </c>
      <c r="AR195" s="560">
        <f>IFERROR(LN(INDEX(Data!$H$2:$H$497,MATCH(N195,Data!$A$2:$A$497,1))/INDEX(Data!$H$2:$H$497,MATCH(N183,Data!$A$2:$A$497,1))),"")</f>
      </c>
      <c r="AS195" s="560">
        <f>IFERROR(LN(INDEX(Data!$I$2:$I$497,MATCH(N195,Data!$A$2:$A$497,1))/INDEX(Data!$I$2:$I$497,MATCH(N183,Data!$A$2:$A$497,1))),"")</f>
      </c>
      <c r="AT195" s="560">
        <f>IFERROR(LN(INDEX(Data!$J$2:$J$497,MATCH(N195,Data!$A$2:$A$497,1))/INDEX(Data!$J$2:$J$497,MATCH(N183,Data!$A$2:$A$497,1))),"")</f>
      </c>
      <c r="AU195" s="560">
        <f>IFERROR(LN(INDEX(Data!$K$2:$K$497,MATCH(N195,Data!$A$2:$A$497,1))/INDEX(Data!$K$2:$K$497,MATCH(N183,Data!$A$2:$A$497,1))),"")</f>
      </c>
      <c r="AV195" s="561">
        <f>IFERROR(LN(INDEX(Data!$L$2:$L$497,MATCH(N195,Data!$A$2:$A$497,1))/INDEX(Data!$L$2:$L$497,MATCH(N183,Data!$A$2:$A$497,1))),"")</f>
      </c>
    </row>
    <row r="196">
      <c r="N196" s="337" t="n">
        <v>30681</v>
      </c>
      <c r="O196" s="116">
        <f>INDEX('Additional data'!$B$2:$B$965,MATCH(DATE(YEAR(N196),MONTH(N196),1),'Additional data'!$A$2:$A$965,0))</f>
        <v>29.24</v>
      </c>
      <c r="P196" s="489">
        <f>LN(O196)</f>
        <v>3.37553763488158</v>
      </c>
      <c r="Q196" s="489">
        <f>Q195+LN(1+INDEX('Additional data'!$H$2:$H$1196,MATCH(N196,'Additional data'!$G$2:$G$1196,1))+INDEX('Additional data'!$I$2:$I$1196,MATCH(N196,'Additional data'!$G$2:$G$1196,1)))</f>
        <v>1.25617949137218</v>
      </c>
      <c r="R196" s="77" t="n"/>
      <c r="S196" s="116">
        <f>IF(INDEX('Additional data'!$E$2:$E$699,MATCH(DATE(YEAR(N196),MONTH(N196),1),'Additional data'!$D$2:$D$699,0))=0,(INDEX('Additional data'!$E$2:$E$699,MATCH(DATE(YEAR(N196),MONTH(N196),1),'Additional data'!$D$2:$D$699,0)-1)+INDEX('Additional data'!$E$2:$E$699,MATCH(DATE(YEAR(N196),MONTH(N196),1),'Additional data'!$D$2:$D$699,0)+1))/2,INDEX('Additional data'!$E$2:$E$699,MATCH(DATE(YEAR(N196),MONTH(N196),1),'Additional data'!$D$2:$D$699,0)))</f>
        <v>8.89</v>
      </c>
      <c r="T196" s="425">
        <f>P196-P195</f>
        <v>-0.0203121404539828</v>
      </c>
      <c r="U196" s="425">
        <f>Q196-Q195</f>
        <v>-0.010454457903859</v>
      </c>
      <c r="V196" s="77" t="n"/>
      <c r="W196" s="116">
        <f>S196-S195</f>
        <v>-1.66</v>
      </c>
      <c r="X196" s="425">
        <f>P196-P184</f>
        <v>-0.0814097618850695</v>
      </c>
      <c r="Y196" s="425">
        <f>Q196-Q184</f>
        <v>0.203355222689724</v>
      </c>
      <c r="Z196" s="77" t="n"/>
      <c r="AA196" s="116">
        <f>S196-S184</f>
        <v>-3.24</v>
      </c>
      <c r="AB196" s="425">
        <f>P196-P136</f>
        <v>0.677537769632869</v>
      </c>
      <c r="AC196" s="425">
        <f>Q196-Q136</f>
        <v>0.862468257769869</v>
      </c>
      <c r="AD196" s="77" t="n"/>
      <c r="AE196" s="235">
        <f>S196-S136</f>
        <v>0.130000000000001</v>
      </c>
      <c r="AG196" s="554">
        <f>N196</f>
        <v>30681.0</v>
      </c>
      <c r="AH196" s="435">
        <f>IFERROR(INDEX('RBA 5Y yield'!$B$5:$B$661,MATCH(N196,'RBA 5Y yield'!$A$5:$A$661,1))*100,"")</f>
        <v>12.8</v>
      </c>
      <c r="AI196" s="435">
        <f>IF(AND(ISNUMBER(AH196),ISNUMBER(AH195)),AH196-AH195,"")</f>
        <v>0.900000000000002</v>
      </c>
      <c r="AJ196" s="435">
        <f>IF(AND(ISNUMBER(AH196),ISNUMBER(AH184)),AH196-AH184,"")</f>
        <v>-1.2</v>
      </c>
      <c r="AK196" s="435">
        <f>IF(AND(ISNUMBER(AH196),ISNUMBER(AH136)),AH196-AH136,"")</f>
        <v>4</v>
      </c>
      <c r="AL196" s="560">
        <f>IFERROR(LN(INDEX(Data!$B$2:$B$497,MATCH(N196,Data!$A$2:$A$497,1))/INDEX(Data!$B$2:$B$497,MATCH(N184,Data!$A$2:$A$497,1))),"")</f>
      </c>
      <c r="AM196" s="560">
        <f>IFERROR(LN(INDEX(Data!$C$2:$C$497,MATCH(N196,Data!$A$2:$A$497,1))/INDEX(Data!$C$2:$C$497,MATCH(N184,Data!$A$2:$A$497,1))),"")</f>
      </c>
      <c r="AN196" s="560">
        <f>IFERROR(LN(INDEX(Data!$D$2:$D$497,MATCH(N196,Data!$A$2:$A$497,1))/INDEX(Data!$D$2:$D$497,MATCH(N184,Data!$A$2:$A$497,1))),"")</f>
      </c>
      <c r="AO196" s="560">
        <f>IFERROR(LN(INDEX(Data!$E$2:$E$497,MATCH(N196,Data!$A$2:$A$497,1))/INDEX(Data!$E$2:$E$497,MATCH(N184,Data!$A$2:$A$497,1))),"")</f>
      </c>
      <c r="AP196" s="560">
        <f>IFERROR(LN(INDEX(Data!$F$2:$F$497,MATCH(N196,Data!$A$2:$A$497,1))/INDEX(Data!$F$2:$F$497,MATCH(N184,Data!$A$2:$A$497,1))),"")</f>
      </c>
      <c r="AQ196" s="560">
        <f>IFERROR(LN(INDEX(Data!$G$2:$G$497,MATCH(N196,Data!$A$2:$A$497,1))/INDEX(Data!$G$2:$G$497,MATCH(N184,Data!$A$2:$A$497,1))),"")</f>
      </c>
      <c r="AR196" s="560">
        <f>IFERROR(LN(INDEX(Data!$H$2:$H$497,MATCH(N196,Data!$A$2:$A$497,1))/INDEX(Data!$H$2:$H$497,MATCH(N184,Data!$A$2:$A$497,1))),"")</f>
      </c>
      <c r="AS196" s="560">
        <f>IFERROR(LN(INDEX(Data!$I$2:$I$497,MATCH(N196,Data!$A$2:$A$497,1))/INDEX(Data!$I$2:$I$497,MATCH(N184,Data!$A$2:$A$497,1))),"")</f>
      </c>
      <c r="AT196" s="560">
        <f>IFERROR(LN(INDEX(Data!$J$2:$J$497,MATCH(N196,Data!$A$2:$A$497,1))/INDEX(Data!$J$2:$J$497,MATCH(N184,Data!$A$2:$A$497,1))),"")</f>
      </c>
      <c r="AU196" s="560">
        <f>IFERROR(LN(INDEX(Data!$K$2:$K$497,MATCH(N196,Data!$A$2:$A$497,1))/INDEX(Data!$K$2:$K$497,MATCH(N184,Data!$A$2:$A$497,1))),"")</f>
      </c>
      <c r="AV196" s="561">
        <f>IFERROR(LN(INDEX(Data!$L$2:$L$497,MATCH(N196,Data!$A$2:$A$497,1))/INDEX(Data!$L$2:$L$497,MATCH(N184,Data!$A$2:$A$497,1))),"")</f>
      </c>
    </row>
    <row r="197">
      <c r="N197" s="337" t="n">
        <v>30712</v>
      </c>
      <c r="O197" s="116">
        <f>INDEX('Additional data'!$B$2:$B$965,MATCH(DATE(YEAR(N197),MONTH(N197),1),'Additional data'!$A$2:$A$965,0))</f>
        <v>29.69</v>
      </c>
      <c r="P197" s="489">
        <f>LN(O197)</f>
        <v>3.39081028877567</v>
      </c>
      <c r="Q197" s="489">
        <f>Q196+LN(1+INDEX('Additional data'!$H$2:$H$1196,MATCH(N197,'Additional data'!$G$2:$G$1196,1))+INDEX('Additional data'!$I$2:$I$1196,MATCH(N197,'Additional data'!$G$2:$G$1196,1)))</f>
        <v>1.24451168650449</v>
      </c>
      <c r="R197" s="77" t="n"/>
      <c r="S197" s="116">
        <f>IF(INDEX('Additional data'!$E$2:$E$699,MATCH(DATE(YEAR(N197),MONTH(N197),1),'Additional data'!$D$2:$D$699,0))=0,(INDEX('Additional data'!$E$2:$E$699,MATCH(DATE(YEAR(N197),MONTH(N197),1),'Additional data'!$D$2:$D$699,0)-1)+INDEX('Additional data'!$E$2:$E$699,MATCH(DATE(YEAR(N197),MONTH(N197),1),'Additional data'!$D$2:$D$699,0)+1))/2,INDEX('Additional data'!$E$2:$E$699,MATCH(DATE(YEAR(N197),MONTH(N197),1),'Additional data'!$D$2:$D$699,0)))</f>
        <v>9.76</v>
      </c>
      <c r="T197" s="425">
        <f>P197-P196</f>
        <v>0.0152726538940908</v>
      </c>
      <c r="U197" s="425">
        <f>Q197-Q196</f>
        <v>-0.0116678048676819</v>
      </c>
      <c r="V197" s="77" t="n"/>
      <c r="W197" s="116">
        <f>S197-S196</f>
        <v>0.869999999999999</v>
      </c>
      <c r="X197" s="425">
        <f>P197-P185</f>
        <v>-0.0492872418440435</v>
      </c>
      <c r="Y197" s="425">
        <f>Q197-Q185</f>
        <v>0.149778014744832</v>
      </c>
      <c r="Z197" s="77" t="n"/>
      <c r="AA197" s="116">
        <f>S197-S185</f>
        <v>-0.890000000000001</v>
      </c>
      <c r="AB197" s="425">
        <f>P197-P137</f>
        <v>0.69281042352696</v>
      </c>
      <c r="AC197" s="425">
        <f>Q197-Q137</f>
        <v>0.802105531363429</v>
      </c>
      <c r="AD197" s="77" t="n"/>
      <c r="AE197" s="235">
        <f>S197-S137</f>
        <v>1.25</v>
      </c>
      <c r="AG197" s="554">
        <f>N197</f>
        <v>30712.0</v>
      </c>
      <c r="AH197" s="435">
        <f>IFERROR(INDEX('RBA 5Y yield'!$B$5:$B$661,MATCH(N197,'RBA 5Y yield'!$A$5:$A$661,1))*100,"")</f>
        <v>12.9</v>
      </c>
      <c r="AI197" s="435">
        <f>IF(AND(ISNUMBER(AH197),ISNUMBER(AH196)),AH197-AH196,"")</f>
        <v>0.0999999999999996</v>
      </c>
      <c r="AJ197" s="435">
        <f>IF(AND(ISNUMBER(AH197),ISNUMBER(AH185)),AH197-AH185,"")</f>
        <v>0.300000000000001</v>
      </c>
      <c r="AK197" s="435">
        <f>IF(AND(ISNUMBER(AH197),ISNUMBER(AH137)),AH197-AH137,"")</f>
        <v>4.05</v>
      </c>
      <c r="AL197" s="560">
        <f>IFERROR(LN(INDEX(Data!$B$2:$B$497,MATCH(N197,Data!$A$2:$A$497,1))/INDEX(Data!$B$2:$B$497,MATCH(N185,Data!$A$2:$A$497,1))),"")</f>
      </c>
      <c r="AM197" s="560">
        <f>IFERROR(LN(INDEX(Data!$C$2:$C$497,MATCH(N197,Data!$A$2:$A$497,1))/INDEX(Data!$C$2:$C$497,MATCH(N185,Data!$A$2:$A$497,1))),"")</f>
      </c>
      <c r="AN197" s="560">
        <f>IFERROR(LN(INDEX(Data!$D$2:$D$497,MATCH(N197,Data!$A$2:$A$497,1))/INDEX(Data!$D$2:$D$497,MATCH(N185,Data!$A$2:$A$497,1))),"")</f>
      </c>
      <c r="AO197" s="560">
        <f>IFERROR(LN(INDEX(Data!$E$2:$E$497,MATCH(N197,Data!$A$2:$A$497,1))/INDEX(Data!$E$2:$E$497,MATCH(N185,Data!$A$2:$A$497,1))),"")</f>
      </c>
      <c r="AP197" s="560">
        <f>IFERROR(LN(INDEX(Data!$F$2:$F$497,MATCH(N197,Data!$A$2:$A$497,1))/INDEX(Data!$F$2:$F$497,MATCH(N185,Data!$A$2:$A$497,1))),"")</f>
      </c>
      <c r="AQ197" s="560">
        <f>IFERROR(LN(INDEX(Data!$G$2:$G$497,MATCH(N197,Data!$A$2:$A$497,1))/INDEX(Data!$G$2:$G$497,MATCH(N185,Data!$A$2:$A$497,1))),"")</f>
      </c>
      <c r="AR197" s="560">
        <f>IFERROR(LN(INDEX(Data!$H$2:$H$497,MATCH(N197,Data!$A$2:$A$497,1))/INDEX(Data!$H$2:$H$497,MATCH(N185,Data!$A$2:$A$497,1))),"")</f>
      </c>
      <c r="AS197" s="560">
        <f>IFERROR(LN(INDEX(Data!$I$2:$I$497,MATCH(N197,Data!$A$2:$A$497,1))/INDEX(Data!$I$2:$I$497,MATCH(N185,Data!$A$2:$A$497,1))),"")</f>
      </c>
      <c r="AT197" s="560">
        <f>IFERROR(LN(INDEX(Data!$J$2:$J$497,MATCH(N197,Data!$A$2:$A$497,1))/INDEX(Data!$J$2:$J$497,MATCH(N185,Data!$A$2:$A$497,1))),"")</f>
      </c>
      <c r="AU197" s="560">
        <f>IFERROR(LN(INDEX(Data!$K$2:$K$497,MATCH(N197,Data!$A$2:$A$497,1))/INDEX(Data!$K$2:$K$497,MATCH(N185,Data!$A$2:$A$497,1))),"")</f>
      </c>
      <c r="AV197" s="561">
        <f>IFERROR(LN(INDEX(Data!$L$2:$L$497,MATCH(N197,Data!$A$2:$A$497,1))/INDEX(Data!$L$2:$L$497,MATCH(N185,Data!$A$2:$A$497,1))),"")</f>
      </c>
    </row>
    <row r="198">
      <c r="N198" s="337" t="n">
        <v>30741</v>
      </c>
      <c r="O198" s="116">
        <f>INDEX('Additional data'!$B$2:$B$965,MATCH(DATE(YEAR(N198),MONTH(N198),1),'Additional data'!$A$2:$A$965,0))</f>
        <v>30.145</v>
      </c>
      <c r="P198" s="489">
        <f>LN(O198)</f>
        <v>3.40601907194137</v>
      </c>
      <c r="Q198" s="489">
        <f>Q197+LN(1+INDEX('Additional data'!$H$2:$H$1196,MATCH(N198,'Additional data'!$G$2:$G$1196,1))+INDEX('Additional data'!$I$2:$I$1196,MATCH(N198,'Additional data'!$G$2:$G$1196,1)))</f>
        <v>1.20306449659032</v>
      </c>
      <c r="R198" s="77" t="n"/>
      <c r="S198" s="116">
        <f>IF(INDEX('Additional data'!$E$2:$E$699,MATCH(DATE(YEAR(N198),MONTH(N198),1),'Additional data'!$D$2:$D$699,0))=0,(INDEX('Additional data'!$E$2:$E$699,MATCH(DATE(YEAR(N198),MONTH(N198),1),'Additional data'!$D$2:$D$699,0)-1)+INDEX('Additional data'!$E$2:$E$699,MATCH(DATE(YEAR(N198),MONTH(N198),1),'Additional data'!$D$2:$D$699,0)+1))/2,INDEX('Additional data'!$E$2:$E$699,MATCH(DATE(YEAR(N198),MONTH(N198),1),'Additional data'!$D$2:$D$699,0)))</f>
        <v>12.04</v>
      </c>
      <c r="T198" s="425">
        <f>P198-P197</f>
        <v>0.0152087831657006</v>
      </c>
      <c r="U198" s="425">
        <f>Q198-Q197</f>
        <v>-0.0414471899141735</v>
      </c>
      <c r="V198" s="77" t="n"/>
      <c r="W198" s="116">
        <f>S198-S197</f>
        <v>2.28</v>
      </c>
      <c r="X198" s="425">
        <f>P198-P186</f>
        <v>0.0404488679223647</v>
      </c>
      <c r="Y198" s="425">
        <f>Q198-Q186</f>
        <v>0.0767352632409082</v>
      </c>
      <c r="Z198" s="77" t="n"/>
      <c r="AA198" s="116">
        <f>S198-S186</f>
        <v>-1.73</v>
      </c>
      <c r="AB198" s="425">
        <f>P198-P138</f>
        <v>0.64284957161808</v>
      </c>
      <c r="AC198" s="425">
        <f>Q198-Q138</f>
        <v>0.789366505585999</v>
      </c>
      <c r="AD198" s="77" t="n"/>
      <c r="AE198" s="235">
        <f>S198-S138</f>
        <v>3.44</v>
      </c>
      <c r="AG198" s="554">
        <f>N198</f>
        <v>30741.0</v>
      </c>
      <c r="AH198" s="435">
        <f>IFERROR(INDEX('RBA 5Y yield'!$B$5:$B$661,MATCH(N198,'RBA 5Y yield'!$A$5:$A$661,1))*100,"")</f>
        <v>13.15</v>
      </c>
      <c r="AI198" s="435">
        <f>IF(AND(ISNUMBER(AH198),ISNUMBER(AH197)),AH198-AH197,"")</f>
        <v>0.25</v>
      </c>
      <c r="AJ198" s="435">
        <f>IF(AND(ISNUMBER(AH198),ISNUMBER(AH186)),AH198-AH186,"")</f>
        <v>-0.25</v>
      </c>
      <c r="AK198" s="435">
        <f>IF(AND(ISNUMBER(AH198),ISNUMBER(AH138)),AH198-AH138,"")</f>
        <v>4.16</v>
      </c>
      <c r="AL198" s="560">
        <f>IFERROR(LN(INDEX(Data!$B$2:$B$497,MATCH(N198,Data!$A$2:$A$497,1))/INDEX(Data!$B$2:$B$497,MATCH(N186,Data!$A$2:$A$497,1))),"")</f>
      </c>
      <c r="AM198" s="560">
        <f>IFERROR(LN(INDEX(Data!$C$2:$C$497,MATCH(N198,Data!$A$2:$A$497,1))/INDEX(Data!$C$2:$C$497,MATCH(N186,Data!$A$2:$A$497,1))),"")</f>
      </c>
      <c r="AN198" s="560">
        <f>IFERROR(LN(INDEX(Data!$D$2:$D$497,MATCH(N198,Data!$A$2:$A$497,1))/INDEX(Data!$D$2:$D$497,MATCH(N186,Data!$A$2:$A$497,1))),"")</f>
      </c>
      <c r="AO198" s="560">
        <f>IFERROR(LN(INDEX(Data!$E$2:$E$497,MATCH(N198,Data!$A$2:$A$497,1))/INDEX(Data!$E$2:$E$497,MATCH(N186,Data!$A$2:$A$497,1))),"")</f>
      </c>
      <c r="AP198" s="560">
        <f>IFERROR(LN(INDEX(Data!$F$2:$F$497,MATCH(N198,Data!$A$2:$A$497,1))/INDEX(Data!$F$2:$F$497,MATCH(N186,Data!$A$2:$A$497,1))),"")</f>
      </c>
      <c r="AQ198" s="560">
        <f>IFERROR(LN(INDEX(Data!$G$2:$G$497,MATCH(N198,Data!$A$2:$A$497,1))/INDEX(Data!$G$2:$G$497,MATCH(N186,Data!$A$2:$A$497,1))),"")</f>
      </c>
      <c r="AR198" s="560">
        <f>IFERROR(LN(INDEX(Data!$H$2:$H$497,MATCH(N198,Data!$A$2:$A$497,1))/INDEX(Data!$H$2:$H$497,MATCH(N186,Data!$A$2:$A$497,1))),"")</f>
      </c>
      <c r="AS198" s="560">
        <f>IFERROR(LN(INDEX(Data!$I$2:$I$497,MATCH(N198,Data!$A$2:$A$497,1))/INDEX(Data!$I$2:$I$497,MATCH(N186,Data!$A$2:$A$497,1))),"")</f>
      </c>
      <c r="AT198" s="560">
        <f>IFERROR(LN(INDEX(Data!$J$2:$J$497,MATCH(N198,Data!$A$2:$A$497,1))/INDEX(Data!$J$2:$J$497,MATCH(N186,Data!$A$2:$A$497,1))),"")</f>
      </c>
      <c r="AU198" s="560">
        <f>IFERROR(LN(INDEX(Data!$K$2:$K$497,MATCH(N198,Data!$A$2:$A$497,1))/INDEX(Data!$K$2:$K$497,MATCH(N186,Data!$A$2:$A$497,1))),"")</f>
      </c>
      <c r="AV198" s="561">
        <f>IFERROR(LN(INDEX(Data!$L$2:$L$497,MATCH(N198,Data!$A$2:$A$497,1))/INDEX(Data!$L$2:$L$497,MATCH(N186,Data!$A$2:$A$497,1))),"")</f>
      </c>
    </row>
    <row r="199">
      <c r="N199" s="337" t="n">
        <v>30772</v>
      </c>
      <c r="O199" s="116">
        <f>INDEX('Additional data'!$B$2:$B$965,MATCH(DATE(YEAR(N199),MONTH(N199),1),'Additional data'!$A$2:$A$965,0))</f>
        <v>30.761</v>
      </c>
      <c r="P199" s="489">
        <f>LN(O199)</f>
        <v>3.42624765386194</v>
      </c>
      <c r="Q199" s="489">
        <f>Q198+LN(1+INDEX('Additional data'!$H$2:$H$1196,MATCH(N199,'Additional data'!$G$2:$G$1196,1))+INDEX('Additional data'!$I$2:$I$1196,MATCH(N199,'Additional data'!$G$2:$G$1196,1)))</f>
        <v>1.21677014364643</v>
      </c>
      <c r="R199" s="77" t="n"/>
      <c r="S199" s="116">
        <f>IF(INDEX('Additional data'!$E$2:$E$699,MATCH(DATE(YEAR(N199),MONTH(N199),1),'Additional data'!$D$2:$D$699,0))=0,(INDEX('Additional data'!$E$2:$E$699,MATCH(DATE(YEAR(N199),MONTH(N199),1),'Additional data'!$D$2:$D$699,0)-1)+INDEX('Additional data'!$E$2:$E$699,MATCH(DATE(YEAR(N199),MONTH(N199),1),'Additional data'!$D$2:$D$699,0)+1))/2,INDEX('Additional data'!$E$2:$E$699,MATCH(DATE(YEAR(N199),MONTH(N199),1),'Additional data'!$D$2:$D$699,0)))</f>
        <v>13.77</v>
      </c>
      <c r="T199" s="425">
        <f>P199-P198</f>
        <v>0.0202285819205694</v>
      </c>
      <c r="U199" s="425">
        <f>Q199-Q198</f>
        <v>0.0137056470561119</v>
      </c>
      <c r="V199" s="77" t="n"/>
      <c r="W199" s="116">
        <f>S199-S198</f>
        <v>1.73</v>
      </c>
      <c r="X199" s="425">
        <f>P199-P187</f>
        <v>0.0651780632905625</v>
      </c>
      <c r="Y199" s="425">
        <f>Q199-Q187</f>
        <v>0.0566193618215094</v>
      </c>
      <c r="Z199" s="77" t="n"/>
      <c r="AA199" s="116">
        <f>S199-S187</f>
        <v>-1.49</v>
      </c>
      <c r="AB199" s="425">
        <f>P199-P139</f>
        <v>0.663078153538649</v>
      </c>
      <c r="AC199" s="425">
        <f>Q199-Q139</f>
        <v>0.740285164543346</v>
      </c>
      <c r="AD199" s="77" t="n"/>
      <c r="AE199" s="235">
        <f>S199-S139</f>
        <v>4.61</v>
      </c>
      <c r="AG199" s="554">
        <f>N199</f>
        <v>30772.0</v>
      </c>
      <c r="AH199" s="435">
        <f>IFERROR(INDEX('RBA 5Y yield'!$B$5:$B$661,MATCH(N199,'RBA 5Y yield'!$A$5:$A$661,1))*100,"")</f>
        <v>13.25</v>
      </c>
      <c r="AI199" s="435">
        <f>IF(AND(ISNUMBER(AH199),ISNUMBER(AH198)),AH199-AH198,"")</f>
        <v>0.0999999999999996</v>
      </c>
      <c r="AJ199" s="435">
        <f>IF(AND(ISNUMBER(AH199),ISNUMBER(AH187)),AH199-AH187,"")</f>
        <v>-1.15</v>
      </c>
      <c r="AK199" s="435">
        <f>IF(AND(ISNUMBER(AH199),ISNUMBER(AH139)),AH199-AH139,"")</f>
        <v>3.97</v>
      </c>
      <c r="AL199" s="560">
        <f>IFERROR(LN(INDEX(Data!$B$2:$B$497,MATCH(N199,Data!$A$2:$A$497,1))/INDEX(Data!$B$2:$B$497,MATCH(N187,Data!$A$2:$A$497,1))),"")</f>
      </c>
      <c r="AM199" s="560">
        <f>IFERROR(LN(INDEX(Data!$C$2:$C$497,MATCH(N199,Data!$A$2:$A$497,1))/INDEX(Data!$C$2:$C$497,MATCH(N187,Data!$A$2:$A$497,1))),"")</f>
      </c>
      <c r="AN199" s="560">
        <f>IFERROR(LN(INDEX(Data!$D$2:$D$497,MATCH(N199,Data!$A$2:$A$497,1))/INDEX(Data!$D$2:$D$497,MATCH(N187,Data!$A$2:$A$497,1))),"")</f>
      </c>
      <c r="AO199" s="560">
        <f>IFERROR(LN(INDEX(Data!$E$2:$E$497,MATCH(N199,Data!$A$2:$A$497,1))/INDEX(Data!$E$2:$E$497,MATCH(N187,Data!$A$2:$A$497,1))),"")</f>
      </c>
      <c r="AP199" s="560">
        <f>IFERROR(LN(INDEX(Data!$F$2:$F$497,MATCH(N199,Data!$A$2:$A$497,1))/INDEX(Data!$F$2:$F$497,MATCH(N187,Data!$A$2:$A$497,1))),"")</f>
      </c>
      <c r="AQ199" s="560">
        <f>IFERROR(LN(INDEX(Data!$G$2:$G$497,MATCH(N199,Data!$A$2:$A$497,1))/INDEX(Data!$G$2:$G$497,MATCH(N187,Data!$A$2:$A$497,1))),"")</f>
      </c>
      <c r="AR199" s="560">
        <f>IFERROR(LN(INDEX(Data!$H$2:$H$497,MATCH(N199,Data!$A$2:$A$497,1))/INDEX(Data!$H$2:$H$497,MATCH(N187,Data!$A$2:$A$497,1))),"")</f>
      </c>
      <c r="AS199" s="560">
        <f>IFERROR(LN(INDEX(Data!$I$2:$I$497,MATCH(N199,Data!$A$2:$A$497,1))/INDEX(Data!$I$2:$I$497,MATCH(N187,Data!$A$2:$A$497,1))),"")</f>
      </c>
      <c r="AT199" s="560">
        <f>IFERROR(LN(INDEX(Data!$J$2:$J$497,MATCH(N199,Data!$A$2:$A$497,1))/INDEX(Data!$J$2:$J$497,MATCH(N187,Data!$A$2:$A$497,1))),"")</f>
      </c>
      <c r="AU199" s="560">
        <f>IFERROR(LN(INDEX(Data!$K$2:$K$497,MATCH(N199,Data!$A$2:$A$497,1))/INDEX(Data!$K$2:$K$497,MATCH(N187,Data!$A$2:$A$497,1))),"")</f>
      </c>
      <c r="AV199" s="561">
        <f>IFERROR(LN(INDEX(Data!$L$2:$L$497,MATCH(N199,Data!$A$2:$A$497,1))/INDEX(Data!$L$2:$L$497,MATCH(N187,Data!$A$2:$A$497,1))),"")</f>
      </c>
    </row>
    <row r="200">
      <c r="N200" s="337" t="n">
        <v>30802</v>
      </c>
      <c r="O200" s="116">
        <f>INDEX('Additional data'!$B$2:$B$965,MATCH(DATE(YEAR(N200),MONTH(N200),1),'Additional data'!$A$2:$A$965,0))</f>
        <v>30.618</v>
      </c>
      <c r="P200" s="489">
        <f>LN(O200)</f>
        <v>3.42158807130989</v>
      </c>
      <c r="Q200" s="489">
        <f>Q199+LN(1+INDEX('Additional data'!$H$2:$H$1196,MATCH(N200,'Additional data'!$G$2:$G$1196,1))+INDEX('Additional data'!$I$2:$I$1196,MATCH(N200,'Additional data'!$G$2:$G$1196,1)))</f>
        <v>1.21976565262623</v>
      </c>
      <c r="R200" s="77" t="n"/>
      <c r="S200" s="116">
        <f>IF(INDEX('Additional data'!$E$2:$E$699,MATCH(DATE(YEAR(N200),MONTH(N200),1),'Additional data'!$D$2:$D$699,0))=0,(INDEX('Additional data'!$E$2:$E$699,MATCH(DATE(YEAR(N200),MONTH(N200),1),'Additional data'!$D$2:$D$699,0)-1)+INDEX('Additional data'!$E$2:$E$699,MATCH(DATE(YEAR(N200),MONTH(N200),1),'Additional data'!$D$2:$D$699,0)+1))/2,INDEX('Additional data'!$E$2:$E$699,MATCH(DATE(YEAR(N200),MONTH(N200),1),'Additional data'!$D$2:$D$699,0)))</f>
        <v>13.88</v>
      </c>
      <c r="T200" s="425">
        <f>P200-P199</f>
        <v>-0.00465958255204901</v>
      </c>
      <c r="U200" s="425">
        <f>Q200-Q199</f>
        <v>0.00299550897979861</v>
      </c>
      <c r="V200" s="77" t="n"/>
      <c r="W200" s="116">
        <f>S200-S199</f>
        <v>0.110000000000001</v>
      </c>
      <c r="X200" s="425">
        <f>P200-P188</f>
        <v>0.000261318352568374</v>
      </c>
      <c r="Y200" s="425">
        <f>Q200-Q188</f>
        <v>-0.0114957566566449</v>
      </c>
      <c r="Z200" s="77" t="n"/>
      <c r="AA200" s="116">
        <f>S200-S188</f>
        <v>-0.0399999999999992</v>
      </c>
      <c r="AB200" s="425">
        <f>P200-P140</f>
        <v>0.6584185709866</v>
      </c>
      <c r="AC200" s="425">
        <f>Q200-Q140</f>
        <v>0.736007189556647</v>
      </c>
      <c r="AD200" s="77" t="n"/>
      <c r="AE200" s="235">
        <f>S200-S140</f>
        <v>3.46</v>
      </c>
      <c r="AG200" s="554">
        <f>N200</f>
        <v>30802.0</v>
      </c>
      <c r="AH200" s="435">
        <f>IFERROR(INDEX('RBA 5Y yield'!$B$5:$B$661,MATCH(N200,'RBA 5Y yield'!$A$5:$A$661,1))*100,"")</f>
        <v>13</v>
      </c>
      <c r="AI200" s="435">
        <f>IF(AND(ISNUMBER(AH200),ISNUMBER(AH199)),AH200-AH199,"")</f>
        <v>-0.25</v>
      </c>
      <c r="AJ200" s="435">
        <f>IF(AND(ISNUMBER(AH200),ISNUMBER(AH188)),AH200-AH188,"")</f>
        <v>-0.5</v>
      </c>
      <c r="AK200" s="435">
        <f>IF(AND(ISNUMBER(AH200),ISNUMBER(AH140)),AH200-AH140,"")</f>
        <v>3.35</v>
      </c>
      <c r="AL200" s="560">
        <f>IFERROR(LN(INDEX(Data!$B$2:$B$497,MATCH(N200,Data!$A$2:$A$497,1))/INDEX(Data!$B$2:$B$497,MATCH(N188,Data!$A$2:$A$497,1))),"")</f>
      </c>
      <c r="AM200" s="560">
        <f>IFERROR(LN(INDEX(Data!$C$2:$C$497,MATCH(N200,Data!$A$2:$A$497,1))/INDEX(Data!$C$2:$C$497,MATCH(N188,Data!$A$2:$A$497,1))),"")</f>
      </c>
      <c r="AN200" s="560">
        <f>IFERROR(LN(INDEX(Data!$D$2:$D$497,MATCH(N200,Data!$A$2:$A$497,1))/INDEX(Data!$D$2:$D$497,MATCH(N188,Data!$A$2:$A$497,1))),"")</f>
      </c>
      <c r="AO200" s="560">
        <f>IFERROR(LN(INDEX(Data!$E$2:$E$497,MATCH(N200,Data!$A$2:$A$497,1))/INDEX(Data!$E$2:$E$497,MATCH(N188,Data!$A$2:$A$497,1))),"")</f>
      </c>
      <c r="AP200" s="560">
        <f>IFERROR(LN(INDEX(Data!$F$2:$F$497,MATCH(N200,Data!$A$2:$A$497,1))/INDEX(Data!$F$2:$F$497,MATCH(N188,Data!$A$2:$A$497,1))),"")</f>
      </c>
      <c r="AQ200" s="560">
        <f>IFERROR(LN(INDEX(Data!$G$2:$G$497,MATCH(N200,Data!$A$2:$A$497,1))/INDEX(Data!$G$2:$G$497,MATCH(N188,Data!$A$2:$A$497,1))),"")</f>
      </c>
      <c r="AR200" s="560">
        <f>IFERROR(LN(INDEX(Data!$H$2:$H$497,MATCH(N200,Data!$A$2:$A$497,1))/INDEX(Data!$H$2:$H$497,MATCH(N188,Data!$A$2:$A$497,1))),"")</f>
      </c>
      <c r="AS200" s="560">
        <f>IFERROR(LN(INDEX(Data!$I$2:$I$497,MATCH(N200,Data!$A$2:$A$497,1))/INDEX(Data!$I$2:$I$497,MATCH(N188,Data!$A$2:$A$497,1))),"")</f>
      </c>
      <c r="AT200" s="560">
        <f>IFERROR(LN(INDEX(Data!$J$2:$J$497,MATCH(N200,Data!$A$2:$A$497,1))/INDEX(Data!$J$2:$J$497,MATCH(N188,Data!$A$2:$A$497,1))),"")</f>
      </c>
      <c r="AU200" s="560">
        <f>IFERROR(LN(INDEX(Data!$K$2:$K$497,MATCH(N200,Data!$A$2:$A$497,1))/INDEX(Data!$K$2:$K$497,MATCH(N188,Data!$A$2:$A$497,1))),"")</f>
      </c>
      <c r="AV200" s="561">
        <f>IFERROR(LN(INDEX(Data!$L$2:$L$497,MATCH(N200,Data!$A$2:$A$497,1))/INDEX(Data!$L$2:$L$497,MATCH(N188,Data!$A$2:$A$497,1))),"")</f>
      </c>
    </row>
    <row r="201">
      <c r="N201" s="337" t="n">
        <v>30833</v>
      </c>
      <c r="O201" s="116">
        <f>INDEX('Additional data'!$B$2:$B$965,MATCH(DATE(YEAR(N201),MONTH(N201),1),'Additional data'!$A$2:$A$965,0))</f>
        <v>30.52</v>
      </c>
      <c r="P201" s="489">
        <f>LN(O201)</f>
        <v>3.41838220641626</v>
      </c>
      <c r="Q201" s="489">
        <f>Q200+LN(1+INDEX('Additional data'!$H$2:$H$1196,MATCH(N201,'Additional data'!$G$2:$G$1196,1))+INDEX('Additional data'!$I$2:$I$1196,MATCH(N201,'Additional data'!$G$2:$G$1196,1)))</f>
        <v>1.16636487589912</v>
      </c>
      <c r="R201" s="77" t="n"/>
      <c r="S201" s="116">
        <f>IF(INDEX('Additional data'!$E$2:$E$699,MATCH(DATE(YEAR(N201),MONTH(N201),1),'Additional data'!$D$2:$D$699,0))=0,(INDEX('Additional data'!$E$2:$E$699,MATCH(DATE(YEAR(N201),MONTH(N201),1),'Additional data'!$D$2:$D$699,0)-1)+INDEX('Additional data'!$E$2:$E$699,MATCH(DATE(YEAR(N201),MONTH(N201),1),'Additional data'!$D$2:$D$699,0)+1))/2,INDEX('Additional data'!$E$2:$E$699,MATCH(DATE(YEAR(N201),MONTH(N201),1),'Additional data'!$D$2:$D$699,0)))</f>
        <v>13.78</v>
      </c>
      <c r="T201" s="425">
        <f>P201-P200</f>
        <v>-0.00320586489363306</v>
      </c>
      <c r="U201" s="425">
        <f>Q201-Q200</f>
        <v>-0.0534007767271152</v>
      </c>
      <c r="V201" s="77" t="n"/>
      <c r="W201" s="116">
        <f>S201-S200</f>
        <v>-0.100000000000001</v>
      </c>
      <c r="X201" s="425">
        <f>P201-P189</f>
        <v>0.0171848247541009</v>
      </c>
      <c r="Y201" s="425">
        <f>Q201-Q189</f>
        <v>-0.076825104249034</v>
      </c>
      <c r="Z201" s="77" t="n"/>
      <c r="AA201" s="116">
        <f>S201-S189</f>
        <v>1.63</v>
      </c>
      <c r="AB201" s="425">
        <f>P201-P141</f>
        <v>0.522470268144476</v>
      </c>
      <c r="AC201" s="425">
        <f>Q201-Q141</f>
        <v>0.696502518021643</v>
      </c>
      <c r="AD201" s="77" t="n"/>
      <c r="AE201" s="235">
        <f>S201-S141</f>
        <v>3.24</v>
      </c>
      <c r="AG201" s="554">
        <f>N201</f>
        <v>30833.0</v>
      </c>
      <c r="AH201" s="435">
        <f>IFERROR(INDEX('RBA 5Y yield'!$B$5:$B$661,MATCH(N201,'RBA 5Y yield'!$A$5:$A$661,1))*100,"")</f>
        <v>13.2</v>
      </c>
      <c r="AI201" s="435">
        <f>IF(AND(ISNUMBER(AH201),ISNUMBER(AH200)),AH201-AH200,"")</f>
        <v>0.200000000000001</v>
      </c>
      <c r="AJ201" s="435">
        <f>IF(AND(ISNUMBER(AH201),ISNUMBER(AH189)),AH201-AH189,"")</f>
        <v>0.4</v>
      </c>
      <c r="AK201" s="435">
        <f>IF(AND(ISNUMBER(AH201),ISNUMBER(AH141)),AH201-AH141,"")</f>
        <v>3.5</v>
      </c>
      <c r="AL201" s="560">
        <f>IFERROR(LN(INDEX(Data!$B$2:$B$497,MATCH(N201,Data!$A$2:$A$497,1))/INDEX(Data!$B$2:$B$497,MATCH(N189,Data!$A$2:$A$497,1))),"")</f>
      </c>
      <c r="AM201" s="560">
        <f>IFERROR(LN(INDEX(Data!$C$2:$C$497,MATCH(N201,Data!$A$2:$A$497,1))/INDEX(Data!$C$2:$C$497,MATCH(N189,Data!$A$2:$A$497,1))),"")</f>
      </c>
      <c r="AN201" s="560">
        <f>IFERROR(LN(INDEX(Data!$D$2:$D$497,MATCH(N201,Data!$A$2:$A$497,1))/INDEX(Data!$D$2:$D$497,MATCH(N189,Data!$A$2:$A$497,1))),"")</f>
      </c>
      <c r="AO201" s="560">
        <f>IFERROR(LN(INDEX(Data!$E$2:$E$497,MATCH(N201,Data!$A$2:$A$497,1))/INDEX(Data!$E$2:$E$497,MATCH(N189,Data!$A$2:$A$497,1))),"")</f>
      </c>
      <c r="AP201" s="560">
        <f>IFERROR(LN(INDEX(Data!$F$2:$F$497,MATCH(N201,Data!$A$2:$A$497,1))/INDEX(Data!$F$2:$F$497,MATCH(N189,Data!$A$2:$A$497,1))),"")</f>
      </c>
      <c r="AQ201" s="560">
        <f>IFERROR(LN(INDEX(Data!$G$2:$G$497,MATCH(N201,Data!$A$2:$A$497,1))/INDEX(Data!$G$2:$G$497,MATCH(N189,Data!$A$2:$A$497,1))),"")</f>
      </c>
      <c r="AR201" s="560">
        <f>IFERROR(LN(INDEX(Data!$H$2:$H$497,MATCH(N201,Data!$A$2:$A$497,1))/INDEX(Data!$H$2:$H$497,MATCH(N189,Data!$A$2:$A$497,1))),"")</f>
      </c>
      <c r="AS201" s="560">
        <f>IFERROR(LN(INDEX(Data!$I$2:$I$497,MATCH(N201,Data!$A$2:$A$497,1))/INDEX(Data!$I$2:$I$497,MATCH(N189,Data!$A$2:$A$497,1))),"")</f>
      </c>
      <c r="AT201" s="560">
        <f>IFERROR(LN(INDEX(Data!$J$2:$J$497,MATCH(N201,Data!$A$2:$A$497,1))/INDEX(Data!$J$2:$J$497,MATCH(N189,Data!$A$2:$A$497,1))),"")</f>
      </c>
      <c r="AU201" s="560">
        <f>IFERROR(LN(INDEX(Data!$K$2:$K$497,MATCH(N201,Data!$A$2:$A$497,1))/INDEX(Data!$K$2:$K$497,MATCH(N189,Data!$A$2:$A$497,1))),"")</f>
      </c>
      <c r="AV201" s="561">
        <f>IFERROR(LN(INDEX(Data!$L$2:$L$497,MATCH(N201,Data!$A$2:$A$497,1))/INDEX(Data!$L$2:$L$497,MATCH(N189,Data!$A$2:$A$497,1))),"")</f>
      </c>
    </row>
    <row r="202">
      <c r="N202" s="337" t="n">
        <v>30863</v>
      </c>
      <c r="O202" s="116">
        <f>INDEX('Additional data'!$B$2:$B$965,MATCH(DATE(YEAR(N202),MONTH(N202),1),'Additional data'!$A$2:$A$965,0))</f>
        <v>29.967</v>
      </c>
      <c r="P202" s="489">
        <f>LN(O202)</f>
        <v>3.40009677621812</v>
      </c>
      <c r="Q202" s="489">
        <f>Q201+LN(1+INDEX('Additional data'!$H$2:$H$1196,MATCH(N202,'Additional data'!$G$2:$G$1196,1))+INDEX('Additional data'!$I$2:$I$1196,MATCH(N202,'Additional data'!$G$2:$G$1196,1)))</f>
        <v>1.19164268308338</v>
      </c>
      <c r="R202" s="77" t="n"/>
      <c r="S202" s="116">
        <f>IF(INDEX('Additional data'!$E$2:$E$699,MATCH(DATE(YEAR(N202),MONTH(N202),1),'Additional data'!$D$2:$D$699,0))=0,(INDEX('Additional data'!$E$2:$E$699,MATCH(DATE(YEAR(N202),MONTH(N202),1),'Additional data'!$D$2:$D$699,0)-1)+INDEX('Additional data'!$E$2:$E$699,MATCH(DATE(YEAR(N202),MONTH(N202),1),'Additional data'!$D$2:$D$699,0)+1))/2,INDEX('Additional data'!$E$2:$E$699,MATCH(DATE(YEAR(N202),MONTH(N202),1),'Additional data'!$D$2:$D$699,0)))</f>
        <v>12.81</v>
      </c>
      <c r="T202" s="425">
        <f>P202-P201</f>
        <v>-0.0182854301981341</v>
      </c>
      <c r="U202" s="425">
        <f>Q202-Q201</f>
        <v>0.0252778071842685</v>
      </c>
      <c r="V202" s="77" t="n"/>
      <c r="W202" s="116">
        <f>S202-S201</f>
        <v>-0.969999999999999</v>
      </c>
      <c r="X202" s="425">
        <f>P202-P190</f>
        <v>-0.033890428267024</v>
      </c>
      <c r="Y202" s="425">
        <f>Q202-Q190</f>
        <v>-0.0882648799999282</v>
      </c>
      <c r="Z202" s="77" t="n"/>
      <c r="AA202" s="116">
        <f>S202-S190</f>
        <v>-1.43</v>
      </c>
      <c r="AB202" s="425">
        <f>P202-P142</f>
        <v>0.450408441165538</v>
      </c>
      <c r="AC202" s="425">
        <f>Q202-Q142</f>
        <v>0.676329062301994</v>
      </c>
      <c r="AD202" s="77" t="n"/>
      <c r="AE202" s="235">
        <f>S202-S142</f>
        <v>2.55</v>
      </c>
      <c r="AG202" s="554">
        <f>N202</f>
        <v>30863.0</v>
      </c>
      <c r="AH202" s="435">
        <f>IFERROR(INDEX('RBA 5Y yield'!$B$5:$B$661,MATCH(N202,'RBA 5Y yield'!$A$5:$A$661,1))*100,"")</f>
        <v>12.95</v>
      </c>
      <c r="AI202" s="435">
        <f>IF(AND(ISNUMBER(AH202),ISNUMBER(AH201)),AH202-AH201,"")</f>
        <v>-0.25</v>
      </c>
      <c r="AJ202" s="435">
        <f>IF(AND(ISNUMBER(AH202),ISNUMBER(AH190)),AH202-AH190,"")</f>
        <v>-1.35</v>
      </c>
      <c r="AK202" s="435">
        <f>IF(AND(ISNUMBER(AH202),ISNUMBER(AH142)),AH202-AH142,"")</f>
        <v>2.95</v>
      </c>
      <c r="AL202" s="560">
        <f>IFERROR(LN(INDEX(Data!$B$2:$B$497,MATCH(N202,Data!$A$2:$A$497,1))/INDEX(Data!$B$2:$B$497,MATCH(N190,Data!$A$2:$A$497,1))),"")</f>
      </c>
      <c r="AM202" s="560">
        <f>IFERROR(LN(INDEX(Data!$C$2:$C$497,MATCH(N202,Data!$A$2:$A$497,1))/INDEX(Data!$C$2:$C$497,MATCH(N190,Data!$A$2:$A$497,1))),"")</f>
      </c>
      <c r="AN202" s="560">
        <f>IFERROR(LN(INDEX(Data!$D$2:$D$497,MATCH(N202,Data!$A$2:$A$497,1))/INDEX(Data!$D$2:$D$497,MATCH(N190,Data!$A$2:$A$497,1))),"")</f>
      </c>
      <c r="AO202" s="560">
        <f>IFERROR(LN(INDEX(Data!$E$2:$E$497,MATCH(N202,Data!$A$2:$A$497,1))/INDEX(Data!$E$2:$E$497,MATCH(N190,Data!$A$2:$A$497,1))),"")</f>
      </c>
      <c r="AP202" s="560">
        <f>IFERROR(LN(INDEX(Data!$F$2:$F$497,MATCH(N202,Data!$A$2:$A$497,1))/INDEX(Data!$F$2:$F$497,MATCH(N190,Data!$A$2:$A$497,1))),"")</f>
      </c>
      <c r="AQ202" s="560">
        <f>IFERROR(LN(INDEX(Data!$G$2:$G$497,MATCH(N202,Data!$A$2:$A$497,1))/INDEX(Data!$G$2:$G$497,MATCH(N190,Data!$A$2:$A$497,1))),"")</f>
      </c>
      <c r="AR202" s="560">
        <f>IFERROR(LN(INDEX(Data!$H$2:$H$497,MATCH(N202,Data!$A$2:$A$497,1))/INDEX(Data!$H$2:$H$497,MATCH(N190,Data!$A$2:$A$497,1))),"")</f>
      </c>
      <c r="AS202" s="560">
        <f>IFERROR(LN(INDEX(Data!$I$2:$I$497,MATCH(N202,Data!$A$2:$A$497,1))/INDEX(Data!$I$2:$I$497,MATCH(N190,Data!$A$2:$A$497,1))),"")</f>
      </c>
      <c r="AT202" s="560">
        <f>IFERROR(LN(INDEX(Data!$J$2:$J$497,MATCH(N202,Data!$A$2:$A$497,1))/INDEX(Data!$J$2:$J$497,MATCH(N190,Data!$A$2:$A$497,1))),"")</f>
      </c>
      <c r="AU202" s="560">
        <f>IFERROR(LN(INDEX(Data!$K$2:$K$497,MATCH(N202,Data!$A$2:$A$497,1))/INDEX(Data!$K$2:$K$497,MATCH(N190,Data!$A$2:$A$497,1))),"")</f>
      </c>
      <c r="AV202" s="561">
        <f>IFERROR(LN(INDEX(Data!$L$2:$L$497,MATCH(N202,Data!$A$2:$A$497,1))/INDEX(Data!$L$2:$L$497,MATCH(N190,Data!$A$2:$A$497,1))),"")</f>
      </c>
    </row>
    <row r="203">
      <c r="N203" s="337" t="n">
        <v>30894</v>
      </c>
      <c r="O203" s="116">
        <f>INDEX('Additional data'!$B$2:$B$965,MATCH(DATE(YEAR(N203),MONTH(N203),1),'Additional data'!$A$2:$A$965,0))</f>
        <v>28.752</v>
      </c>
      <c r="P203" s="489">
        <f>LN(O203)</f>
        <v>3.3587073300412</v>
      </c>
      <c r="Q203" s="489">
        <f>Q202+LN(1+INDEX('Additional data'!$H$2:$H$1196,MATCH(N203,'Additional data'!$G$2:$G$1196,1))+INDEX('Additional data'!$I$2:$I$1196,MATCH(N203,'Additional data'!$G$2:$G$1196,1)))</f>
        <v>1.17245986366661</v>
      </c>
      <c r="R203" s="77" t="n"/>
      <c r="S203" s="116">
        <f>IF(INDEX('Additional data'!$E$2:$E$699,MATCH(DATE(YEAR(N203),MONTH(N203),1),'Additional data'!$D$2:$D$699,0))=0,(INDEX('Additional data'!$E$2:$E$699,MATCH(DATE(YEAR(N203),MONTH(N203),1),'Additional data'!$D$2:$D$699,0)-1)+INDEX('Additional data'!$E$2:$E$699,MATCH(DATE(YEAR(N203),MONTH(N203),1),'Additional data'!$D$2:$D$699,0)+1))/2,INDEX('Additional data'!$E$2:$E$699,MATCH(DATE(YEAR(N203),MONTH(N203),1),'Additional data'!$D$2:$D$699,0)))</f>
        <v>12.3</v>
      </c>
      <c r="T203" s="425">
        <f>P203-P202</f>
        <v>-0.0413894461769191</v>
      </c>
      <c r="U203" s="425">
        <f>Q203-Q202</f>
        <v>-0.019182819416774</v>
      </c>
      <c r="V203" s="77" t="n"/>
      <c r="W203" s="116">
        <f>S203-S202</f>
        <v>-0.51</v>
      </c>
      <c r="X203" s="425">
        <f>P203-P191</f>
        <v>-0.0963467244116631</v>
      </c>
      <c r="Y203" s="425">
        <f>Q203-Q191</f>
        <v>-0.0736840692638932</v>
      </c>
      <c r="Z203" s="77" t="n"/>
      <c r="AA203" s="116">
        <f>S203-S191</f>
        <v>-0.5</v>
      </c>
      <c r="AB203" s="425">
        <f>P203-P143</f>
        <v>0.27909357250651</v>
      </c>
      <c r="AC203" s="425">
        <f>Q203-Q143</f>
        <v>0.64127289372893</v>
      </c>
      <c r="AD203" s="77" t="n"/>
      <c r="AE203" s="235">
        <f>S203-S143</f>
        <v>2.44</v>
      </c>
      <c r="AG203" s="554">
        <f>N203</f>
        <v>30894.0</v>
      </c>
      <c r="AH203" s="435">
        <f>IFERROR(INDEX('RBA 5Y yield'!$B$5:$B$661,MATCH(N203,'RBA 5Y yield'!$A$5:$A$661,1))*100,"")</f>
        <v>12.75</v>
      </c>
      <c r="AI203" s="435">
        <f>IF(AND(ISNUMBER(AH203),ISNUMBER(AH202)),AH203-AH202,"")</f>
        <v>-0.200000000000001</v>
      </c>
      <c r="AJ203" s="435">
        <f>IF(AND(ISNUMBER(AH203),ISNUMBER(AH191)),AH203-AH191,"")</f>
        <v>-1.55</v>
      </c>
      <c r="AK203" s="435">
        <f>IF(AND(ISNUMBER(AH203),ISNUMBER(AH143)),AH203-AH143,"")</f>
        <v>2.75</v>
      </c>
      <c r="AL203" s="560">
        <f>IFERROR(LN(INDEX(Data!$B$2:$B$497,MATCH(N203,Data!$A$2:$A$497,1))/INDEX(Data!$B$2:$B$497,MATCH(N191,Data!$A$2:$A$497,1))),"")</f>
      </c>
      <c r="AM203" s="560">
        <f>IFERROR(LN(INDEX(Data!$C$2:$C$497,MATCH(N203,Data!$A$2:$A$497,1))/INDEX(Data!$C$2:$C$497,MATCH(N191,Data!$A$2:$A$497,1))),"")</f>
      </c>
      <c r="AN203" s="560">
        <f>IFERROR(LN(INDEX(Data!$D$2:$D$497,MATCH(N203,Data!$A$2:$A$497,1))/INDEX(Data!$D$2:$D$497,MATCH(N191,Data!$A$2:$A$497,1))),"")</f>
      </c>
      <c r="AO203" s="560">
        <f>IFERROR(LN(INDEX(Data!$E$2:$E$497,MATCH(N203,Data!$A$2:$A$497,1))/INDEX(Data!$E$2:$E$497,MATCH(N191,Data!$A$2:$A$497,1))),"")</f>
      </c>
      <c r="AP203" s="560">
        <f>IFERROR(LN(INDEX(Data!$F$2:$F$497,MATCH(N203,Data!$A$2:$A$497,1))/INDEX(Data!$F$2:$F$497,MATCH(N191,Data!$A$2:$A$497,1))),"")</f>
      </c>
      <c r="AQ203" s="560">
        <f>IFERROR(LN(INDEX(Data!$G$2:$G$497,MATCH(N203,Data!$A$2:$A$497,1))/INDEX(Data!$G$2:$G$497,MATCH(N191,Data!$A$2:$A$497,1))),"")</f>
      </c>
      <c r="AR203" s="560">
        <f>IFERROR(LN(INDEX(Data!$H$2:$H$497,MATCH(N203,Data!$A$2:$A$497,1))/INDEX(Data!$H$2:$H$497,MATCH(N191,Data!$A$2:$A$497,1))),"")</f>
      </c>
      <c r="AS203" s="560">
        <f>IFERROR(LN(INDEX(Data!$I$2:$I$497,MATCH(N203,Data!$A$2:$A$497,1))/INDEX(Data!$I$2:$I$497,MATCH(N191,Data!$A$2:$A$497,1))),"")</f>
      </c>
      <c r="AT203" s="560">
        <f>IFERROR(LN(INDEX(Data!$J$2:$J$497,MATCH(N203,Data!$A$2:$A$497,1))/INDEX(Data!$J$2:$J$497,MATCH(N191,Data!$A$2:$A$497,1))),"")</f>
      </c>
      <c r="AU203" s="560">
        <f>IFERROR(LN(INDEX(Data!$K$2:$K$497,MATCH(N203,Data!$A$2:$A$497,1))/INDEX(Data!$K$2:$K$497,MATCH(N191,Data!$A$2:$A$497,1))),"")</f>
      </c>
      <c r="AV203" s="561">
        <f>IFERROR(LN(INDEX(Data!$L$2:$L$497,MATCH(N203,Data!$A$2:$A$497,1))/INDEX(Data!$L$2:$L$497,MATCH(N191,Data!$A$2:$A$497,1))),"")</f>
      </c>
    </row>
    <row r="204">
      <c r="N204" s="337" t="n">
        <v>30925</v>
      </c>
      <c r="O204" s="116">
        <f>INDEX('Additional data'!$B$2:$B$965,MATCH(DATE(YEAR(N204),MONTH(N204),1),'Additional data'!$A$2:$A$965,0))</f>
        <v>29.25</v>
      </c>
      <c r="P204" s="489">
        <f>LN(O204)</f>
        <v>3.37587957367787</v>
      </c>
      <c r="Q204" s="489">
        <f>Q203+LN(1+INDEX('Additional data'!$H$2:$H$1196,MATCH(N204,'Additional data'!$G$2:$G$1196,1))+INDEX('Additional data'!$I$2:$I$1196,MATCH(N204,'Additional data'!$G$2:$G$1196,1)))</f>
        <v>1.2777203743241</v>
      </c>
      <c r="R204" s="77" t="n"/>
      <c r="S204" s="116">
        <f>IF(INDEX('Additional data'!$E$2:$E$699,MATCH(DATE(YEAR(N204),MONTH(N204),1),'Additional data'!$D$2:$D$699,0))=0,(INDEX('Additional data'!$E$2:$E$699,MATCH(DATE(YEAR(N204),MONTH(N204),1),'Additional data'!$D$2:$D$699,0)-1)+INDEX('Additional data'!$E$2:$E$699,MATCH(DATE(YEAR(N204),MONTH(N204),1),'Additional data'!$D$2:$D$699,0)+1))/2,INDEX('Additional data'!$E$2:$E$699,MATCH(DATE(YEAR(N204),MONTH(N204),1),'Additional data'!$D$2:$D$699,0)))</f>
        <v>11.56</v>
      </c>
      <c r="T204" s="425">
        <f>P204-P203</f>
        <v>0.0171722436366624</v>
      </c>
      <c r="U204" s="425">
        <f>Q204-Q203</f>
        <v>0.105260510657493</v>
      </c>
      <c r="V204" s="77" t="n"/>
      <c r="W204" s="116">
        <f>S204-S203</f>
        <v>-0.74</v>
      </c>
      <c r="X204" s="425">
        <f>P204-P192</f>
        <v>-0.0870398666122867</v>
      </c>
      <c r="Y204" s="425">
        <f>Q204-Q192</f>
        <v>0.0289798155463339</v>
      </c>
      <c r="Z204" s="77" t="n"/>
      <c r="AA204" s="116">
        <f>S204-S192</f>
        <v>-0.6</v>
      </c>
      <c r="AB204" s="425">
        <f>P204-P144</f>
        <v>0.0987348406856889</v>
      </c>
      <c r="AC204" s="425">
        <f>Q204-Q144</f>
        <v>0.685344236074</v>
      </c>
      <c r="AD204" s="77" t="n"/>
      <c r="AE204" s="235">
        <f>S204-S144</f>
        <v>1.78</v>
      </c>
      <c r="AG204" s="554">
        <f>N204</f>
        <v>30925.0</v>
      </c>
      <c r="AH204" s="435">
        <f>IFERROR(INDEX('RBA 5Y yield'!$B$5:$B$661,MATCH(N204,'RBA 5Y yield'!$A$5:$A$661,1))*100,"")</f>
        <v>12.15</v>
      </c>
      <c r="AI204" s="435">
        <f>IF(AND(ISNUMBER(AH204),ISNUMBER(AH203)),AH204-AH203,"")</f>
        <v>-0.6</v>
      </c>
      <c r="AJ204" s="435">
        <f>IF(AND(ISNUMBER(AH204),ISNUMBER(AH192)),AH204-AH192,"")</f>
        <v>-2.25</v>
      </c>
      <c r="AK204" s="435">
        <f>IF(AND(ISNUMBER(AH204),ISNUMBER(AH144)),AH204-AH144,"")</f>
        <v>2.15</v>
      </c>
      <c r="AL204" s="560">
        <f>IFERROR(LN(INDEX(Data!$B$2:$B$497,MATCH(N204,Data!$A$2:$A$497,1))/INDEX(Data!$B$2:$B$497,MATCH(N192,Data!$A$2:$A$497,1))),"")</f>
      </c>
      <c r="AM204" s="560">
        <f>IFERROR(LN(INDEX(Data!$C$2:$C$497,MATCH(N204,Data!$A$2:$A$497,1))/INDEX(Data!$C$2:$C$497,MATCH(N192,Data!$A$2:$A$497,1))),"")</f>
      </c>
      <c r="AN204" s="560">
        <f>IFERROR(LN(INDEX(Data!$D$2:$D$497,MATCH(N204,Data!$A$2:$A$497,1))/INDEX(Data!$D$2:$D$497,MATCH(N192,Data!$A$2:$A$497,1))),"")</f>
      </c>
      <c r="AO204" s="560">
        <f>IFERROR(LN(INDEX(Data!$E$2:$E$497,MATCH(N204,Data!$A$2:$A$497,1))/INDEX(Data!$E$2:$E$497,MATCH(N192,Data!$A$2:$A$497,1))),"")</f>
      </c>
      <c r="AP204" s="560">
        <f>IFERROR(LN(INDEX(Data!$F$2:$F$497,MATCH(N204,Data!$A$2:$A$497,1))/INDEX(Data!$F$2:$F$497,MATCH(N192,Data!$A$2:$A$497,1))),"")</f>
      </c>
      <c r="AQ204" s="560">
        <f>IFERROR(LN(INDEX(Data!$G$2:$G$497,MATCH(N204,Data!$A$2:$A$497,1))/INDEX(Data!$G$2:$G$497,MATCH(N192,Data!$A$2:$A$497,1))),"")</f>
      </c>
      <c r="AR204" s="560">
        <f>IFERROR(LN(INDEX(Data!$H$2:$H$497,MATCH(N204,Data!$A$2:$A$497,1))/INDEX(Data!$H$2:$H$497,MATCH(N192,Data!$A$2:$A$497,1))),"")</f>
      </c>
      <c r="AS204" s="560">
        <f>IFERROR(LN(INDEX(Data!$I$2:$I$497,MATCH(N204,Data!$A$2:$A$497,1))/INDEX(Data!$I$2:$I$497,MATCH(N192,Data!$A$2:$A$497,1))),"")</f>
      </c>
      <c r="AT204" s="560">
        <f>IFERROR(LN(INDEX(Data!$J$2:$J$497,MATCH(N204,Data!$A$2:$A$497,1))/INDEX(Data!$J$2:$J$497,MATCH(N192,Data!$A$2:$A$497,1))),"")</f>
      </c>
      <c r="AU204" s="560">
        <f>IFERROR(LN(INDEX(Data!$K$2:$K$497,MATCH(N204,Data!$A$2:$A$497,1))/INDEX(Data!$K$2:$K$497,MATCH(N192,Data!$A$2:$A$497,1))),"")</f>
      </c>
      <c r="AV204" s="561">
        <f>IFERROR(LN(INDEX(Data!$L$2:$L$497,MATCH(N204,Data!$A$2:$A$497,1))/INDEX(Data!$L$2:$L$497,MATCH(N192,Data!$A$2:$A$497,1))),"")</f>
      </c>
    </row>
    <row r="205">
      <c r="N205" s="337" t="n">
        <v>30955</v>
      </c>
      <c r="O205" s="116">
        <f>INDEX('Additional data'!$B$2:$B$965,MATCH(DATE(YEAR(N205),MONTH(N205),1),'Additional data'!$A$2:$A$965,0))</f>
        <v>29.311</v>
      </c>
      <c r="P205" s="489">
        <f>LN(O205)</f>
        <v>3.37796287218924</v>
      </c>
      <c r="Q205" s="489">
        <f>Q204+LN(1+INDEX('Additional data'!$H$2:$H$1196,MATCH(N205,'Additional data'!$G$2:$G$1196,1))+INDEX('Additional data'!$I$2:$I$1196,MATCH(N205,'Additional data'!$G$2:$G$1196,1)))</f>
        <v>1.27832019439607</v>
      </c>
      <c r="R205" s="77" t="n"/>
      <c r="S205" s="116">
        <f>IF(INDEX('Additional data'!$E$2:$E$699,MATCH(DATE(YEAR(N205),MONTH(N205),1),'Additional data'!$D$2:$D$699,0))=0,(INDEX('Additional data'!$E$2:$E$699,MATCH(DATE(YEAR(N205),MONTH(N205),1),'Additional data'!$D$2:$D$699,0)-1)+INDEX('Additional data'!$E$2:$E$699,MATCH(DATE(YEAR(N205),MONTH(N205),1),'Additional data'!$D$2:$D$699,0)+1))/2,INDEX('Additional data'!$E$2:$E$699,MATCH(DATE(YEAR(N205),MONTH(N205),1),'Additional data'!$D$2:$D$699,0)))</f>
        <v>10.53</v>
      </c>
      <c r="T205" s="425">
        <f>P205-P204</f>
        <v>0.0020832985113759</v>
      </c>
      <c r="U205" s="425">
        <f>Q205-Q204</f>
        <v>0.000599820071967461</v>
      </c>
      <c r="V205" s="77" t="n"/>
      <c r="W205" s="116">
        <f>S205-S204</f>
        <v>-1.03</v>
      </c>
      <c r="X205" s="425">
        <f>P205-P193</f>
        <v>-0.0595664387203043</v>
      </c>
      <c r="Y205" s="425">
        <f>Q205-Q193</f>
        <v>0.0129191947251939</v>
      </c>
      <c r="Z205" s="77" t="n"/>
      <c r="AA205" s="116">
        <f>S205-S193</f>
        <v>-0.530000000000001</v>
      </c>
      <c r="AB205" s="425">
        <f>P205-P145</f>
        <v>0.0280587849146365</v>
      </c>
      <c r="AC205" s="425">
        <f>Q205-Q145</f>
        <v>0.685944056145968</v>
      </c>
      <c r="AD205" s="77" t="n"/>
      <c r="AE205" s="235">
        <f>S205-S145</f>
        <v>0.66</v>
      </c>
      <c r="AG205" s="554">
        <f>N205</f>
        <v>30955.0</v>
      </c>
      <c r="AH205" s="435">
        <f>IFERROR(INDEX('RBA 5Y yield'!$B$5:$B$661,MATCH(N205,'RBA 5Y yield'!$A$5:$A$661,1))*100,"")</f>
        <v>12.6</v>
      </c>
      <c r="AI205" s="435">
        <f>IF(AND(ISNUMBER(AH205),ISNUMBER(AH204)),AH205-AH204,"")</f>
        <v>0.449999999999999</v>
      </c>
      <c r="AJ205" s="435">
        <f>IF(AND(ISNUMBER(AH205),ISNUMBER(AH193)),AH205-AH193,"")</f>
        <v>-0.9</v>
      </c>
      <c r="AK205" s="435">
        <f>IF(AND(ISNUMBER(AH205),ISNUMBER(AH145)),AH205-AH145,"")</f>
        <v>2.59</v>
      </c>
      <c r="AL205" s="560">
        <f>IFERROR(LN(INDEX(Data!$B$2:$B$497,MATCH(N205,Data!$A$2:$A$497,1))/INDEX(Data!$B$2:$B$497,MATCH(N193,Data!$A$2:$A$497,1))),"")</f>
      </c>
      <c r="AM205" s="560">
        <f>IFERROR(LN(INDEX(Data!$C$2:$C$497,MATCH(N205,Data!$A$2:$A$497,1))/INDEX(Data!$C$2:$C$497,MATCH(N193,Data!$A$2:$A$497,1))),"")</f>
      </c>
      <c r="AN205" s="560">
        <f>IFERROR(LN(INDEX(Data!$D$2:$D$497,MATCH(N205,Data!$A$2:$A$497,1))/INDEX(Data!$D$2:$D$497,MATCH(N193,Data!$A$2:$A$497,1))),"")</f>
      </c>
      <c r="AO205" s="560">
        <f>IFERROR(LN(INDEX(Data!$E$2:$E$497,MATCH(N205,Data!$A$2:$A$497,1))/INDEX(Data!$E$2:$E$497,MATCH(N193,Data!$A$2:$A$497,1))),"")</f>
      </c>
      <c r="AP205" s="560">
        <f>IFERROR(LN(INDEX(Data!$F$2:$F$497,MATCH(N205,Data!$A$2:$A$497,1))/INDEX(Data!$F$2:$F$497,MATCH(N193,Data!$A$2:$A$497,1))),"")</f>
      </c>
      <c r="AQ205" s="560">
        <f>IFERROR(LN(INDEX(Data!$G$2:$G$497,MATCH(N205,Data!$A$2:$A$497,1))/INDEX(Data!$G$2:$G$497,MATCH(N193,Data!$A$2:$A$497,1))),"")</f>
      </c>
      <c r="AR205" s="560">
        <f>IFERROR(LN(INDEX(Data!$H$2:$H$497,MATCH(N205,Data!$A$2:$A$497,1))/INDEX(Data!$H$2:$H$497,MATCH(N193,Data!$A$2:$A$497,1))),"")</f>
      </c>
      <c r="AS205" s="560">
        <f>IFERROR(LN(INDEX(Data!$I$2:$I$497,MATCH(N205,Data!$A$2:$A$497,1))/INDEX(Data!$I$2:$I$497,MATCH(N193,Data!$A$2:$A$497,1))),"")</f>
      </c>
      <c r="AT205" s="560">
        <f>IFERROR(LN(INDEX(Data!$J$2:$J$497,MATCH(N205,Data!$A$2:$A$497,1))/INDEX(Data!$J$2:$J$497,MATCH(N193,Data!$A$2:$A$497,1))),"")</f>
      </c>
      <c r="AU205" s="560">
        <f>IFERROR(LN(INDEX(Data!$K$2:$K$497,MATCH(N205,Data!$A$2:$A$497,1))/INDEX(Data!$K$2:$K$497,MATCH(N193,Data!$A$2:$A$497,1))),"")</f>
      </c>
      <c r="AV205" s="561">
        <f>IFERROR(LN(INDEX(Data!$L$2:$L$497,MATCH(N205,Data!$A$2:$A$497,1))/INDEX(Data!$L$2:$L$497,MATCH(N193,Data!$A$2:$A$497,1))),"")</f>
      </c>
    </row>
    <row r="206">
      <c r="N206" s="337" t="n">
        <v>30986</v>
      </c>
      <c r="O206" s="116">
        <f>INDEX('Additional data'!$B$2:$B$965,MATCH(DATE(YEAR(N206),MONTH(N206),1),'Additional data'!$A$2:$A$965,0))</f>
        <v>28.765</v>
      </c>
      <c r="P206" s="489">
        <f>LN(O206)</f>
        <v>3.35915937031526</v>
      </c>
      <c r="Q206" s="489">
        <f>Q205+LN(1+INDEX('Additional data'!$H$2:$H$1196,MATCH(N206,'Additional data'!$G$2:$G$1196,1))+INDEX('Additional data'!$I$2:$I$1196,MATCH(N206,'Additional data'!$G$2:$G$1196,1)))</f>
        <v>1.27991891575977</v>
      </c>
      <c r="R206" s="77" t="n"/>
      <c r="S206" s="116">
        <f>IF(INDEX('Additional data'!$E$2:$E$699,MATCH(DATE(YEAR(N206),MONTH(N206),1),'Additional data'!$D$2:$D$699,0))=0,(INDEX('Additional data'!$E$2:$E$699,MATCH(DATE(YEAR(N206),MONTH(N206),1),'Additional data'!$D$2:$D$699,0)-1)+INDEX('Additional data'!$E$2:$E$699,MATCH(DATE(YEAR(N206),MONTH(N206),1),'Additional data'!$D$2:$D$699,0)+1))/2,INDEX('Additional data'!$E$2:$E$699,MATCH(DATE(YEAR(N206),MONTH(N206),1),'Additional data'!$D$2:$D$699,0)))</f>
        <v>11.17</v>
      </c>
      <c r="T206" s="425">
        <f>P206-P205</f>
        <v>-0.0188035018739847</v>
      </c>
      <c r="U206" s="425">
        <f>Q206-Q205</f>
        <v>0.00159872136369699</v>
      </c>
      <c r="V206" s="77" t="n"/>
      <c r="W206" s="116">
        <f>S206-S205</f>
        <v>0.640000000000001</v>
      </c>
      <c r="X206" s="425">
        <f>P206-P194</f>
        <v>-0.0556121313740166</v>
      </c>
      <c r="Y206" s="425">
        <f>Q206-Q194</f>
        <v>0.0415808356385798</v>
      </c>
      <c r="Z206" s="77" t="n"/>
      <c r="AA206" s="116">
        <f>S206-S194</f>
        <v>0.23</v>
      </c>
      <c r="AB206" s="425">
        <f>P206-P146</f>
        <v>-0.00813645967121746</v>
      </c>
      <c r="AC206" s="425">
        <f>Q206-Q146</f>
        <v>0.762589651832576</v>
      </c>
      <c r="AD206" s="77" t="n"/>
      <c r="AE206" s="235">
        <f>S206-S146</f>
        <v>1.13</v>
      </c>
      <c r="AG206" s="554">
        <f>N206</f>
        <v>30986.0</v>
      </c>
      <c r="AH206" s="435">
        <f>IFERROR(INDEX('RBA 5Y yield'!$B$5:$B$661,MATCH(N206,'RBA 5Y yield'!$A$5:$A$661,1))*100,"")</f>
        <v>12.85</v>
      </c>
      <c r="AI206" s="435">
        <f>IF(AND(ISNUMBER(AH206),ISNUMBER(AH205)),AH206-AH205,"")</f>
        <v>0.25</v>
      </c>
      <c r="AJ206" s="435">
        <f>IF(AND(ISNUMBER(AH206),ISNUMBER(AH194)),AH206-AH194,"")</f>
        <v>0.5</v>
      </c>
      <c r="AK206" s="435">
        <f>IF(AND(ISNUMBER(AH206),ISNUMBER(AH146)),AH206-AH146,"")</f>
        <v>2.85</v>
      </c>
      <c r="AL206" s="560">
        <f>IFERROR(LN(INDEX(Data!$B$2:$B$497,MATCH(N206,Data!$A$2:$A$497,1))/INDEX(Data!$B$2:$B$497,MATCH(N194,Data!$A$2:$A$497,1))),"")</f>
      </c>
      <c r="AM206" s="560">
        <f>IFERROR(LN(INDEX(Data!$C$2:$C$497,MATCH(N206,Data!$A$2:$A$497,1))/INDEX(Data!$C$2:$C$497,MATCH(N194,Data!$A$2:$A$497,1))),"")</f>
      </c>
      <c r="AN206" s="560">
        <f>IFERROR(LN(INDEX(Data!$D$2:$D$497,MATCH(N206,Data!$A$2:$A$497,1))/INDEX(Data!$D$2:$D$497,MATCH(N194,Data!$A$2:$A$497,1))),"")</f>
      </c>
      <c r="AO206" s="560">
        <f>IFERROR(LN(INDEX(Data!$E$2:$E$497,MATCH(N206,Data!$A$2:$A$497,1))/INDEX(Data!$E$2:$E$497,MATCH(N194,Data!$A$2:$A$497,1))),"")</f>
      </c>
      <c r="AP206" s="560">
        <f>IFERROR(LN(INDEX(Data!$F$2:$F$497,MATCH(N206,Data!$A$2:$A$497,1))/INDEX(Data!$F$2:$F$497,MATCH(N194,Data!$A$2:$A$497,1))),"")</f>
      </c>
      <c r="AQ206" s="560">
        <f>IFERROR(LN(INDEX(Data!$G$2:$G$497,MATCH(N206,Data!$A$2:$A$497,1))/INDEX(Data!$G$2:$G$497,MATCH(N194,Data!$A$2:$A$497,1))),"")</f>
      </c>
      <c r="AR206" s="560">
        <f>IFERROR(LN(INDEX(Data!$H$2:$H$497,MATCH(N206,Data!$A$2:$A$497,1))/INDEX(Data!$H$2:$H$497,MATCH(N194,Data!$A$2:$A$497,1))),"")</f>
      </c>
      <c r="AS206" s="560">
        <f>IFERROR(LN(INDEX(Data!$I$2:$I$497,MATCH(N206,Data!$A$2:$A$497,1))/INDEX(Data!$I$2:$I$497,MATCH(N194,Data!$A$2:$A$497,1))),"")</f>
      </c>
      <c r="AT206" s="560">
        <f>IFERROR(LN(INDEX(Data!$J$2:$J$497,MATCH(N206,Data!$A$2:$A$497,1))/INDEX(Data!$J$2:$J$497,MATCH(N194,Data!$A$2:$A$497,1))),"")</f>
      </c>
      <c r="AU206" s="560">
        <f>IFERROR(LN(INDEX(Data!$K$2:$K$497,MATCH(N206,Data!$A$2:$A$497,1))/INDEX(Data!$K$2:$K$497,MATCH(N194,Data!$A$2:$A$497,1))),"")</f>
      </c>
      <c r="AV206" s="561">
        <f>IFERROR(LN(INDEX(Data!$L$2:$L$497,MATCH(N206,Data!$A$2:$A$497,1))/INDEX(Data!$L$2:$L$497,MATCH(N194,Data!$A$2:$A$497,1))),"")</f>
      </c>
    </row>
    <row r="207">
      <c r="N207" s="337" t="n">
        <v>31016</v>
      </c>
      <c r="O207" s="116">
        <f>INDEX('Additional data'!$B$2:$B$965,MATCH(DATE(YEAR(N207),MONTH(N207),1),'Additional data'!$A$2:$A$965,0))</f>
        <v>28.098</v>
      </c>
      <c r="P207" s="489">
        <f>LN(O207)</f>
        <v>3.33569839942946</v>
      </c>
      <c r="Q207" s="489">
        <f>Q206+LN(1+INDEX('Additional data'!$H$2:$H$1196,MATCH(N207,'Additional data'!$G$2:$G$1196,1))+INDEX('Additional data'!$I$2:$I$1196,MATCH(N207,'Additional data'!$G$2:$G$1196,1)))</f>
        <v>1.26946445785591</v>
      </c>
      <c r="R207" s="77" t="n"/>
      <c r="S207" s="116">
        <f>IF(INDEX('Additional data'!$E$2:$E$699,MATCH(DATE(YEAR(N207),MONTH(N207),1),'Additional data'!$D$2:$D$699,0))=0,(INDEX('Additional data'!$E$2:$E$699,MATCH(DATE(YEAR(N207),MONTH(N207),1),'Additional data'!$D$2:$D$699,0)-1)+INDEX('Additional data'!$E$2:$E$699,MATCH(DATE(YEAR(N207),MONTH(N207),1),'Additional data'!$D$2:$D$699,0)+1))/2,INDEX('Additional data'!$E$2:$E$699,MATCH(DATE(YEAR(N207),MONTH(N207),1),'Additional data'!$D$2:$D$699,0)))</f>
        <v>11.26</v>
      </c>
      <c r="T207" s="425">
        <f>P207-P206</f>
        <v>-0.0234609708857971</v>
      </c>
      <c r="U207" s="425">
        <f>Q207-Q206</f>
        <v>-0.010454457903859</v>
      </c>
      <c r="V207" s="77" t="n"/>
      <c r="W207" s="116">
        <f>S207-S206</f>
        <v>0.0899999999999999</v>
      </c>
      <c r="X207" s="425">
        <f>P207-P195</f>
        <v>-0.0601513759061008</v>
      </c>
      <c r="Y207" s="425">
        <f>Q207-Q195</f>
        <v>0.00283050857987366</v>
      </c>
      <c r="Z207" s="77" t="n"/>
      <c r="AA207" s="116">
        <f>S207-S195</f>
        <v>0.709999999999999</v>
      </c>
      <c r="AB207" s="425">
        <f>P207-P147</f>
        <v>-0.0982888050556867</v>
      </c>
      <c r="AC207" s="425">
        <f>Q207-Q147</f>
        <v>0.69188711358336</v>
      </c>
      <c r="AD207" s="77" t="n"/>
      <c r="AE207" s="235">
        <f>S207-S147</f>
        <v>1.14</v>
      </c>
      <c r="AG207" s="554">
        <f>N207</f>
        <v>31016.0</v>
      </c>
      <c r="AH207" s="435">
        <f>IFERROR(INDEX('RBA 5Y yield'!$B$5:$B$661,MATCH(N207,'RBA 5Y yield'!$A$5:$A$661,1))*100,"")</f>
        <v>13</v>
      </c>
      <c r="AI207" s="435">
        <f>IF(AND(ISNUMBER(AH207),ISNUMBER(AH206)),AH207-AH206,"")</f>
        <v>0.15</v>
      </c>
      <c r="AJ207" s="435">
        <f>IF(AND(ISNUMBER(AH207),ISNUMBER(AH195)),AH207-AH195,"")</f>
        <v>1.1</v>
      </c>
      <c r="AK207" s="435">
        <f>IF(AND(ISNUMBER(AH207),ISNUMBER(AH147)),AH207-AH147,"")</f>
        <v>3</v>
      </c>
      <c r="AL207" s="560">
        <f>IFERROR(LN(INDEX(Data!$B$2:$B$497,MATCH(N207,Data!$A$2:$A$497,1))/INDEX(Data!$B$2:$B$497,MATCH(N195,Data!$A$2:$A$497,1))),"")</f>
      </c>
      <c r="AM207" s="560">
        <f>IFERROR(LN(INDEX(Data!$C$2:$C$497,MATCH(N207,Data!$A$2:$A$497,1))/INDEX(Data!$C$2:$C$497,MATCH(N195,Data!$A$2:$A$497,1))),"")</f>
      </c>
      <c r="AN207" s="560">
        <f>IFERROR(LN(INDEX(Data!$D$2:$D$497,MATCH(N207,Data!$A$2:$A$497,1))/INDEX(Data!$D$2:$D$497,MATCH(N195,Data!$A$2:$A$497,1))),"")</f>
      </c>
      <c r="AO207" s="560">
        <f>IFERROR(LN(INDEX(Data!$E$2:$E$497,MATCH(N207,Data!$A$2:$A$497,1))/INDEX(Data!$E$2:$E$497,MATCH(N195,Data!$A$2:$A$497,1))),"")</f>
      </c>
      <c r="AP207" s="560">
        <f>IFERROR(LN(INDEX(Data!$F$2:$F$497,MATCH(N207,Data!$A$2:$A$497,1))/INDEX(Data!$F$2:$F$497,MATCH(N195,Data!$A$2:$A$497,1))),"")</f>
      </c>
      <c r="AQ207" s="560">
        <f>IFERROR(LN(INDEX(Data!$G$2:$G$497,MATCH(N207,Data!$A$2:$A$497,1))/INDEX(Data!$G$2:$G$497,MATCH(N195,Data!$A$2:$A$497,1))),"")</f>
      </c>
      <c r="AR207" s="560">
        <f>IFERROR(LN(INDEX(Data!$H$2:$H$497,MATCH(N207,Data!$A$2:$A$497,1))/INDEX(Data!$H$2:$H$497,MATCH(N195,Data!$A$2:$A$497,1))),"")</f>
      </c>
      <c r="AS207" s="560">
        <f>IFERROR(LN(INDEX(Data!$I$2:$I$497,MATCH(N207,Data!$A$2:$A$497,1))/INDEX(Data!$I$2:$I$497,MATCH(N195,Data!$A$2:$A$497,1))),"")</f>
      </c>
      <c r="AT207" s="560">
        <f>IFERROR(LN(INDEX(Data!$J$2:$J$497,MATCH(N207,Data!$A$2:$A$497,1))/INDEX(Data!$J$2:$J$497,MATCH(N195,Data!$A$2:$A$497,1))),"")</f>
      </c>
      <c r="AU207" s="560">
        <f>IFERROR(LN(INDEX(Data!$K$2:$K$497,MATCH(N207,Data!$A$2:$A$497,1))/INDEX(Data!$K$2:$K$497,MATCH(N195,Data!$A$2:$A$497,1))),"")</f>
      </c>
      <c r="AV207" s="561">
        <f>IFERROR(LN(INDEX(Data!$L$2:$L$497,MATCH(N207,Data!$A$2:$A$497,1))/INDEX(Data!$L$2:$L$497,MATCH(N195,Data!$A$2:$A$497,1))),"")</f>
      </c>
    </row>
    <row r="208">
      <c r="N208" s="337" t="n">
        <v>31047</v>
      </c>
      <c r="O208" s="116">
        <f>INDEX('Additional data'!$B$2:$B$965,MATCH(DATE(YEAR(N208),MONTH(N208),1),'Additional data'!$A$2:$A$965,0))</f>
        <v>25.429</v>
      </c>
      <c r="P208" s="489">
        <f>LN(O208)</f>
        <v>3.23589025502733</v>
      </c>
      <c r="Q208" s="489">
        <f>Q207+LN(1+INDEX('Additional data'!$H$2:$H$1196,MATCH(N208,'Additional data'!$G$2:$G$1196,1))+INDEX('Additional data'!$I$2:$I$1196,MATCH(N208,'Additional data'!$G$2:$G$1196,1)))</f>
        <v>1.29405950471129</v>
      </c>
      <c r="R208" s="489">
        <f>LN(INDEX(Data!$B$2:$B$497,MATCH(N208,Data!$A$2:$A$497,1)))</f>
        <v>7.50659178007084</v>
      </c>
      <c r="S208" s="116">
        <f>IF(INDEX('Additional data'!$E$2:$E$699,MATCH(DATE(YEAR(N208),MONTH(N208),1),'Additional data'!$D$2:$D$699,0))=0,(INDEX('Additional data'!$E$2:$E$699,MATCH(DATE(YEAR(N208),MONTH(N208),1),'Additional data'!$D$2:$D$699,0)-1)+INDEX('Additional data'!$E$2:$E$699,MATCH(DATE(YEAR(N208),MONTH(N208),1),'Additional data'!$D$2:$D$699,0)+1))/2,INDEX('Additional data'!$E$2:$E$699,MATCH(DATE(YEAR(N208),MONTH(N208),1),'Additional data'!$D$2:$D$699,0)))</f>
        <v>12.34</v>
      </c>
      <c r="T208" s="425">
        <f>P208-P207</f>
        <v>-0.0998081444021293</v>
      </c>
      <c r="U208" s="425">
        <f>Q208-Q207</f>
        <v>0.0245950468553802</v>
      </c>
      <c r="V208" s="77" t="n"/>
      <c r="W208" s="116">
        <f>S208-S207</f>
        <v>1.08</v>
      </c>
      <c r="X208" s="425">
        <f>P208-P196</f>
        <v>-0.139647379854247</v>
      </c>
      <c r="Y208" s="425">
        <f>Q208-Q196</f>
        <v>0.0378800133391128</v>
      </c>
      <c r="Z208" s="77" t="n"/>
      <c r="AA208" s="116">
        <f>S208-S196</f>
        <v>3.45</v>
      </c>
      <c r="AB208" s="425">
        <f>P208-P148</f>
        <v>-0.245349834308362</v>
      </c>
      <c r="AC208" s="425">
        <f>Q208-Q148</f>
        <v>0.689548159198659</v>
      </c>
      <c r="AD208" s="77" t="n"/>
      <c r="AE208" s="235">
        <f>S208-S148</f>
        <v>2.22</v>
      </c>
      <c r="AG208" s="554">
        <f>N208</f>
        <v>31047.0</v>
      </c>
      <c r="AH208" s="435">
        <f>IFERROR(INDEX('RBA 5Y yield'!$B$5:$B$661,MATCH(N208,'RBA 5Y yield'!$A$5:$A$661,1))*100,"")</f>
        <v>13.1</v>
      </c>
      <c r="AI208" s="435">
        <f>IF(AND(ISNUMBER(AH208),ISNUMBER(AH207)),AH208-AH207,"")</f>
        <v>0.100000000000001</v>
      </c>
      <c r="AJ208" s="435">
        <f>IF(AND(ISNUMBER(AH208),ISNUMBER(AH196)),AH208-AH196,"")</f>
        <v>0.300000000000001</v>
      </c>
      <c r="AK208" s="435">
        <f>IF(AND(ISNUMBER(AH208),ISNUMBER(AH148)),AH208-AH148,"")</f>
        <v>3.08</v>
      </c>
      <c r="AL208" s="560">
        <f>IFERROR(LN(INDEX(Data!$B$2:$B$497,MATCH(N208,Data!$A$2:$A$497,1))/INDEX(Data!$B$2:$B$497,MATCH(N196,Data!$A$2:$A$497,1))),"")</f>
      </c>
      <c r="AM208" s="560">
        <f>IFERROR(LN(INDEX(Data!$C$2:$C$497,MATCH(N208,Data!$A$2:$A$497,1))/INDEX(Data!$C$2:$C$497,MATCH(N196,Data!$A$2:$A$497,1))),"")</f>
      </c>
      <c r="AN208" s="560">
        <f>IFERROR(LN(INDEX(Data!$D$2:$D$497,MATCH(N208,Data!$A$2:$A$497,1))/INDEX(Data!$D$2:$D$497,MATCH(N196,Data!$A$2:$A$497,1))),"")</f>
      </c>
      <c r="AO208" s="560">
        <f>IFERROR(LN(INDEX(Data!$E$2:$E$497,MATCH(N208,Data!$A$2:$A$497,1))/INDEX(Data!$E$2:$E$497,MATCH(N196,Data!$A$2:$A$497,1))),"")</f>
      </c>
      <c r="AP208" s="560">
        <f>IFERROR(LN(INDEX(Data!$F$2:$F$497,MATCH(N208,Data!$A$2:$A$497,1))/INDEX(Data!$F$2:$F$497,MATCH(N196,Data!$A$2:$A$497,1))),"")</f>
      </c>
      <c r="AQ208" s="560">
        <f>IFERROR(LN(INDEX(Data!$G$2:$G$497,MATCH(N208,Data!$A$2:$A$497,1))/INDEX(Data!$G$2:$G$497,MATCH(N196,Data!$A$2:$A$497,1))),"")</f>
      </c>
      <c r="AR208" s="560">
        <f>IFERROR(LN(INDEX(Data!$H$2:$H$497,MATCH(N208,Data!$A$2:$A$497,1))/INDEX(Data!$H$2:$H$497,MATCH(N196,Data!$A$2:$A$497,1))),"")</f>
      </c>
      <c r="AS208" s="560">
        <f>IFERROR(LN(INDEX(Data!$I$2:$I$497,MATCH(N208,Data!$A$2:$A$497,1))/INDEX(Data!$I$2:$I$497,MATCH(N196,Data!$A$2:$A$497,1))),"")</f>
      </c>
      <c r="AT208" s="560">
        <f>IFERROR(LN(INDEX(Data!$J$2:$J$497,MATCH(N208,Data!$A$2:$A$497,1))/INDEX(Data!$J$2:$J$497,MATCH(N196,Data!$A$2:$A$497,1))),"")</f>
      </c>
      <c r="AU208" s="560">
        <f>IFERROR(LN(INDEX(Data!$K$2:$K$497,MATCH(N208,Data!$A$2:$A$497,1))/INDEX(Data!$K$2:$K$497,MATCH(N196,Data!$A$2:$A$497,1))),"")</f>
      </c>
      <c r="AV208" s="561">
        <f>IFERROR(LN(INDEX(Data!$L$2:$L$497,MATCH(N208,Data!$A$2:$A$497,1))/INDEX(Data!$L$2:$L$497,MATCH(N196,Data!$A$2:$A$497,1))),"")</f>
      </c>
    </row>
    <row r="209">
      <c r="N209" s="337" t="n">
        <v>31078</v>
      </c>
      <c r="O209" s="116">
        <f>INDEX('Additional data'!$B$2:$B$965,MATCH(DATE(YEAR(N209),MONTH(N209),1),'Additional data'!$A$2:$A$965,0))</f>
        <v>25.641</v>
      </c>
      <c r="P209" s="489">
        <f>LN(O209)</f>
        <v>3.24419263285199</v>
      </c>
      <c r="Q209" s="489">
        <f>Q208+LN(1+INDEX('Additional data'!$H$2:$H$1196,MATCH(N209,'Additional data'!$G$2:$G$1196,1))+INDEX('Additional data'!$I$2:$I$1196,MATCH(N209,'Additional data'!$G$2:$G$1196,1)))</f>
        <v>1.3767448713299</v>
      </c>
      <c r="R209" s="489">
        <f>LN(INDEX(Data!$B$2:$B$497,MATCH(N209,Data!$A$2:$A$497,1)))</f>
        <v>7.57255442402659</v>
      </c>
      <c r="S209" s="116">
        <f>IF(INDEX('Additional data'!$E$2:$E$699,MATCH(DATE(YEAR(N209),MONTH(N209),1),'Additional data'!$D$2:$D$699,0))=0,(INDEX('Additional data'!$E$2:$E$699,MATCH(DATE(YEAR(N209),MONTH(N209),1),'Additional data'!$D$2:$D$699,0)-1)+INDEX('Additional data'!$E$2:$E$699,MATCH(DATE(YEAR(N209),MONTH(N209),1),'Additional data'!$D$2:$D$699,0)+1))/2,INDEX('Additional data'!$E$2:$E$699,MATCH(DATE(YEAR(N209),MONTH(N209),1),'Additional data'!$D$2:$D$699,0)))</f>
        <v>13.35</v>
      </c>
      <c r="T209" s="425">
        <f>P209-P208</f>
        <v>0.00830237782466048</v>
      </c>
      <c r="U209" s="425">
        <f>Q209-Q208</f>
        <v>0.0826853666186076</v>
      </c>
      <c r="V209" s="425">
        <f>R209-R208</f>
        <v>0.0659626439557535</v>
      </c>
      <c r="W209" s="116">
        <f>S209-S208</f>
        <v>1.01</v>
      </c>
      <c r="X209" s="425">
        <f>P209-P197</f>
        <v>-0.146617655923678</v>
      </c>
      <c r="Y209" s="425">
        <f>Q209-Q197</f>
        <v>0.132233184825402</v>
      </c>
      <c r="Z209" s="77" t="n"/>
      <c r="AA209" s="116">
        <f>S209-S197</f>
        <v>3.59</v>
      </c>
      <c r="AB209" s="425">
        <f>P209-P149</f>
        <v>-0.237047456483701</v>
      </c>
      <c r="AC209" s="425">
        <f>Q209-Q149</f>
        <v>0.711138426457456</v>
      </c>
      <c r="AD209" s="77" t="n"/>
      <c r="AE209" s="235">
        <f>S209-S149</f>
        <v>3.32</v>
      </c>
      <c r="AG209" s="554">
        <f>N209</f>
        <v>31078.0</v>
      </c>
      <c r="AH209" s="435">
        <f>IFERROR(INDEX('RBA 5Y yield'!$B$5:$B$661,MATCH(N209,'RBA 5Y yield'!$A$5:$A$661,1))*100,"")</f>
        <v>12.9</v>
      </c>
      <c r="AI209" s="435">
        <f>IF(AND(ISNUMBER(AH209),ISNUMBER(AH208)),AH209-AH208,"")</f>
        <v>-0.200000000000001</v>
      </c>
      <c r="AJ209" s="435">
        <f>IF(AND(ISNUMBER(AH209),ISNUMBER(AH197)),AH209-AH197,"")</f>
        <v>0</v>
      </c>
      <c r="AK209" s="435">
        <f>IF(AND(ISNUMBER(AH209),ISNUMBER(AH149)),AH209-AH149,"")</f>
        <v>2.48</v>
      </c>
      <c r="AL209" s="560">
        <f>IFERROR(LN(INDEX(Data!$B$2:$B$497,MATCH(N209,Data!$A$2:$A$497,1))/INDEX(Data!$B$2:$B$497,MATCH(N197,Data!$A$2:$A$497,1))),"")</f>
      </c>
      <c r="AM209" s="560">
        <f>IFERROR(LN(INDEX(Data!$C$2:$C$497,MATCH(N209,Data!$A$2:$A$497,1))/INDEX(Data!$C$2:$C$497,MATCH(N197,Data!$A$2:$A$497,1))),"")</f>
      </c>
      <c r="AN209" s="560">
        <f>IFERROR(LN(INDEX(Data!$D$2:$D$497,MATCH(N209,Data!$A$2:$A$497,1))/INDEX(Data!$D$2:$D$497,MATCH(N197,Data!$A$2:$A$497,1))),"")</f>
      </c>
      <c r="AO209" s="560">
        <f>IFERROR(LN(INDEX(Data!$E$2:$E$497,MATCH(N209,Data!$A$2:$A$497,1))/INDEX(Data!$E$2:$E$497,MATCH(N197,Data!$A$2:$A$497,1))),"")</f>
      </c>
      <c r="AP209" s="560">
        <f>IFERROR(LN(INDEX(Data!$F$2:$F$497,MATCH(N209,Data!$A$2:$A$497,1))/INDEX(Data!$F$2:$F$497,MATCH(N197,Data!$A$2:$A$497,1))),"")</f>
      </c>
      <c r="AQ209" s="560">
        <f>IFERROR(LN(INDEX(Data!$G$2:$G$497,MATCH(N209,Data!$A$2:$A$497,1))/INDEX(Data!$G$2:$G$497,MATCH(N197,Data!$A$2:$A$497,1))),"")</f>
      </c>
      <c r="AR209" s="560">
        <f>IFERROR(LN(INDEX(Data!$H$2:$H$497,MATCH(N209,Data!$A$2:$A$497,1))/INDEX(Data!$H$2:$H$497,MATCH(N197,Data!$A$2:$A$497,1))),"")</f>
      </c>
      <c r="AS209" s="560">
        <f>IFERROR(LN(INDEX(Data!$I$2:$I$497,MATCH(N209,Data!$A$2:$A$497,1))/INDEX(Data!$I$2:$I$497,MATCH(N197,Data!$A$2:$A$497,1))),"")</f>
      </c>
      <c r="AT209" s="560">
        <f>IFERROR(LN(INDEX(Data!$J$2:$J$497,MATCH(N209,Data!$A$2:$A$497,1))/INDEX(Data!$J$2:$J$497,MATCH(N197,Data!$A$2:$A$497,1))),"")</f>
      </c>
      <c r="AU209" s="560">
        <f>IFERROR(LN(INDEX(Data!$K$2:$K$497,MATCH(N209,Data!$A$2:$A$497,1))/INDEX(Data!$K$2:$K$497,MATCH(N197,Data!$A$2:$A$497,1))),"")</f>
      </c>
      <c r="AV209" s="561">
        <f>IFERROR(LN(INDEX(Data!$L$2:$L$497,MATCH(N209,Data!$A$2:$A$497,1))/INDEX(Data!$L$2:$L$497,MATCH(N197,Data!$A$2:$A$497,1))),"")</f>
      </c>
    </row>
    <row r="210">
      <c r="N210" s="337" t="n">
        <v>31106</v>
      </c>
      <c r="O210" s="116">
        <f>INDEX('Additional data'!$B$2:$B$965,MATCH(DATE(YEAR(N210),MONTH(N210),1),'Additional data'!$A$2:$A$965,0))</f>
        <v>27.271</v>
      </c>
      <c r="P210" s="489">
        <f>LN(O210)</f>
        <v>3.30582386651886</v>
      </c>
      <c r="Q210" s="489">
        <f>Q209+LN(1+INDEX('Additional data'!$H$2:$H$1196,MATCH(N210,'Additional data'!$G$2:$G$1196,1))+INDEX('Additional data'!$I$2:$I$1196,MATCH(N210,'Additional data'!$G$2:$G$1196,1)))</f>
        <v>1.39458478945823</v>
      </c>
      <c r="R210" s="489">
        <f>LN(INDEX(Data!$B$2:$B$497,MATCH(N210,Data!$A$2:$A$497,1)))</f>
        <v>7.59864992448879</v>
      </c>
      <c r="S210" s="116">
        <f>IF(INDEX('Additional data'!$E$2:$E$699,MATCH(DATE(YEAR(N210),MONTH(N210),1),'Additional data'!$D$2:$D$699,0))=0,(INDEX('Additional data'!$E$2:$E$699,MATCH(DATE(YEAR(N210),MONTH(N210),1),'Additional data'!$D$2:$D$699,0)-1)+INDEX('Additional data'!$E$2:$E$699,MATCH(DATE(YEAR(N210),MONTH(N210),1),'Additional data'!$D$2:$D$699,0)+1))/2,INDEX('Additional data'!$E$2:$E$699,MATCH(DATE(YEAR(N210),MONTH(N210),1),'Additional data'!$D$2:$D$699,0)))</f>
        <v>13.81</v>
      </c>
      <c r="T210" s="425">
        <f>P210-P209</f>
        <v>0.0616312336668661</v>
      </c>
      <c r="U210" s="425">
        <f>Q210-Q209</f>
        <v>0.0178399181283311</v>
      </c>
      <c r="V210" s="425">
        <f>R210-R209</f>
        <v>0.0260955004621941</v>
      </c>
      <c r="W210" s="116">
        <f>S210-S209</f>
        <v>0.460000000000001</v>
      </c>
      <c r="X210" s="425">
        <f>P210-P198</f>
        <v>-0.100195205422512</v>
      </c>
      <c r="Y210" s="425">
        <f>Q210-Q198</f>
        <v>0.191520292867907</v>
      </c>
      <c r="Z210" s="77" t="n"/>
      <c r="AA210" s="116">
        <f>S210-S198</f>
        <v>1.77</v>
      </c>
      <c r="AB210" s="425">
        <f>P210-P150</f>
        <v>-0.305094046125368</v>
      </c>
      <c r="AC210" s="425">
        <f>Q210-Q150</f>
        <v>0.73238413772062</v>
      </c>
      <c r="AD210" s="77" t="n"/>
      <c r="AE210" s="235">
        <f>S210-S150</f>
        <v>3.75</v>
      </c>
      <c r="AG210" s="554">
        <f>N210</f>
        <v>31106.0</v>
      </c>
      <c r="AH210" s="435">
        <f>IFERROR(INDEX('RBA 5Y yield'!$B$5:$B$661,MATCH(N210,'RBA 5Y yield'!$A$5:$A$661,1))*100,"")</f>
        <v>13.4</v>
      </c>
      <c r="AI210" s="435">
        <f>IF(AND(ISNUMBER(AH210),ISNUMBER(AH209)),AH210-AH209,"")</f>
        <v>0.5</v>
      </c>
      <c r="AJ210" s="435">
        <f>IF(AND(ISNUMBER(AH210),ISNUMBER(AH198)),AH210-AH198,"")</f>
        <v>0.25</v>
      </c>
      <c r="AK210" s="435">
        <f>IF(AND(ISNUMBER(AH210),ISNUMBER(AH150)),AH210-AH150,"")</f>
        <v>2.5</v>
      </c>
      <c r="AL210" s="560">
        <f>IFERROR(LN(INDEX(Data!$B$2:$B$497,MATCH(N210,Data!$A$2:$A$497,1))/INDEX(Data!$B$2:$B$497,MATCH(N198,Data!$A$2:$A$497,1))),"")</f>
      </c>
      <c r="AM210" s="560">
        <f>IFERROR(LN(INDEX(Data!$C$2:$C$497,MATCH(N210,Data!$A$2:$A$497,1))/INDEX(Data!$C$2:$C$497,MATCH(N198,Data!$A$2:$A$497,1))),"")</f>
      </c>
      <c r="AN210" s="560">
        <f>IFERROR(LN(INDEX(Data!$D$2:$D$497,MATCH(N210,Data!$A$2:$A$497,1))/INDEX(Data!$D$2:$D$497,MATCH(N198,Data!$A$2:$A$497,1))),"")</f>
      </c>
      <c r="AO210" s="560">
        <f>IFERROR(LN(INDEX(Data!$E$2:$E$497,MATCH(N210,Data!$A$2:$A$497,1))/INDEX(Data!$E$2:$E$497,MATCH(N198,Data!$A$2:$A$497,1))),"")</f>
      </c>
      <c r="AP210" s="560">
        <f>IFERROR(LN(INDEX(Data!$F$2:$F$497,MATCH(N210,Data!$A$2:$A$497,1))/INDEX(Data!$F$2:$F$497,MATCH(N198,Data!$A$2:$A$497,1))),"")</f>
      </c>
      <c r="AQ210" s="560">
        <f>IFERROR(LN(INDEX(Data!$G$2:$G$497,MATCH(N210,Data!$A$2:$A$497,1))/INDEX(Data!$G$2:$G$497,MATCH(N198,Data!$A$2:$A$497,1))),"")</f>
      </c>
      <c r="AR210" s="560">
        <f>IFERROR(LN(INDEX(Data!$H$2:$H$497,MATCH(N210,Data!$A$2:$A$497,1))/INDEX(Data!$H$2:$H$497,MATCH(N198,Data!$A$2:$A$497,1))),"")</f>
      </c>
      <c r="AS210" s="560">
        <f>IFERROR(LN(INDEX(Data!$I$2:$I$497,MATCH(N210,Data!$A$2:$A$497,1))/INDEX(Data!$I$2:$I$497,MATCH(N198,Data!$A$2:$A$497,1))),"")</f>
      </c>
      <c r="AT210" s="560">
        <f>IFERROR(LN(INDEX(Data!$J$2:$J$497,MATCH(N210,Data!$A$2:$A$497,1))/INDEX(Data!$J$2:$J$497,MATCH(N198,Data!$A$2:$A$497,1))),"")</f>
      </c>
      <c r="AU210" s="560">
        <f>IFERROR(LN(INDEX(Data!$K$2:$K$497,MATCH(N210,Data!$A$2:$A$497,1))/INDEX(Data!$K$2:$K$497,MATCH(N198,Data!$A$2:$A$497,1))),"")</f>
      </c>
      <c r="AV210" s="561">
        <f>IFERROR(LN(INDEX(Data!$L$2:$L$497,MATCH(N210,Data!$A$2:$A$497,1))/INDEX(Data!$L$2:$L$497,MATCH(N198,Data!$A$2:$A$497,1))),"")</f>
      </c>
    </row>
    <row r="211">
      <c r="N211" s="337" t="n">
        <v>31137</v>
      </c>
      <c r="O211" s="116">
        <f>INDEX('Additional data'!$B$2:$B$965,MATCH(DATE(YEAR(N211),MONTH(N211),1),'Additional data'!$A$2:$A$965,0))</f>
        <v>28.238</v>
      </c>
      <c r="P211" s="489">
        <f>LN(O211)</f>
        <v>3.34066858858733</v>
      </c>
      <c r="Q211" s="489">
        <f>Q210+LN(1+INDEX('Additional data'!$H$2:$H$1196,MATCH(N211,'Additional data'!$G$2:$G$1196,1))+INDEX('Additional data'!$I$2:$I$1196,MATCH(N211,'Additional data'!$G$2:$G$1196,1)))</f>
        <v>1.39248258136636</v>
      </c>
      <c r="R211" s="489">
        <f>LN(INDEX(Data!$B$2:$B$497,MATCH(N211,Data!$A$2:$A$497,1)))</f>
        <v>7.65040665444517</v>
      </c>
      <c r="S211" s="116">
        <f>IF(INDEX('Additional data'!$E$2:$E$699,MATCH(DATE(YEAR(N211),MONTH(N211),1),'Additional data'!$D$2:$D$699,0))=0,(INDEX('Additional data'!$E$2:$E$699,MATCH(DATE(YEAR(N211),MONTH(N211),1),'Additional data'!$D$2:$D$699,0)-1)+INDEX('Additional data'!$E$2:$E$699,MATCH(DATE(YEAR(N211),MONTH(N211),1),'Additional data'!$D$2:$D$699,0)+1))/2,INDEX('Additional data'!$E$2:$E$699,MATCH(DATE(YEAR(N211),MONTH(N211),1),'Additional data'!$D$2:$D$699,0)))</f>
        <v>15.29</v>
      </c>
      <c r="T211" s="425">
        <f>P211-P210</f>
        <v>0.0348447220684767</v>
      </c>
      <c r="U211" s="425">
        <f>Q211-Q210</f>
        <v>-0.00210220809187023</v>
      </c>
      <c r="V211" s="425">
        <f>R211-R210</f>
        <v>0.0517567299563826</v>
      </c>
      <c r="W211" s="116">
        <f>S211-S210</f>
        <v>1.48</v>
      </c>
      <c r="X211" s="425">
        <f>P211-P199</f>
        <v>-0.0855790652746049</v>
      </c>
      <c r="Y211" s="425">
        <f>Q211-Q199</f>
        <v>0.175712437719925</v>
      </c>
      <c r="Z211" s="77" t="n"/>
      <c r="AA211" s="116">
        <f>S211-S199</f>
        <v>1.52</v>
      </c>
      <c r="AB211" s="425">
        <f>P211-P151</f>
        <v>-0.296917571139052</v>
      </c>
      <c r="AC211" s="425">
        <f>Q211-Q151</f>
        <v>0.85459876413613</v>
      </c>
      <c r="AD211" s="77" t="n"/>
      <c r="AE211" s="235">
        <f>S211-S151</f>
        <v>3.82</v>
      </c>
      <c r="AG211" s="554">
        <f>N211</f>
        <v>31137.0</v>
      </c>
      <c r="AH211" s="435">
        <f>IFERROR(INDEX('RBA 5Y yield'!$B$5:$B$661,MATCH(N211,'RBA 5Y yield'!$A$5:$A$661,1))*100,"")</f>
        <v>13.6</v>
      </c>
      <c r="AI211" s="435">
        <f>IF(AND(ISNUMBER(AH211),ISNUMBER(AH210)),AH211-AH210,"")</f>
        <v>0.200000000000001</v>
      </c>
      <c r="AJ211" s="435">
        <f>IF(AND(ISNUMBER(AH211),ISNUMBER(AH199)),AH211-AH199,"")</f>
        <v>0.350000000000001</v>
      </c>
      <c r="AK211" s="435">
        <f>IF(AND(ISNUMBER(AH211),ISNUMBER(AH151)),AH211-AH151,"")</f>
        <v>2.4</v>
      </c>
      <c r="AL211" s="560">
        <f>IFERROR(LN(INDEX(Data!$B$2:$B$497,MATCH(N211,Data!$A$2:$A$497,1))/INDEX(Data!$B$2:$B$497,MATCH(N199,Data!$A$2:$A$497,1))),"")</f>
      </c>
      <c r="AM211" s="560">
        <f>IFERROR(LN(INDEX(Data!$C$2:$C$497,MATCH(N211,Data!$A$2:$A$497,1))/INDEX(Data!$C$2:$C$497,MATCH(N199,Data!$A$2:$A$497,1))),"")</f>
      </c>
      <c r="AN211" s="560">
        <f>IFERROR(LN(INDEX(Data!$D$2:$D$497,MATCH(N211,Data!$A$2:$A$497,1))/INDEX(Data!$D$2:$D$497,MATCH(N199,Data!$A$2:$A$497,1))),"")</f>
      </c>
      <c r="AO211" s="560">
        <f>IFERROR(LN(INDEX(Data!$E$2:$E$497,MATCH(N211,Data!$A$2:$A$497,1))/INDEX(Data!$E$2:$E$497,MATCH(N199,Data!$A$2:$A$497,1))),"")</f>
      </c>
      <c r="AP211" s="560">
        <f>IFERROR(LN(INDEX(Data!$F$2:$F$497,MATCH(N211,Data!$A$2:$A$497,1))/INDEX(Data!$F$2:$F$497,MATCH(N199,Data!$A$2:$A$497,1))),"")</f>
      </c>
      <c r="AQ211" s="560">
        <f>IFERROR(LN(INDEX(Data!$G$2:$G$497,MATCH(N211,Data!$A$2:$A$497,1))/INDEX(Data!$G$2:$G$497,MATCH(N199,Data!$A$2:$A$497,1))),"")</f>
      </c>
      <c r="AR211" s="560">
        <f>IFERROR(LN(INDEX(Data!$H$2:$H$497,MATCH(N211,Data!$A$2:$A$497,1))/INDEX(Data!$H$2:$H$497,MATCH(N199,Data!$A$2:$A$497,1))),"")</f>
      </c>
      <c r="AS211" s="560">
        <f>IFERROR(LN(INDEX(Data!$I$2:$I$497,MATCH(N211,Data!$A$2:$A$497,1))/INDEX(Data!$I$2:$I$497,MATCH(N199,Data!$A$2:$A$497,1))),"")</f>
      </c>
      <c r="AT211" s="560">
        <f>IFERROR(LN(INDEX(Data!$J$2:$J$497,MATCH(N211,Data!$A$2:$A$497,1))/INDEX(Data!$J$2:$J$497,MATCH(N199,Data!$A$2:$A$497,1))),"")</f>
      </c>
      <c r="AU211" s="560">
        <f>IFERROR(LN(INDEX(Data!$K$2:$K$497,MATCH(N211,Data!$A$2:$A$497,1))/INDEX(Data!$K$2:$K$497,MATCH(N199,Data!$A$2:$A$497,1))),"")</f>
      </c>
      <c r="AV211" s="561">
        <f>IFERROR(LN(INDEX(Data!$L$2:$L$497,MATCH(N211,Data!$A$2:$A$497,1))/INDEX(Data!$L$2:$L$497,MATCH(N199,Data!$A$2:$A$497,1))),"")</f>
      </c>
    </row>
    <row r="212">
      <c r="N212" s="337" t="n">
        <v>31167</v>
      </c>
      <c r="O212" s="116">
        <f>INDEX('Additional data'!$B$2:$B$965,MATCH(DATE(YEAR(N212),MONTH(N212),1),'Additional data'!$A$2:$A$965,0))</f>
        <v>28.805</v>
      </c>
      <c r="P212" s="489">
        <f>LN(O212)</f>
        <v>3.36054898318435</v>
      </c>
      <c r="Q212" s="489">
        <f>Q211+LN(1+INDEX('Additional data'!$H$2:$H$1196,MATCH(N212,'Additional data'!$G$2:$G$1196,1))+INDEX('Additional data'!$I$2:$I$1196,MATCH(N212,'Additional data'!$G$2:$G$1196,1)))</f>
        <v>1.39007969675005</v>
      </c>
      <c r="R212" s="489">
        <f>LN(INDEX(Data!$B$2:$B$497,MATCH(N212,Data!$A$2:$A$497,1)))</f>
        <v>7.71060851963014</v>
      </c>
      <c r="S212" s="116">
        <f>IF(INDEX('Additional data'!$E$2:$E$699,MATCH(DATE(YEAR(N212),MONTH(N212),1),'Additional data'!$D$2:$D$699,0))=0,(INDEX('Additional data'!$E$2:$E$699,MATCH(DATE(YEAR(N212),MONTH(N212),1),'Additional data'!$D$2:$D$699,0)-1)+INDEX('Additional data'!$E$2:$E$699,MATCH(DATE(YEAR(N212),MONTH(N212),1),'Additional data'!$D$2:$D$699,0)+1))/2,INDEX('Additional data'!$E$2:$E$699,MATCH(DATE(YEAR(N212),MONTH(N212),1),'Additional data'!$D$2:$D$699,0)))</f>
        <v>15.79</v>
      </c>
      <c r="T212" s="425">
        <f>P212-P211</f>
        <v>0.019880394597013</v>
      </c>
      <c r="U212" s="425">
        <f>Q212-Q211</f>
        <v>-0.00240288461631044</v>
      </c>
      <c r="V212" s="425">
        <f>R212-R211</f>
        <v>0.0602018651849683</v>
      </c>
      <c r="W212" s="116">
        <f>S212-S211</f>
        <v>0.5</v>
      </c>
      <c r="X212" s="425">
        <f>P212-P200</f>
        <v>-0.0610390881255429</v>
      </c>
      <c r="Y212" s="425">
        <f>Q212-Q200</f>
        <v>0.170314044123816</v>
      </c>
      <c r="Z212" s="77" t="n"/>
      <c r="AA212" s="116">
        <f>S212-S200</f>
        <v>1.91</v>
      </c>
      <c r="AB212" s="425">
        <f>P212-P152</f>
        <v>-0.31575168872273</v>
      </c>
      <c r="AC212" s="425">
        <f>Q212-Q152</f>
        <v>0.801407712687714</v>
      </c>
      <c r="AD212" s="77" t="n"/>
      <c r="AE212" s="235">
        <f>S212-S152</f>
        <v>2.51</v>
      </c>
      <c r="AG212" s="554">
        <f>N212</f>
        <v>31167.0</v>
      </c>
      <c r="AH212" s="435">
        <f>IFERROR(INDEX('RBA 5Y yield'!$B$5:$B$661,MATCH(N212,'RBA 5Y yield'!$A$5:$A$661,1))*100,"")</f>
        <v>13.8</v>
      </c>
      <c r="AI212" s="435">
        <f>IF(AND(ISNUMBER(AH212),ISNUMBER(AH211)),AH212-AH211,"")</f>
        <v>0.199999999999999</v>
      </c>
      <c r="AJ212" s="435">
        <f>IF(AND(ISNUMBER(AH212),ISNUMBER(AH200)),AH212-AH200,"")</f>
        <v>0.800000000000001</v>
      </c>
      <c r="AK212" s="435">
        <f>IF(AND(ISNUMBER(AH212),ISNUMBER(AH152)),AH212-AH152,"")</f>
        <v>2.35</v>
      </c>
      <c r="AL212" s="560">
        <f>IFERROR(LN(INDEX(Data!$B$2:$B$497,MATCH(N212,Data!$A$2:$A$497,1))/INDEX(Data!$B$2:$B$497,MATCH(N200,Data!$A$2:$A$497,1))),"")</f>
      </c>
      <c r="AM212" s="560">
        <f>IFERROR(LN(INDEX(Data!$C$2:$C$497,MATCH(N212,Data!$A$2:$A$497,1))/INDEX(Data!$C$2:$C$497,MATCH(N200,Data!$A$2:$A$497,1))),"")</f>
      </c>
      <c r="AN212" s="560">
        <f>IFERROR(LN(INDEX(Data!$D$2:$D$497,MATCH(N212,Data!$A$2:$A$497,1))/INDEX(Data!$D$2:$D$497,MATCH(N200,Data!$A$2:$A$497,1))),"")</f>
      </c>
      <c r="AO212" s="560">
        <f>IFERROR(LN(INDEX(Data!$E$2:$E$497,MATCH(N212,Data!$A$2:$A$497,1))/INDEX(Data!$E$2:$E$497,MATCH(N200,Data!$A$2:$A$497,1))),"")</f>
      </c>
      <c r="AP212" s="560">
        <f>IFERROR(LN(INDEX(Data!$F$2:$F$497,MATCH(N212,Data!$A$2:$A$497,1))/INDEX(Data!$F$2:$F$497,MATCH(N200,Data!$A$2:$A$497,1))),"")</f>
      </c>
      <c r="AQ212" s="560">
        <f>IFERROR(LN(INDEX(Data!$G$2:$G$497,MATCH(N212,Data!$A$2:$A$497,1))/INDEX(Data!$G$2:$G$497,MATCH(N200,Data!$A$2:$A$497,1))),"")</f>
      </c>
      <c r="AR212" s="560">
        <f>IFERROR(LN(INDEX(Data!$H$2:$H$497,MATCH(N212,Data!$A$2:$A$497,1))/INDEX(Data!$H$2:$H$497,MATCH(N200,Data!$A$2:$A$497,1))),"")</f>
      </c>
      <c r="AS212" s="560">
        <f>IFERROR(LN(INDEX(Data!$I$2:$I$497,MATCH(N212,Data!$A$2:$A$497,1))/INDEX(Data!$I$2:$I$497,MATCH(N200,Data!$A$2:$A$497,1))),"")</f>
      </c>
      <c r="AT212" s="560">
        <f>IFERROR(LN(INDEX(Data!$J$2:$J$497,MATCH(N212,Data!$A$2:$A$497,1))/INDEX(Data!$J$2:$J$497,MATCH(N200,Data!$A$2:$A$497,1))),"")</f>
      </c>
      <c r="AU212" s="560">
        <f>IFERROR(LN(INDEX(Data!$K$2:$K$497,MATCH(N212,Data!$A$2:$A$497,1))/INDEX(Data!$K$2:$K$497,MATCH(N200,Data!$A$2:$A$497,1))),"")</f>
      </c>
      <c r="AV212" s="561">
        <f>IFERROR(LN(INDEX(Data!$L$2:$L$497,MATCH(N212,Data!$A$2:$A$497,1))/INDEX(Data!$L$2:$L$497,MATCH(N200,Data!$A$2:$A$497,1))),"")</f>
      </c>
    </row>
    <row r="213">
      <c r="N213" s="337" t="n">
        <v>31198</v>
      </c>
      <c r="O213" s="116">
        <f>INDEX('Additional data'!$B$2:$B$965,MATCH(DATE(YEAR(N213),MONTH(N213),1),'Additional data'!$A$2:$A$965,0))</f>
        <v>27.623</v>
      </c>
      <c r="P213" s="489">
        <f>LN(O213)</f>
        <v>3.318648759027</v>
      </c>
      <c r="Q213" s="489">
        <f>Q212+LN(1+INDEX('Additional data'!$H$2:$H$1196,MATCH(N213,'Additional data'!$G$2:$G$1196,1))+INDEX('Additional data'!$I$2:$I$1196,MATCH(N213,'Additional data'!$G$2:$G$1196,1)))</f>
        <v>1.44579818550639</v>
      </c>
      <c r="R213" s="489">
        <f>LN(INDEX(Data!$B$2:$B$497,MATCH(N213,Data!$A$2:$A$497,1)))</f>
        <v>7.71033965424046</v>
      </c>
      <c r="S213" s="116">
        <f>IF(INDEX('Additional data'!$E$2:$E$699,MATCH(DATE(YEAR(N213),MONTH(N213),1),'Additional data'!$D$2:$D$699,0))=0,(INDEX('Additional data'!$E$2:$E$699,MATCH(DATE(YEAR(N213),MONTH(N213),1),'Additional data'!$D$2:$D$699,0)-1)+INDEX('Additional data'!$E$2:$E$699,MATCH(DATE(YEAR(N213),MONTH(N213),1),'Additional data'!$D$2:$D$699,0)+1))/2,INDEX('Additional data'!$E$2:$E$699,MATCH(DATE(YEAR(N213),MONTH(N213),1),'Additional data'!$D$2:$D$699,0)))</f>
        <v>15.53</v>
      </c>
      <c r="T213" s="425">
        <f>P213-P212</f>
        <v>-0.0419002241573501</v>
      </c>
      <c r="U213" s="425">
        <f>Q213-Q212</f>
        <v>0.0557184887563438</v>
      </c>
      <c r="V213" s="425">
        <f>R213-R212</f>
        <v>-0.000268865389681849</v>
      </c>
      <c r="W213" s="116">
        <f>S213-S212</f>
        <v>-0.26</v>
      </c>
      <c r="X213" s="425">
        <f>P213-P201</f>
        <v>-0.0997334473892599</v>
      </c>
      <c r="Y213" s="425">
        <f>Q213-Q201</f>
        <v>0.279433309607275</v>
      </c>
      <c r="Z213" s="77" t="n"/>
      <c r="AA213" s="116">
        <f>S213-S201</f>
        <v>1.75</v>
      </c>
      <c r="AB213" s="425">
        <f>P213-P153</f>
        <v>-0.35765191288008</v>
      </c>
      <c r="AC213" s="425">
        <f>Q213-Q153</f>
        <v>0.798197133914771</v>
      </c>
      <c r="AD213" s="77" t="n"/>
      <c r="AE213" s="235">
        <f>S213-S153</f>
        <v>1.7</v>
      </c>
      <c r="AG213" s="554">
        <f>N213</f>
        <v>31198.0</v>
      </c>
      <c r="AH213" s="435">
        <f>IFERROR(INDEX('RBA 5Y yield'!$B$5:$B$661,MATCH(N213,'RBA 5Y yield'!$A$5:$A$661,1))*100,"")</f>
        <v>13.6</v>
      </c>
      <c r="AI213" s="435">
        <f>IF(AND(ISNUMBER(AH213),ISNUMBER(AH212)),AH213-AH212,"")</f>
        <v>-0.199999999999999</v>
      </c>
      <c r="AJ213" s="435">
        <f>IF(AND(ISNUMBER(AH213),ISNUMBER(AH201)),AH213-AH201,"")</f>
        <v>0.4</v>
      </c>
      <c r="AK213" s="435">
        <f>IF(AND(ISNUMBER(AH213),ISNUMBER(AH153)),AH213-AH153,"")</f>
        <v>1.8</v>
      </c>
      <c r="AL213" s="560">
        <f>IFERROR(LN(INDEX(Data!$B$2:$B$497,MATCH(N213,Data!$A$2:$A$497,1))/INDEX(Data!$B$2:$B$497,MATCH(N201,Data!$A$2:$A$497,1))),"")</f>
      </c>
      <c r="AM213" s="560">
        <f>IFERROR(LN(INDEX(Data!$C$2:$C$497,MATCH(N213,Data!$A$2:$A$497,1))/INDEX(Data!$C$2:$C$497,MATCH(N201,Data!$A$2:$A$497,1))),"")</f>
      </c>
      <c r="AN213" s="560">
        <f>IFERROR(LN(INDEX(Data!$D$2:$D$497,MATCH(N213,Data!$A$2:$A$497,1))/INDEX(Data!$D$2:$D$497,MATCH(N201,Data!$A$2:$A$497,1))),"")</f>
      </c>
      <c r="AO213" s="560">
        <f>IFERROR(LN(INDEX(Data!$E$2:$E$497,MATCH(N213,Data!$A$2:$A$497,1))/INDEX(Data!$E$2:$E$497,MATCH(N201,Data!$A$2:$A$497,1))),"")</f>
      </c>
      <c r="AP213" s="560">
        <f>IFERROR(LN(INDEX(Data!$F$2:$F$497,MATCH(N213,Data!$A$2:$A$497,1))/INDEX(Data!$F$2:$F$497,MATCH(N201,Data!$A$2:$A$497,1))),"")</f>
      </c>
      <c r="AQ213" s="560">
        <f>IFERROR(LN(INDEX(Data!$G$2:$G$497,MATCH(N213,Data!$A$2:$A$497,1))/INDEX(Data!$G$2:$G$497,MATCH(N201,Data!$A$2:$A$497,1))),"")</f>
      </c>
      <c r="AR213" s="560">
        <f>IFERROR(LN(INDEX(Data!$H$2:$H$497,MATCH(N213,Data!$A$2:$A$497,1))/INDEX(Data!$H$2:$H$497,MATCH(N201,Data!$A$2:$A$497,1))),"")</f>
      </c>
      <c r="AS213" s="560">
        <f>IFERROR(LN(INDEX(Data!$I$2:$I$497,MATCH(N213,Data!$A$2:$A$497,1))/INDEX(Data!$I$2:$I$497,MATCH(N201,Data!$A$2:$A$497,1))),"")</f>
      </c>
      <c r="AT213" s="560">
        <f>IFERROR(LN(INDEX(Data!$J$2:$J$497,MATCH(N213,Data!$A$2:$A$497,1))/INDEX(Data!$J$2:$J$497,MATCH(N201,Data!$A$2:$A$497,1))),"")</f>
      </c>
      <c r="AU213" s="560">
        <f>IFERROR(LN(INDEX(Data!$K$2:$K$497,MATCH(N213,Data!$A$2:$A$497,1))/INDEX(Data!$K$2:$K$497,MATCH(N201,Data!$A$2:$A$497,1))),"")</f>
      </c>
      <c r="AV213" s="561">
        <f>IFERROR(LN(INDEX(Data!$L$2:$L$497,MATCH(N213,Data!$A$2:$A$497,1))/INDEX(Data!$L$2:$L$497,MATCH(N201,Data!$A$2:$A$497,1))),"")</f>
      </c>
    </row>
    <row r="214">
      <c r="N214" s="337" t="n">
        <v>31228</v>
      </c>
      <c r="O214" s="116">
        <f>INDEX('Additional data'!$B$2:$B$965,MATCH(DATE(YEAR(N214),MONTH(N214),1),'Additional data'!$A$2:$A$965,0))</f>
        <v>27.143</v>
      </c>
      <c r="P214" s="489">
        <f>LN(O214)</f>
        <v>3.30111918624922</v>
      </c>
      <c r="Q214" s="489">
        <f>Q213+LN(1+INDEX('Additional data'!$H$2:$H$1196,MATCH(N214,'Additional data'!$G$2:$G$1196,1))+INDEX('Additional data'!$I$2:$I$1196,MATCH(N214,'Additional data'!$G$2:$G$1196,1)))</f>
        <v>1.46383454799249</v>
      </c>
      <c r="R214" s="489">
        <f>LN(INDEX(Data!$B$2:$B$497,MATCH(N214,Data!$A$2:$A$497,1)))</f>
        <v>7.69884553387205</v>
      </c>
      <c r="S214" s="116">
        <f>IF(INDEX('Additional data'!$E$2:$E$699,MATCH(DATE(YEAR(N214),MONTH(N214),1),'Additional data'!$D$2:$D$699,0))=0,(INDEX('Additional data'!$E$2:$E$699,MATCH(DATE(YEAR(N214),MONTH(N214),1),'Additional data'!$D$2:$D$699,0)-1)+INDEX('Additional data'!$E$2:$E$699,MATCH(DATE(YEAR(N214),MONTH(N214),1),'Additional data'!$D$2:$D$699,0)+1))/2,INDEX('Additional data'!$E$2:$E$699,MATCH(DATE(YEAR(N214),MONTH(N214),1),'Additional data'!$D$2:$D$699,0)))</f>
        <v>15.75</v>
      </c>
      <c r="T214" s="425">
        <f>P214-P213</f>
        <v>-0.0175295727777791</v>
      </c>
      <c r="U214" s="425">
        <f>Q214-Q213</f>
        <v>0.0180363624860986</v>
      </c>
      <c r="V214" s="425">
        <f>R214-R213</f>
        <v>-0.0114941203684111</v>
      </c>
      <c r="W214" s="116">
        <f>S214-S213</f>
        <v>0.220000000000001</v>
      </c>
      <c r="X214" s="425">
        <f>P214-P202</f>
        <v>-0.0989775899689049</v>
      </c>
      <c r="Y214" s="425">
        <f>Q214-Q202</f>
        <v>0.272191864909105</v>
      </c>
      <c r="Z214" s="77" t="n"/>
      <c r="AA214" s="116">
        <f>S214-S202</f>
        <v>2.94</v>
      </c>
      <c r="AB214" s="425">
        <f>P214-P154</f>
        <v>-0.375181485657859</v>
      </c>
      <c r="AC214" s="425">
        <f>Q214-Q154</f>
        <v>0.78096288231895</v>
      </c>
      <c r="AD214" s="77" t="n"/>
      <c r="AE214" s="235">
        <f>S214-S154</f>
        <v>1.92</v>
      </c>
      <c r="AG214" s="554">
        <f>N214</f>
        <v>31228.0</v>
      </c>
      <c r="AH214" s="435">
        <f>IFERROR(INDEX('RBA 5Y yield'!$B$5:$B$661,MATCH(N214,'RBA 5Y yield'!$A$5:$A$661,1))*100,"")</f>
        <v>13.35</v>
      </c>
      <c r="AI214" s="435">
        <f>IF(AND(ISNUMBER(AH214),ISNUMBER(AH213)),AH214-AH213,"")</f>
        <v>-0.25</v>
      </c>
      <c r="AJ214" s="435">
        <f>IF(AND(ISNUMBER(AH214),ISNUMBER(AH202)),AH214-AH202,"")</f>
        <v>0.4</v>
      </c>
      <c r="AK214" s="435">
        <f>IF(AND(ISNUMBER(AH214),ISNUMBER(AH154)),AH214-AH154,"")</f>
        <v>1.57</v>
      </c>
      <c r="AL214" s="560">
        <f>IFERROR(LN(INDEX(Data!$B$2:$B$497,MATCH(N214,Data!$A$2:$A$497,1))/INDEX(Data!$B$2:$B$497,MATCH(N202,Data!$A$2:$A$497,1))),"")</f>
      </c>
      <c r="AM214" s="560">
        <f>IFERROR(LN(INDEX(Data!$C$2:$C$497,MATCH(N214,Data!$A$2:$A$497,1))/INDEX(Data!$C$2:$C$497,MATCH(N202,Data!$A$2:$A$497,1))),"")</f>
      </c>
      <c r="AN214" s="560">
        <f>IFERROR(LN(INDEX(Data!$D$2:$D$497,MATCH(N214,Data!$A$2:$A$497,1))/INDEX(Data!$D$2:$D$497,MATCH(N202,Data!$A$2:$A$497,1))),"")</f>
      </c>
      <c r="AO214" s="560">
        <f>IFERROR(LN(INDEX(Data!$E$2:$E$497,MATCH(N214,Data!$A$2:$A$497,1))/INDEX(Data!$E$2:$E$497,MATCH(N202,Data!$A$2:$A$497,1))),"")</f>
      </c>
      <c r="AP214" s="560">
        <f>IFERROR(LN(INDEX(Data!$F$2:$F$497,MATCH(N214,Data!$A$2:$A$497,1))/INDEX(Data!$F$2:$F$497,MATCH(N202,Data!$A$2:$A$497,1))),"")</f>
      </c>
      <c r="AQ214" s="560">
        <f>IFERROR(LN(INDEX(Data!$G$2:$G$497,MATCH(N214,Data!$A$2:$A$497,1))/INDEX(Data!$G$2:$G$497,MATCH(N202,Data!$A$2:$A$497,1))),"")</f>
      </c>
      <c r="AR214" s="560">
        <f>IFERROR(LN(INDEX(Data!$H$2:$H$497,MATCH(N214,Data!$A$2:$A$497,1))/INDEX(Data!$H$2:$H$497,MATCH(N202,Data!$A$2:$A$497,1))),"")</f>
      </c>
      <c r="AS214" s="560">
        <f>IFERROR(LN(INDEX(Data!$I$2:$I$497,MATCH(N214,Data!$A$2:$A$497,1))/INDEX(Data!$I$2:$I$497,MATCH(N202,Data!$A$2:$A$497,1))),"")</f>
      </c>
      <c r="AT214" s="560">
        <f>IFERROR(LN(INDEX(Data!$J$2:$J$497,MATCH(N214,Data!$A$2:$A$497,1))/INDEX(Data!$J$2:$J$497,MATCH(N202,Data!$A$2:$A$497,1))),"")</f>
      </c>
      <c r="AU214" s="560">
        <f>IFERROR(LN(INDEX(Data!$K$2:$K$497,MATCH(N214,Data!$A$2:$A$497,1))/INDEX(Data!$K$2:$K$497,MATCH(N202,Data!$A$2:$A$497,1))),"")</f>
      </c>
      <c r="AV214" s="561">
        <f>IFERROR(LN(INDEX(Data!$L$2:$L$497,MATCH(N214,Data!$A$2:$A$497,1))/INDEX(Data!$L$2:$L$497,MATCH(N202,Data!$A$2:$A$497,1))),"")</f>
      </c>
    </row>
    <row r="215">
      <c r="N215" s="337" t="n">
        <v>31259</v>
      </c>
      <c r="O215" s="116">
        <f>INDEX('Additional data'!$B$2:$B$965,MATCH(DATE(YEAR(N215),MONTH(N215),1),'Additional data'!$A$2:$A$965,0))</f>
        <v>27.329</v>
      </c>
      <c r="P215" s="489">
        <f>LN(O215)</f>
        <v>3.30794840944253</v>
      </c>
      <c r="Q215" s="489">
        <f>Q214+LN(1+INDEX('Additional data'!$H$2:$H$1196,MATCH(N215,'Additional data'!$G$2:$G$1196,1))+INDEX('Additional data'!$I$2:$I$1196,MATCH(N215,'Additional data'!$G$2:$G$1196,1)))</f>
        <v>1.46283404765891</v>
      </c>
      <c r="R215" s="489">
        <f>LN(INDEX(Data!$B$2:$B$497,MATCH(N215,Data!$A$2:$A$497,1)))</f>
        <v>7.78451484951896</v>
      </c>
      <c r="S215" s="116">
        <f>IF(INDEX('Additional data'!$E$2:$E$699,MATCH(DATE(YEAR(N215),MONTH(N215),1),'Additional data'!$D$2:$D$699,0))=0,(INDEX('Additional data'!$E$2:$E$699,MATCH(DATE(YEAR(N215),MONTH(N215),1),'Additional data'!$D$2:$D$699,0)-1)+INDEX('Additional data'!$E$2:$E$699,MATCH(DATE(YEAR(N215),MONTH(N215),1),'Additional data'!$D$2:$D$699,0)+1))/2,INDEX('Additional data'!$E$2:$E$699,MATCH(DATE(YEAR(N215),MONTH(N215),1),'Additional data'!$D$2:$D$699,0)))</f>
        <v>15.14</v>
      </c>
      <c r="T215" s="425">
        <f>P215-P214</f>
        <v>0.00682922319330759</v>
      </c>
      <c r="U215" s="425">
        <f>Q215-Q214</f>
        <v>-0.00100050033358357</v>
      </c>
      <c r="V215" s="425">
        <f>R215-R214</f>
        <v>0.0856693156469133</v>
      </c>
      <c r="W215" s="116">
        <f>S215-S214</f>
        <v>-0.609999999999999</v>
      </c>
      <c r="X215" s="425">
        <f>P215-P203</f>
        <v>-0.0507589205986783</v>
      </c>
      <c r="Y215" s="425">
        <f>Q215-Q203</f>
        <v>0.290374183992295</v>
      </c>
      <c r="Z215" s="77" t="n"/>
      <c r="AA215" s="116">
        <f>S215-S203</f>
        <v>2.84</v>
      </c>
      <c r="AB215" s="425">
        <f>P215-P155</f>
        <v>-0.368352262464551</v>
      </c>
      <c r="AC215" s="425">
        <f>Q215-Q155</f>
        <v>0.711929971593539</v>
      </c>
      <c r="AD215" s="77" t="n"/>
      <c r="AE215" s="235">
        <f>S215-S155</f>
        <v>2.27</v>
      </c>
      <c r="AG215" s="554">
        <f>N215</f>
        <v>31259.0</v>
      </c>
      <c r="AH215" s="435">
        <f>IFERROR(INDEX('RBA 5Y yield'!$B$5:$B$661,MATCH(N215,'RBA 5Y yield'!$A$5:$A$661,1))*100,"")</f>
        <v>13.3</v>
      </c>
      <c r="AI215" s="435">
        <f>IF(AND(ISNUMBER(AH215),ISNUMBER(AH214)),AH215-AH214,"")</f>
        <v>-0.0500000000000007</v>
      </c>
      <c r="AJ215" s="435">
        <f>IF(AND(ISNUMBER(AH215),ISNUMBER(AH203)),AH215-AH203,"")</f>
        <v>0.550000000000001</v>
      </c>
      <c r="AK215" s="435">
        <f>IF(AND(ISNUMBER(AH215),ISNUMBER(AH155)),AH215-AH155,"")</f>
        <v>1.52</v>
      </c>
      <c r="AL215" s="560">
        <f>IFERROR(LN(INDEX(Data!$B$2:$B$497,MATCH(N215,Data!$A$2:$A$497,1))/INDEX(Data!$B$2:$B$497,MATCH(N203,Data!$A$2:$A$497,1))),"")</f>
      </c>
      <c r="AM215" s="560">
        <f>IFERROR(LN(INDEX(Data!$C$2:$C$497,MATCH(N215,Data!$A$2:$A$497,1))/INDEX(Data!$C$2:$C$497,MATCH(N203,Data!$A$2:$A$497,1))),"")</f>
      </c>
      <c r="AN215" s="560">
        <f>IFERROR(LN(INDEX(Data!$D$2:$D$497,MATCH(N215,Data!$A$2:$A$497,1))/INDEX(Data!$D$2:$D$497,MATCH(N203,Data!$A$2:$A$497,1))),"")</f>
      </c>
      <c r="AO215" s="560">
        <f>IFERROR(LN(INDEX(Data!$E$2:$E$497,MATCH(N215,Data!$A$2:$A$497,1))/INDEX(Data!$E$2:$E$497,MATCH(N203,Data!$A$2:$A$497,1))),"")</f>
      </c>
      <c r="AP215" s="560">
        <f>IFERROR(LN(INDEX(Data!$F$2:$F$497,MATCH(N215,Data!$A$2:$A$497,1))/INDEX(Data!$F$2:$F$497,MATCH(N203,Data!$A$2:$A$497,1))),"")</f>
      </c>
      <c r="AQ215" s="560">
        <f>IFERROR(LN(INDEX(Data!$G$2:$G$497,MATCH(N215,Data!$A$2:$A$497,1))/INDEX(Data!$G$2:$G$497,MATCH(N203,Data!$A$2:$A$497,1))),"")</f>
      </c>
      <c r="AR215" s="560">
        <f>IFERROR(LN(INDEX(Data!$H$2:$H$497,MATCH(N215,Data!$A$2:$A$497,1))/INDEX(Data!$H$2:$H$497,MATCH(N203,Data!$A$2:$A$497,1))),"")</f>
      </c>
      <c r="AS215" s="560">
        <f>IFERROR(LN(INDEX(Data!$I$2:$I$497,MATCH(N215,Data!$A$2:$A$497,1))/INDEX(Data!$I$2:$I$497,MATCH(N203,Data!$A$2:$A$497,1))),"")</f>
      </c>
      <c r="AT215" s="560">
        <f>IFERROR(LN(INDEX(Data!$J$2:$J$497,MATCH(N215,Data!$A$2:$A$497,1))/INDEX(Data!$J$2:$J$497,MATCH(N203,Data!$A$2:$A$497,1))),"")</f>
      </c>
      <c r="AU215" s="560">
        <f>IFERROR(LN(INDEX(Data!$K$2:$K$497,MATCH(N215,Data!$A$2:$A$497,1))/INDEX(Data!$K$2:$K$497,MATCH(N203,Data!$A$2:$A$497,1))),"")</f>
      </c>
      <c r="AV215" s="561">
        <f>IFERROR(LN(INDEX(Data!$L$2:$L$497,MATCH(N215,Data!$A$2:$A$497,1))/INDEX(Data!$L$2:$L$497,MATCH(N203,Data!$A$2:$A$497,1))),"")</f>
      </c>
    </row>
    <row r="216">
      <c r="N216" s="337" t="n">
        <v>31290</v>
      </c>
      <c r="O216" s="116">
        <f>INDEX('Additional data'!$B$2:$B$965,MATCH(DATE(YEAR(N216),MONTH(N216),1),'Additional data'!$A$2:$A$965,0))</f>
        <v>27.755</v>
      </c>
      <c r="P216" s="489">
        <f>LN(O216)</f>
        <v>3.32341600414213</v>
      </c>
      <c r="Q216" s="489">
        <f>Q215+LN(1+INDEX('Additional data'!$H$2:$H$1196,MATCH(N216,'Additional data'!$G$2:$G$1196,1))+INDEX('Additional data'!$I$2:$I$1196,MATCH(N216,'Additional data'!$G$2:$G$1196,1)))</f>
        <v>1.45822343510122</v>
      </c>
      <c r="R216" s="489">
        <f>LN(INDEX(Data!$B$2:$B$497,MATCH(N216,Data!$A$2:$A$497,1)))</f>
        <v>7.78792130013766</v>
      </c>
      <c r="S216" s="116">
        <f>IF(INDEX('Additional data'!$E$2:$E$699,MATCH(DATE(YEAR(N216),MONTH(N216),1),'Additional data'!$D$2:$D$699,0))=0,(INDEX('Additional data'!$E$2:$E$699,MATCH(DATE(YEAR(N216),MONTH(N216),1),'Additional data'!$D$2:$D$699,0)-1)+INDEX('Additional data'!$E$2:$E$699,MATCH(DATE(YEAR(N216),MONTH(N216),1),'Additional data'!$D$2:$D$699,0)+1))/2,INDEX('Additional data'!$E$2:$E$699,MATCH(DATE(YEAR(N216),MONTH(N216),1),'Additional data'!$D$2:$D$699,0)))</f>
        <v>16.25</v>
      </c>
      <c r="T216" s="425">
        <f>P216-P215</f>
        <v>0.0154675946995999</v>
      </c>
      <c r="U216" s="425">
        <f>Q216-Q215</f>
        <v>-0.00461061255768325</v>
      </c>
      <c r="V216" s="425">
        <f>R216-R215</f>
        <v>0.00340645061869971</v>
      </c>
      <c r="W216" s="116">
        <f>S216-S215</f>
        <v>1.11</v>
      </c>
      <c r="X216" s="425">
        <f>P216-P204</f>
        <v>-0.0524635695357407</v>
      </c>
      <c r="Y216" s="425">
        <f>Q216-Q204</f>
        <v>0.180503060777119</v>
      </c>
      <c r="Z216" s="77" t="n"/>
      <c r="AA216" s="116">
        <f>S216-S204</f>
        <v>4.69</v>
      </c>
      <c r="AB216" s="425">
        <f>P216-P156</f>
        <v>-0.314170155584261</v>
      </c>
      <c r="AC216" s="425">
        <f>Q216-Q156</f>
        <v>0.683700493437222</v>
      </c>
      <c r="AD216" s="77" t="n"/>
      <c r="AE216" s="235">
        <f>S216-S156</f>
        <v>3.92</v>
      </c>
      <c r="AG216" s="554">
        <f>N216</f>
        <v>31290.0</v>
      </c>
      <c r="AH216" s="435">
        <f>IFERROR(INDEX('RBA 5Y yield'!$B$5:$B$661,MATCH(N216,'RBA 5Y yield'!$A$5:$A$661,1))*100,"")</f>
        <v>14</v>
      </c>
      <c r="AI216" s="435">
        <f>IF(AND(ISNUMBER(AH216),ISNUMBER(AH215)),AH216-AH215,"")</f>
        <v>0.700000000000001</v>
      </c>
      <c r="AJ216" s="435">
        <f>IF(AND(ISNUMBER(AH216),ISNUMBER(AH204)),AH216-AH204,"")</f>
        <v>1.85</v>
      </c>
      <c r="AK216" s="435">
        <f>IF(AND(ISNUMBER(AH216),ISNUMBER(AH156)),AH216-AH156,"")</f>
        <v>2.22</v>
      </c>
      <c r="AL216" s="560">
        <f>IFERROR(LN(INDEX(Data!$B$2:$B$497,MATCH(N216,Data!$A$2:$A$497,1))/INDEX(Data!$B$2:$B$497,MATCH(N204,Data!$A$2:$A$497,1))),"")</f>
      </c>
      <c r="AM216" s="560">
        <f>IFERROR(LN(INDEX(Data!$C$2:$C$497,MATCH(N216,Data!$A$2:$A$497,1))/INDEX(Data!$C$2:$C$497,MATCH(N204,Data!$A$2:$A$497,1))),"")</f>
      </c>
      <c r="AN216" s="560">
        <f>IFERROR(LN(INDEX(Data!$D$2:$D$497,MATCH(N216,Data!$A$2:$A$497,1))/INDEX(Data!$D$2:$D$497,MATCH(N204,Data!$A$2:$A$497,1))),"")</f>
      </c>
      <c r="AO216" s="560">
        <f>IFERROR(LN(INDEX(Data!$E$2:$E$497,MATCH(N216,Data!$A$2:$A$497,1))/INDEX(Data!$E$2:$E$497,MATCH(N204,Data!$A$2:$A$497,1))),"")</f>
      </c>
      <c r="AP216" s="560">
        <f>IFERROR(LN(INDEX(Data!$F$2:$F$497,MATCH(N216,Data!$A$2:$A$497,1))/INDEX(Data!$F$2:$F$497,MATCH(N204,Data!$A$2:$A$497,1))),"")</f>
      </c>
      <c r="AQ216" s="560">
        <f>IFERROR(LN(INDEX(Data!$G$2:$G$497,MATCH(N216,Data!$A$2:$A$497,1))/INDEX(Data!$G$2:$G$497,MATCH(N204,Data!$A$2:$A$497,1))),"")</f>
      </c>
      <c r="AR216" s="560">
        <f>IFERROR(LN(INDEX(Data!$H$2:$H$497,MATCH(N216,Data!$A$2:$A$497,1))/INDEX(Data!$H$2:$H$497,MATCH(N204,Data!$A$2:$A$497,1))),"")</f>
      </c>
      <c r="AS216" s="560">
        <f>IFERROR(LN(INDEX(Data!$I$2:$I$497,MATCH(N216,Data!$A$2:$A$497,1))/INDEX(Data!$I$2:$I$497,MATCH(N204,Data!$A$2:$A$497,1))),"")</f>
      </c>
      <c r="AT216" s="560">
        <f>IFERROR(LN(INDEX(Data!$J$2:$J$497,MATCH(N216,Data!$A$2:$A$497,1))/INDEX(Data!$J$2:$J$497,MATCH(N204,Data!$A$2:$A$497,1))),"")</f>
      </c>
      <c r="AU216" s="560">
        <f>IFERROR(LN(INDEX(Data!$K$2:$K$497,MATCH(N216,Data!$A$2:$A$497,1))/INDEX(Data!$K$2:$K$497,MATCH(N204,Data!$A$2:$A$497,1))),"")</f>
      </c>
      <c r="AV216" s="561">
        <f>IFERROR(LN(INDEX(Data!$L$2:$L$497,MATCH(N216,Data!$A$2:$A$497,1))/INDEX(Data!$L$2:$L$497,MATCH(N204,Data!$A$2:$A$497,1))),"")</f>
      </c>
    </row>
    <row r="217">
      <c r="N217" s="337" t="n">
        <v>31320</v>
      </c>
      <c r="O217" s="116">
        <f>INDEX('Additional data'!$B$2:$B$965,MATCH(DATE(YEAR(N217),MONTH(N217),1),'Additional data'!$A$2:$A$965,0))</f>
        <v>28.289</v>
      </c>
      <c r="P217" s="489">
        <f>LN(O217)</f>
        <v>3.34247303650915</v>
      </c>
      <c r="Q217" s="489">
        <f>Q216+LN(1+INDEX('Additional data'!$H$2:$H$1196,MATCH(N217,'Additional data'!$G$2:$G$1196,1))+INDEX('Additional data'!$I$2:$I$1196,MATCH(N217,'Additional data'!$G$2:$G$1196,1)))</f>
        <v>1.41833850140231</v>
      </c>
      <c r="R217" s="489">
        <f>LN(INDEX(Data!$B$2:$B$497,MATCH(N217,Data!$A$2:$A$497,1)))</f>
        <v>7.84223950104826</v>
      </c>
      <c r="S217" s="116">
        <f>IF(INDEX('Additional data'!$E$2:$E$699,MATCH(DATE(YEAR(N217),MONTH(N217),1),'Additional data'!$D$2:$D$699,0))=0,(INDEX('Additional data'!$E$2:$E$699,MATCH(DATE(YEAR(N217),MONTH(N217),1),'Additional data'!$D$2:$D$699,0)-1)+INDEX('Additional data'!$E$2:$E$699,MATCH(DATE(YEAR(N217),MONTH(N217),1),'Additional data'!$D$2:$D$699,0)+1))/2,INDEX('Additional data'!$E$2:$E$699,MATCH(DATE(YEAR(N217),MONTH(N217),1),'Additional data'!$D$2:$D$699,0)))</f>
        <v>16.78</v>
      </c>
      <c r="T217" s="425">
        <f>P217-P216</f>
        <v>0.0190570323670207</v>
      </c>
      <c r="U217" s="425">
        <f>Q217-Q216</f>
        <v>-0.0398849336989149</v>
      </c>
      <c r="V217" s="425">
        <f>R217-R216</f>
        <v>0.0543182009105969</v>
      </c>
      <c r="W217" s="116">
        <f>S217-S216</f>
        <v>0.530000000000001</v>
      </c>
      <c r="X217" s="425">
        <f>P217-P205</f>
        <v>-0.0354898356800959</v>
      </c>
      <c r="Y217" s="425">
        <f>Q217-Q205</f>
        <v>0.140018307006237</v>
      </c>
      <c r="Z217" s="77" t="n"/>
      <c r="AA217" s="116">
        <f>S217-S205</f>
        <v>6.25</v>
      </c>
      <c r="AB217" s="425">
        <f>P217-P157</f>
        <v>-0.241045901946964</v>
      </c>
      <c r="AC217" s="425">
        <f>Q217-Q157</f>
        <v>0.61483945150179</v>
      </c>
      <c r="AD217" s="77" t="n"/>
      <c r="AE217" s="235">
        <f>S217-S157</f>
        <v>5.09</v>
      </c>
      <c r="AG217" s="554">
        <f>N217</f>
        <v>31320.0</v>
      </c>
      <c r="AH217" s="435">
        <f>IFERROR(INDEX('RBA 5Y yield'!$B$5:$B$661,MATCH(N217,'RBA 5Y yield'!$A$5:$A$661,1))*100,"")</f>
        <v>13.9</v>
      </c>
      <c r="AI217" s="435">
        <f>IF(AND(ISNUMBER(AH217),ISNUMBER(AH216)),AH217-AH216,"")</f>
        <v>-0.0999999999999996</v>
      </c>
      <c r="AJ217" s="435">
        <f>IF(AND(ISNUMBER(AH217),ISNUMBER(AH205)),AH217-AH205,"")</f>
        <v>1.3</v>
      </c>
      <c r="AK217" s="435">
        <f>IF(AND(ISNUMBER(AH217),ISNUMBER(AH157)),AH217-AH157,"")</f>
        <v>2.11</v>
      </c>
      <c r="AL217" s="560">
        <f>IFERROR(LN(INDEX(Data!$B$2:$B$497,MATCH(N217,Data!$A$2:$A$497,1))/INDEX(Data!$B$2:$B$497,MATCH(N205,Data!$A$2:$A$497,1))),"")</f>
      </c>
      <c r="AM217" s="560">
        <f>IFERROR(LN(INDEX(Data!$C$2:$C$497,MATCH(N217,Data!$A$2:$A$497,1))/INDEX(Data!$C$2:$C$497,MATCH(N205,Data!$A$2:$A$497,1))),"")</f>
      </c>
      <c r="AN217" s="560">
        <f>IFERROR(LN(INDEX(Data!$D$2:$D$497,MATCH(N217,Data!$A$2:$A$497,1))/INDEX(Data!$D$2:$D$497,MATCH(N205,Data!$A$2:$A$497,1))),"")</f>
      </c>
      <c r="AO217" s="560">
        <f>IFERROR(LN(INDEX(Data!$E$2:$E$497,MATCH(N217,Data!$A$2:$A$497,1))/INDEX(Data!$E$2:$E$497,MATCH(N205,Data!$A$2:$A$497,1))),"")</f>
      </c>
      <c r="AP217" s="560">
        <f>IFERROR(LN(INDEX(Data!$F$2:$F$497,MATCH(N217,Data!$A$2:$A$497,1))/INDEX(Data!$F$2:$F$497,MATCH(N205,Data!$A$2:$A$497,1))),"")</f>
      </c>
      <c r="AQ217" s="560">
        <f>IFERROR(LN(INDEX(Data!$G$2:$G$497,MATCH(N217,Data!$A$2:$A$497,1))/INDEX(Data!$G$2:$G$497,MATCH(N205,Data!$A$2:$A$497,1))),"")</f>
      </c>
      <c r="AR217" s="560">
        <f>IFERROR(LN(INDEX(Data!$H$2:$H$497,MATCH(N217,Data!$A$2:$A$497,1))/INDEX(Data!$H$2:$H$497,MATCH(N205,Data!$A$2:$A$497,1))),"")</f>
      </c>
      <c r="AS217" s="560">
        <f>IFERROR(LN(INDEX(Data!$I$2:$I$497,MATCH(N217,Data!$A$2:$A$497,1))/INDEX(Data!$I$2:$I$497,MATCH(N205,Data!$A$2:$A$497,1))),"")</f>
      </c>
      <c r="AT217" s="560">
        <f>IFERROR(LN(INDEX(Data!$J$2:$J$497,MATCH(N217,Data!$A$2:$A$497,1))/INDEX(Data!$J$2:$J$497,MATCH(N205,Data!$A$2:$A$497,1))),"")</f>
      </c>
      <c r="AU217" s="560">
        <f>IFERROR(LN(INDEX(Data!$K$2:$K$497,MATCH(N217,Data!$A$2:$A$497,1))/INDEX(Data!$K$2:$K$497,MATCH(N205,Data!$A$2:$A$497,1))),"")</f>
      </c>
      <c r="AV217" s="561">
        <f>IFERROR(LN(INDEX(Data!$L$2:$L$497,MATCH(N217,Data!$A$2:$A$497,1))/INDEX(Data!$L$2:$L$497,MATCH(N205,Data!$A$2:$A$497,1))),"")</f>
      </c>
    </row>
    <row r="218">
      <c r="N218" s="337" t="n">
        <v>31351</v>
      </c>
      <c r="O218" s="116">
        <f>INDEX('Additional data'!$B$2:$B$965,MATCH(DATE(YEAR(N218),MONTH(N218),1),'Additional data'!$A$2:$A$965,0))</f>
        <v>29.538</v>
      </c>
      <c r="P218" s="489">
        <f>LN(O218)</f>
        <v>3.38567757000412</v>
      </c>
      <c r="Q218" s="489">
        <f>Q217+LN(1+INDEX('Additional data'!$H$2:$H$1196,MATCH(N218,'Additional data'!$G$2:$G$1196,1))+INDEX('Additional data'!$I$2:$I$1196,MATCH(N218,'Additional data'!$G$2:$G$1196,1)))</f>
        <v>1.46378976430623</v>
      </c>
      <c r="R218" s="489">
        <f>LN(INDEX(Data!$B$2:$B$497,MATCH(N218,Data!$A$2:$A$497,1)))</f>
        <v>7.88987120387646</v>
      </c>
      <c r="S218" s="116">
        <f>IF(INDEX('Additional data'!$E$2:$E$699,MATCH(DATE(YEAR(N218),MONTH(N218),1),'Additional data'!$D$2:$D$699,0))=0,(INDEX('Additional data'!$E$2:$E$699,MATCH(DATE(YEAR(N218),MONTH(N218),1),'Additional data'!$D$2:$D$699,0)-1)+INDEX('Additional data'!$E$2:$E$699,MATCH(DATE(YEAR(N218),MONTH(N218),1),'Additional data'!$D$2:$D$699,0)+1))/2,INDEX('Additional data'!$E$2:$E$699,MATCH(DATE(YEAR(N218),MONTH(N218),1),'Additional data'!$D$2:$D$699,0)))</f>
        <v>16.36</v>
      </c>
      <c r="T218" s="425">
        <f>P218-P217</f>
        <v>0.0432045334949729</v>
      </c>
      <c r="U218" s="425">
        <f>Q218-Q217</f>
        <v>0.0454512629039174</v>
      </c>
      <c r="V218" s="425">
        <f>R218-R217</f>
        <v>0.0476317028282063</v>
      </c>
      <c r="W218" s="116">
        <f>S218-S217</f>
        <v>-0.420000000000002</v>
      </c>
      <c r="X218" s="425">
        <f>P218-P206</f>
        <v>0.0265181996888617</v>
      </c>
      <c r="Y218" s="425">
        <f>Q218-Q206</f>
        <v>0.183870848546457</v>
      </c>
      <c r="Z218" s="77" t="n"/>
      <c r="AA218" s="116">
        <f>S218-S206</f>
        <v>5.19</v>
      </c>
      <c r="AB218" s="425">
        <f>P218-P158</f>
        <v>-0.197841368451992</v>
      </c>
      <c r="AC218" s="425">
        <f>Q218-Q158</f>
        <v>0.640586131131372</v>
      </c>
      <c r="AD218" s="77" t="n"/>
      <c r="AE218" s="235">
        <f>S218-S158</f>
        <v>5.14</v>
      </c>
      <c r="AG218" s="554">
        <f>N218</f>
        <v>31351.0</v>
      </c>
      <c r="AH218" s="435">
        <f>IFERROR(INDEX('RBA 5Y yield'!$B$5:$B$661,MATCH(N218,'RBA 5Y yield'!$A$5:$A$661,1))*100,"")</f>
        <v>14.75</v>
      </c>
      <c r="AI218" s="435">
        <f>IF(AND(ISNUMBER(AH218),ISNUMBER(AH217)),AH218-AH217,"")</f>
        <v>0.849999999999998</v>
      </c>
      <c r="AJ218" s="435">
        <f>IF(AND(ISNUMBER(AH218),ISNUMBER(AH206)),AH218-AH206,"")</f>
        <v>1.9</v>
      </c>
      <c r="AK218" s="435">
        <f>IF(AND(ISNUMBER(AH218),ISNUMBER(AH158)),AH218-AH158,"")</f>
        <v>2.87</v>
      </c>
      <c r="AL218" s="560">
        <f>IFERROR(LN(INDEX(Data!$B$2:$B$497,MATCH(N218,Data!$A$2:$A$497,1))/INDEX(Data!$B$2:$B$497,MATCH(N206,Data!$A$2:$A$497,1))),"")</f>
      </c>
      <c r="AM218" s="560">
        <f>IFERROR(LN(INDEX(Data!$C$2:$C$497,MATCH(N218,Data!$A$2:$A$497,1))/INDEX(Data!$C$2:$C$497,MATCH(N206,Data!$A$2:$A$497,1))),"")</f>
      </c>
      <c r="AN218" s="560">
        <f>IFERROR(LN(INDEX(Data!$D$2:$D$497,MATCH(N218,Data!$A$2:$A$497,1))/INDEX(Data!$D$2:$D$497,MATCH(N206,Data!$A$2:$A$497,1))),"")</f>
      </c>
      <c r="AO218" s="560">
        <f>IFERROR(LN(INDEX(Data!$E$2:$E$497,MATCH(N218,Data!$A$2:$A$497,1))/INDEX(Data!$E$2:$E$497,MATCH(N206,Data!$A$2:$A$497,1))),"")</f>
      </c>
      <c r="AP218" s="560">
        <f>IFERROR(LN(INDEX(Data!$F$2:$F$497,MATCH(N218,Data!$A$2:$A$497,1))/INDEX(Data!$F$2:$F$497,MATCH(N206,Data!$A$2:$A$497,1))),"")</f>
      </c>
      <c r="AQ218" s="560">
        <f>IFERROR(LN(INDEX(Data!$G$2:$G$497,MATCH(N218,Data!$A$2:$A$497,1))/INDEX(Data!$G$2:$G$497,MATCH(N206,Data!$A$2:$A$497,1))),"")</f>
      </c>
      <c r="AR218" s="560">
        <f>IFERROR(LN(INDEX(Data!$H$2:$H$497,MATCH(N218,Data!$A$2:$A$497,1))/INDEX(Data!$H$2:$H$497,MATCH(N206,Data!$A$2:$A$497,1))),"")</f>
      </c>
      <c r="AS218" s="560">
        <f>IFERROR(LN(INDEX(Data!$I$2:$I$497,MATCH(N218,Data!$A$2:$A$497,1))/INDEX(Data!$I$2:$I$497,MATCH(N206,Data!$A$2:$A$497,1))),"")</f>
      </c>
      <c r="AT218" s="560">
        <f>IFERROR(LN(INDEX(Data!$J$2:$J$497,MATCH(N218,Data!$A$2:$A$497,1))/INDEX(Data!$J$2:$J$497,MATCH(N206,Data!$A$2:$A$497,1))),"")</f>
      </c>
      <c r="AU218" s="560">
        <f>IFERROR(LN(INDEX(Data!$K$2:$K$497,MATCH(N218,Data!$A$2:$A$497,1))/INDEX(Data!$K$2:$K$497,MATCH(N206,Data!$A$2:$A$497,1))),"")</f>
      </c>
      <c r="AV218" s="561">
        <f>IFERROR(LN(INDEX(Data!$L$2:$L$497,MATCH(N218,Data!$A$2:$A$497,1))/INDEX(Data!$L$2:$L$497,MATCH(N206,Data!$A$2:$A$497,1))),"")</f>
      </c>
    </row>
    <row r="219">
      <c r="N219" s="337" t="n">
        <v>31381</v>
      </c>
      <c r="O219" s="116">
        <f>INDEX('Additional data'!$B$2:$B$965,MATCH(DATE(YEAR(N219),MONTH(N219),1),'Additional data'!$A$2:$A$965,0))</f>
        <v>30.813</v>
      </c>
      <c r="P219" s="489">
        <f>LN(O219)</f>
        <v>3.42793667885178</v>
      </c>
      <c r="Q219" s="489">
        <f>Q218+LN(1+INDEX('Additional data'!$H$2:$H$1196,MATCH(N219,'Additional data'!$G$2:$G$1196,1))+INDEX('Additional data'!$I$2:$I$1196,MATCH(N219,'Additional data'!$G$2:$G$1196,1)))</f>
        <v>1.53210240448831</v>
      </c>
      <c r="R219" s="489">
        <f>LN(INDEX(Data!$B$2:$B$497,MATCH(N219,Data!$A$2:$A$497,1)))</f>
        <v>7.85670679309584</v>
      </c>
      <c r="S219" s="116">
        <f>IF(INDEX('Additional data'!$E$2:$E$699,MATCH(DATE(YEAR(N219),MONTH(N219),1),'Additional data'!$D$2:$D$699,0))=0,(INDEX('Additional data'!$E$2:$E$699,MATCH(DATE(YEAR(N219),MONTH(N219),1),'Additional data'!$D$2:$D$699,0)-1)+INDEX('Additional data'!$E$2:$E$699,MATCH(DATE(YEAR(N219),MONTH(N219),1),'Additional data'!$D$2:$D$699,0)+1))/2,INDEX('Additional data'!$E$2:$E$699,MATCH(DATE(YEAR(N219),MONTH(N219),1),'Additional data'!$D$2:$D$699,0)))</f>
        <v>18.18</v>
      </c>
      <c r="T219" s="425">
        <f>P219-P218</f>
        <v>0.0422591088476585</v>
      </c>
      <c r="U219" s="425">
        <f>Q219-Q218</f>
        <v>0.0683126401820873</v>
      </c>
      <c r="V219" s="425">
        <f>R219-R218</f>
        <v>-0.0331644107806222</v>
      </c>
      <c r="W219" s="116">
        <f>S219-S218</f>
        <v>1.82</v>
      </c>
      <c r="X219" s="425">
        <f>P219-P207</f>
        <v>0.0922382794223173</v>
      </c>
      <c r="Y219" s="425">
        <f>Q219-Q207</f>
        <v>0.262637946632404</v>
      </c>
      <c r="Z219" s="77" t="n"/>
      <c r="AA219" s="116">
        <f>S219-S207</f>
        <v>6.92</v>
      </c>
      <c r="AB219" s="425">
        <f>P219-P159</f>
        <v>-0.155582259604333</v>
      </c>
      <c r="AC219" s="425">
        <f>Q219-Q159</f>
        <v>0.608510597282191</v>
      </c>
      <c r="AD219" s="77" t="n"/>
      <c r="AE219" s="235">
        <f>S219-S159</f>
        <v>6.91</v>
      </c>
      <c r="AG219" s="554">
        <f>N219</f>
        <v>31381.0</v>
      </c>
      <c r="AH219" s="435">
        <f>IFERROR(INDEX('RBA 5Y yield'!$B$5:$B$661,MATCH(N219,'RBA 5Y yield'!$A$5:$A$661,1))*100,"")</f>
        <v>15.2</v>
      </c>
      <c r="AI219" s="435">
        <f>IF(AND(ISNUMBER(AH219),ISNUMBER(AH218)),AH219-AH218,"")</f>
        <v>0.449999999999999</v>
      </c>
      <c r="AJ219" s="435">
        <f>IF(AND(ISNUMBER(AH219),ISNUMBER(AH207)),AH219-AH207,"")</f>
        <v>2.2</v>
      </c>
      <c r="AK219" s="435">
        <f>IF(AND(ISNUMBER(AH219),ISNUMBER(AH159)),AH219-AH159,"")</f>
        <v>2.78</v>
      </c>
      <c r="AL219" s="560">
        <f>IFERROR(LN(INDEX(Data!$B$2:$B$497,MATCH(N219,Data!$A$2:$A$497,1))/INDEX(Data!$B$2:$B$497,MATCH(N207,Data!$A$2:$A$497,1))),"")</f>
      </c>
      <c r="AM219" s="560">
        <f>IFERROR(LN(INDEX(Data!$C$2:$C$497,MATCH(N219,Data!$A$2:$A$497,1))/INDEX(Data!$C$2:$C$497,MATCH(N207,Data!$A$2:$A$497,1))),"")</f>
      </c>
      <c r="AN219" s="560">
        <f>IFERROR(LN(INDEX(Data!$D$2:$D$497,MATCH(N219,Data!$A$2:$A$497,1))/INDEX(Data!$D$2:$D$497,MATCH(N207,Data!$A$2:$A$497,1))),"")</f>
      </c>
      <c r="AO219" s="560">
        <f>IFERROR(LN(INDEX(Data!$E$2:$E$497,MATCH(N219,Data!$A$2:$A$497,1))/INDEX(Data!$E$2:$E$497,MATCH(N207,Data!$A$2:$A$497,1))),"")</f>
      </c>
      <c r="AP219" s="560">
        <f>IFERROR(LN(INDEX(Data!$F$2:$F$497,MATCH(N219,Data!$A$2:$A$497,1))/INDEX(Data!$F$2:$F$497,MATCH(N207,Data!$A$2:$A$497,1))),"")</f>
      </c>
      <c r="AQ219" s="560">
        <f>IFERROR(LN(INDEX(Data!$G$2:$G$497,MATCH(N219,Data!$A$2:$A$497,1))/INDEX(Data!$G$2:$G$497,MATCH(N207,Data!$A$2:$A$497,1))),"")</f>
      </c>
      <c r="AR219" s="560">
        <f>IFERROR(LN(INDEX(Data!$H$2:$H$497,MATCH(N219,Data!$A$2:$A$497,1))/INDEX(Data!$H$2:$H$497,MATCH(N207,Data!$A$2:$A$497,1))),"")</f>
      </c>
      <c r="AS219" s="560">
        <f>IFERROR(LN(INDEX(Data!$I$2:$I$497,MATCH(N219,Data!$A$2:$A$497,1))/INDEX(Data!$I$2:$I$497,MATCH(N207,Data!$A$2:$A$497,1))),"")</f>
      </c>
      <c r="AT219" s="560">
        <f>IFERROR(LN(INDEX(Data!$J$2:$J$497,MATCH(N219,Data!$A$2:$A$497,1))/INDEX(Data!$J$2:$J$497,MATCH(N207,Data!$A$2:$A$497,1))),"")</f>
      </c>
      <c r="AU219" s="560">
        <f>IFERROR(LN(INDEX(Data!$K$2:$K$497,MATCH(N219,Data!$A$2:$A$497,1))/INDEX(Data!$K$2:$K$497,MATCH(N207,Data!$A$2:$A$497,1))),"")</f>
      </c>
      <c r="AV219" s="561">
        <f>IFERROR(LN(INDEX(Data!$L$2:$L$497,MATCH(N219,Data!$A$2:$A$497,1))/INDEX(Data!$L$2:$L$497,MATCH(N207,Data!$A$2:$A$497,1))),"")</f>
      </c>
    </row>
    <row r="220">
      <c r="N220" s="337" t="n">
        <v>31412</v>
      </c>
      <c r="O220" s="116">
        <f>INDEX('Additional data'!$B$2:$B$965,MATCH(DATE(YEAR(N220),MONTH(N220),1),'Additional data'!$A$2:$A$965,0))</f>
        <v>27.228</v>
      </c>
      <c r="P220" s="489">
        <f>LN(O220)</f>
        <v>3.30424585558571</v>
      </c>
      <c r="Q220" s="489">
        <f>Q219+LN(1+INDEX('Additional data'!$H$2:$H$1196,MATCH(N220,'Additional data'!$G$2:$G$1196,1))+INDEX('Additional data'!$I$2:$I$1196,MATCH(N220,'Additional data'!$G$2:$G$1196,1)))</f>
        <v>1.57640633004484</v>
      </c>
      <c r="R220" s="489">
        <f>LN(INDEX(Data!$B$2:$B$497,MATCH(N220,Data!$A$2:$A$497,1)))</f>
        <v>7.87165452477102</v>
      </c>
      <c r="S220" s="116">
        <f>IF(INDEX('Additional data'!$E$2:$E$699,MATCH(DATE(YEAR(N220),MONTH(N220),1),'Additional data'!$D$2:$D$699,0))=0,(INDEX('Additional data'!$E$2:$E$699,MATCH(DATE(YEAR(N220),MONTH(N220),1),'Additional data'!$D$2:$D$699,0)-1)+INDEX('Additional data'!$E$2:$E$699,MATCH(DATE(YEAR(N220),MONTH(N220),1),'Additional data'!$D$2:$D$699,0)+1))/2,INDEX('Additional data'!$E$2:$E$699,MATCH(DATE(YEAR(N220),MONTH(N220),1),'Additional data'!$D$2:$D$699,0)))</f>
        <v>19.56</v>
      </c>
      <c r="T220" s="425">
        <f>P220-P219</f>
        <v>-0.123690823266072</v>
      </c>
      <c r="U220" s="425">
        <f>Q220-Q219</f>
        <v>0.0443039255565243</v>
      </c>
      <c r="V220" s="425">
        <f>R220-R219</f>
        <v>0.0149477316751767</v>
      </c>
      <c r="W220" s="116">
        <f>S220-S219</f>
        <v>1.38</v>
      </c>
      <c r="X220" s="425">
        <f>P220-P208</f>
        <v>0.0683556005583745</v>
      </c>
      <c r="Y220" s="425">
        <f>Q220-Q208</f>
        <v>0.282346825333548</v>
      </c>
      <c r="Z220" s="425">
        <f>R220-R208</f>
        <v>0.365062744700176</v>
      </c>
      <c r="AA220" s="116">
        <f>S220-S208</f>
        <v>7.22</v>
      </c>
      <c r="AB220" s="425">
        <f>P220-P160</f>
        <v>-0.30667205705852</v>
      </c>
      <c r="AC220" s="425">
        <f>Q220-Q160</f>
        <v>0.684821318973802</v>
      </c>
      <c r="AD220" s="77" t="n"/>
      <c r="AE220" s="235">
        <f>S220-S160</f>
        <v>7.11</v>
      </c>
      <c r="AG220" s="554">
        <f>N220</f>
        <v>31412.0</v>
      </c>
      <c r="AH220" s="435">
        <f>IFERROR(INDEX('RBA 5Y yield'!$B$5:$B$661,MATCH(N220,'RBA 5Y yield'!$A$5:$A$661,1))*100,"")</f>
        <v>15.2</v>
      </c>
      <c r="AI220" s="435">
        <f>IF(AND(ISNUMBER(AH220),ISNUMBER(AH219)),AH220-AH219,"")</f>
        <v>0</v>
      </c>
      <c r="AJ220" s="435">
        <f>IF(AND(ISNUMBER(AH220),ISNUMBER(AH208)),AH220-AH208,"")</f>
        <v>2.1</v>
      </c>
      <c r="AK220" s="435">
        <f>IF(AND(ISNUMBER(AH220),ISNUMBER(AH160)),AH220-AH160,"")</f>
        <v>2.48</v>
      </c>
      <c r="AL220" s="560">
        <f>IFERROR(LN(INDEX(Data!$B$2:$B$497,MATCH(N220,Data!$A$2:$A$497,1))/INDEX(Data!$B$2:$B$497,MATCH(N208,Data!$A$2:$A$497,1))),"")</f>
        <v>0.365062744700177</v>
      </c>
      <c r="AM220" s="560">
        <f>IFERROR(LN(INDEX(Data!$C$2:$C$497,MATCH(N220,Data!$A$2:$A$497,1))/INDEX(Data!$C$2:$C$497,MATCH(N208,Data!$A$2:$A$497,1))),"")</f>
        <v>0.44997189627638</v>
      </c>
      <c r="AN220" s="560">
        <f>IFERROR(LN(INDEX(Data!$D$2:$D$497,MATCH(N220,Data!$A$2:$A$497,1))/INDEX(Data!$D$2:$D$497,MATCH(N208,Data!$A$2:$A$497,1))),"")</f>
      </c>
      <c r="AO220" s="560">
        <f>IFERROR(LN(INDEX(Data!$E$2:$E$497,MATCH(N220,Data!$A$2:$A$497,1))/INDEX(Data!$E$2:$E$497,MATCH(N208,Data!$A$2:$A$497,1))),"")</f>
      </c>
      <c r="AP220" s="560">
        <f>IFERROR(LN(INDEX(Data!$F$2:$F$497,MATCH(N220,Data!$A$2:$A$497,1))/INDEX(Data!$F$2:$F$497,MATCH(N208,Data!$A$2:$A$497,1))),"")</f>
        <v>0.285767466715544</v>
      </c>
      <c r="AQ220" s="560">
        <f>IFERROR(LN(INDEX(Data!$G$2:$G$497,MATCH(N220,Data!$A$2:$A$497,1))/INDEX(Data!$G$2:$G$497,MATCH(N208,Data!$A$2:$A$497,1))),"")</f>
        <v>0.108713724940073</v>
      </c>
      <c r="AR220" s="560">
        <f>IFERROR(LN(INDEX(Data!$H$2:$H$497,MATCH(N220,Data!$A$2:$A$497,1))/INDEX(Data!$H$2:$H$497,MATCH(N208,Data!$A$2:$A$497,1))),"")</f>
      </c>
      <c r="AS220" s="560">
        <f>IFERROR(LN(INDEX(Data!$I$2:$I$497,MATCH(N220,Data!$A$2:$A$497,1))/INDEX(Data!$I$2:$I$497,MATCH(N208,Data!$A$2:$A$497,1))),"")</f>
      </c>
      <c r="AT220" s="560">
        <f>IFERROR(LN(INDEX(Data!$J$2:$J$497,MATCH(N220,Data!$A$2:$A$497,1))/INDEX(Data!$J$2:$J$497,MATCH(N208,Data!$A$2:$A$497,1))),"")</f>
        <v>0.067845546895067</v>
      </c>
      <c r="AU220" s="560">
        <f>IFERROR(LN(INDEX(Data!$K$2:$K$497,MATCH(N220,Data!$A$2:$A$497,1))/INDEX(Data!$K$2:$K$497,MATCH(N208,Data!$A$2:$A$497,1))),"")</f>
        <v>0.223303511664402</v>
      </c>
      <c r="AV220" s="561">
        <f>IFERROR(LN(INDEX(Data!$L$2:$L$497,MATCH(N220,Data!$A$2:$A$497,1))/INDEX(Data!$L$2:$L$497,MATCH(N208,Data!$A$2:$A$497,1))),"")</f>
        <v>0.151550343065583</v>
      </c>
    </row>
    <row r="221">
      <c r="N221" s="337" t="n">
        <v>31443</v>
      </c>
      <c r="O221" s="116">
        <f>INDEX('Additional data'!$B$2:$B$965,MATCH(DATE(YEAR(N221),MONTH(N221),1),'Additional data'!$A$2:$A$965,0))</f>
        <v>22.945</v>
      </c>
      <c r="P221" s="489">
        <f>LN(O221)</f>
        <v>3.1331000478468</v>
      </c>
      <c r="Q221" s="489">
        <f>Q220+LN(1+INDEX('Additional data'!$H$2:$H$1196,MATCH(N221,'Additional data'!$G$2:$G$1196,1))+INDEX('Additional data'!$I$2:$I$1196,MATCH(N221,'Additional data'!$G$2:$G$1196,1)))</f>
        <v>1.58843371025756</v>
      </c>
      <c r="R221" s="489">
        <f>LN(INDEX(Data!$B$2:$B$497,MATCH(N221,Data!$A$2:$A$497,1)))</f>
        <v>7.94289514469467</v>
      </c>
      <c r="S221" s="116">
        <f>IF(INDEX('Additional data'!$E$2:$E$699,MATCH(DATE(YEAR(N221),MONTH(N221),1),'Additional data'!$D$2:$D$699,0))=0,(INDEX('Additional data'!$E$2:$E$699,MATCH(DATE(YEAR(N221),MONTH(N221),1),'Additional data'!$D$2:$D$699,0)-1)+INDEX('Additional data'!$E$2:$E$699,MATCH(DATE(YEAR(N221),MONTH(N221),1),'Additional data'!$D$2:$D$699,0)+1))/2,INDEX('Additional data'!$E$2:$E$699,MATCH(DATE(YEAR(N221),MONTH(N221),1),'Additional data'!$D$2:$D$699,0)))</f>
        <v>18.97</v>
      </c>
      <c r="T221" s="425">
        <f>P221-P220</f>
        <v>-0.171145807738908</v>
      </c>
      <c r="U221" s="425">
        <f>Q221-Q220</f>
        <v>0.0120273802127184</v>
      </c>
      <c r="V221" s="425">
        <f>R221-R220</f>
        <v>0.0712406199236559</v>
      </c>
      <c r="W221" s="116">
        <f>S221-S220</f>
        <v>-0.59</v>
      </c>
      <c r="X221" s="425">
        <f>P221-P209</f>
        <v>-0.111092585005194</v>
      </c>
      <c r="Y221" s="425">
        <f>Q221-Q209</f>
        <v>0.211688838927659</v>
      </c>
      <c r="Z221" s="425">
        <f>R221-R209</f>
        <v>0.370340720668079</v>
      </c>
      <c r="AA221" s="116">
        <f>S221-S209</f>
        <v>5.62</v>
      </c>
      <c r="AB221" s="425">
        <f>P221-P161</f>
        <v>-0.504486111879589</v>
      </c>
      <c r="AC221" s="425">
        <f>Q221-Q161</f>
        <v>0.737879048744512</v>
      </c>
      <c r="AD221" s="77" t="n"/>
      <c r="AE221" s="235">
        <f>S221-S161</f>
        <v>6.36</v>
      </c>
      <c r="AG221" s="554">
        <f>N221</f>
        <v>31443.0</v>
      </c>
      <c r="AH221" s="435">
        <f>IFERROR(INDEX('RBA 5Y yield'!$B$5:$B$661,MATCH(N221,'RBA 5Y yield'!$A$5:$A$661,1))*100,"")</f>
        <v>14.3</v>
      </c>
      <c r="AI221" s="435">
        <f>IF(AND(ISNUMBER(AH221),ISNUMBER(AH220)),AH221-AH220,"")</f>
        <v>-0.9</v>
      </c>
      <c r="AJ221" s="435">
        <f>IF(AND(ISNUMBER(AH221),ISNUMBER(AH209)),AH221-AH209,"")</f>
        <v>1.4</v>
      </c>
      <c r="AK221" s="435">
        <f>IF(AND(ISNUMBER(AH221),ISNUMBER(AH161)),AH221-AH161,"")</f>
        <v>1.2</v>
      </c>
      <c r="AL221" s="560">
        <f>IFERROR(LN(INDEX(Data!$B$2:$B$497,MATCH(N221,Data!$A$2:$A$497,1))/INDEX(Data!$B$2:$B$497,MATCH(N209,Data!$A$2:$A$497,1))),"")</f>
        <v>0.370340720668079</v>
      </c>
      <c r="AM221" s="560">
        <f>IFERROR(LN(INDEX(Data!$C$2:$C$497,MATCH(N221,Data!$A$2:$A$497,1))/INDEX(Data!$C$2:$C$497,MATCH(N209,Data!$A$2:$A$497,1))),"")</f>
        <v>0.336481241261874</v>
      </c>
      <c r="AN221" s="560">
        <f>IFERROR(LN(INDEX(Data!$D$2:$D$497,MATCH(N221,Data!$A$2:$A$497,1))/INDEX(Data!$D$2:$D$497,MATCH(N209,Data!$A$2:$A$497,1))),"")</f>
      </c>
      <c r="AO221" s="560">
        <f>IFERROR(LN(INDEX(Data!$E$2:$E$497,MATCH(N221,Data!$A$2:$A$497,1))/INDEX(Data!$E$2:$E$497,MATCH(N209,Data!$A$2:$A$497,1))),"")</f>
      </c>
      <c r="AP221" s="560">
        <f>IFERROR(LN(INDEX(Data!$F$2:$F$497,MATCH(N221,Data!$A$2:$A$497,1))/INDEX(Data!$F$2:$F$497,MATCH(N209,Data!$A$2:$A$497,1))),"")</f>
        <v>0.12153111266973</v>
      </c>
      <c r="AQ221" s="560">
        <f>IFERROR(LN(INDEX(Data!$G$2:$G$497,MATCH(N221,Data!$A$2:$A$497,1))/INDEX(Data!$G$2:$G$497,MATCH(N209,Data!$A$2:$A$497,1))),"")</f>
        <v>0.108713724940073</v>
      </c>
      <c r="AR221" s="560">
        <f>IFERROR(LN(INDEX(Data!$H$2:$H$497,MATCH(N221,Data!$A$2:$A$497,1))/INDEX(Data!$H$2:$H$497,MATCH(N209,Data!$A$2:$A$497,1))),"")</f>
      </c>
      <c r="AS221" s="560">
        <f>IFERROR(LN(INDEX(Data!$I$2:$I$497,MATCH(N221,Data!$A$2:$A$497,1))/INDEX(Data!$I$2:$I$497,MATCH(N209,Data!$A$2:$A$497,1))),"")</f>
      </c>
      <c r="AT221" s="560">
        <f>IFERROR(LN(INDEX(Data!$J$2:$J$497,MATCH(N221,Data!$A$2:$A$497,1))/INDEX(Data!$J$2:$J$497,MATCH(N209,Data!$A$2:$A$497,1))),"")</f>
        <v>0.0887910128789635</v>
      </c>
      <c r="AU221" s="560">
        <f>IFERROR(LN(INDEX(Data!$K$2:$K$497,MATCH(N221,Data!$A$2:$A$497,1))/INDEX(Data!$K$2:$K$497,MATCH(N209,Data!$A$2:$A$497,1))),"")</f>
        <v>0.221586408961983</v>
      </c>
      <c r="AV221" s="561">
        <f>IFERROR(LN(INDEX(Data!$L$2:$L$497,MATCH(N221,Data!$A$2:$A$497,1))/INDEX(Data!$L$2:$L$497,MATCH(N209,Data!$A$2:$A$497,1))),"")</f>
        <v>0.156814672627336</v>
      </c>
    </row>
    <row r="222">
      <c r="N222" s="337" t="n">
        <v>31471</v>
      </c>
      <c r="O222" s="116">
        <f>INDEX('Additional data'!$B$2:$B$965,MATCH(DATE(YEAR(N222),MONTH(N222),1),'Additional data'!$A$2:$A$965,0))</f>
        <v>15.442</v>
      </c>
      <c r="P222" s="489">
        <f>LN(O222)</f>
        <v>2.73709106988662</v>
      </c>
      <c r="Q222" s="489">
        <f>Q221+LN(1+INDEX('Additional data'!$H$2:$H$1196,MATCH(N222,'Additional data'!$G$2:$G$1196,1))+INDEX('Additional data'!$I$2:$I$1196,MATCH(N222,'Additional data'!$G$2:$G$1196,1)))</f>
        <v>1.66233451809709</v>
      </c>
      <c r="R222" s="489">
        <f>LN(INDEX(Data!$B$2:$B$497,MATCH(N222,Data!$A$2:$A$497,1)))</f>
        <v>7.92106382273579</v>
      </c>
      <c r="S222" s="116">
        <f>IF(INDEX('Additional data'!$E$2:$E$699,MATCH(DATE(YEAR(N222),MONTH(N222),1),'Additional data'!$D$2:$D$699,0))=0,(INDEX('Additional data'!$E$2:$E$699,MATCH(DATE(YEAR(N222),MONTH(N222),1),'Additional data'!$D$2:$D$699,0)-1)+INDEX('Additional data'!$E$2:$E$699,MATCH(DATE(YEAR(N222),MONTH(N222),1),'Additional data'!$D$2:$D$699,0)+1))/2,INDEX('Additional data'!$E$2:$E$699,MATCH(DATE(YEAR(N222),MONTH(N222),1),'Additional data'!$D$2:$D$699,0)))</f>
        <v>18.29</v>
      </c>
      <c r="T222" s="425">
        <f>P222-P221</f>
        <v>-0.396008977960173</v>
      </c>
      <c r="U222" s="425">
        <f>Q222-Q221</f>
        <v>0.0739008078395342</v>
      </c>
      <c r="V222" s="425">
        <f>R222-R221</f>
        <v>-0.0218313219588833</v>
      </c>
      <c r="W222" s="116">
        <f>S222-S221</f>
        <v>-0.68</v>
      </c>
      <c r="X222" s="425">
        <f>P222-P210</f>
        <v>-0.568732796632233</v>
      </c>
      <c r="Y222" s="425">
        <f>Q222-Q210</f>
        <v>0.267749728638862</v>
      </c>
      <c r="Z222" s="425">
        <f>R222-R210</f>
        <v>0.322413898247001</v>
      </c>
      <c r="AA222" s="116">
        <f>S222-S210</f>
        <v>4.48</v>
      </c>
      <c r="AB222" s="425">
        <f>P222-P162</f>
        <v>-0.900495089839762</v>
      </c>
      <c r="AC222" s="425">
        <f>Q222-Q162</f>
        <v>0.795119415690939</v>
      </c>
      <c r="AD222" s="77" t="n"/>
      <c r="AE222" s="235">
        <f>S222-S162</f>
        <v>4.93</v>
      </c>
      <c r="AG222" s="554">
        <f>N222</f>
        <v>31471.0</v>
      </c>
      <c r="AH222" s="435">
        <f>IFERROR(INDEX('RBA 5Y yield'!$B$5:$B$661,MATCH(N222,'RBA 5Y yield'!$A$5:$A$661,1))*100,"")</f>
        <v>13.9</v>
      </c>
      <c r="AI222" s="435">
        <f>IF(AND(ISNUMBER(AH222),ISNUMBER(AH221)),AH222-AH221,"")</f>
        <v>-0.399999999999997</v>
      </c>
      <c r="AJ222" s="435">
        <f>IF(AND(ISNUMBER(AH222),ISNUMBER(AH210)),AH222-AH210,"")</f>
        <v>0.500000000000002</v>
      </c>
      <c r="AK222" s="435">
        <f>IF(AND(ISNUMBER(AH222),ISNUMBER(AH162)),AH222-AH162,"")</f>
        <v>0.800000000000001</v>
      </c>
      <c r="AL222" s="560">
        <f>IFERROR(LN(INDEX(Data!$B$2:$B$497,MATCH(N222,Data!$A$2:$A$497,1))/INDEX(Data!$B$2:$B$497,MATCH(N210,Data!$A$2:$A$497,1))),"")</f>
        <v>0.322413898247001</v>
      </c>
      <c r="AM222" s="560">
        <f>IFERROR(LN(INDEX(Data!$C$2:$C$497,MATCH(N222,Data!$A$2:$A$497,1))/INDEX(Data!$C$2:$C$497,MATCH(N210,Data!$A$2:$A$497,1))),"")</f>
        <v>0.260192217371088</v>
      </c>
      <c r="AN222" s="560">
        <f>IFERROR(LN(INDEX(Data!$D$2:$D$497,MATCH(N222,Data!$A$2:$A$497,1))/INDEX(Data!$D$2:$D$497,MATCH(N210,Data!$A$2:$A$497,1))),"")</f>
      </c>
      <c r="AO222" s="560">
        <f>IFERROR(LN(INDEX(Data!$E$2:$E$497,MATCH(N222,Data!$A$2:$A$497,1))/INDEX(Data!$E$2:$E$497,MATCH(N210,Data!$A$2:$A$497,1))),"")</f>
      </c>
      <c r="AP222" s="560">
        <f>IFERROR(LN(INDEX(Data!$F$2:$F$497,MATCH(N222,Data!$A$2:$A$497,1))/INDEX(Data!$F$2:$F$497,MATCH(N210,Data!$A$2:$A$497,1))),"")</f>
        <v>-0.0160737315670884</v>
      </c>
      <c r="AQ222" s="560">
        <f>IFERROR(LN(INDEX(Data!$G$2:$G$497,MATCH(N222,Data!$A$2:$A$497,1))/INDEX(Data!$G$2:$G$497,MATCH(N210,Data!$A$2:$A$497,1))),"")</f>
        <v>0.108713724940073</v>
      </c>
      <c r="AR222" s="560">
        <f>IFERROR(LN(INDEX(Data!$H$2:$H$497,MATCH(N222,Data!$A$2:$A$497,1))/INDEX(Data!$H$2:$H$497,MATCH(N210,Data!$A$2:$A$497,1))),"")</f>
      </c>
      <c r="AS222" s="560">
        <f>IFERROR(LN(INDEX(Data!$I$2:$I$497,MATCH(N222,Data!$A$2:$A$497,1))/INDEX(Data!$I$2:$I$497,MATCH(N210,Data!$A$2:$A$497,1))),"")</f>
      </c>
      <c r="AT222" s="560">
        <f>IFERROR(LN(INDEX(Data!$J$2:$J$497,MATCH(N222,Data!$A$2:$A$497,1))/INDEX(Data!$J$2:$J$497,MATCH(N210,Data!$A$2:$A$497,1))),"")</f>
        <v>0.129602700697665</v>
      </c>
      <c r="AU222" s="560">
        <f>IFERROR(LN(INDEX(Data!$K$2:$K$497,MATCH(N222,Data!$A$2:$A$497,1))/INDEX(Data!$K$2:$K$497,MATCH(N210,Data!$A$2:$A$497,1))),"")</f>
        <v>0.281346521599906</v>
      </c>
      <c r="AV222" s="561">
        <f>IFERROR(LN(INDEX(Data!$L$2:$L$497,MATCH(N222,Data!$A$2:$A$497,1))/INDEX(Data!$L$2:$L$497,MATCH(N210,Data!$A$2:$A$497,1))),"")</f>
        <v>0.161324921245258</v>
      </c>
    </row>
    <row r="223">
      <c r="N223" s="337" t="n">
        <v>31502</v>
      </c>
      <c r="O223" s="116">
        <f>INDEX('Additional data'!$B$2:$B$965,MATCH(DATE(YEAR(N223),MONTH(N223),1),'Additional data'!$A$2:$A$965,0))</f>
        <v>12.618</v>
      </c>
      <c r="P223" s="489">
        <f>LN(O223)</f>
        <v>2.53512436594862</v>
      </c>
      <c r="Q223" s="489">
        <f>Q222+LN(1+INDEX('Additional data'!$H$2:$H$1196,MATCH(N223,'Additional data'!$G$2:$G$1196,1))+INDEX('Additional data'!$I$2:$I$1196,MATCH(N223,'Additional data'!$G$2:$G$1196,1)))</f>
        <v>1.715970067263</v>
      </c>
      <c r="R223" s="489">
        <f>LN(INDEX(Data!$B$2:$B$497,MATCH(N223,Data!$A$2:$A$497,1)))</f>
        <v>8.00486644152398</v>
      </c>
      <c r="S223" s="116">
        <f>IF(INDEX('Additional data'!$E$2:$E$699,MATCH(DATE(YEAR(N223),MONTH(N223),1),'Additional data'!$D$2:$D$699,0))=0,(INDEX('Additional data'!$E$2:$E$699,MATCH(DATE(YEAR(N223),MONTH(N223),1),'Additional data'!$D$2:$D$699,0)-1)+INDEX('Additional data'!$E$2:$E$699,MATCH(DATE(YEAR(N223),MONTH(N223),1),'Additional data'!$D$2:$D$699,0)+1))/2,INDEX('Additional data'!$E$2:$E$699,MATCH(DATE(YEAR(N223),MONTH(N223),1),'Additional data'!$D$2:$D$699,0)))</f>
        <v>16.44</v>
      </c>
      <c r="T223" s="425">
        <f>P223-P222</f>
        <v>-0.201966703938006</v>
      </c>
      <c r="U223" s="425">
        <f>Q223-Q222</f>
        <v>0.0536355491659093</v>
      </c>
      <c r="V223" s="425">
        <f>R223-R222</f>
        <v>0.08380261878819</v>
      </c>
      <c r="W223" s="116">
        <f>S223-S222</f>
        <v>-1.85</v>
      </c>
      <c r="X223" s="425">
        <f>P223-P211</f>
        <v>-0.805544222638716</v>
      </c>
      <c r="Y223" s="425">
        <f>Q223-Q211</f>
        <v>0.323487485896641</v>
      </c>
      <c r="Z223" s="425">
        <f>R223-R211</f>
        <v>0.354459787078809</v>
      </c>
      <c r="AA223" s="116">
        <f>S223-S211</f>
        <v>1.15</v>
      </c>
      <c r="AB223" s="425">
        <f>P223-P163</f>
        <v>-1.10246179377777</v>
      </c>
      <c r="AC223" s="425">
        <f>Q223-Q163</f>
        <v>0.801108311389495</v>
      </c>
      <c r="AD223" s="77" t="n"/>
      <c r="AE223" s="235">
        <f>S223-S163</f>
        <v>1.81</v>
      </c>
      <c r="AG223" s="554">
        <f>N223</f>
        <v>31502.0</v>
      </c>
      <c r="AH223" s="435">
        <f>IFERROR(INDEX('RBA 5Y yield'!$B$5:$B$661,MATCH(N223,'RBA 5Y yield'!$A$5:$A$661,1))*100,"")</f>
        <v>12.9</v>
      </c>
      <c r="AI223" s="435">
        <f>IF(AND(ISNUMBER(AH223),ISNUMBER(AH222)),AH223-AH222,"")</f>
        <v>-1</v>
      </c>
      <c r="AJ223" s="435">
        <f>IF(AND(ISNUMBER(AH223),ISNUMBER(AH211)),AH223-AH211,"")</f>
        <v>-0.700000000000001</v>
      </c>
      <c r="AK223" s="435">
        <f>IF(AND(ISNUMBER(AH223),ISNUMBER(AH163)),AH223-AH163,"")</f>
        <v>-0.200000000000001</v>
      </c>
      <c r="AL223" s="560">
        <f>IFERROR(LN(INDEX(Data!$B$2:$B$497,MATCH(N223,Data!$A$2:$A$497,1))/INDEX(Data!$B$2:$B$497,MATCH(N211,Data!$A$2:$A$497,1))),"")</f>
        <v>0.354459787078808</v>
      </c>
      <c r="AM223" s="560">
        <f>IFERROR(LN(INDEX(Data!$C$2:$C$497,MATCH(N223,Data!$A$2:$A$497,1))/INDEX(Data!$C$2:$C$497,MATCH(N211,Data!$A$2:$A$497,1))),"")</f>
        <v>0.308598367137049</v>
      </c>
      <c r="AN223" s="560">
        <f>IFERROR(LN(INDEX(Data!$D$2:$D$497,MATCH(N223,Data!$A$2:$A$497,1))/INDEX(Data!$D$2:$D$497,MATCH(N211,Data!$A$2:$A$497,1))),"")</f>
      </c>
      <c r="AO223" s="560">
        <f>IFERROR(LN(INDEX(Data!$E$2:$E$497,MATCH(N223,Data!$A$2:$A$497,1))/INDEX(Data!$E$2:$E$497,MATCH(N211,Data!$A$2:$A$497,1))),"")</f>
      </c>
      <c r="AP223" s="560">
        <f>IFERROR(LN(INDEX(Data!$F$2:$F$497,MATCH(N223,Data!$A$2:$A$497,1))/INDEX(Data!$F$2:$F$497,MATCH(N211,Data!$A$2:$A$497,1))),"")</f>
        <v>-0.0991347528652672</v>
      </c>
      <c r="AQ223" s="560">
        <f>IFERROR(LN(INDEX(Data!$G$2:$G$497,MATCH(N223,Data!$A$2:$A$497,1))/INDEX(Data!$G$2:$G$497,MATCH(N211,Data!$A$2:$A$497,1))),"")</f>
        <v>0.0809096498538741</v>
      </c>
      <c r="AR223" s="560">
        <f>IFERROR(LN(INDEX(Data!$H$2:$H$497,MATCH(N223,Data!$A$2:$A$497,1))/INDEX(Data!$H$2:$H$497,MATCH(N211,Data!$A$2:$A$497,1))),"")</f>
      </c>
      <c r="AS223" s="560">
        <f>IFERROR(LN(INDEX(Data!$I$2:$I$497,MATCH(N223,Data!$A$2:$A$497,1))/INDEX(Data!$I$2:$I$497,MATCH(N211,Data!$A$2:$A$497,1))),"")</f>
      </c>
      <c r="AT223" s="560">
        <f>IFERROR(LN(INDEX(Data!$J$2:$J$497,MATCH(N223,Data!$A$2:$A$497,1))/INDEX(Data!$J$2:$J$497,MATCH(N211,Data!$A$2:$A$497,1))),"")</f>
        <v>0.169569256558573</v>
      </c>
      <c r="AU223" s="560">
        <f>IFERROR(LN(INDEX(Data!$K$2:$K$497,MATCH(N223,Data!$A$2:$A$497,1))/INDEX(Data!$K$2:$K$497,MATCH(N211,Data!$A$2:$A$497,1))),"")</f>
        <v>0.305145368829451</v>
      </c>
      <c r="AV223" s="561">
        <f>IFERROR(LN(INDEX(Data!$L$2:$L$497,MATCH(N223,Data!$A$2:$A$497,1))/INDEX(Data!$L$2:$L$497,MATCH(N211,Data!$A$2:$A$497,1))),"")</f>
        <v>0.162037950732557</v>
      </c>
    </row>
    <row r="224">
      <c r="N224" s="337" t="n">
        <v>31532</v>
      </c>
      <c r="O224" s="116">
        <f>INDEX('Additional data'!$B$2:$B$965,MATCH(DATE(YEAR(N224),MONTH(N224),1),'Additional data'!$A$2:$A$965,0))</f>
        <v>12.847</v>
      </c>
      <c r="P224" s="489">
        <f>LN(O224)</f>
        <v>2.55311032104947</v>
      </c>
      <c r="Q224" s="489">
        <f>Q223+LN(1+INDEX('Additional data'!$H$2:$H$1196,MATCH(N224,'Additional data'!$G$2:$G$1196,1))+INDEX('Additional data'!$I$2:$I$1196,MATCH(N224,'Additional data'!$G$2:$G$1196,1)))</f>
        <v>1.70834104009851</v>
      </c>
      <c r="R224" s="489">
        <f>LN(INDEX(Data!$B$2:$B$497,MATCH(N224,Data!$A$2:$A$497,1)))</f>
        <v>8.0747113396288</v>
      </c>
      <c r="S224" s="116">
        <f>IF(INDEX('Additional data'!$E$2:$E$699,MATCH(DATE(YEAR(N224),MONTH(N224),1),'Additional data'!$D$2:$D$699,0))=0,(INDEX('Additional data'!$E$2:$E$699,MATCH(DATE(YEAR(N224),MONTH(N224),1),'Additional data'!$D$2:$D$699,0)-1)+INDEX('Additional data'!$E$2:$E$699,MATCH(DATE(YEAR(N224),MONTH(N224),1),'Additional data'!$D$2:$D$699,0)+1))/2,INDEX('Additional data'!$E$2:$E$699,MATCH(DATE(YEAR(N224),MONTH(N224),1),'Additional data'!$D$2:$D$699,0)))</f>
        <v>15.76</v>
      </c>
      <c r="T224" s="425">
        <f>P224-P223</f>
        <v>0.0179859551008548</v>
      </c>
      <c r="U224" s="425">
        <f>Q224-Q223</f>
        <v>-0.00762902716449121</v>
      </c>
      <c r="V224" s="425">
        <f>R224-R223</f>
        <v>0.069844898104817</v>
      </c>
      <c r="W224" s="116">
        <f>S224-S223</f>
        <v>-0.680000000000002</v>
      </c>
      <c r="X224" s="425">
        <f>P224-P212</f>
        <v>-0.807438662134874</v>
      </c>
      <c r="Y224" s="425">
        <f>Q224-Q212</f>
        <v>0.31826134334846</v>
      </c>
      <c r="Z224" s="425">
        <f>R224-R212</f>
        <v>0.364102819998657</v>
      </c>
      <c r="AA224" s="116">
        <f>S224-S212</f>
        <v>-0.0299999999999994</v>
      </c>
      <c r="AB224" s="425">
        <f>P224-P164</f>
        <v>-1.08447583867691</v>
      </c>
      <c r="AC224" s="425">
        <f>Q224-Q164</f>
        <v>0.80433802755988</v>
      </c>
      <c r="AD224" s="77" t="n"/>
      <c r="AE224" s="235">
        <f>S224-S164</f>
        <v>-0.930000000000002</v>
      </c>
      <c r="AG224" s="554">
        <f>N224</f>
        <v>31532.0</v>
      </c>
      <c r="AH224" s="435">
        <f>IFERROR(INDEX('RBA 5Y yield'!$B$5:$B$661,MATCH(N224,'RBA 5Y yield'!$A$5:$A$661,1))*100,"")</f>
        <v>12.4</v>
      </c>
      <c r="AI224" s="435">
        <f>IF(AND(ISNUMBER(AH224),ISNUMBER(AH223)),AH224-AH223,"")</f>
        <v>-0.5</v>
      </c>
      <c r="AJ224" s="435">
        <f>IF(AND(ISNUMBER(AH224),ISNUMBER(AH212)),AH224-AH212,"")</f>
        <v>-1.4</v>
      </c>
      <c r="AK224" s="435">
        <f>IF(AND(ISNUMBER(AH224),ISNUMBER(AH164)),AH224-AH164,"")</f>
        <v>-0.700000000000001</v>
      </c>
      <c r="AL224" s="560">
        <f>IFERROR(LN(INDEX(Data!$B$2:$B$497,MATCH(N224,Data!$A$2:$A$497,1))/INDEX(Data!$B$2:$B$497,MATCH(N212,Data!$A$2:$A$497,1))),"")</f>
        <v>0.364102819998657</v>
      </c>
      <c r="AM224" s="560">
        <f>IFERROR(LN(INDEX(Data!$C$2:$C$497,MATCH(N224,Data!$A$2:$A$497,1))/INDEX(Data!$C$2:$C$497,MATCH(N212,Data!$A$2:$A$497,1))),"")</f>
        <v>0.188723780940561</v>
      </c>
      <c r="AN224" s="560">
        <f>IFERROR(LN(INDEX(Data!$D$2:$D$497,MATCH(N224,Data!$A$2:$A$497,1))/INDEX(Data!$D$2:$D$497,MATCH(N212,Data!$A$2:$A$497,1))),"")</f>
      </c>
      <c r="AO224" s="560">
        <f>IFERROR(LN(INDEX(Data!$E$2:$E$497,MATCH(N224,Data!$A$2:$A$497,1))/INDEX(Data!$E$2:$E$497,MATCH(N212,Data!$A$2:$A$497,1))),"")</f>
      </c>
      <c r="AP224" s="560">
        <f>IFERROR(LN(INDEX(Data!$F$2:$F$497,MATCH(N224,Data!$A$2:$A$497,1))/INDEX(Data!$F$2:$F$497,MATCH(N212,Data!$A$2:$A$497,1))),"")</f>
        <v>-0.130060338718115</v>
      </c>
      <c r="AQ224" s="560">
        <f>IFERROR(LN(INDEX(Data!$G$2:$G$497,MATCH(N224,Data!$A$2:$A$497,1))/INDEX(Data!$G$2:$G$497,MATCH(N212,Data!$A$2:$A$497,1))),"")</f>
        <v>0.0809096498538741</v>
      </c>
      <c r="AR224" s="560">
        <f>IFERROR(LN(INDEX(Data!$H$2:$H$497,MATCH(N224,Data!$A$2:$A$497,1))/INDEX(Data!$H$2:$H$497,MATCH(N212,Data!$A$2:$A$497,1))),"")</f>
      </c>
      <c r="AS224" s="560">
        <f>IFERROR(LN(INDEX(Data!$I$2:$I$497,MATCH(N224,Data!$A$2:$A$497,1))/INDEX(Data!$I$2:$I$497,MATCH(N212,Data!$A$2:$A$497,1))),"")</f>
      </c>
      <c r="AT224" s="560">
        <f>IFERROR(LN(INDEX(Data!$J$2:$J$497,MATCH(N224,Data!$A$2:$A$497,1))/INDEX(Data!$J$2:$J$497,MATCH(N212,Data!$A$2:$A$497,1))),"")</f>
        <v>0.191366386805605</v>
      </c>
      <c r="AU224" s="560">
        <f>IFERROR(LN(INDEX(Data!$K$2:$K$497,MATCH(N224,Data!$A$2:$A$497,1))/INDEX(Data!$K$2:$K$497,MATCH(N212,Data!$A$2:$A$497,1))),"")</f>
        <v>0.2967060893714</v>
      </c>
      <c r="AV224" s="561">
        <f>IFERROR(LN(INDEX(Data!$L$2:$L$497,MATCH(N224,Data!$A$2:$A$497,1))/INDEX(Data!$L$2:$L$497,MATCH(N212,Data!$A$2:$A$497,1))),"")</f>
        <v>0.1613380455183</v>
      </c>
    </row>
    <row r="225">
      <c r="N225" s="337" t="n">
        <v>31563</v>
      </c>
      <c r="O225" s="116">
        <f>INDEX('Additional data'!$B$2:$B$965,MATCH(DATE(YEAR(N225),MONTH(N225),1),'Additional data'!$A$2:$A$965,0))</f>
        <v>15.444</v>
      </c>
      <c r="P225" s="489">
        <f>LN(O225)</f>
        <v>2.73722057840199</v>
      </c>
      <c r="Q225" s="489">
        <f>Q224+LN(1+INDEX('Additional data'!$H$2:$H$1196,MATCH(N225,'Additional data'!$G$2:$G$1196,1))+INDEX('Additional data'!$I$2:$I$1196,MATCH(N225,'Additional data'!$G$2:$G$1196,1)))</f>
        <v>1.75817827494568</v>
      </c>
      <c r="R225" s="489">
        <f>LN(INDEX(Data!$B$2:$B$497,MATCH(N225,Data!$A$2:$A$497,1)))</f>
        <v>8.10095021013619</v>
      </c>
      <c r="S225" s="116">
        <f>IF(INDEX('Additional data'!$E$2:$E$699,MATCH(DATE(YEAR(N225),MONTH(N225),1),'Additional data'!$D$2:$D$699,0))=0,(INDEX('Additional data'!$E$2:$E$699,MATCH(DATE(YEAR(N225),MONTH(N225),1),'Additional data'!$D$2:$D$699,0)-1)+INDEX('Additional data'!$E$2:$E$699,MATCH(DATE(YEAR(N225),MONTH(N225),1),'Additional data'!$D$2:$D$699,0)+1))/2,INDEX('Additional data'!$E$2:$E$699,MATCH(DATE(YEAR(N225),MONTH(N225),1),'Additional data'!$D$2:$D$699,0)))</f>
        <v>14.73</v>
      </c>
      <c r="T225" s="425">
        <f>P225-P224</f>
        <v>0.184110257352518</v>
      </c>
      <c r="U225" s="425">
        <f>Q225-Q224</f>
        <v>0.0498372348471716</v>
      </c>
      <c r="V225" s="425">
        <f>R225-R224</f>
        <v>0.026238870507397</v>
      </c>
      <c r="W225" s="116">
        <f>S225-S224</f>
        <v>-1.03</v>
      </c>
      <c r="X225" s="425">
        <f>P225-P213</f>
        <v>-0.581428180625006</v>
      </c>
      <c r="Y225" s="425">
        <f>Q225-Q213</f>
        <v>0.312380089439288</v>
      </c>
      <c r="Z225" s="425">
        <f>R225-R213</f>
        <v>0.390610555895736</v>
      </c>
      <c r="AA225" s="116">
        <f>S225-S213</f>
        <v>-0.799999999999999</v>
      </c>
      <c r="AB225" s="425">
        <f>P225-P165</f>
        <v>-0.900365581324396</v>
      </c>
      <c r="AC225" s="425">
        <f>Q225-Q165</f>
        <v>0.841456489999277</v>
      </c>
      <c r="AD225" s="77" t="n"/>
      <c r="AE225" s="235">
        <f>S225-S165</f>
        <v>-1.55</v>
      </c>
      <c r="AG225" s="554">
        <f>N225</f>
        <v>31563.0</v>
      </c>
      <c r="AH225" s="435">
        <f>IFERROR(INDEX('RBA 5Y yield'!$B$5:$B$661,MATCH(N225,'RBA 5Y yield'!$A$5:$A$661,1))*100,"")</f>
        <v>12.65</v>
      </c>
      <c r="AI225" s="435">
        <f>IF(AND(ISNUMBER(AH225),ISNUMBER(AH224)),AH225-AH224,"")</f>
        <v>0.25</v>
      </c>
      <c r="AJ225" s="435">
        <f>IF(AND(ISNUMBER(AH225),ISNUMBER(AH213)),AH225-AH213,"")</f>
        <v>-0.950000000000001</v>
      </c>
      <c r="AK225" s="435">
        <f>IF(AND(ISNUMBER(AH225),ISNUMBER(AH165)),AH225-AH165,"")</f>
        <v>-0.450000000000001</v>
      </c>
      <c r="AL225" s="560">
        <f>IFERROR(LN(INDEX(Data!$B$2:$B$497,MATCH(N225,Data!$A$2:$A$497,1))/INDEX(Data!$B$2:$B$497,MATCH(N213,Data!$A$2:$A$497,1))),"")</f>
        <v>0.390610555895737</v>
      </c>
      <c r="AM225" s="560">
        <f>IFERROR(LN(INDEX(Data!$C$2:$C$497,MATCH(N225,Data!$A$2:$A$497,1))/INDEX(Data!$C$2:$C$497,MATCH(N213,Data!$A$2:$A$497,1))),"")</f>
        <v>0.227439812177115</v>
      </c>
      <c r="AN225" s="560">
        <f>IFERROR(LN(INDEX(Data!$D$2:$D$497,MATCH(N225,Data!$A$2:$A$497,1))/INDEX(Data!$D$2:$D$497,MATCH(N213,Data!$A$2:$A$497,1))),"")</f>
      </c>
      <c r="AO225" s="560">
        <f>IFERROR(LN(INDEX(Data!$E$2:$E$497,MATCH(N225,Data!$A$2:$A$497,1))/INDEX(Data!$E$2:$E$497,MATCH(N213,Data!$A$2:$A$497,1))),"")</f>
      </c>
      <c r="AP225" s="560">
        <f>IFERROR(LN(INDEX(Data!$F$2:$F$497,MATCH(N225,Data!$A$2:$A$497,1))/INDEX(Data!$F$2:$F$497,MATCH(N213,Data!$A$2:$A$497,1))),"")</f>
        <v>-0.103127665746219</v>
      </c>
      <c r="AQ225" s="560">
        <f>IFERROR(LN(INDEX(Data!$G$2:$G$497,MATCH(N225,Data!$A$2:$A$497,1))/INDEX(Data!$G$2:$G$497,MATCH(N213,Data!$A$2:$A$497,1))),"")</f>
        <v>0.0809096498538741</v>
      </c>
      <c r="AR225" s="560">
        <f>IFERROR(LN(INDEX(Data!$H$2:$H$497,MATCH(N225,Data!$A$2:$A$497,1))/INDEX(Data!$H$2:$H$497,MATCH(N213,Data!$A$2:$A$497,1))),"")</f>
      </c>
      <c r="AS225" s="560">
        <f>IFERROR(LN(INDEX(Data!$I$2:$I$497,MATCH(N225,Data!$A$2:$A$497,1))/INDEX(Data!$I$2:$I$497,MATCH(N213,Data!$A$2:$A$497,1))),"")</f>
      </c>
      <c r="AT225" s="560">
        <f>IFERROR(LN(INDEX(Data!$J$2:$J$497,MATCH(N225,Data!$A$2:$A$497,1))/INDEX(Data!$J$2:$J$497,MATCH(N213,Data!$A$2:$A$497,1))),"")</f>
        <v>0.17114068476888</v>
      </c>
      <c r="AU225" s="560">
        <f>IFERROR(LN(INDEX(Data!$K$2:$K$497,MATCH(N225,Data!$A$2:$A$497,1))/INDEX(Data!$K$2:$K$497,MATCH(N213,Data!$A$2:$A$497,1))),"")</f>
        <v>0.245265879778501</v>
      </c>
      <c r="AV225" s="561">
        <f>IFERROR(LN(INDEX(Data!$L$2:$L$497,MATCH(N225,Data!$A$2:$A$497,1))/INDEX(Data!$L$2:$L$497,MATCH(N213,Data!$A$2:$A$497,1))),"")</f>
        <v>0.159274293581985</v>
      </c>
    </row>
    <row r="226">
      <c r="N226" s="337" t="n">
        <v>31593</v>
      </c>
      <c r="O226" s="116">
        <f>INDEX('Additional data'!$B$2:$B$965,MATCH(DATE(YEAR(N226),MONTH(N226),1),'Additional data'!$A$2:$A$965,0))</f>
        <v>13.469</v>
      </c>
      <c r="P226" s="489">
        <f>LN(O226)</f>
        <v>2.60039074861668</v>
      </c>
      <c r="Q226" s="489">
        <f>Q225+LN(1+INDEX('Additional data'!$H$2:$H$1196,MATCH(N226,'Additional data'!$G$2:$G$1196,1))+INDEX('Additional data'!$I$2:$I$1196,MATCH(N226,'Additional data'!$G$2:$G$1196,1)))</f>
        <v>1.77385475433069</v>
      </c>
      <c r="R226" s="489">
        <f>LN(INDEX(Data!$B$2:$B$497,MATCH(N226,Data!$A$2:$A$497,1)))</f>
        <v>8.05296485302703</v>
      </c>
      <c r="S226" s="116">
        <f>IF(INDEX('Additional data'!$E$2:$E$699,MATCH(DATE(YEAR(N226),MONTH(N226),1),'Additional data'!$D$2:$D$699,0))=0,(INDEX('Additional data'!$E$2:$E$699,MATCH(DATE(YEAR(N226),MONTH(N226),1),'Additional data'!$D$2:$D$699,0)-1)+INDEX('Additional data'!$E$2:$E$699,MATCH(DATE(YEAR(N226),MONTH(N226),1),'Additional data'!$D$2:$D$699,0)+1))/2,INDEX('Additional data'!$E$2:$E$699,MATCH(DATE(YEAR(N226),MONTH(N226),1),'Additional data'!$D$2:$D$699,0)))</f>
        <v>14.68</v>
      </c>
      <c r="T226" s="425">
        <f>P226-P225</f>
        <v>-0.136829829785312</v>
      </c>
      <c r="U226" s="425">
        <f>Q226-Q225</f>
        <v>0.0156764793850077</v>
      </c>
      <c r="V226" s="425">
        <f>R226-R225</f>
        <v>-0.0479853571091642</v>
      </c>
      <c r="W226" s="116">
        <f>S226-S225</f>
        <v>-0.0500000000000007</v>
      </c>
      <c r="X226" s="425">
        <f>P226-P214</f>
        <v>-0.700728437632539</v>
      </c>
      <c r="Y226" s="425">
        <f>Q226-Q214</f>
        <v>0.310020206338197</v>
      </c>
      <c r="Z226" s="425">
        <f>R226-R214</f>
        <v>0.354119319154983</v>
      </c>
      <c r="AA226" s="116">
        <f>S226-S214</f>
        <v>-1.07</v>
      </c>
      <c r="AB226" s="425">
        <f>P226-P166</f>
        <v>-0.983128189839432</v>
      </c>
      <c r="AC226" s="425">
        <f>Q226-Q166</f>
        <v>0.867082300237953</v>
      </c>
      <c r="AD226" s="77" t="n"/>
      <c r="AE226" s="235">
        <f>S226-S166</f>
        <v>-0.9</v>
      </c>
      <c r="AG226" s="554">
        <f>N226</f>
        <v>31593.0</v>
      </c>
      <c r="AH226" s="435">
        <f>IFERROR(INDEX('RBA 5Y yield'!$B$5:$B$661,MATCH(N226,'RBA 5Y yield'!$A$5:$A$661,1))*100,"")</f>
        <v>12.8</v>
      </c>
      <c r="AI226" s="435">
        <f>IF(AND(ISNUMBER(AH226),ISNUMBER(AH225)),AH226-AH225,"")</f>
        <v>0.15</v>
      </c>
      <c r="AJ226" s="435">
        <f>IF(AND(ISNUMBER(AH226),ISNUMBER(AH214)),AH226-AH214,"")</f>
        <v>-0.550000000000001</v>
      </c>
      <c r="AK226" s="435">
        <f>IF(AND(ISNUMBER(AH226),ISNUMBER(AH166)),AH226-AH166,"")</f>
        <v>-0.300000000000001</v>
      </c>
      <c r="AL226" s="560">
        <f>IFERROR(LN(INDEX(Data!$B$2:$B$497,MATCH(N226,Data!$A$2:$A$497,1))/INDEX(Data!$B$2:$B$497,MATCH(N214,Data!$A$2:$A$497,1))),"")</f>
        <v>0.354119319154982</v>
      </c>
      <c r="AM226" s="560">
        <f>IFERROR(LN(INDEX(Data!$C$2:$C$497,MATCH(N226,Data!$A$2:$A$497,1))/INDEX(Data!$C$2:$C$497,MATCH(N214,Data!$A$2:$A$497,1))),"")</f>
        <v>0.301085517512838</v>
      </c>
      <c r="AN226" s="560">
        <f>IFERROR(LN(INDEX(Data!$D$2:$D$497,MATCH(N226,Data!$A$2:$A$497,1))/INDEX(Data!$D$2:$D$497,MATCH(N214,Data!$A$2:$A$497,1))),"")</f>
      </c>
      <c r="AO226" s="560">
        <f>IFERROR(LN(INDEX(Data!$E$2:$E$497,MATCH(N226,Data!$A$2:$A$497,1))/INDEX(Data!$E$2:$E$497,MATCH(N214,Data!$A$2:$A$497,1))),"")</f>
      </c>
      <c r="AP226" s="560">
        <f>IFERROR(LN(INDEX(Data!$F$2:$F$497,MATCH(N226,Data!$A$2:$A$497,1))/INDEX(Data!$F$2:$F$497,MATCH(N214,Data!$A$2:$A$497,1))),"")</f>
        <v>0.0350429032289502</v>
      </c>
      <c r="AQ226" s="560">
        <f>IFERROR(LN(INDEX(Data!$G$2:$G$497,MATCH(N226,Data!$A$2:$A$497,1))/INDEX(Data!$G$2:$G$497,MATCH(N214,Data!$A$2:$A$497,1))),"")</f>
        <v>0.0976819933657777</v>
      </c>
      <c r="AR226" s="560">
        <f>IFERROR(LN(INDEX(Data!$H$2:$H$497,MATCH(N226,Data!$A$2:$A$497,1))/INDEX(Data!$H$2:$H$497,MATCH(N214,Data!$A$2:$A$497,1))),"")</f>
      </c>
      <c r="AS226" s="560">
        <f>IFERROR(LN(INDEX(Data!$I$2:$I$497,MATCH(N226,Data!$A$2:$A$497,1))/INDEX(Data!$I$2:$I$497,MATCH(N214,Data!$A$2:$A$497,1))),"")</f>
      </c>
      <c r="AT226" s="560">
        <f>IFERROR(LN(INDEX(Data!$J$2:$J$497,MATCH(N226,Data!$A$2:$A$497,1))/INDEX(Data!$J$2:$J$497,MATCH(N214,Data!$A$2:$A$497,1))),"")</f>
        <v>0.154150679827259</v>
      </c>
      <c r="AU226" s="560">
        <f>IFERROR(LN(INDEX(Data!$K$2:$K$497,MATCH(N226,Data!$A$2:$A$497,1))/INDEX(Data!$K$2:$K$497,MATCH(N214,Data!$A$2:$A$497,1))),"")</f>
        <v>0.257968246989837</v>
      </c>
      <c r="AV226" s="561">
        <f>IFERROR(LN(INDEX(Data!$L$2:$L$497,MATCH(N226,Data!$A$2:$A$497,1))/INDEX(Data!$L$2:$L$497,MATCH(N214,Data!$A$2:$A$497,1))),"")</f>
        <v>0.15812284988673</v>
      </c>
    </row>
    <row r="227">
      <c r="N227" s="337" t="n">
        <v>31624</v>
      </c>
      <c r="O227" s="116">
        <f>INDEX('Additional data'!$B$2:$B$965,MATCH(DATE(YEAR(N227),MONTH(N227),1),'Additional data'!$A$2:$A$965,0))</f>
        <v>11.575</v>
      </c>
      <c r="P227" s="489">
        <f>LN(O227)</f>
        <v>2.4488475999723</v>
      </c>
      <c r="Q227" s="489">
        <f>Q226+LN(1+INDEX('Additional data'!$H$2:$H$1196,MATCH(N227,'Additional data'!$G$2:$G$1196,1))+INDEX('Additional data'!$I$2:$I$1196,MATCH(N227,'Additional data'!$G$2:$G$1196,1)))</f>
        <v>1.71293633936127</v>
      </c>
      <c r="R227" s="489">
        <f>LN(INDEX(Data!$B$2:$B$497,MATCH(N227,Data!$A$2:$A$497,1)))</f>
        <v>8.00580074036735</v>
      </c>
      <c r="S227" s="116">
        <f>IF(INDEX('Additional data'!$E$2:$E$699,MATCH(DATE(YEAR(N227),MONTH(N227),1),'Additional data'!$D$2:$D$699,0))=0,(INDEX('Additional data'!$E$2:$E$699,MATCH(DATE(YEAR(N227),MONTH(N227),1),'Additional data'!$D$2:$D$699,0)-1)+INDEX('Additional data'!$E$2:$E$699,MATCH(DATE(YEAR(N227),MONTH(N227),1),'Additional data'!$D$2:$D$699,0)+1))/2,INDEX('Additional data'!$E$2:$E$699,MATCH(DATE(YEAR(N227),MONTH(N227),1),'Additional data'!$D$2:$D$699,0)))</f>
        <v>14.85</v>
      </c>
      <c r="T227" s="425">
        <f>P227-P226</f>
        <v>-0.15154314864438</v>
      </c>
      <c r="U227" s="425">
        <f>Q227-Q226</f>
        <v>-0.0609184149694171</v>
      </c>
      <c r="V227" s="425">
        <f>R227-R226</f>
        <v>-0.0471641126596847</v>
      </c>
      <c r="W227" s="116">
        <f>S227-S226</f>
        <v>0.17</v>
      </c>
      <c r="X227" s="425">
        <f>P227-P215</f>
        <v>-0.859100809470227</v>
      </c>
      <c r="Y227" s="425">
        <f>Q227-Q215</f>
        <v>0.250102291702364</v>
      </c>
      <c r="Z227" s="425">
        <f>R227-R215</f>
        <v>0.221285890848385</v>
      </c>
      <c r="AA227" s="116">
        <f>S227-S215</f>
        <v>-0.290000000000001</v>
      </c>
      <c r="AB227" s="425">
        <f>P227-P167</f>
        <v>-1.13467133848381</v>
      </c>
      <c r="AC227" s="425">
        <f>Q227-Q167</f>
        <v>0.809268700222014</v>
      </c>
      <c r="AD227" s="77" t="n"/>
      <c r="AE227" s="235">
        <f>S227-S167</f>
        <v>-0.540000000000001</v>
      </c>
      <c r="AG227" s="554">
        <f>N227</f>
        <v>31624.0</v>
      </c>
      <c r="AH227" s="435">
        <f>IFERROR(INDEX('RBA 5Y yield'!$B$5:$B$661,MATCH(N227,'RBA 5Y yield'!$A$5:$A$661,1))*100,"")</f>
        <v>14.35</v>
      </c>
      <c r="AI227" s="435">
        <f>IF(AND(ISNUMBER(AH227),ISNUMBER(AH226)),AH227-AH226,"")</f>
        <v>1.55</v>
      </c>
      <c r="AJ227" s="435">
        <f>IF(AND(ISNUMBER(AH227),ISNUMBER(AH215)),AH227-AH215,"")</f>
        <v>1.05</v>
      </c>
      <c r="AK227" s="435">
        <f>IF(AND(ISNUMBER(AH227),ISNUMBER(AH167)),AH227-AH167,"")</f>
        <v>0.599999999999998</v>
      </c>
      <c r="AL227" s="560">
        <f>IFERROR(LN(INDEX(Data!$B$2:$B$497,MATCH(N227,Data!$A$2:$A$497,1))/INDEX(Data!$B$2:$B$497,MATCH(N215,Data!$A$2:$A$497,1))),"")</f>
        <v>0.221285890848385</v>
      </c>
      <c r="AM227" s="560">
        <f>IFERROR(LN(INDEX(Data!$C$2:$C$497,MATCH(N227,Data!$A$2:$A$497,1))/INDEX(Data!$C$2:$C$497,MATCH(N215,Data!$A$2:$A$497,1))),"")</f>
        <v>0.492185371733845</v>
      </c>
      <c r="AN227" s="560">
        <f>IFERROR(LN(INDEX(Data!$D$2:$D$497,MATCH(N227,Data!$A$2:$A$497,1))/INDEX(Data!$D$2:$D$497,MATCH(N215,Data!$A$2:$A$497,1))),"")</f>
      </c>
      <c r="AO227" s="560">
        <f>IFERROR(LN(INDEX(Data!$E$2:$E$497,MATCH(N227,Data!$A$2:$A$497,1))/INDEX(Data!$E$2:$E$497,MATCH(N215,Data!$A$2:$A$497,1))),"")</f>
      </c>
      <c r="AP227" s="560">
        <f>IFERROR(LN(INDEX(Data!$F$2:$F$497,MATCH(N227,Data!$A$2:$A$497,1))/INDEX(Data!$F$2:$F$497,MATCH(N215,Data!$A$2:$A$497,1))),"")</f>
        <v>0.264127999930579</v>
      </c>
      <c r="AQ227" s="560">
        <f>IFERROR(LN(INDEX(Data!$G$2:$G$497,MATCH(N227,Data!$A$2:$A$497,1))/INDEX(Data!$G$2:$G$497,MATCH(N215,Data!$A$2:$A$497,1))),"")</f>
        <v>0.0976819933657777</v>
      </c>
      <c r="AR227" s="560">
        <f>IFERROR(LN(INDEX(Data!$H$2:$H$497,MATCH(N227,Data!$A$2:$A$497,1))/INDEX(Data!$H$2:$H$497,MATCH(N215,Data!$A$2:$A$497,1))),"")</f>
      </c>
      <c r="AS227" s="560">
        <f>IFERROR(LN(INDEX(Data!$I$2:$I$497,MATCH(N227,Data!$A$2:$A$497,1))/INDEX(Data!$I$2:$I$497,MATCH(N215,Data!$A$2:$A$497,1))),"")</f>
      </c>
      <c r="AT227" s="560">
        <f>IFERROR(LN(INDEX(Data!$J$2:$J$497,MATCH(N227,Data!$A$2:$A$497,1))/INDEX(Data!$J$2:$J$497,MATCH(N215,Data!$A$2:$A$497,1))),"")</f>
        <v>0.0897737457397639</v>
      </c>
      <c r="AU227" s="560">
        <f>IFERROR(LN(INDEX(Data!$K$2:$K$497,MATCH(N227,Data!$A$2:$A$497,1))/INDEX(Data!$K$2:$K$497,MATCH(N215,Data!$A$2:$A$497,1))),"")</f>
        <v>0.262556302331681</v>
      </c>
      <c r="AV227" s="561">
        <f>IFERROR(LN(INDEX(Data!$L$2:$L$497,MATCH(N227,Data!$A$2:$A$497,1))/INDEX(Data!$L$2:$L$497,MATCH(N215,Data!$A$2:$A$497,1))),"")</f>
        <v>0.157761160212683</v>
      </c>
    </row>
    <row r="228">
      <c r="N228" s="337" t="n">
        <v>31655</v>
      </c>
      <c r="O228" s="116">
        <f>INDEX('Additional data'!$B$2:$B$965,MATCH(DATE(YEAR(N228),MONTH(N228),1),'Additional data'!$A$2:$A$965,0))</f>
        <v>15.092</v>
      </c>
      <c r="P228" s="489">
        <f>LN(O228)</f>
        <v>2.71416480210206</v>
      </c>
      <c r="Q228" s="489">
        <f>Q227+LN(1+INDEX('Additional data'!$H$2:$H$1196,MATCH(N228,'Additional data'!$G$2:$G$1196,1))+INDEX('Additional data'!$I$2:$I$1196,MATCH(N228,'Additional data'!$G$2:$G$1196,1)))</f>
        <v>1.77619278899628</v>
      </c>
      <c r="R228" s="489">
        <f>LN(INDEX(Data!$B$2:$B$497,MATCH(N228,Data!$A$2:$A$497,1)))</f>
        <v>8.06689806739028</v>
      </c>
      <c r="S228" s="116">
        <f>IF(INDEX('Additional data'!$E$2:$E$699,MATCH(DATE(YEAR(N228),MONTH(N228),1),'Additional data'!$D$2:$D$699,0))=0,(INDEX('Additional data'!$E$2:$E$699,MATCH(DATE(YEAR(N228),MONTH(N228),1),'Additional data'!$D$2:$D$699,0)-1)+INDEX('Additional data'!$E$2:$E$699,MATCH(DATE(YEAR(N228),MONTH(N228),1),'Additional data'!$D$2:$D$699,0)+1))/2,INDEX('Additional data'!$E$2:$E$699,MATCH(DATE(YEAR(N228),MONTH(N228),1),'Additional data'!$D$2:$D$699,0)))</f>
        <v>17.37</v>
      </c>
      <c r="T228" s="425">
        <f>P228-P227</f>
        <v>0.265317202129766</v>
      </c>
      <c r="U228" s="425">
        <f>Q228-Q227</f>
        <v>0.0632564496350148</v>
      </c>
      <c r="V228" s="425">
        <f>R228-R227</f>
        <v>0.0610973270229334</v>
      </c>
      <c r="W228" s="116">
        <f>S228-S227</f>
        <v>2.52</v>
      </c>
      <c r="X228" s="425">
        <f>P228-P216</f>
        <v>-0.609251202040061</v>
      </c>
      <c r="Y228" s="425">
        <f>Q228-Q216</f>
        <v>0.317969353895062</v>
      </c>
      <c r="Z228" s="425">
        <f>R228-R216</f>
        <v>0.278976767252619</v>
      </c>
      <c r="AA228" s="116">
        <f>S228-S216</f>
        <v>1.12</v>
      </c>
      <c r="AB228" s="425">
        <f>P228-P168</f>
        <v>-0.869354136354046</v>
      </c>
      <c r="AC228" s="425">
        <f>Q228-Q168</f>
        <v>0.931638414349536</v>
      </c>
      <c r="AD228" s="77" t="n"/>
      <c r="AE228" s="235">
        <f>S228-S168</f>
        <v>1.65</v>
      </c>
      <c r="AG228" s="554">
        <f>N228</f>
        <v>31655.0</v>
      </c>
      <c r="AH228" s="435">
        <f>IFERROR(INDEX('RBA 5Y yield'!$B$5:$B$661,MATCH(N228,'RBA 5Y yield'!$A$5:$A$661,1))*100,"")</f>
        <v>14.55</v>
      </c>
      <c r="AI228" s="435">
        <f>IF(AND(ISNUMBER(AH228),ISNUMBER(AH227)),AH228-AH227,"")</f>
        <v>0.199999999999999</v>
      </c>
      <c r="AJ228" s="435">
        <f>IF(AND(ISNUMBER(AH228),ISNUMBER(AH216)),AH228-AH216,"")</f>
        <v>0.549999999999997</v>
      </c>
      <c r="AK228" s="435">
        <f>IF(AND(ISNUMBER(AH228),ISNUMBER(AH168)),AH228-AH168,"")</f>
        <v>-0.450000000000001</v>
      </c>
      <c r="AL228" s="560">
        <f>IFERROR(LN(INDEX(Data!$B$2:$B$497,MATCH(N228,Data!$A$2:$A$497,1))/INDEX(Data!$B$2:$B$497,MATCH(N216,Data!$A$2:$A$497,1))),"")</f>
        <v>0.27897676725262</v>
      </c>
      <c r="AM228" s="560">
        <f>IFERROR(LN(INDEX(Data!$C$2:$C$497,MATCH(N228,Data!$A$2:$A$497,1))/INDEX(Data!$C$2:$C$497,MATCH(N216,Data!$A$2:$A$497,1))),"")</f>
        <v>0.516316740781012</v>
      </c>
      <c r="AN228" s="560">
        <f>IFERROR(LN(INDEX(Data!$D$2:$D$497,MATCH(N228,Data!$A$2:$A$497,1))/INDEX(Data!$D$2:$D$497,MATCH(N216,Data!$A$2:$A$497,1))),"")</f>
      </c>
      <c r="AO228" s="560">
        <f>IFERROR(LN(INDEX(Data!$E$2:$E$497,MATCH(N228,Data!$A$2:$A$497,1))/INDEX(Data!$E$2:$E$497,MATCH(N216,Data!$A$2:$A$497,1))),"")</f>
      </c>
      <c r="AP228" s="560">
        <f>IFERROR(LN(INDEX(Data!$F$2:$F$497,MATCH(N228,Data!$A$2:$A$497,1))/INDEX(Data!$F$2:$F$497,MATCH(N216,Data!$A$2:$A$497,1))),"")</f>
        <v>0.286599441476587</v>
      </c>
      <c r="AQ228" s="560">
        <f>IFERROR(LN(INDEX(Data!$G$2:$G$497,MATCH(N228,Data!$A$2:$A$497,1))/INDEX(Data!$G$2:$G$497,MATCH(N216,Data!$A$2:$A$497,1))),"")</f>
        <v>0.0976819933657777</v>
      </c>
      <c r="AR228" s="560">
        <f>IFERROR(LN(INDEX(Data!$H$2:$H$497,MATCH(N228,Data!$A$2:$A$497,1))/INDEX(Data!$H$2:$H$497,MATCH(N216,Data!$A$2:$A$497,1))),"")</f>
      </c>
      <c r="AS228" s="560">
        <f>IFERROR(LN(INDEX(Data!$I$2:$I$497,MATCH(N228,Data!$A$2:$A$497,1))/INDEX(Data!$I$2:$I$497,MATCH(N216,Data!$A$2:$A$497,1))),"")</f>
      </c>
      <c r="AT228" s="560">
        <f>IFERROR(LN(INDEX(Data!$J$2:$J$497,MATCH(N228,Data!$A$2:$A$497,1))/INDEX(Data!$J$2:$J$497,MATCH(N216,Data!$A$2:$A$497,1))),"")</f>
        <v>0.11464956736415</v>
      </c>
      <c r="AU228" s="560">
        <f>IFERROR(LN(INDEX(Data!$K$2:$K$497,MATCH(N228,Data!$A$2:$A$497,1))/INDEX(Data!$K$2:$K$497,MATCH(N216,Data!$A$2:$A$497,1))),"")</f>
        <v>0.270060471101961</v>
      </c>
      <c r="AV228" s="561">
        <f>IFERROR(LN(INDEX(Data!$L$2:$L$497,MATCH(N228,Data!$A$2:$A$497,1))/INDEX(Data!$L$2:$L$497,MATCH(N216,Data!$A$2:$A$497,1))),"")</f>
        <v>0.158871848752574</v>
      </c>
    </row>
    <row r="229">
      <c r="N229" s="337" t="n">
        <v>31685</v>
      </c>
      <c r="O229" s="116">
        <f>INDEX('Additional data'!$B$2:$B$965,MATCH(DATE(YEAR(N229),MONTH(N229),1),'Additional data'!$A$2:$A$965,0))</f>
        <v>14.913</v>
      </c>
      <c r="P229" s="489">
        <f>LN(O229)</f>
        <v>2.70223331578065</v>
      </c>
      <c r="Q229" s="489">
        <f>Q228+LN(1+INDEX('Additional data'!$H$2:$H$1196,MATCH(N229,'Additional data'!$G$2:$G$1196,1))+INDEX('Additional data'!$I$2:$I$1196,MATCH(N229,'Additional data'!$G$2:$G$1196,1)))</f>
        <v>1.69128828190584</v>
      </c>
      <c r="R229" s="489">
        <f>LN(INDEX(Data!$B$2:$B$497,MATCH(N229,Data!$A$2:$A$497,1)))</f>
        <v>8.11429478650539</v>
      </c>
      <c r="S229" s="116">
        <f>IF(INDEX('Additional data'!$E$2:$E$699,MATCH(DATE(YEAR(N229),MONTH(N229),1),'Additional data'!$D$2:$D$699,0))=0,(INDEX('Additional data'!$E$2:$E$699,MATCH(DATE(YEAR(N229),MONTH(N229),1),'Additional data'!$D$2:$D$699,0)-1)+INDEX('Additional data'!$E$2:$E$699,MATCH(DATE(YEAR(N229),MONTH(N229),1),'Additional data'!$D$2:$D$699,0)+1))/2,INDEX('Additional data'!$E$2:$E$699,MATCH(DATE(YEAR(N229),MONTH(N229),1),'Additional data'!$D$2:$D$699,0)))</f>
        <v>18.08</v>
      </c>
      <c r="T229" s="425">
        <f>P229-P228</f>
        <v>-0.0119314863214188</v>
      </c>
      <c r="U229" s="425">
        <f>Q229-Q228</f>
        <v>-0.084904507090444</v>
      </c>
      <c r="V229" s="425">
        <f>R229-R228</f>
        <v>0.0473967191151079</v>
      </c>
      <c r="W229" s="116">
        <f>S229-S228</f>
        <v>0.709999999999997</v>
      </c>
      <c r="X229" s="425">
        <f>P229-P217</f>
        <v>-0.6402397207285</v>
      </c>
      <c r="Y229" s="425">
        <f>Q229-Q217</f>
        <v>0.272949780503533</v>
      </c>
      <c r="Z229" s="425">
        <f>R229-R217</f>
        <v>0.27205528545713</v>
      </c>
      <c r="AA229" s="116">
        <f>S229-S217</f>
        <v>1.3</v>
      </c>
      <c r="AB229" s="425">
        <f>P229-P169</f>
        <v>-0.881285622675465</v>
      </c>
      <c r="AC229" s="425">
        <f>Q229-Q169</f>
        <v>0.908077537500144</v>
      </c>
      <c r="AD229" s="77" t="n"/>
      <c r="AE229" s="235">
        <f>S229-S169</f>
        <v>2.73</v>
      </c>
      <c r="AG229" s="554">
        <f>N229</f>
        <v>31685.0</v>
      </c>
      <c r="AH229" s="435">
        <f>IFERROR(INDEX('RBA 5Y yield'!$B$5:$B$661,MATCH(N229,'RBA 5Y yield'!$A$5:$A$661,1))*100,"")</f>
        <v>14.4</v>
      </c>
      <c r="AI229" s="435">
        <f>IF(AND(ISNUMBER(AH229),ISNUMBER(AH228)),AH229-AH228,"")</f>
        <v>-0.15</v>
      </c>
      <c r="AJ229" s="435">
        <f>IF(AND(ISNUMBER(AH229),ISNUMBER(AH217)),AH229-AH217,"")</f>
        <v>0.499999999999996</v>
      </c>
      <c r="AK229" s="435">
        <f>IF(AND(ISNUMBER(AH229),ISNUMBER(AH169)),AH229-AH169,"")</f>
        <v>-0.600000000000001</v>
      </c>
      <c r="AL229" s="560">
        <f>IFERROR(LN(INDEX(Data!$B$2:$B$497,MATCH(N229,Data!$A$2:$A$497,1))/INDEX(Data!$B$2:$B$497,MATCH(N217,Data!$A$2:$A$497,1))),"")</f>
        <v>0.27205528545713</v>
      </c>
      <c r="AM229" s="560">
        <f>IFERROR(LN(INDEX(Data!$C$2:$C$497,MATCH(N229,Data!$A$2:$A$497,1))/INDEX(Data!$C$2:$C$497,MATCH(N217,Data!$A$2:$A$497,1))),"")</f>
        <v>0.460017693433829</v>
      </c>
      <c r="AN229" s="560">
        <f>IFERROR(LN(INDEX(Data!$D$2:$D$497,MATCH(N229,Data!$A$2:$A$497,1))/INDEX(Data!$D$2:$D$497,MATCH(N217,Data!$A$2:$A$497,1))),"")</f>
      </c>
      <c r="AO229" s="560">
        <f>IFERROR(LN(INDEX(Data!$E$2:$E$497,MATCH(N229,Data!$A$2:$A$497,1))/INDEX(Data!$E$2:$E$497,MATCH(N217,Data!$A$2:$A$497,1))),"")</f>
      </c>
      <c r="AP229" s="560">
        <f>IFERROR(LN(INDEX(Data!$F$2:$F$497,MATCH(N229,Data!$A$2:$A$497,1))/INDEX(Data!$F$2:$F$497,MATCH(N217,Data!$A$2:$A$497,1))),"")</f>
        <v>0.170358800722251</v>
      </c>
      <c r="AQ229" s="560">
        <f>IFERROR(LN(INDEX(Data!$G$2:$G$497,MATCH(N229,Data!$A$2:$A$497,1))/INDEX(Data!$G$2:$G$497,MATCH(N217,Data!$A$2:$A$497,1))),"")</f>
        <v>0.0472172603451626</v>
      </c>
      <c r="AR229" s="560">
        <f>IFERROR(LN(INDEX(Data!$H$2:$H$497,MATCH(N229,Data!$A$2:$A$497,1))/INDEX(Data!$H$2:$H$497,MATCH(N217,Data!$A$2:$A$497,1))),"")</f>
      </c>
      <c r="AS229" s="560">
        <f>IFERROR(LN(INDEX(Data!$I$2:$I$497,MATCH(N229,Data!$A$2:$A$497,1))/INDEX(Data!$I$2:$I$497,MATCH(N217,Data!$A$2:$A$497,1))),"")</f>
      </c>
      <c r="AT229" s="560">
        <f>IFERROR(LN(INDEX(Data!$J$2:$J$497,MATCH(N229,Data!$A$2:$A$497,1))/INDEX(Data!$J$2:$J$497,MATCH(N217,Data!$A$2:$A$497,1))),"")</f>
        <v>0.116948194923327</v>
      </c>
      <c r="AU229" s="560">
        <f>IFERROR(LN(INDEX(Data!$K$2:$K$497,MATCH(N229,Data!$A$2:$A$497,1))/INDEX(Data!$K$2:$K$497,MATCH(N217,Data!$A$2:$A$497,1))),"")</f>
        <v>0.246229734211355</v>
      </c>
      <c r="AV229" s="561">
        <f>IFERROR(LN(INDEX(Data!$L$2:$L$497,MATCH(N229,Data!$A$2:$A$497,1))/INDEX(Data!$L$2:$L$497,MATCH(N217,Data!$A$2:$A$497,1))),"")</f>
        <v>0.159508473985269</v>
      </c>
    </row>
    <row r="230">
      <c r="N230" s="337" t="n">
        <v>31716</v>
      </c>
      <c r="O230" s="116">
        <f>INDEX('Additional data'!$B$2:$B$965,MATCH(DATE(YEAR(N230),MONTH(N230),1),'Additional data'!$A$2:$A$965,0))</f>
        <v>14.852</v>
      </c>
      <c r="P230" s="489">
        <f>LN(O230)</f>
        <v>2.69813453631483</v>
      </c>
      <c r="Q230" s="489">
        <f>Q229+LN(1+INDEX('Additional data'!$H$2:$H$1196,MATCH(N230,'Additional data'!$G$2:$G$1196,1))+INDEX('Additional data'!$I$2:$I$1196,MATCH(N230,'Additional data'!$G$2:$G$1196,1)))</f>
        <v>1.74103037380065</v>
      </c>
      <c r="R230" s="489">
        <f>LN(INDEX(Data!$B$2:$B$497,MATCH(N230,Data!$A$2:$A$497,1)))</f>
        <v>8.22034927717207</v>
      </c>
      <c r="S230" s="116">
        <f>IF(INDEX('Additional data'!$E$2:$E$699,MATCH(DATE(YEAR(N230),MONTH(N230),1),'Additional data'!$D$2:$D$699,0))=0,(INDEX('Additional data'!$E$2:$E$699,MATCH(DATE(YEAR(N230),MONTH(N230),1),'Additional data'!$D$2:$D$699,0)-1)+INDEX('Additional data'!$E$2:$E$699,MATCH(DATE(YEAR(N230),MONTH(N230),1),'Additional data'!$D$2:$D$699,0)+1))/2,INDEX('Additional data'!$E$2:$E$699,MATCH(DATE(YEAR(N230),MONTH(N230),1),'Additional data'!$D$2:$D$699,0)))</f>
        <v>16.82</v>
      </c>
      <c r="T230" s="425">
        <f>P230-P229</f>
        <v>-0.00409877946581183</v>
      </c>
      <c r="U230" s="425">
        <f>Q230-Q229</f>
        <v>0.0497420918948139</v>
      </c>
      <c r="V230" s="425">
        <f>R230-R229</f>
        <v>0.106054490666684</v>
      </c>
      <c r="W230" s="116">
        <f>S230-S229</f>
        <v>-1.26</v>
      </c>
      <c r="X230" s="425">
        <f>P230-P218</f>
        <v>-0.687543033689285</v>
      </c>
      <c r="Y230" s="425">
        <f>Q230-Q218</f>
        <v>0.277240609494429</v>
      </c>
      <c r="Z230" s="425">
        <f>R230-R218</f>
        <v>0.330478073295608</v>
      </c>
      <c r="AA230" s="116">
        <f>S230-S218</f>
        <v>0.460000000000001</v>
      </c>
      <c r="AB230" s="425">
        <f>P230-P170</f>
        <v>-0.85721352517458</v>
      </c>
      <c r="AC230" s="425">
        <f>Q230-Q170</f>
        <v>0.898325057609318</v>
      </c>
      <c r="AD230" s="77" t="n"/>
      <c r="AE230" s="235">
        <f>S230-S170</f>
        <v>2.13</v>
      </c>
      <c r="AG230" s="554">
        <f>N230</f>
        <v>31716.0</v>
      </c>
      <c r="AH230" s="435">
        <f>IFERROR(INDEX('RBA 5Y yield'!$B$5:$B$661,MATCH(N230,'RBA 5Y yield'!$A$5:$A$661,1))*100,"")</f>
        <v>13.85</v>
      </c>
      <c r="AI230" s="435">
        <f>IF(AND(ISNUMBER(AH230),ISNUMBER(AH229)),AH230-AH229,"")</f>
        <v>-0.549999999999997</v>
      </c>
      <c r="AJ230" s="435">
        <f>IF(AND(ISNUMBER(AH230),ISNUMBER(AH218)),AH230-AH218,"")</f>
        <v>-0.899999999999999</v>
      </c>
      <c r="AK230" s="435">
        <f>IF(AND(ISNUMBER(AH230),ISNUMBER(AH170)),AH230-AH170,"")</f>
        <v>-1.15</v>
      </c>
      <c r="AL230" s="560">
        <f>IFERROR(LN(INDEX(Data!$B$2:$B$497,MATCH(N230,Data!$A$2:$A$497,1))/INDEX(Data!$B$2:$B$497,MATCH(N218,Data!$A$2:$A$497,1))),"")</f>
        <v>0.330478073295607</v>
      </c>
      <c r="AM230" s="560">
        <f>IFERROR(LN(INDEX(Data!$C$2:$C$497,MATCH(N230,Data!$A$2:$A$497,1))/INDEX(Data!$C$2:$C$497,MATCH(N218,Data!$A$2:$A$497,1))),"")</f>
        <v>0.396221590582081</v>
      </c>
      <c r="AN230" s="560">
        <f>IFERROR(LN(INDEX(Data!$D$2:$D$497,MATCH(N230,Data!$A$2:$A$497,1))/INDEX(Data!$D$2:$D$497,MATCH(N218,Data!$A$2:$A$497,1))),"")</f>
      </c>
      <c r="AO230" s="560">
        <f>IFERROR(LN(INDEX(Data!$E$2:$E$497,MATCH(N230,Data!$A$2:$A$497,1))/INDEX(Data!$E$2:$E$497,MATCH(N218,Data!$A$2:$A$497,1))),"")</f>
      </c>
      <c r="AP230" s="560">
        <f>IFERROR(LN(INDEX(Data!$F$2:$F$497,MATCH(N230,Data!$A$2:$A$497,1))/INDEX(Data!$F$2:$F$497,MATCH(N218,Data!$A$2:$A$497,1))),"")</f>
        <v>0.0827013814317487</v>
      </c>
      <c r="AQ230" s="560">
        <f>IFERROR(LN(INDEX(Data!$G$2:$G$497,MATCH(N230,Data!$A$2:$A$497,1))/INDEX(Data!$G$2:$G$497,MATCH(N218,Data!$A$2:$A$497,1))),"")</f>
        <v>0.0472172603451626</v>
      </c>
      <c r="AR230" s="560">
        <f>IFERROR(LN(INDEX(Data!$H$2:$H$497,MATCH(N230,Data!$A$2:$A$497,1))/INDEX(Data!$H$2:$H$497,MATCH(N218,Data!$A$2:$A$497,1))),"")</f>
      </c>
      <c r="AS230" s="560">
        <f>IFERROR(LN(INDEX(Data!$I$2:$I$497,MATCH(N230,Data!$A$2:$A$497,1))/INDEX(Data!$I$2:$I$497,MATCH(N218,Data!$A$2:$A$497,1))),"")</f>
      </c>
      <c r="AT230" s="560">
        <f>IFERROR(LN(INDEX(Data!$J$2:$J$497,MATCH(N230,Data!$A$2:$A$497,1))/INDEX(Data!$J$2:$J$497,MATCH(N218,Data!$A$2:$A$497,1))),"")</f>
        <v>0.165389616308994</v>
      </c>
      <c r="AU230" s="560">
        <f>IFERROR(LN(INDEX(Data!$K$2:$K$497,MATCH(N230,Data!$A$2:$A$497,1))/INDEX(Data!$K$2:$K$497,MATCH(N218,Data!$A$2:$A$497,1))),"")</f>
        <v>0.252940716522621</v>
      </c>
      <c r="AV230" s="561">
        <f>IFERROR(LN(INDEX(Data!$L$2:$L$497,MATCH(N230,Data!$A$2:$A$497,1))/INDEX(Data!$L$2:$L$497,MATCH(N218,Data!$A$2:$A$497,1))),"")</f>
        <v>0.159868745618904</v>
      </c>
    </row>
    <row r="231">
      <c r="N231" s="337" t="n">
        <v>31746</v>
      </c>
      <c r="O231" s="116">
        <f>INDEX('Additional data'!$B$2:$B$965,MATCH(DATE(YEAR(N231),MONTH(N231),1),'Additional data'!$A$2:$A$965,0))</f>
        <v>15.207</v>
      </c>
      <c r="P231" s="489">
        <f>LN(O231)</f>
        <v>2.72175584815832</v>
      </c>
      <c r="Q231" s="489">
        <f>Q230+LN(1+INDEX('Additional data'!$H$2:$H$1196,MATCH(N231,'Additional data'!$G$2:$G$1196,1))+INDEX('Additional data'!$I$2:$I$1196,MATCH(N231,'Additional data'!$G$2:$G$1196,1)))</f>
        <v>1.75650994464904</v>
      </c>
      <c r="R231" s="489">
        <f>LN(INDEX(Data!$B$2:$B$497,MATCH(N231,Data!$A$2:$A$497,1)))</f>
        <v>8.22477994458856</v>
      </c>
      <c r="S231" s="116">
        <f>IF(INDEX('Additional data'!$E$2:$E$699,MATCH(DATE(YEAR(N231),MONTH(N231),1),'Additional data'!$D$2:$D$699,0))=0,(INDEX('Additional data'!$E$2:$E$699,MATCH(DATE(YEAR(N231),MONTH(N231),1),'Additional data'!$D$2:$D$699,0)-1)+INDEX('Additional data'!$E$2:$E$699,MATCH(DATE(YEAR(N231),MONTH(N231),1),'Additional data'!$D$2:$D$699,0)+1))/2,INDEX('Additional data'!$E$2:$E$699,MATCH(DATE(YEAR(N231),MONTH(N231),1),'Additional data'!$D$2:$D$699,0)))</f>
        <v>15.9</v>
      </c>
      <c r="T231" s="425">
        <f>P231-P230</f>
        <v>0.0236213118434887</v>
      </c>
      <c r="U231" s="425">
        <f>Q231-Q230</f>
        <v>0.0154795708483864</v>
      </c>
      <c r="V231" s="425">
        <f>R231-R230</f>
        <v>0.00443066741648401</v>
      </c>
      <c r="W231" s="116">
        <f>S231-S230</f>
        <v>-0.92</v>
      </c>
      <c r="X231" s="425">
        <f>P231-P219</f>
        <v>-0.706180830693455</v>
      </c>
      <c r="Y231" s="425">
        <f>Q231-Q219</f>
        <v>0.224407540160728</v>
      </c>
      <c r="Z231" s="425">
        <f>R231-R219</f>
        <v>0.368073151492714</v>
      </c>
      <c r="AA231" s="116">
        <f>S231-S219</f>
        <v>-2.28</v>
      </c>
      <c r="AB231" s="425">
        <f>P231-P171</f>
        <v>-0.861763090297788</v>
      </c>
      <c r="AC231" s="425">
        <f>Q231-Q171</f>
        <v>0.870074865596379</v>
      </c>
      <c r="AD231" s="77" t="n"/>
      <c r="AE231" s="235">
        <f>S231-S171</f>
        <v>1.28</v>
      </c>
      <c r="AG231" s="554">
        <f>N231</f>
        <v>31746.0</v>
      </c>
      <c r="AH231" s="435">
        <f>IFERROR(INDEX('RBA 5Y yield'!$B$5:$B$661,MATCH(N231,'RBA 5Y yield'!$A$5:$A$661,1))*100,"")</f>
        <v>13.95</v>
      </c>
      <c r="AI231" s="435">
        <f>IF(AND(ISNUMBER(AH231),ISNUMBER(AH230)),AH231-AH230,"")</f>
        <v>0.0999999999999996</v>
      </c>
      <c r="AJ231" s="435">
        <f>IF(AND(ISNUMBER(AH231),ISNUMBER(AH219)),AH231-AH219,"")</f>
        <v>-1.25</v>
      </c>
      <c r="AK231" s="435">
        <f>IF(AND(ISNUMBER(AH231),ISNUMBER(AH171)),AH231-AH171,"")</f>
        <v>-1.05</v>
      </c>
      <c r="AL231" s="560">
        <f>IFERROR(LN(INDEX(Data!$B$2:$B$497,MATCH(N231,Data!$A$2:$A$497,1))/INDEX(Data!$B$2:$B$497,MATCH(N219,Data!$A$2:$A$497,1))),"")</f>
        <v>0.368073151492715</v>
      </c>
      <c r="AM231" s="560">
        <f>IFERROR(LN(INDEX(Data!$C$2:$C$497,MATCH(N231,Data!$A$2:$A$497,1))/INDEX(Data!$C$2:$C$497,MATCH(N219,Data!$A$2:$A$497,1))),"")</f>
        <v>0.353203126877566</v>
      </c>
      <c r="AN231" s="560">
        <f>IFERROR(LN(INDEX(Data!$D$2:$D$497,MATCH(N231,Data!$A$2:$A$497,1))/INDEX(Data!$D$2:$D$497,MATCH(N219,Data!$A$2:$A$497,1))),"")</f>
      </c>
      <c r="AO231" s="560">
        <f>IFERROR(LN(INDEX(Data!$E$2:$E$497,MATCH(N231,Data!$A$2:$A$497,1))/INDEX(Data!$E$2:$E$497,MATCH(N219,Data!$A$2:$A$497,1))),"")</f>
      </c>
      <c r="AP231" s="560">
        <f>IFERROR(LN(INDEX(Data!$F$2:$F$497,MATCH(N231,Data!$A$2:$A$497,1))/INDEX(Data!$F$2:$F$497,MATCH(N219,Data!$A$2:$A$497,1))),"")</f>
        <v>0.0611451675726133</v>
      </c>
      <c r="AQ231" s="560">
        <f>IFERROR(LN(INDEX(Data!$G$2:$G$497,MATCH(N231,Data!$A$2:$A$497,1))/INDEX(Data!$G$2:$G$497,MATCH(N219,Data!$A$2:$A$497,1))),"")</f>
        <v>0.0472172603451626</v>
      </c>
      <c r="AR231" s="560">
        <f>IFERROR(LN(INDEX(Data!$H$2:$H$497,MATCH(N231,Data!$A$2:$A$497,1))/INDEX(Data!$H$2:$H$497,MATCH(N219,Data!$A$2:$A$497,1))),"")</f>
      </c>
      <c r="AS231" s="560">
        <f>IFERROR(LN(INDEX(Data!$I$2:$I$497,MATCH(N231,Data!$A$2:$A$497,1))/INDEX(Data!$I$2:$I$497,MATCH(N219,Data!$A$2:$A$497,1))),"")</f>
      </c>
      <c r="AT231" s="560">
        <f>IFERROR(LN(INDEX(Data!$J$2:$J$497,MATCH(N231,Data!$A$2:$A$497,1))/INDEX(Data!$J$2:$J$497,MATCH(N219,Data!$A$2:$A$497,1))),"")</f>
        <v>0.176743625810265</v>
      </c>
      <c r="AU231" s="560">
        <f>IFERROR(LN(INDEX(Data!$K$2:$K$497,MATCH(N231,Data!$A$2:$A$497,1))/INDEX(Data!$K$2:$K$497,MATCH(N219,Data!$A$2:$A$497,1))),"")</f>
        <v>0.244304276164929</v>
      </c>
      <c r="AV231" s="561">
        <f>IFERROR(LN(INDEX(Data!$L$2:$L$497,MATCH(N231,Data!$A$2:$A$497,1))/INDEX(Data!$L$2:$L$497,MATCH(N219,Data!$A$2:$A$497,1))),"")</f>
        <v>0.157654151834422</v>
      </c>
    </row>
    <row r="232">
      <c r="N232" s="337" t="n">
        <v>31777</v>
      </c>
      <c r="O232" s="116">
        <f>INDEX('Additional data'!$B$2:$B$965,MATCH(DATE(YEAR(N232),MONTH(N232),1),'Additional data'!$A$2:$A$965,0))</f>
        <v>16.076</v>
      </c>
      <c r="P232" s="489">
        <f>LN(O232)</f>
        <v>2.77732747658696</v>
      </c>
      <c r="Q232" s="489">
        <f>Q231+LN(1+INDEX('Additional data'!$H$2:$H$1196,MATCH(N232,'Additional data'!$G$2:$G$1196,1))+INDEX('Additional data'!$I$2:$I$1196,MATCH(N232,'Additional data'!$G$2:$G$1196,1)))</f>
        <v>1.72841906448252</v>
      </c>
      <c r="R232" s="489">
        <f>LN(INDEX(Data!$B$2:$B$497,MATCH(N232,Data!$A$2:$A$497,1)))</f>
        <v>8.29179710504873</v>
      </c>
      <c r="S232" s="116">
        <f>IF(INDEX('Additional data'!$E$2:$E$699,MATCH(DATE(YEAR(N232),MONTH(N232),1),'Additional data'!$D$2:$D$699,0))=0,(INDEX('Additional data'!$E$2:$E$699,MATCH(DATE(YEAR(N232),MONTH(N232),1),'Additional data'!$D$2:$D$699,0)-1)+INDEX('Additional data'!$E$2:$E$699,MATCH(DATE(YEAR(N232),MONTH(N232),1),'Additional data'!$D$2:$D$699,0)+1))/2,INDEX('Additional data'!$E$2:$E$699,MATCH(DATE(YEAR(N232),MONTH(N232),1),'Additional data'!$D$2:$D$699,0)))</f>
        <v>15.53</v>
      </c>
      <c r="T232" s="425">
        <f>P232-P231</f>
        <v>0.0555716284286327</v>
      </c>
      <c r="U232" s="425">
        <f>Q232-Q231</f>
        <v>-0.0280908801665256</v>
      </c>
      <c r="V232" s="425">
        <f>R232-R231</f>
        <v>0.0670171604601784</v>
      </c>
      <c r="W232" s="116">
        <f>S232-S231</f>
        <v>-0.370000000000001</v>
      </c>
      <c r="X232" s="425">
        <f>P232-P220</f>
        <v>-0.52691837899875</v>
      </c>
      <c r="Y232" s="425">
        <f>Q232-Q220</f>
        <v>0.152012734437679</v>
      </c>
      <c r="Z232" s="425">
        <f>R232-R220</f>
        <v>0.420142580277716</v>
      </c>
      <c r="AA232" s="116">
        <f>S232-S220</f>
        <v>-4.03</v>
      </c>
      <c r="AB232" s="425">
        <f>P232-P172</f>
        <v>-0.778020584902459</v>
      </c>
      <c r="AC232" s="425">
        <f>Q232-Q172</f>
        <v>0.869972021970022</v>
      </c>
      <c r="AD232" s="77" t="n"/>
      <c r="AE232" s="235">
        <f>S232-S172</f>
        <v>-0.00999999999999979</v>
      </c>
      <c r="AG232" s="554">
        <f>N232</f>
        <v>31777.0</v>
      </c>
      <c r="AH232" s="435">
        <f>IFERROR(INDEX('RBA 5Y yield'!$B$5:$B$661,MATCH(N232,'RBA 5Y yield'!$A$5:$A$661,1))*100,"")</f>
        <v>13.85</v>
      </c>
      <c r="AI232" s="435">
        <f>IF(AND(ISNUMBER(AH232),ISNUMBER(AH231)),AH232-AH231,"")</f>
        <v>-0.0999999999999996</v>
      </c>
      <c r="AJ232" s="435">
        <f>IF(AND(ISNUMBER(AH232),ISNUMBER(AH220)),AH232-AH220,"")</f>
        <v>-1.35</v>
      </c>
      <c r="AK232" s="435">
        <f>IF(AND(ISNUMBER(AH232),ISNUMBER(AH172)),AH232-AH172,"")</f>
        <v>-1.05</v>
      </c>
      <c r="AL232" s="560">
        <f>IFERROR(LN(INDEX(Data!$B$2:$B$497,MATCH(N232,Data!$A$2:$A$497,1))/INDEX(Data!$B$2:$B$497,MATCH(N220,Data!$A$2:$A$497,1))),"")</f>
        <v>0.420142580277716</v>
      </c>
      <c r="AM232" s="560">
        <f>IFERROR(LN(INDEX(Data!$C$2:$C$497,MATCH(N232,Data!$A$2:$A$497,1))/INDEX(Data!$C$2:$C$497,MATCH(N220,Data!$A$2:$A$497,1))),"")</f>
        <v>0.292314758425247</v>
      </c>
      <c r="AN232" s="560">
        <f>IFERROR(LN(INDEX(Data!$D$2:$D$497,MATCH(N232,Data!$A$2:$A$497,1))/INDEX(Data!$D$2:$D$497,MATCH(N220,Data!$A$2:$A$497,1))),"")</f>
      </c>
      <c r="AO232" s="560">
        <f>IFERROR(LN(INDEX(Data!$E$2:$E$497,MATCH(N232,Data!$A$2:$A$497,1))/INDEX(Data!$E$2:$E$497,MATCH(N220,Data!$A$2:$A$497,1))),"")</f>
      </c>
      <c r="AP232" s="560">
        <f>IFERROR(LN(INDEX(Data!$F$2:$F$497,MATCH(N232,Data!$A$2:$A$497,1))/INDEX(Data!$F$2:$F$497,MATCH(N220,Data!$A$2:$A$497,1))),"")</f>
        <v>0.0456681556021596</v>
      </c>
      <c r="AQ232" s="560">
        <f>IFERROR(LN(INDEX(Data!$G$2:$G$497,MATCH(N232,Data!$A$2:$A$497,1))/INDEX(Data!$G$2:$G$497,MATCH(N220,Data!$A$2:$A$497,1))),"")</f>
        <v>0.0441882022165886</v>
      </c>
      <c r="AR232" s="560">
        <f>IFERROR(LN(INDEX(Data!$H$2:$H$497,MATCH(N232,Data!$A$2:$A$497,1))/INDEX(Data!$H$2:$H$497,MATCH(N220,Data!$A$2:$A$497,1))),"")</f>
      </c>
      <c r="AS232" s="560">
        <f>IFERROR(LN(INDEX(Data!$I$2:$I$497,MATCH(N232,Data!$A$2:$A$497,1))/INDEX(Data!$I$2:$I$497,MATCH(N220,Data!$A$2:$A$497,1))),"")</f>
      </c>
      <c r="AT232" s="560">
        <f>IFERROR(LN(INDEX(Data!$J$2:$J$497,MATCH(N232,Data!$A$2:$A$497,1))/INDEX(Data!$J$2:$J$497,MATCH(N220,Data!$A$2:$A$497,1))),"")</f>
        <v>0.178936402984542</v>
      </c>
      <c r="AU232" s="560">
        <f>IFERROR(LN(INDEX(Data!$K$2:$K$497,MATCH(N232,Data!$A$2:$A$497,1))/INDEX(Data!$K$2:$K$497,MATCH(N220,Data!$A$2:$A$497,1))),"")</f>
        <v>0.228345168547181</v>
      </c>
      <c r="AV232" s="561">
        <f>IFERROR(LN(INDEX(Data!$L$2:$L$497,MATCH(N232,Data!$A$2:$A$497,1))/INDEX(Data!$L$2:$L$497,MATCH(N220,Data!$A$2:$A$497,1))),"")</f>
        <v>0.154318670779713</v>
      </c>
    </row>
    <row r="233">
      <c r="N233" s="337" t="n">
        <v>31808</v>
      </c>
      <c r="O233" s="116">
        <f>INDEX('Additional data'!$B$2:$B$965,MATCH(DATE(YEAR(N233),MONTH(N233),1),'Additional data'!$A$2:$A$965,0))</f>
        <v>18.656</v>
      </c>
      <c r="P233" s="489">
        <f>LN(O233)</f>
        <v>2.92616781016808</v>
      </c>
      <c r="Q233" s="489">
        <f>Q232+LN(1+INDEX('Additional data'!$H$2:$H$1196,MATCH(N233,'Additional data'!$G$2:$G$1196,1))+INDEX('Additional data'!$I$2:$I$1196,MATCH(N233,'Additional data'!$G$2:$G$1196,1)))</f>
        <v>1.84948559246196</v>
      </c>
      <c r="R233" s="489">
        <f>LN(INDEX(Data!$B$2:$B$497,MATCH(N233,Data!$A$2:$A$497,1)))</f>
        <v>8.30898751246624</v>
      </c>
      <c r="S233" s="116">
        <f>IF(INDEX('Additional data'!$E$2:$E$699,MATCH(DATE(YEAR(N233),MONTH(N233),1),'Additional data'!$D$2:$D$699,0))=0,(INDEX('Additional data'!$E$2:$E$699,MATCH(DATE(YEAR(N233),MONTH(N233),1),'Additional data'!$D$2:$D$699,0)-1)+INDEX('Additional data'!$E$2:$E$699,MATCH(DATE(YEAR(N233),MONTH(N233),1),'Additional data'!$D$2:$D$699,0)+1))/2,INDEX('Additional data'!$E$2:$E$699,MATCH(DATE(YEAR(N233),MONTH(N233),1),'Additional data'!$D$2:$D$699,0)))</f>
        <v>15.86</v>
      </c>
      <c r="T233" s="425">
        <f>P233-P232</f>
        <v>0.148840333581127</v>
      </c>
      <c r="U233" s="425">
        <f>Q233-Q232</f>
        <v>0.121066527979444</v>
      </c>
      <c r="V233" s="425">
        <f>R233-R232</f>
        <v>0.0171904074175018</v>
      </c>
      <c r="W233" s="116">
        <f>S233-S232</f>
        <v>0.33</v>
      </c>
      <c r="X233" s="425">
        <f>P233-P221</f>
        <v>-0.206932237678715</v>
      </c>
      <c r="Y233" s="425">
        <f>Q233-Q221</f>
        <v>0.261051882204404</v>
      </c>
      <c r="Z233" s="425">
        <f>R233-R221</f>
        <v>0.366092367771562</v>
      </c>
      <c r="AA233" s="116">
        <f>S233-S221</f>
        <v>-3.11</v>
      </c>
      <c r="AB233" s="425">
        <f>P233-P173</f>
        <v>-0.595771189190202</v>
      </c>
      <c r="AC233" s="425">
        <f>Q233-Q173</f>
        <v>1.0156386668177</v>
      </c>
      <c r="AD233" s="77" t="n"/>
      <c r="AE233" s="235">
        <f>S233-S173</f>
        <v>-0.350000000000001</v>
      </c>
      <c r="AG233" s="554">
        <f>N233</f>
        <v>31808.0</v>
      </c>
      <c r="AH233" s="435">
        <f>IFERROR(INDEX('RBA 5Y yield'!$B$5:$B$661,MATCH(N233,'RBA 5Y yield'!$A$5:$A$661,1))*100,"")</f>
        <v>14.7</v>
      </c>
      <c r="AI233" s="435">
        <f>IF(AND(ISNUMBER(AH233),ISNUMBER(AH232)),AH233-AH232,"")</f>
        <v>0.849999999999998</v>
      </c>
      <c r="AJ233" s="435">
        <f>IF(AND(ISNUMBER(AH233),ISNUMBER(AH221)),AH233-AH221,"")</f>
        <v>0.4</v>
      </c>
      <c r="AK233" s="435">
        <f>IF(AND(ISNUMBER(AH233),ISNUMBER(AH173)),AH233-AH173,"")</f>
        <v>-0.300000000000001</v>
      </c>
      <c r="AL233" s="560">
        <f>IFERROR(LN(INDEX(Data!$B$2:$B$497,MATCH(N233,Data!$A$2:$A$497,1))/INDEX(Data!$B$2:$B$497,MATCH(N221,Data!$A$2:$A$497,1))),"")</f>
        <v>0.366092367771562</v>
      </c>
      <c r="AM233" s="560">
        <f>IFERROR(LN(INDEX(Data!$C$2:$C$497,MATCH(N233,Data!$A$2:$A$497,1))/INDEX(Data!$C$2:$C$497,MATCH(N221,Data!$A$2:$A$497,1))),"")</f>
        <v>0.423950352165174</v>
      </c>
      <c r="AN233" s="560">
        <f>IFERROR(LN(INDEX(Data!$D$2:$D$497,MATCH(N233,Data!$A$2:$A$497,1))/INDEX(Data!$D$2:$D$497,MATCH(N221,Data!$A$2:$A$497,1))),"")</f>
      </c>
      <c r="AO233" s="560">
        <f>IFERROR(LN(INDEX(Data!$E$2:$E$497,MATCH(N233,Data!$A$2:$A$497,1))/INDEX(Data!$E$2:$E$497,MATCH(N221,Data!$A$2:$A$497,1))),"")</f>
      </c>
      <c r="AP233" s="560">
        <f>IFERROR(LN(INDEX(Data!$F$2:$F$497,MATCH(N233,Data!$A$2:$A$497,1))/INDEX(Data!$F$2:$F$497,MATCH(N221,Data!$A$2:$A$497,1))),"")</f>
        <v>0.242668522025133</v>
      </c>
      <c r="AQ233" s="560">
        <f>IFERROR(LN(INDEX(Data!$G$2:$G$497,MATCH(N233,Data!$A$2:$A$497,1))/INDEX(Data!$G$2:$G$497,MATCH(N221,Data!$A$2:$A$497,1))),"")</f>
        <v>0.0441882022165886</v>
      </c>
      <c r="AR233" s="560">
        <f>IFERROR(LN(INDEX(Data!$H$2:$H$497,MATCH(N233,Data!$A$2:$A$497,1))/INDEX(Data!$H$2:$H$497,MATCH(N221,Data!$A$2:$A$497,1))),"")</f>
      </c>
      <c r="AS233" s="560">
        <f>IFERROR(LN(INDEX(Data!$I$2:$I$497,MATCH(N233,Data!$A$2:$A$497,1))/INDEX(Data!$I$2:$I$497,MATCH(N221,Data!$A$2:$A$497,1))),"")</f>
      </c>
      <c r="AT233" s="560">
        <f>IFERROR(LN(INDEX(Data!$J$2:$J$497,MATCH(N233,Data!$A$2:$A$497,1))/INDEX(Data!$J$2:$J$497,MATCH(N221,Data!$A$2:$A$497,1))),"")</f>
        <v>0.135156215792262</v>
      </c>
      <c r="AU233" s="560">
        <f>IFERROR(LN(INDEX(Data!$K$2:$K$497,MATCH(N233,Data!$A$2:$A$497,1))/INDEX(Data!$K$2:$K$497,MATCH(N221,Data!$A$2:$A$497,1))),"")</f>
        <v>0.235532930340419</v>
      </c>
      <c r="AV233" s="561">
        <f>IFERROR(LN(INDEX(Data!$L$2:$L$497,MATCH(N233,Data!$A$2:$A$497,1))/INDEX(Data!$L$2:$L$497,MATCH(N221,Data!$A$2:$A$497,1))),"")</f>
        <v>0.151867675775631</v>
      </c>
    </row>
    <row r="234">
      <c r="N234" s="337" t="n">
        <v>31836</v>
      </c>
      <c r="O234" s="116">
        <f>INDEX('Additional data'!$B$2:$B$965,MATCH(DATE(YEAR(N234),MONTH(N234),1),'Additional data'!$A$2:$A$965,0))</f>
        <v>17.726</v>
      </c>
      <c r="P234" s="489">
        <f>LN(O234)</f>
        <v>2.87503248831621</v>
      </c>
      <c r="Q234" s="489">
        <f>Q233+LN(1+INDEX('Additional data'!$H$2:$H$1196,MATCH(N234,'Additional data'!$G$2:$G$1196,1))+INDEX('Additional data'!$I$2:$I$1196,MATCH(N234,'Additional data'!$G$2:$G$1196,1)))</f>
        <v>1.89646459365595</v>
      </c>
      <c r="R234" s="489">
        <f>LN(INDEX(Data!$B$2:$B$497,MATCH(N234,Data!$A$2:$A$497,1)))</f>
        <v>8.38596770956336</v>
      </c>
      <c r="S234" s="116">
        <f>IF(INDEX('Additional data'!$E$2:$E$699,MATCH(DATE(YEAR(N234),MONTH(N234),1),'Additional data'!$D$2:$D$699,0))=0,(INDEX('Additional data'!$E$2:$E$699,MATCH(DATE(YEAR(N234),MONTH(N234),1),'Additional data'!$D$2:$D$699,0)-1)+INDEX('Additional data'!$E$2:$E$699,MATCH(DATE(YEAR(N234),MONTH(N234),1),'Additional data'!$D$2:$D$699,0)+1))/2,INDEX('Additional data'!$E$2:$E$699,MATCH(DATE(YEAR(N234),MONTH(N234),1),'Additional data'!$D$2:$D$699,0)))</f>
        <v>16.7</v>
      </c>
      <c r="T234" s="425">
        <f>P234-P233</f>
        <v>-0.0511353218518758</v>
      </c>
      <c r="U234" s="425">
        <f>Q234-Q233</f>
        <v>0.0469790011939946</v>
      </c>
      <c r="V234" s="425">
        <f>R234-R233</f>
        <v>0.0769801970971216</v>
      </c>
      <c r="W234" s="116">
        <f>S234-S233</f>
        <v>0.84</v>
      </c>
      <c r="X234" s="425">
        <f>P234-P222</f>
        <v>0.137941418429582</v>
      </c>
      <c r="Y234" s="425">
        <f>Q234-Q222</f>
        <v>0.234130075558864</v>
      </c>
      <c r="Z234" s="425">
        <f>R234-R222</f>
        <v>0.464903886827567</v>
      </c>
      <c r="AA234" s="116">
        <f>S234-S222</f>
        <v>-1.59</v>
      </c>
      <c r="AB234" s="425">
        <f>P234-P174</f>
        <v>-0.576858007661467</v>
      </c>
      <c r="AC234" s="425">
        <f>Q234-Q174</f>
        <v>1.11327958281392</v>
      </c>
      <c r="AD234" s="77" t="n"/>
      <c r="AE234" s="235">
        <f>S234-S174</f>
        <v>-0.420000000000002</v>
      </c>
      <c r="AG234" s="554">
        <f>N234</f>
        <v>31836.0</v>
      </c>
      <c r="AH234" s="435">
        <f>IFERROR(INDEX('RBA 5Y yield'!$B$5:$B$661,MATCH(N234,'RBA 5Y yield'!$A$5:$A$661,1))*100,"")</f>
        <v>14.55</v>
      </c>
      <c r="AI234" s="435">
        <f>IF(AND(ISNUMBER(AH234),ISNUMBER(AH233)),AH234-AH233,"")</f>
        <v>-0.15</v>
      </c>
      <c r="AJ234" s="435">
        <f>IF(AND(ISNUMBER(AH234),ISNUMBER(AH222)),AH234-AH222,"")</f>
        <v>0.649999999999997</v>
      </c>
      <c r="AK234" s="435">
        <f>IF(AND(ISNUMBER(AH234),ISNUMBER(AH174)),AH234-AH174,"")</f>
        <v>-0.550000000000001</v>
      </c>
      <c r="AL234" s="560">
        <f>IFERROR(LN(INDEX(Data!$B$2:$B$497,MATCH(N234,Data!$A$2:$A$497,1))/INDEX(Data!$B$2:$B$497,MATCH(N222,Data!$A$2:$A$497,1))),"")</f>
        <v>0.464903886827567</v>
      </c>
      <c r="AM234" s="560">
        <f>IFERROR(LN(INDEX(Data!$C$2:$C$497,MATCH(N234,Data!$A$2:$A$497,1))/INDEX(Data!$C$2:$C$497,MATCH(N222,Data!$A$2:$A$497,1))),"")</f>
        <v>0.357098421376787</v>
      </c>
      <c r="AN234" s="560">
        <f>IFERROR(LN(INDEX(Data!$D$2:$D$497,MATCH(N234,Data!$A$2:$A$497,1))/INDEX(Data!$D$2:$D$497,MATCH(N222,Data!$A$2:$A$497,1))),"")</f>
      </c>
      <c r="AO234" s="560">
        <f>IFERROR(LN(INDEX(Data!$E$2:$E$497,MATCH(N234,Data!$A$2:$A$497,1))/INDEX(Data!$E$2:$E$497,MATCH(N222,Data!$A$2:$A$497,1))),"")</f>
      </c>
      <c r="AP234" s="560">
        <f>IFERROR(LN(INDEX(Data!$F$2:$F$497,MATCH(N234,Data!$A$2:$A$497,1))/INDEX(Data!$F$2:$F$497,MATCH(N222,Data!$A$2:$A$497,1))),"")</f>
        <v>0.178811556620148</v>
      </c>
      <c r="AQ234" s="560">
        <f>IFERROR(LN(INDEX(Data!$G$2:$G$497,MATCH(N234,Data!$A$2:$A$497,1))/INDEX(Data!$G$2:$G$497,MATCH(N222,Data!$A$2:$A$497,1))),"")</f>
        <v>0.0441882022165886</v>
      </c>
      <c r="AR234" s="560">
        <f>IFERROR(LN(INDEX(Data!$H$2:$H$497,MATCH(N234,Data!$A$2:$A$497,1))/INDEX(Data!$H$2:$H$497,MATCH(N222,Data!$A$2:$A$497,1))),"")</f>
      </c>
      <c r="AS234" s="560">
        <f>IFERROR(LN(INDEX(Data!$I$2:$I$497,MATCH(N234,Data!$A$2:$A$497,1))/INDEX(Data!$I$2:$I$497,MATCH(N222,Data!$A$2:$A$497,1))),"")</f>
      </c>
      <c r="AT234" s="560">
        <f>IFERROR(LN(INDEX(Data!$J$2:$J$497,MATCH(N234,Data!$A$2:$A$497,1))/INDEX(Data!$J$2:$J$497,MATCH(N222,Data!$A$2:$A$497,1))),"")</f>
        <v>0.106127574026735</v>
      </c>
      <c r="AU234" s="560">
        <f>IFERROR(LN(INDEX(Data!$K$2:$K$497,MATCH(N234,Data!$A$2:$A$497,1))/INDEX(Data!$K$2:$K$497,MATCH(N222,Data!$A$2:$A$497,1))),"")</f>
        <v>0.210569479555916</v>
      </c>
      <c r="AV234" s="561">
        <f>IFERROR(LN(INDEX(Data!$L$2:$L$497,MATCH(N234,Data!$A$2:$A$497,1))/INDEX(Data!$L$2:$L$497,MATCH(N222,Data!$A$2:$A$497,1))),"")</f>
        <v>0.150754344415215</v>
      </c>
    </row>
    <row r="235">
      <c r="N235" s="337" t="n">
        <v>31867</v>
      </c>
      <c r="O235" s="116">
        <f>INDEX('Additional data'!$B$2:$B$965,MATCH(DATE(YEAR(N235),MONTH(N235),1),'Additional data'!$A$2:$A$965,0))</f>
        <v>18.305</v>
      </c>
      <c r="P235" s="489">
        <f>LN(O235)</f>
        <v>2.9071742465722</v>
      </c>
      <c r="Q235" s="489">
        <f>Q234+LN(1+INDEX('Additional data'!$H$2:$H$1196,MATCH(N235,'Additional data'!$G$2:$G$1196,1))+INDEX('Additional data'!$I$2:$I$1196,MATCH(N235,'Additional data'!$G$2:$G$1196,1)))</f>
        <v>1.91724713283848</v>
      </c>
      <c r="R235" s="489">
        <f>LN(INDEX(Data!$B$2:$B$497,MATCH(N235,Data!$A$2:$A$497,1)))</f>
        <v>8.43415934808667</v>
      </c>
      <c r="S235" s="116">
        <f>IF(INDEX('Additional data'!$E$2:$E$699,MATCH(DATE(YEAR(N235),MONTH(N235),1),'Additional data'!$D$2:$D$699,0))=0,(INDEX('Additional data'!$E$2:$E$699,MATCH(DATE(YEAR(N235),MONTH(N235),1),'Additional data'!$D$2:$D$699,0)-1)+INDEX('Additional data'!$E$2:$E$699,MATCH(DATE(YEAR(N235),MONTH(N235),1),'Additional data'!$D$2:$D$699,0)+1))/2,INDEX('Additional data'!$E$2:$E$699,MATCH(DATE(YEAR(N235),MONTH(N235),1),'Additional data'!$D$2:$D$699,0)))</f>
        <v>16.41</v>
      </c>
      <c r="T235" s="425">
        <f>P235-P234</f>
        <v>0.0321417582559933</v>
      </c>
      <c r="U235" s="425">
        <f>Q235-Q234</f>
        <v>0.0207825391825285</v>
      </c>
      <c r="V235" s="425">
        <f>R235-R234</f>
        <v>0.048191638523317</v>
      </c>
      <c r="W235" s="116">
        <f>S235-S234</f>
        <v>-0.289999999999999</v>
      </c>
      <c r="X235" s="425">
        <f>P235-P223</f>
        <v>0.372049880623582</v>
      </c>
      <c r="Y235" s="425">
        <f>Q235-Q223</f>
        <v>0.201277065575483</v>
      </c>
      <c r="Z235" s="425">
        <f>R235-R223</f>
        <v>0.429292906562694</v>
      </c>
      <c r="AA235" s="116">
        <f>S235-S223</f>
        <v>-0.0300000000000011</v>
      </c>
      <c r="AB235" s="425">
        <f>P235-P175</f>
        <v>-0.442027839971575</v>
      </c>
      <c r="AC235" s="425">
        <f>Q235-Q175</f>
        <v>1.14249760081755</v>
      </c>
      <c r="AD235" s="77" t="n"/>
      <c r="AE235" s="235">
        <f>S235-S175</f>
        <v>-2.48</v>
      </c>
      <c r="AG235" s="554">
        <f>N235</f>
        <v>31867.0</v>
      </c>
      <c r="AH235" s="435">
        <f>IFERROR(INDEX('RBA 5Y yield'!$B$5:$B$661,MATCH(N235,'RBA 5Y yield'!$A$5:$A$661,1))*100,"")</f>
        <v>13.85</v>
      </c>
      <c r="AI235" s="435">
        <f>IF(AND(ISNUMBER(AH235),ISNUMBER(AH234)),AH235-AH234,"")</f>
        <v>-0.699999999999998</v>
      </c>
      <c r="AJ235" s="435">
        <f>IF(AND(ISNUMBER(AH235),ISNUMBER(AH223)),AH235-AH223,"")</f>
        <v>0.950000000000001</v>
      </c>
      <c r="AK235" s="435">
        <f>IF(AND(ISNUMBER(AH235),ISNUMBER(AH175)),AH235-AH175,"")</f>
        <v>-1.35</v>
      </c>
      <c r="AL235" s="560">
        <f>IFERROR(LN(INDEX(Data!$B$2:$B$497,MATCH(N235,Data!$A$2:$A$497,1))/INDEX(Data!$B$2:$B$497,MATCH(N223,Data!$A$2:$A$497,1))),"")</f>
        <v>0.429292906562693</v>
      </c>
      <c r="AM235" s="560">
        <f>IFERROR(LN(INDEX(Data!$C$2:$C$497,MATCH(N235,Data!$A$2:$A$497,1))/INDEX(Data!$C$2:$C$497,MATCH(N223,Data!$A$2:$A$497,1))),"")</f>
        <v>0.274992972771719</v>
      </c>
      <c r="AN235" s="560">
        <f>IFERROR(LN(INDEX(Data!$D$2:$D$497,MATCH(N235,Data!$A$2:$A$497,1))/INDEX(Data!$D$2:$D$497,MATCH(N223,Data!$A$2:$A$497,1))),"")</f>
      </c>
      <c r="AO235" s="560">
        <f>IFERROR(LN(INDEX(Data!$E$2:$E$497,MATCH(N235,Data!$A$2:$A$497,1))/INDEX(Data!$E$2:$E$497,MATCH(N223,Data!$A$2:$A$497,1))),"")</f>
      </c>
      <c r="AP235" s="560">
        <f>IFERROR(LN(INDEX(Data!$F$2:$F$497,MATCH(N235,Data!$A$2:$A$497,1))/INDEX(Data!$F$2:$F$497,MATCH(N223,Data!$A$2:$A$497,1))),"")</f>
        <v>0.2352976782269</v>
      </c>
      <c r="AQ235" s="560">
        <f>IFERROR(LN(INDEX(Data!$G$2:$G$497,MATCH(N235,Data!$A$2:$A$497,1))/INDEX(Data!$G$2:$G$497,MATCH(N223,Data!$A$2:$A$497,1))),"")</f>
        <v>0.0335224013463206</v>
      </c>
      <c r="AR235" s="560">
        <f>IFERROR(LN(INDEX(Data!$H$2:$H$497,MATCH(N235,Data!$A$2:$A$497,1))/INDEX(Data!$H$2:$H$497,MATCH(N223,Data!$A$2:$A$497,1))),"")</f>
      </c>
      <c r="AS235" s="560">
        <f>IFERROR(LN(INDEX(Data!$I$2:$I$497,MATCH(N235,Data!$A$2:$A$497,1))/INDEX(Data!$I$2:$I$497,MATCH(N223,Data!$A$2:$A$497,1))),"")</f>
      </c>
      <c r="AT235" s="560">
        <f>IFERROR(LN(INDEX(Data!$J$2:$J$497,MATCH(N235,Data!$A$2:$A$497,1))/INDEX(Data!$J$2:$J$497,MATCH(N223,Data!$A$2:$A$497,1))),"")</f>
        <v>0.0968600695432015</v>
      </c>
      <c r="AU235" s="560">
        <f>IFERROR(LN(INDEX(Data!$K$2:$K$497,MATCH(N235,Data!$A$2:$A$497,1))/INDEX(Data!$K$2:$K$497,MATCH(N223,Data!$A$2:$A$497,1))),"")</f>
        <v>0.176043762394942</v>
      </c>
      <c r="AV235" s="561">
        <f>IFERROR(LN(INDEX(Data!$L$2:$L$497,MATCH(N235,Data!$A$2:$A$497,1))/INDEX(Data!$L$2:$L$497,MATCH(N223,Data!$A$2:$A$497,1))),"")</f>
        <v>0.150879029889064</v>
      </c>
    </row>
    <row r="236">
      <c r="N236" s="337" t="n">
        <v>31897</v>
      </c>
      <c r="O236" s="116">
        <f>INDEX('Additional data'!$B$2:$B$965,MATCH(DATE(YEAR(N236),MONTH(N236),1),'Additional data'!$A$2:$A$965,0))</f>
        <v>18.643</v>
      </c>
      <c r="P236" s="489">
        <f>LN(O236)</f>
        <v>2.92547074051332</v>
      </c>
      <c r="Q236" s="489">
        <f>Q235+LN(1+INDEX('Additional data'!$H$2:$H$1196,MATCH(N236,'Additional data'!$G$2:$G$1196,1))+INDEX('Additional data'!$I$2:$I$1196,MATCH(N236,'Additional data'!$G$2:$G$1196,1)))</f>
        <v>1.90060949168546</v>
      </c>
      <c r="R236" s="489">
        <f>LN(INDEX(Data!$B$2:$B$497,MATCH(N236,Data!$A$2:$A$497,1)))</f>
        <v>8.47311590417531</v>
      </c>
      <c r="S236" s="116">
        <f>IF(INDEX('Additional data'!$E$2:$E$699,MATCH(DATE(YEAR(N236),MONTH(N236),1),'Additional data'!$D$2:$D$699,0))=0,(INDEX('Additional data'!$E$2:$E$699,MATCH(DATE(YEAR(N236),MONTH(N236),1),'Additional data'!$D$2:$D$699,0)-1)+INDEX('Additional data'!$E$2:$E$699,MATCH(DATE(YEAR(N236),MONTH(N236),1),'Additional data'!$D$2:$D$699,0)+1))/2,INDEX('Additional data'!$E$2:$E$699,MATCH(DATE(YEAR(N236),MONTH(N236),1),'Additional data'!$D$2:$D$699,0)))</f>
        <v>15.08</v>
      </c>
      <c r="T236" s="425">
        <f>P236-P235</f>
        <v>0.0182964939411252</v>
      </c>
      <c r="U236" s="425">
        <f>Q236-Q235</f>
        <v>-0.0166376411530234</v>
      </c>
      <c r="V236" s="425">
        <f>R236-R235</f>
        <v>0.0389565560886354</v>
      </c>
      <c r="W236" s="116">
        <f>S236-S235</f>
        <v>-1.33</v>
      </c>
      <c r="X236" s="425">
        <f>P236-P224</f>
        <v>0.372360419463852</v>
      </c>
      <c r="Y236" s="425">
        <f>Q236-Q224</f>
        <v>0.192268451586951</v>
      </c>
      <c r="Z236" s="425">
        <f>R236-R224</f>
        <v>0.398404564546512</v>
      </c>
      <c r="AA236" s="116">
        <f>S236-S224</f>
        <v>-0.68</v>
      </c>
      <c r="AB236" s="425">
        <f>P236-P176</f>
        <v>-0.584581046060913</v>
      </c>
      <c r="AC236" s="425">
        <f>Q236-Q176</f>
        <v>1.08308786782066</v>
      </c>
      <c r="AD236" s="77" t="n"/>
      <c r="AE236" s="235">
        <f>S236-S176</f>
        <v>-6.31</v>
      </c>
      <c r="AG236" s="554">
        <f>N236</f>
        <v>31897.0</v>
      </c>
      <c r="AH236" s="435">
        <f>IFERROR(INDEX('RBA 5Y yield'!$B$5:$B$661,MATCH(N236,'RBA 5Y yield'!$A$5:$A$661,1))*100,"")</f>
        <v>13.5</v>
      </c>
      <c r="AI236" s="435">
        <f>IF(AND(ISNUMBER(AH236),ISNUMBER(AH235)),AH236-AH235,"")</f>
        <v>-0.350000000000001</v>
      </c>
      <c r="AJ236" s="435">
        <f>IF(AND(ISNUMBER(AH236),ISNUMBER(AH224)),AH236-AH224,"")</f>
        <v>1.1</v>
      </c>
      <c r="AK236" s="435">
        <f>IF(AND(ISNUMBER(AH236),ISNUMBER(AH176)),AH236-AH176,"")</f>
        <v>-1.8</v>
      </c>
      <c r="AL236" s="560">
        <f>IFERROR(LN(INDEX(Data!$B$2:$B$497,MATCH(N236,Data!$A$2:$A$497,1))/INDEX(Data!$B$2:$B$497,MATCH(N224,Data!$A$2:$A$497,1))),"")</f>
        <v>0.398404564546513</v>
      </c>
      <c r="AM236" s="560">
        <f>IFERROR(LN(INDEX(Data!$C$2:$C$497,MATCH(N236,Data!$A$2:$A$497,1))/INDEX(Data!$C$2:$C$497,MATCH(N224,Data!$A$2:$A$497,1))),"")</f>
        <v>0.36358973170942</v>
      </c>
      <c r="AN236" s="560">
        <f>IFERROR(LN(INDEX(Data!$D$2:$D$497,MATCH(N236,Data!$A$2:$A$497,1))/INDEX(Data!$D$2:$D$497,MATCH(N224,Data!$A$2:$A$497,1))),"")</f>
      </c>
      <c r="AO236" s="560">
        <f>IFERROR(LN(INDEX(Data!$E$2:$E$497,MATCH(N236,Data!$A$2:$A$497,1))/INDEX(Data!$E$2:$E$497,MATCH(N224,Data!$A$2:$A$497,1))),"")</f>
      </c>
      <c r="AP236" s="560">
        <f>IFERROR(LN(INDEX(Data!$F$2:$F$497,MATCH(N236,Data!$A$2:$A$497,1))/INDEX(Data!$F$2:$F$497,MATCH(N224,Data!$A$2:$A$497,1))),"")</f>
        <v>0.275049616822875</v>
      </c>
      <c r="AQ236" s="560">
        <f>IFERROR(LN(INDEX(Data!$G$2:$G$497,MATCH(N236,Data!$A$2:$A$497,1))/INDEX(Data!$G$2:$G$497,MATCH(N224,Data!$A$2:$A$497,1))),"")</f>
        <v>0.0335224013463206</v>
      </c>
      <c r="AR236" s="560">
        <f>IFERROR(LN(INDEX(Data!$H$2:$H$497,MATCH(N236,Data!$A$2:$A$497,1))/INDEX(Data!$H$2:$H$497,MATCH(N224,Data!$A$2:$A$497,1))),"")</f>
      </c>
      <c r="AS236" s="560">
        <f>IFERROR(LN(INDEX(Data!$I$2:$I$497,MATCH(N236,Data!$A$2:$A$497,1))/INDEX(Data!$I$2:$I$497,MATCH(N224,Data!$A$2:$A$497,1))),"")</f>
      </c>
      <c r="AT236" s="560">
        <f>IFERROR(LN(INDEX(Data!$J$2:$J$497,MATCH(N236,Data!$A$2:$A$497,1))/INDEX(Data!$J$2:$J$497,MATCH(N224,Data!$A$2:$A$497,1))),"")</f>
        <v>0.091105548522293</v>
      </c>
      <c r="AU236" s="560">
        <f>IFERROR(LN(INDEX(Data!$K$2:$K$497,MATCH(N236,Data!$A$2:$A$497,1))/INDEX(Data!$K$2:$K$497,MATCH(N224,Data!$A$2:$A$497,1))),"")</f>
        <v>0.168694876552781</v>
      </c>
      <c r="AV236" s="561">
        <f>IFERROR(LN(INDEX(Data!$L$2:$L$497,MATCH(N236,Data!$A$2:$A$497,1))/INDEX(Data!$L$2:$L$497,MATCH(N224,Data!$A$2:$A$497,1))),"")</f>
        <v>0.153831201141139</v>
      </c>
    </row>
    <row r="237">
      <c r="N237" s="337" t="n">
        <v>31928</v>
      </c>
      <c r="O237" s="116">
        <f>INDEX('Additional data'!$B$2:$B$965,MATCH(DATE(YEAR(N237),MONTH(N237),1),'Additional data'!$A$2:$A$965,0))</f>
        <v>19.415</v>
      </c>
      <c r="P237" s="489">
        <f>LN(O237)</f>
        <v>2.96604596318363</v>
      </c>
      <c r="Q237" s="489">
        <f>Q236+LN(1+INDEX('Additional data'!$H$2:$H$1196,MATCH(N237,'Additional data'!$G$2:$G$1196,1))+INDEX('Additional data'!$I$2:$I$1196,MATCH(N237,'Additional data'!$G$2:$G$1196,1)))</f>
        <v>1.90549752575823</v>
      </c>
      <c r="R237" s="489">
        <f>LN(INDEX(Data!$B$2:$B$497,MATCH(N237,Data!$A$2:$A$497,1)))</f>
        <v>8.48677522019471</v>
      </c>
      <c r="S237" s="116">
        <f>IF(INDEX('Additional data'!$E$2:$E$699,MATCH(DATE(YEAR(N237),MONTH(N237),1),'Additional data'!$D$2:$D$699,0))=0,(INDEX('Additional data'!$E$2:$E$699,MATCH(DATE(YEAR(N237),MONTH(N237),1),'Additional data'!$D$2:$D$699,0)-1)+INDEX('Additional data'!$E$2:$E$699,MATCH(DATE(YEAR(N237),MONTH(N237),1),'Additional data'!$D$2:$D$699,0)+1))/2,INDEX('Additional data'!$E$2:$E$699,MATCH(DATE(YEAR(N237),MONTH(N237),1),'Additional data'!$D$2:$D$699,0)))</f>
        <v>14.14</v>
      </c>
      <c r="T237" s="425">
        <f>P237-P236</f>
        <v>0.0405752226703058</v>
      </c>
      <c r="U237" s="425">
        <f>Q237-Q236</f>
        <v>0.00488803407277616</v>
      </c>
      <c r="V237" s="425">
        <f>R237-R236</f>
        <v>0.0136593160193961</v>
      </c>
      <c r="W237" s="116">
        <f>S237-S236</f>
        <v>-0.94</v>
      </c>
      <c r="X237" s="425">
        <f>P237-P225</f>
        <v>0.22882538478164</v>
      </c>
      <c r="Y237" s="425">
        <f>Q237-Q225</f>
        <v>0.147319250812556</v>
      </c>
      <c r="Z237" s="425">
        <f>R237-R225</f>
        <v>0.385825010058511</v>
      </c>
      <c r="AA237" s="116">
        <f>S237-S225</f>
        <v>-0.59</v>
      </c>
      <c r="AB237" s="425">
        <f>P237-P177</f>
        <v>-0.615526637941797</v>
      </c>
      <c r="AC237" s="425">
        <f>Q237-Q177</f>
        <v>1.11709580046729</v>
      </c>
      <c r="AD237" s="77" t="n"/>
      <c r="AE237" s="235">
        <f>S237-S177</f>
        <v>-4.31</v>
      </c>
      <c r="AG237" s="554">
        <f>N237</f>
        <v>31928.0</v>
      </c>
      <c r="AH237" s="435">
        <f>IFERROR(INDEX('RBA 5Y yield'!$B$5:$B$661,MATCH(N237,'RBA 5Y yield'!$A$5:$A$661,1))*100,"")</f>
        <v>13.45</v>
      </c>
      <c r="AI237" s="435">
        <f>IF(AND(ISNUMBER(AH237),ISNUMBER(AH236)),AH237-AH236,"")</f>
        <v>-0.0499999999999989</v>
      </c>
      <c r="AJ237" s="435">
        <f>IF(AND(ISNUMBER(AH237),ISNUMBER(AH225)),AH237-AH225,"")</f>
        <v>0.800000000000001</v>
      </c>
      <c r="AK237" s="435">
        <f>IF(AND(ISNUMBER(AH237),ISNUMBER(AH177)),AH237-AH177,"")</f>
        <v>-2.95</v>
      </c>
      <c r="AL237" s="560">
        <f>IFERROR(LN(INDEX(Data!$B$2:$B$497,MATCH(N237,Data!$A$2:$A$497,1))/INDEX(Data!$B$2:$B$497,MATCH(N225,Data!$A$2:$A$497,1))),"")</f>
        <v>0.38582501005851</v>
      </c>
      <c r="AM237" s="560">
        <f>IFERROR(LN(INDEX(Data!$C$2:$C$497,MATCH(N237,Data!$A$2:$A$497,1))/INDEX(Data!$C$2:$C$497,MATCH(N225,Data!$A$2:$A$497,1))),"")</f>
        <v>0.305001860947969</v>
      </c>
      <c r="AN237" s="560">
        <f>IFERROR(LN(INDEX(Data!$D$2:$D$497,MATCH(N237,Data!$A$2:$A$497,1))/INDEX(Data!$D$2:$D$497,MATCH(N225,Data!$A$2:$A$497,1))),"")</f>
      </c>
      <c r="AO237" s="560">
        <f>IFERROR(LN(INDEX(Data!$E$2:$E$497,MATCH(N237,Data!$A$2:$A$497,1))/INDEX(Data!$E$2:$E$497,MATCH(N225,Data!$A$2:$A$497,1))),"")</f>
      </c>
      <c r="AP237" s="560">
        <f>IFERROR(LN(INDEX(Data!$F$2:$F$497,MATCH(N237,Data!$A$2:$A$497,1))/INDEX(Data!$F$2:$F$497,MATCH(N225,Data!$A$2:$A$497,1))),"")</f>
        <v>0.308135974602142</v>
      </c>
      <c r="AQ237" s="560">
        <f>IFERROR(LN(INDEX(Data!$G$2:$G$497,MATCH(N237,Data!$A$2:$A$497,1))/INDEX(Data!$G$2:$G$497,MATCH(N225,Data!$A$2:$A$497,1))),"")</f>
        <v>0.0335224013463206</v>
      </c>
      <c r="AR237" s="560">
        <f>IFERROR(LN(INDEX(Data!$H$2:$H$497,MATCH(N237,Data!$A$2:$A$497,1))/INDEX(Data!$H$2:$H$497,MATCH(N225,Data!$A$2:$A$497,1))),"")</f>
      </c>
      <c r="AS237" s="560">
        <f>IFERROR(LN(INDEX(Data!$I$2:$I$497,MATCH(N237,Data!$A$2:$A$497,1))/INDEX(Data!$I$2:$I$497,MATCH(N225,Data!$A$2:$A$497,1))),"")</f>
      </c>
      <c r="AT237" s="560">
        <f>IFERROR(LN(INDEX(Data!$J$2:$J$497,MATCH(N237,Data!$A$2:$A$497,1))/INDEX(Data!$J$2:$J$497,MATCH(N225,Data!$A$2:$A$497,1))),"")</f>
        <v>0.108664858039502</v>
      </c>
      <c r="AU237" s="560">
        <f>IFERROR(LN(INDEX(Data!$K$2:$K$497,MATCH(N237,Data!$A$2:$A$497,1))/INDEX(Data!$K$2:$K$497,MATCH(N225,Data!$A$2:$A$497,1))),"")</f>
        <v>0.188935259455351</v>
      </c>
      <c r="AV237" s="561">
        <f>IFERROR(LN(INDEX(Data!$L$2:$L$497,MATCH(N237,Data!$A$2:$A$497,1))/INDEX(Data!$L$2:$L$497,MATCH(N225,Data!$A$2:$A$497,1))),"")</f>
        <v>0.156436587850035</v>
      </c>
    </row>
    <row r="238">
      <c r="N238" s="337" t="n">
        <v>31958</v>
      </c>
      <c r="O238" s="116">
        <f>INDEX('Additional data'!$B$2:$B$965,MATCH(DATE(YEAR(N238),MONTH(N238),1),'Additional data'!$A$2:$A$965,0))</f>
        <v>20.034</v>
      </c>
      <c r="P238" s="489">
        <f>LN(O238)</f>
        <v>2.99743083018957</v>
      </c>
      <c r="Q238" s="489">
        <f>Q237+LN(1+INDEX('Additional data'!$H$2:$H$1196,MATCH(N238,'Additional data'!$G$2:$G$1196,1))+INDEX('Additional data'!$I$2:$I$1196,MATCH(N238,'Additional data'!$G$2:$G$1196,1)))</f>
        <v>1.94846122519035</v>
      </c>
      <c r="R238" s="489">
        <f>LN(INDEX(Data!$B$2:$B$497,MATCH(N238,Data!$A$2:$A$497,1)))</f>
        <v>8.48483527530811</v>
      </c>
      <c r="S238" s="116">
        <f>IF(INDEX('Additional data'!$E$2:$E$699,MATCH(DATE(YEAR(N238),MONTH(N238),1),'Additional data'!$D$2:$D$699,0))=0,(INDEX('Additional data'!$E$2:$E$699,MATCH(DATE(YEAR(N238),MONTH(N238),1),'Additional data'!$D$2:$D$699,0)-1)+INDEX('Additional data'!$E$2:$E$699,MATCH(DATE(YEAR(N238),MONTH(N238),1),'Additional data'!$D$2:$D$699,0)+1))/2,INDEX('Additional data'!$E$2:$E$699,MATCH(DATE(YEAR(N238),MONTH(N238),1),'Additional data'!$D$2:$D$699,0)))</f>
        <v>13.68</v>
      </c>
      <c r="T238" s="425">
        <f>P238-P237</f>
        <v>0.0313848670059418</v>
      </c>
      <c r="U238" s="425">
        <f>Q238-Q237</f>
        <v>0.0429636994321154</v>
      </c>
      <c r="V238" s="425">
        <f>R238-R237</f>
        <v>-0.00193994488659399</v>
      </c>
      <c r="W238" s="116">
        <f>S238-S237</f>
        <v>-0.460000000000001</v>
      </c>
      <c r="X238" s="425">
        <f>P238-P226</f>
        <v>0.397040081572894</v>
      </c>
      <c r="Y238" s="425">
        <f>Q238-Q226</f>
        <v>0.174606470859663</v>
      </c>
      <c r="Z238" s="425">
        <f>R238-R226</f>
        <v>0.431870422281081</v>
      </c>
      <c r="AA238" s="116">
        <f>S238-S226</f>
        <v>-1</v>
      </c>
      <c r="AB238" s="425">
        <f>P238-P178</f>
        <v>-0.559915233962514</v>
      </c>
      <c r="AC238" s="425">
        <f>Q238-Q178</f>
        <v>1.18148744731302</v>
      </c>
      <c r="AD238" s="77" t="n"/>
      <c r="AE238" s="235">
        <f>S238-S178</f>
        <v>-4.89</v>
      </c>
      <c r="AG238" s="554">
        <f>N238</f>
        <v>31958.0</v>
      </c>
      <c r="AH238" s="435">
        <f>IFERROR(INDEX('RBA 5Y yield'!$B$5:$B$661,MATCH(N238,'RBA 5Y yield'!$A$5:$A$661,1))*100,"")</f>
        <v>13.1</v>
      </c>
      <c r="AI238" s="435">
        <f>IF(AND(ISNUMBER(AH238),ISNUMBER(AH237)),AH238-AH237,"")</f>
        <v>-0.35</v>
      </c>
      <c r="AJ238" s="435">
        <f>IF(AND(ISNUMBER(AH238),ISNUMBER(AH226)),AH238-AH226,"")</f>
        <v>0.300000000000001</v>
      </c>
      <c r="AK238" s="435">
        <f>IF(AND(ISNUMBER(AH238),ISNUMBER(AH178)),AH238-AH178,"")</f>
        <v>-3.3</v>
      </c>
      <c r="AL238" s="560">
        <f>IFERROR(LN(INDEX(Data!$B$2:$B$497,MATCH(N238,Data!$A$2:$A$497,1))/INDEX(Data!$B$2:$B$497,MATCH(N226,Data!$A$2:$A$497,1))),"")</f>
        <v>0.431870422281083</v>
      </c>
      <c r="AM238" s="560">
        <f>IFERROR(LN(INDEX(Data!$C$2:$C$497,MATCH(N238,Data!$A$2:$A$497,1))/INDEX(Data!$C$2:$C$497,MATCH(N226,Data!$A$2:$A$497,1))),"")</f>
        <v>0.226459816997153</v>
      </c>
      <c r="AN238" s="560">
        <f>IFERROR(LN(INDEX(Data!$D$2:$D$497,MATCH(N238,Data!$A$2:$A$497,1))/INDEX(Data!$D$2:$D$497,MATCH(N226,Data!$A$2:$A$497,1))),"")</f>
      </c>
      <c r="AO238" s="560">
        <f>IFERROR(LN(INDEX(Data!$E$2:$E$497,MATCH(N238,Data!$A$2:$A$497,1))/INDEX(Data!$E$2:$E$497,MATCH(N226,Data!$A$2:$A$497,1))),"")</f>
      </c>
      <c r="AP238" s="560">
        <f>IFERROR(LN(INDEX(Data!$F$2:$F$497,MATCH(N238,Data!$A$2:$A$497,1))/INDEX(Data!$F$2:$F$497,MATCH(N226,Data!$A$2:$A$497,1))),"")</f>
        <v>0.232435436963878</v>
      </c>
      <c r="AQ238" s="560">
        <f>IFERROR(LN(INDEX(Data!$G$2:$G$497,MATCH(N238,Data!$A$2:$A$497,1))/INDEX(Data!$G$2:$G$497,MATCH(N226,Data!$A$2:$A$497,1))),"")</f>
        <v>0.017845911813019</v>
      </c>
      <c r="AR238" s="560">
        <f>IFERROR(LN(INDEX(Data!$H$2:$H$497,MATCH(N238,Data!$A$2:$A$497,1))/INDEX(Data!$H$2:$H$497,MATCH(N226,Data!$A$2:$A$497,1))),"")</f>
      </c>
      <c r="AS238" s="560">
        <f>IFERROR(LN(INDEX(Data!$I$2:$I$497,MATCH(N238,Data!$A$2:$A$497,1))/INDEX(Data!$I$2:$I$497,MATCH(N226,Data!$A$2:$A$497,1))),"")</f>
      </c>
      <c r="AT238" s="560">
        <f>IFERROR(LN(INDEX(Data!$J$2:$J$497,MATCH(N238,Data!$A$2:$A$497,1))/INDEX(Data!$J$2:$J$497,MATCH(N226,Data!$A$2:$A$497,1))),"")</f>
        <v>0.124868411514011</v>
      </c>
      <c r="AU238" s="560">
        <f>IFERROR(LN(INDEX(Data!$K$2:$K$497,MATCH(N238,Data!$A$2:$A$497,1))/INDEX(Data!$K$2:$K$497,MATCH(N226,Data!$A$2:$A$497,1))),"")</f>
        <v>0.162487653162295</v>
      </c>
      <c r="AV238" s="561">
        <f>IFERROR(LN(INDEX(Data!$L$2:$L$497,MATCH(N238,Data!$A$2:$A$497,1))/INDEX(Data!$L$2:$L$497,MATCH(N226,Data!$A$2:$A$497,1))),"")</f>
        <v>0.157736986969192</v>
      </c>
    </row>
    <row r="239">
      <c r="N239" s="337" t="n">
        <v>31989</v>
      </c>
      <c r="O239" s="116">
        <f>INDEX('Additional data'!$B$2:$B$965,MATCH(DATE(YEAR(N239),MONTH(N239),1),'Additional data'!$A$2:$A$965,0))</f>
        <v>21.355</v>
      </c>
      <c r="P239" s="489">
        <f>LN(O239)</f>
        <v>3.06128590429343</v>
      </c>
      <c r="Q239" s="489">
        <f>Q238+LN(1+INDEX('Additional data'!$H$2:$H$1196,MATCH(N239,'Additional data'!$G$2:$G$1196,1))+INDEX('Additional data'!$I$2:$I$1196,MATCH(N239,'Additional data'!$G$2:$G$1196,1)))</f>
        <v>1.99056240120899</v>
      </c>
      <c r="R239" s="489">
        <f>LN(INDEX(Data!$B$2:$B$497,MATCH(N239,Data!$A$2:$A$497,1)))</f>
        <v>8.62705157647648</v>
      </c>
      <c r="S239" s="116">
        <f>IF(INDEX('Additional data'!$E$2:$E$699,MATCH(DATE(YEAR(N239),MONTH(N239),1),'Additional data'!$D$2:$D$699,0))=0,(INDEX('Additional data'!$E$2:$E$699,MATCH(DATE(YEAR(N239),MONTH(N239),1),'Additional data'!$D$2:$D$699,0)-1)+INDEX('Additional data'!$E$2:$E$699,MATCH(DATE(YEAR(N239),MONTH(N239),1),'Additional data'!$D$2:$D$699,0)+1))/2,INDEX('Additional data'!$E$2:$E$699,MATCH(DATE(YEAR(N239),MONTH(N239),1),'Additional data'!$D$2:$D$699,0)))</f>
        <v>12.99</v>
      </c>
      <c r="T239" s="425">
        <f>P239-P238</f>
        <v>0.0638550741038575</v>
      </c>
      <c r="U239" s="425">
        <f>Q239-Q238</f>
        <v>0.0421011760186354</v>
      </c>
      <c r="V239" s="425">
        <f>R239-R238</f>
        <v>0.142216301168366</v>
      </c>
      <c r="W239" s="116">
        <f>S239-S238</f>
        <v>-0.69</v>
      </c>
      <c r="X239" s="425">
        <f>P239-P227</f>
        <v>0.612438304321132</v>
      </c>
      <c r="Y239" s="425">
        <f>Q239-Q227</f>
        <v>0.277626061847716</v>
      </c>
      <c r="Z239" s="425">
        <f>R239-R227</f>
        <v>0.621250836109132</v>
      </c>
      <c r="AA239" s="116">
        <f>S239-S227</f>
        <v>-1.86</v>
      </c>
      <c r="AB239" s="425">
        <f>P239-P179</f>
        <v>-0.469769464626939</v>
      </c>
      <c r="AC239" s="425">
        <f>Q239-Q179</f>
        <v>1.24532311547766</v>
      </c>
      <c r="AD239" s="77" t="n"/>
      <c r="AE239" s="235">
        <f>S239-S179</f>
        <v>-4.3</v>
      </c>
      <c r="AG239" s="554">
        <f>N239</f>
        <v>31989.0</v>
      </c>
      <c r="AH239" s="435">
        <f>IFERROR(INDEX('RBA 5Y yield'!$B$5:$B$661,MATCH(N239,'RBA 5Y yield'!$A$5:$A$661,1))*100,"")</f>
        <v>13</v>
      </c>
      <c r="AI239" s="435">
        <f>IF(AND(ISNUMBER(AH239),ISNUMBER(AH238)),AH239-AH238,"")</f>
        <v>-0.100000000000001</v>
      </c>
      <c r="AJ239" s="435">
        <f>IF(AND(ISNUMBER(AH239),ISNUMBER(AH227)),AH239-AH227,"")</f>
        <v>-1.35</v>
      </c>
      <c r="AK239" s="435">
        <f>IF(AND(ISNUMBER(AH239),ISNUMBER(AH179)),AH239-AH179,"")</f>
        <v>-3.4</v>
      </c>
      <c r="AL239" s="560">
        <f>IFERROR(LN(INDEX(Data!$B$2:$B$497,MATCH(N239,Data!$A$2:$A$497,1))/INDEX(Data!$B$2:$B$497,MATCH(N227,Data!$A$2:$A$497,1))),"")</f>
        <v>0.621250836109132</v>
      </c>
      <c r="AM239" s="560">
        <f>IFERROR(LN(INDEX(Data!$C$2:$C$497,MATCH(N239,Data!$A$2:$A$497,1))/INDEX(Data!$C$2:$C$497,MATCH(N227,Data!$A$2:$A$497,1))),"")</f>
        <v>0.178339066592755</v>
      </c>
      <c r="AN239" s="560">
        <f>IFERROR(LN(INDEX(Data!$D$2:$D$497,MATCH(N239,Data!$A$2:$A$497,1))/INDEX(Data!$D$2:$D$497,MATCH(N227,Data!$A$2:$A$497,1))),"")</f>
      </c>
      <c r="AO239" s="560">
        <f>IFERROR(LN(INDEX(Data!$E$2:$E$497,MATCH(N239,Data!$A$2:$A$497,1))/INDEX(Data!$E$2:$E$497,MATCH(N227,Data!$A$2:$A$497,1))),"")</f>
      </c>
      <c r="AP239" s="560">
        <f>IFERROR(LN(INDEX(Data!$F$2:$F$497,MATCH(N239,Data!$A$2:$A$497,1))/INDEX(Data!$F$2:$F$497,MATCH(N227,Data!$A$2:$A$497,1))),"")</f>
        <v>0.174211077240714</v>
      </c>
      <c r="AQ239" s="560">
        <f>IFERROR(LN(INDEX(Data!$G$2:$G$497,MATCH(N239,Data!$A$2:$A$497,1))/INDEX(Data!$G$2:$G$497,MATCH(N227,Data!$A$2:$A$497,1))),"")</f>
        <v>0.017845911813019</v>
      </c>
      <c r="AR239" s="560">
        <f>IFERROR(LN(INDEX(Data!$H$2:$H$497,MATCH(N239,Data!$A$2:$A$497,1))/INDEX(Data!$H$2:$H$497,MATCH(N227,Data!$A$2:$A$497,1))),"")</f>
      </c>
      <c r="AS239" s="560">
        <f>IFERROR(LN(INDEX(Data!$I$2:$I$497,MATCH(N239,Data!$A$2:$A$497,1))/INDEX(Data!$I$2:$I$497,MATCH(N227,Data!$A$2:$A$497,1))),"")</f>
      </c>
      <c r="AT239" s="560">
        <f>IFERROR(LN(INDEX(Data!$J$2:$J$497,MATCH(N239,Data!$A$2:$A$497,1))/INDEX(Data!$J$2:$J$497,MATCH(N227,Data!$A$2:$A$497,1))),"")</f>
        <v>0.18249106268469</v>
      </c>
      <c r="AU239" s="560">
        <f>IFERROR(LN(INDEX(Data!$K$2:$K$497,MATCH(N239,Data!$A$2:$A$497,1))/INDEX(Data!$K$2:$K$497,MATCH(N227,Data!$A$2:$A$497,1))),"")</f>
        <v>0.142789919670662</v>
      </c>
      <c r="AV239" s="561">
        <f>IFERROR(LN(INDEX(Data!$L$2:$L$497,MATCH(N239,Data!$A$2:$A$497,1))/INDEX(Data!$L$2:$L$497,MATCH(N227,Data!$A$2:$A$497,1))),"")</f>
        <v>0.157926778054853</v>
      </c>
    </row>
    <row r="240">
      <c r="N240" s="337" t="n">
        <v>32020</v>
      </c>
      <c r="O240" s="116">
        <f>INDEX('Additional data'!$B$2:$B$965,MATCH(DATE(YEAR(N240),MONTH(N240),1),'Additional data'!$A$2:$A$965,0))</f>
        <v>20.274</v>
      </c>
      <c r="P240" s="489">
        <f>LN(O240)</f>
        <v>3.00933927696021</v>
      </c>
      <c r="Q240" s="489">
        <f>Q239+LN(1+INDEX('Additional data'!$H$2:$H$1196,MATCH(N240,'Additional data'!$G$2:$G$1196,1))+INDEX('Additional data'!$I$2:$I$1196,MATCH(N240,'Additional data'!$G$2:$G$1196,1)))</f>
        <v>2.02968695589304</v>
      </c>
      <c r="R240" s="489">
        <f>LN(INDEX(Data!$B$2:$B$497,MATCH(N240,Data!$A$2:$A$497,1)))</f>
        <v>8.685196056614</v>
      </c>
      <c r="S240" s="116">
        <f>IF(INDEX('Additional data'!$E$2:$E$699,MATCH(DATE(YEAR(N240),MONTH(N240),1),'Additional data'!$D$2:$D$699,0))=0,(INDEX('Additional data'!$E$2:$E$699,MATCH(DATE(YEAR(N240),MONTH(N240),1),'Additional data'!$D$2:$D$699,0)-1)+INDEX('Additional data'!$E$2:$E$699,MATCH(DATE(YEAR(N240),MONTH(N240),1),'Additional data'!$D$2:$D$699,0)+1))/2,INDEX('Additional data'!$E$2:$E$699,MATCH(DATE(YEAR(N240),MONTH(N240),1),'Additional data'!$D$2:$D$699,0)))</f>
        <v>12.54</v>
      </c>
      <c r="T240" s="425">
        <f>P240-P239</f>
        <v>-0.0519466273332219</v>
      </c>
      <c r="U240" s="425">
        <f>Q240-Q239</f>
        <v>0.03912455468405</v>
      </c>
      <c r="V240" s="425">
        <f>R240-R239</f>
        <v>0.0581444801375266</v>
      </c>
      <c r="W240" s="116">
        <f>S240-S239</f>
        <v>-0.450000000000001</v>
      </c>
      <c r="X240" s="425">
        <f>P240-P228</f>
        <v>0.295174474858144</v>
      </c>
      <c r="Y240" s="425">
        <f>Q240-Q228</f>
        <v>0.253494166896751</v>
      </c>
      <c r="Z240" s="425">
        <f>R240-R228</f>
        <v>0.618297989223725</v>
      </c>
      <c r="AA240" s="116">
        <f>S240-S228</f>
        <v>-4.83</v>
      </c>
      <c r="AB240" s="425">
        <f>P240-P180</f>
        <v>-0.515549577044498</v>
      </c>
      <c r="AC240" s="425">
        <f>Q240-Q180</f>
        <v>1.1712082745552</v>
      </c>
      <c r="AD240" s="77" t="n"/>
      <c r="AE240" s="235">
        <f>S240-S180</f>
        <v>-4.63</v>
      </c>
      <c r="AG240" s="554">
        <f>N240</f>
        <v>32020.0</v>
      </c>
      <c r="AH240" s="435">
        <f>IFERROR(INDEX('RBA 5Y yield'!$B$5:$B$661,MATCH(N240,'RBA 5Y yield'!$A$5:$A$661,1))*100,"")</f>
        <v>12.8</v>
      </c>
      <c r="AI240" s="435">
        <f>IF(AND(ISNUMBER(AH240),ISNUMBER(AH239)),AH240-AH239,"")</f>
        <v>-0.199999999999999</v>
      </c>
      <c r="AJ240" s="435">
        <f>IF(AND(ISNUMBER(AH240),ISNUMBER(AH228)),AH240-AH228,"")</f>
        <v>-1.75</v>
      </c>
      <c r="AK240" s="435">
        <f>IF(AND(ISNUMBER(AH240),ISNUMBER(AH180)),AH240-AH180,"")</f>
        <v>-3.8</v>
      </c>
      <c r="AL240" s="560">
        <f>IFERROR(LN(INDEX(Data!$B$2:$B$497,MATCH(N240,Data!$A$2:$A$497,1))/INDEX(Data!$B$2:$B$497,MATCH(N228,Data!$A$2:$A$497,1))),"")</f>
        <v>0.618297989223724</v>
      </c>
      <c r="AM240" s="560">
        <f>IFERROR(LN(INDEX(Data!$C$2:$C$497,MATCH(N240,Data!$A$2:$A$497,1))/INDEX(Data!$C$2:$C$497,MATCH(N228,Data!$A$2:$A$497,1))),"")</f>
        <v>0.128360324235294</v>
      </c>
      <c r="AN240" s="560">
        <f>IFERROR(LN(INDEX(Data!$D$2:$D$497,MATCH(N240,Data!$A$2:$A$497,1))/INDEX(Data!$D$2:$D$497,MATCH(N228,Data!$A$2:$A$497,1))),"")</f>
      </c>
      <c r="AO240" s="560">
        <f>IFERROR(LN(INDEX(Data!$E$2:$E$497,MATCH(N240,Data!$A$2:$A$497,1))/INDEX(Data!$E$2:$E$497,MATCH(N228,Data!$A$2:$A$497,1))),"")</f>
      </c>
      <c r="AP240" s="560">
        <f>IFERROR(LN(INDEX(Data!$F$2:$F$497,MATCH(N240,Data!$A$2:$A$497,1))/INDEX(Data!$F$2:$F$497,MATCH(N228,Data!$A$2:$A$497,1))),"")</f>
        <v>0.0691039188527289</v>
      </c>
      <c r="AQ240" s="560">
        <f>IFERROR(LN(INDEX(Data!$G$2:$G$497,MATCH(N240,Data!$A$2:$A$497,1))/INDEX(Data!$G$2:$G$497,MATCH(N228,Data!$A$2:$A$497,1))),"")</f>
        <v>0.017845911813019</v>
      </c>
      <c r="AR240" s="560">
        <f>IFERROR(LN(INDEX(Data!$H$2:$H$497,MATCH(N240,Data!$A$2:$A$497,1))/INDEX(Data!$H$2:$H$497,MATCH(N228,Data!$A$2:$A$497,1))),"")</f>
      </c>
      <c r="AS240" s="560">
        <f>IFERROR(LN(INDEX(Data!$I$2:$I$497,MATCH(N240,Data!$A$2:$A$497,1))/INDEX(Data!$I$2:$I$497,MATCH(N228,Data!$A$2:$A$497,1))),"")</f>
      </c>
      <c r="AT240" s="560">
        <f>IFERROR(LN(INDEX(Data!$J$2:$J$497,MATCH(N240,Data!$A$2:$A$497,1))/INDEX(Data!$J$2:$J$497,MATCH(N228,Data!$A$2:$A$497,1))),"")</f>
        <v>0.188752536835893</v>
      </c>
      <c r="AU240" s="560">
        <f>IFERROR(LN(INDEX(Data!$K$2:$K$497,MATCH(N240,Data!$A$2:$A$497,1))/INDEX(Data!$K$2:$K$497,MATCH(N228,Data!$A$2:$A$497,1))),"")</f>
        <v>0.115706771467815</v>
      </c>
      <c r="AV240" s="561">
        <f>IFERROR(LN(INDEX(Data!$L$2:$L$497,MATCH(N240,Data!$A$2:$A$497,1))/INDEX(Data!$L$2:$L$497,MATCH(N228,Data!$A$2:$A$497,1))),"")</f>
        <v>0.155254362045023</v>
      </c>
    </row>
    <row r="241">
      <c r="N241" s="337" t="n">
        <v>32050</v>
      </c>
      <c r="O241" s="116">
        <f>INDEX('Additional data'!$B$2:$B$965,MATCH(DATE(YEAR(N241),MONTH(N241),1),'Additional data'!$A$2:$A$965,0))</f>
        <v>19.526</v>
      </c>
      <c r="P241" s="489">
        <f>LN(O241)</f>
        <v>2.97174691080348</v>
      </c>
      <c r="Q241" s="489">
        <f>Q240+LN(1+INDEX('Additional data'!$H$2:$H$1196,MATCH(N241,'Additional data'!$G$2:$G$1196,1))+INDEX('Additional data'!$I$2:$I$1196,MATCH(N241,'Additional data'!$G$2:$G$1196,1)))</f>
        <v>2.00815683734267</v>
      </c>
      <c r="R241" s="489">
        <f>LN(INDEX(Data!$B$2:$B$497,MATCH(N241,Data!$A$2:$A$497,1)))</f>
        <v>8.73185285612214</v>
      </c>
      <c r="S241" s="116">
        <f>IF(INDEX('Additional data'!$E$2:$E$699,MATCH(DATE(YEAR(N241),MONTH(N241),1),'Additional data'!$D$2:$D$699,0))=0,(INDEX('Additional data'!$E$2:$E$699,MATCH(DATE(YEAR(N241),MONTH(N241),1),'Additional data'!$D$2:$D$699,0)-1)+INDEX('Additional data'!$E$2:$E$699,MATCH(DATE(YEAR(N241),MONTH(N241),1),'Additional data'!$D$2:$D$699,0)+1))/2,INDEX('Additional data'!$E$2:$E$699,MATCH(DATE(YEAR(N241),MONTH(N241),1),'Additional data'!$D$2:$D$699,0)))</f>
        <v>11.7</v>
      </c>
      <c r="T241" s="425">
        <f>P241-P240</f>
        <v>-0.0375923661567281</v>
      </c>
      <c r="U241" s="425">
        <f>Q241-Q240</f>
        <v>-0.0215301185503631</v>
      </c>
      <c r="V241" s="425">
        <f>R241-R240</f>
        <v>0.0466567995081331</v>
      </c>
      <c r="W241" s="116">
        <f>S241-S240</f>
        <v>-0.84</v>
      </c>
      <c r="X241" s="425">
        <f>P241-P229</f>
        <v>0.269513595022834</v>
      </c>
      <c r="Y241" s="425">
        <f>Q241-Q229</f>
        <v>0.316868555436832</v>
      </c>
      <c r="Z241" s="425">
        <f>R241-R229</f>
        <v>0.61755806961675</v>
      </c>
      <c r="AA241" s="116">
        <f>S241-S229</f>
        <v>-6.38</v>
      </c>
      <c r="AB241" s="425">
        <f>P241-P181</f>
        <v>-0.601441068814265</v>
      </c>
      <c r="AC241" s="425">
        <f>Q241-Q181</f>
        <v>1.13164179351874</v>
      </c>
      <c r="AD241" s="77" t="n"/>
      <c r="AE241" s="235">
        <f>S241-S181</f>
        <v>-3.76</v>
      </c>
      <c r="AG241" s="554">
        <f>N241</f>
        <v>32050.0</v>
      </c>
      <c r="AH241" s="435">
        <f>IFERROR(INDEX('RBA 5Y yield'!$B$5:$B$661,MATCH(N241,'RBA 5Y yield'!$A$5:$A$661,1))*100,"")</f>
        <v>11.95</v>
      </c>
      <c r="AI241" s="435">
        <f>IF(AND(ISNUMBER(AH241),ISNUMBER(AH240)),AH241-AH240,"")</f>
        <v>-0.850000000000001</v>
      </c>
      <c r="AJ241" s="435">
        <f>IF(AND(ISNUMBER(AH241),ISNUMBER(AH229)),AH241-AH229,"")</f>
        <v>-2.45</v>
      </c>
      <c r="AK241" s="435">
        <f>IF(AND(ISNUMBER(AH241),ISNUMBER(AH181)),AH241-AH181,"")</f>
        <v>-3.25</v>
      </c>
      <c r="AL241" s="560">
        <f>IFERROR(LN(INDEX(Data!$B$2:$B$497,MATCH(N241,Data!$A$2:$A$497,1))/INDEX(Data!$B$2:$B$497,MATCH(N229,Data!$A$2:$A$497,1))),"")</f>
        <v>0.61755806961675</v>
      </c>
      <c r="AM241" s="560">
        <f>IFERROR(LN(INDEX(Data!$C$2:$C$497,MATCH(N241,Data!$A$2:$A$497,1))/INDEX(Data!$C$2:$C$497,MATCH(N229,Data!$A$2:$A$497,1))),"")</f>
        <v>0.20056557979924</v>
      </c>
      <c r="AN241" s="560">
        <f>IFERROR(LN(INDEX(Data!$D$2:$D$497,MATCH(N241,Data!$A$2:$A$497,1))/INDEX(Data!$D$2:$D$497,MATCH(N229,Data!$A$2:$A$497,1))),"")</f>
      </c>
      <c r="AO241" s="560">
        <f>IFERROR(LN(INDEX(Data!$E$2:$E$497,MATCH(N241,Data!$A$2:$A$497,1))/INDEX(Data!$E$2:$E$497,MATCH(N229,Data!$A$2:$A$497,1))),"")</f>
      </c>
      <c r="AP241" s="560">
        <f>IFERROR(LN(INDEX(Data!$F$2:$F$497,MATCH(N241,Data!$A$2:$A$497,1))/INDEX(Data!$F$2:$F$497,MATCH(N229,Data!$A$2:$A$497,1))),"")</f>
        <v>0.140112924030701</v>
      </c>
      <c r="AQ241" s="560">
        <f>IFERROR(LN(INDEX(Data!$G$2:$G$497,MATCH(N241,Data!$A$2:$A$497,1))/INDEX(Data!$G$2:$G$497,MATCH(N229,Data!$A$2:$A$497,1))),"")</f>
        <v>0.0626994881094926</v>
      </c>
      <c r="AR241" s="560">
        <f>IFERROR(LN(INDEX(Data!$H$2:$H$497,MATCH(N241,Data!$A$2:$A$497,1))/INDEX(Data!$H$2:$H$497,MATCH(N229,Data!$A$2:$A$497,1))),"")</f>
      </c>
      <c r="AS241" s="560">
        <f>IFERROR(LN(INDEX(Data!$I$2:$I$497,MATCH(N241,Data!$A$2:$A$497,1))/INDEX(Data!$I$2:$I$497,MATCH(N229,Data!$A$2:$A$497,1))),"")</f>
      </c>
      <c r="AT241" s="560">
        <f>IFERROR(LN(INDEX(Data!$J$2:$J$497,MATCH(N241,Data!$A$2:$A$497,1))/INDEX(Data!$J$2:$J$497,MATCH(N229,Data!$A$2:$A$497,1))),"")</f>
        <v>0.20518233571993</v>
      </c>
      <c r="AU241" s="560">
        <f>IFERROR(LN(INDEX(Data!$K$2:$K$497,MATCH(N241,Data!$A$2:$A$497,1))/INDEX(Data!$K$2:$K$497,MATCH(N229,Data!$A$2:$A$497,1))),"")</f>
        <v>0.107919485125431</v>
      </c>
      <c r="AV241" s="561">
        <f>IFERROR(LN(INDEX(Data!$L$2:$L$497,MATCH(N241,Data!$A$2:$A$497,1))/INDEX(Data!$L$2:$L$497,MATCH(N229,Data!$A$2:$A$497,1))),"")</f>
        <v>0.151858383182404</v>
      </c>
    </row>
    <row r="242">
      <c r="N242" s="337" t="n">
        <v>32081</v>
      </c>
      <c r="O242" s="116">
        <f>INDEX('Additional data'!$B$2:$B$965,MATCH(DATE(YEAR(N242),MONTH(N242),1),'Additional data'!$A$2:$A$965,0))</f>
        <v>19.848</v>
      </c>
      <c r="P242" s="489">
        <f>LN(O242)</f>
        <v>2.9881032463895</v>
      </c>
      <c r="Q242" s="489">
        <f>Q241+LN(1+INDEX('Additional data'!$H$2:$H$1196,MATCH(N242,'Additional data'!$G$2:$G$1196,1))+INDEX('Additional data'!$I$2:$I$1196,MATCH(N242,'Additional data'!$G$2:$G$1196,1)))</f>
        <v>1.7521026225712</v>
      </c>
      <c r="R242" s="489">
        <f>LN(INDEX(Data!$B$2:$B$497,MATCH(N242,Data!$A$2:$A$497,1)))</f>
        <v>8.18482054000047</v>
      </c>
      <c r="S242" s="116">
        <f>IF(INDEX('Additional data'!$E$2:$E$699,MATCH(DATE(YEAR(N242),MONTH(N242),1),'Additional data'!$D$2:$D$699,0))=0,(INDEX('Additional data'!$E$2:$E$699,MATCH(DATE(YEAR(N242),MONTH(N242),1),'Additional data'!$D$2:$D$699,0)-1)+INDEX('Additional data'!$E$2:$E$699,MATCH(DATE(YEAR(N242),MONTH(N242),1),'Additional data'!$D$2:$D$699,0)+1))/2,INDEX('Additional data'!$E$2:$E$699,MATCH(DATE(YEAR(N242),MONTH(N242),1),'Additional data'!$D$2:$D$699,0)))</f>
        <v>11.99</v>
      </c>
      <c r="T242" s="425">
        <f>P242-P241</f>
        <v>0.0163563355860199</v>
      </c>
      <c r="U242" s="425">
        <f>Q242-Q241</f>
        <v>-0.256054214771469</v>
      </c>
      <c r="V242" s="425">
        <f>R242-R241</f>
        <v>-0.547032316121667</v>
      </c>
      <c r="W242" s="116">
        <f>S242-S241</f>
        <v>0.290000000000001</v>
      </c>
      <c r="X242" s="425">
        <f>P242-P230</f>
        <v>0.289968710074666</v>
      </c>
      <c r="Y242" s="425">
        <f>Q242-Q230</f>
        <v>0.0110722487705486</v>
      </c>
      <c r="Z242" s="425">
        <f>R242-R230</f>
        <v>-0.0355287371716013</v>
      </c>
      <c r="AA242" s="116">
        <f>S242-S230</f>
        <v>-4.83</v>
      </c>
      <c r="AB242" s="425">
        <f>P242-P182</f>
        <v>-0.586487061322309</v>
      </c>
      <c r="AC242" s="425">
        <f>Q242-Q182</f>
        <v>0.763241518915734</v>
      </c>
      <c r="AD242" s="77" t="n"/>
      <c r="AE242" s="235">
        <f>S242-S182</f>
        <v>-2.58</v>
      </c>
      <c r="AG242" s="554">
        <f>N242</f>
        <v>32081.0</v>
      </c>
      <c r="AH242" s="435">
        <f>IFERROR(INDEX('RBA 5Y yield'!$B$5:$B$661,MATCH(N242,'RBA 5Y yield'!$A$5:$A$661,1))*100,"")</f>
        <v>13.4</v>
      </c>
      <c r="AI242" s="435">
        <f>IF(AND(ISNUMBER(AH242),ISNUMBER(AH241)),AH242-AH241,"")</f>
        <v>1.45</v>
      </c>
      <c r="AJ242" s="435">
        <f>IF(AND(ISNUMBER(AH242),ISNUMBER(AH230)),AH242-AH230,"")</f>
        <v>-0.450000000000001</v>
      </c>
      <c r="AK242" s="435">
        <f>IF(AND(ISNUMBER(AH242),ISNUMBER(AH182)),AH242-AH182,"")</f>
        <v>-1.15</v>
      </c>
      <c r="AL242" s="560">
        <f>IFERROR(LN(INDEX(Data!$B$2:$B$497,MATCH(N242,Data!$A$2:$A$497,1))/INDEX(Data!$B$2:$B$497,MATCH(N230,Data!$A$2:$A$497,1))),"")</f>
        <v>-0.0355287371716004</v>
      </c>
      <c r="AM242" s="560">
        <f>IFERROR(LN(INDEX(Data!$C$2:$C$497,MATCH(N242,Data!$A$2:$A$497,1))/INDEX(Data!$C$2:$C$497,MATCH(N230,Data!$A$2:$A$497,1))),"")</f>
        <v>0.0539019948129968</v>
      </c>
      <c r="AN242" s="560">
        <f>IFERROR(LN(INDEX(Data!$D$2:$D$497,MATCH(N242,Data!$A$2:$A$497,1))/INDEX(Data!$D$2:$D$497,MATCH(N230,Data!$A$2:$A$497,1))),"")</f>
      </c>
      <c r="AO242" s="560">
        <f>IFERROR(LN(INDEX(Data!$E$2:$E$497,MATCH(N242,Data!$A$2:$A$497,1))/INDEX(Data!$E$2:$E$497,MATCH(N230,Data!$A$2:$A$497,1))),"")</f>
      </c>
      <c r="AP242" s="560">
        <f>IFERROR(LN(INDEX(Data!$F$2:$F$497,MATCH(N242,Data!$A$2:$A$497,1))/INDEX(Data!$F$2:$F$497,MATCH(N230,Data!$A$2:$A$497,1))),"")</f>
        <v>0.217451447838281</v>
      </c>
      <c r="AQ242" s="560">
        <f>IFERROR(LN(INDEX(Data!$G$2:$G$497,MATCH(N242,Data!$A$2:$A$497,1))/INDEX(Data!$G$2:$G$497,MATCH(N230,Data!$A$2:$A$497,1))),"")</f>
        <v>0.0626994881094926</v>
      </c>
      <c r="AR242" s="560">
        <f>IFERROR(LN(INDEX(Data!$H$2:$H$497,MATCH(N242,Data!$A$2:$A$497,1))/INDEX(Data!$H$2:$H$497,MATCH(N230,Data!$A$2:$A$497,1))),"")</f>
      </c>
      <c r="AS242" s="560">
        <f>IFERROR(LN(INDEX(Data!$I$2:$I$497,MATCH(N242,Data!$A$2:$A$497,1))/INDEX(Data!$I$2:$I$497,MATCH(N230,Data!$A$2:$A$497,1))),"")</f>
      </c>
      <c r="AT242" s="560">
        <f>IFERROR(LN(INDEX(Data!$J$2:$J$497,MATCH(N242,Data!$A$2:$A$497,1))/INDEX(Data!$J$2:$J$497,MATCH(N230,Data!$A$2:$A$497,1))),"")</f>
        <v>0.133371341407792</v>
      </c>
      <c r="AU242" s="560">
        <f>IFERROR(LN(INDEX(Data!$K$2:$K$497,MATCH(N242,Data!$A$2:$A$497,1))/INDEX(Data!$K$2:$K$497,MATCH(N230,Data!$A$2:$A$497,1))),"")</f>
        <v>0.131820464335206</v>
      </c>
      <c r="AV242" s="561">
        <f>IFERROR(LN(INDEX(Data!$L$2:$L$497,MATCH(N242,Data!$A$2:$A$497,1))/INDEX(Data!$L$2:$L$497,MATCH(N230,Data!$A$2:$A$497,1))),"")</f>
        <v>0.145448063548644</v>
      </c>
    </row>
    <row r="243">
      <c r="N243" s="337" t="n">
        <v>32111</v>
      </c>
      <c r="O243" s="116">
        <f>INDEX('Additional data'!$B$2:$B$965,MATCH(DATE(YEAR(N243),MONTH(N243),1),'Additional data'!$A$2:$A$965,0))</f>
        <v>18.92</v>
      </c>
      <c r="P243" s="489">
        <f>LN(O243)</f>
        <v>2.94021956362373</v>
      </c>
      <c r="Q243" s="489">
        <f>Q242+LN(1+INDEX('Additional data'!$H$2:$H$1196,MATCH(N243,'Additional data'!$G$2:$G$1196,1))+INDEX('Additional data'!$I$2:$I$1196,MATCH(N243,'Additional data'!$G$2:$G$1196,1)))</f>
        <v>1.67511358104307</v>
      </c>
      <c r="R243" s="489">
        <f>LN(INDEX(Data!$B$2:$B$497,MATCH(N243,Data!$A$2:$A$497,1)))</f>
        <v>8.21511465201389</v>
      </c>
      <c r="S243" s="116">
        <f>IF(INDEX('Additional data'!$E$2:$E$699,MATCH(DATE(YEAR(N243),MONTH(N243),1),'Additional data'!$D$2:$D$699,0))=0,(INDEX('Additional data'!$E$2:$E$699,MATCH(DATE(YEAR(N243),MONTH(N243),1),'Additional data'!$D$2:$D$699,0)-1)+INDEX('Additional data'!$E$2:$E$699,MATCH(DATE(YEAR(N243),MONTH(N243),1),'Additional data'!$D$2:$D$699,0)+1))/2,INDEX('Additional data'!$E$2:$E$699,MATCH(DATE(YEAR(N243),MONTH(N243),1),'Additional data'!$D$2:$D$699,0)))</f>
        <v>12.45</v>
      </c>
      <c r="T243" s="425">
        <f>P243-P242</f>
        <v>-0.0478836827657672</v>
      </c>
      <c r="U243" s="425">
        <f>Q243-Q242</f>
        <v>-0.0769890415281358</v>
      </c>
      <c r="V243" s="425">
        <f>R243-R242</f>
        <v>0.0302941120134168</v>
      </c>
      <c r="W243" s="116">
        <f>S243-S242</f>
        <v>0.459999999999999</v>
      </c>
      <c r="X243" s="425">
        <f>P243-P231</f>
        <v>0.21846371546541</v>
      </c>
      <c r="Y243" s="425">
        <f>Q243-Q231</f>
        <v>-0.0813963636059736</v>
      </c>
      <c r="Z243" s="425">
        <f>R243-R231</f>
        <v>-0.00966529257466853</v>
      </c>
      <c r="AA243" s="116">
        <f>S243-S231</f>
        <v>-3.45</v>
      </c>
      <c r="AB243" s="425">
        <f>P243-P183</f>
        <v>-0.590543022393066</v>
      </c>
      <c r="AC243" s="425">
        <f>Q243-Q183</f>
        <v>0.634514281983184</v>
      </c>
      <c r="AD243" s="77" t="n"/>
      <c r="AE243" s="235">
        <f>S243-S183</f>
        <v>-2.31</v>
      </c>
      <c r="AG243" s="554">
        <f>N243</f>
        <v>32111.0</v>
      </c>
      <c r="AH243" s="435">
        <f>IFERROR(INDEX('RBA 5Y yield'!$B$5:$B$661,MATCH(N243,'RBA 5Y yield'!$A$5:$A$661,1))*100,"")</f>
        <v>12.8</v>
      </c>
      <c r="AI243" s="435">
        <f>IF(AND(ISNUMBER(AH243),ISNUMBER(AH242)),AH243-AH242,"")</f>
        <v>-0.6</v>
      </c>
      <c r="AJ243" s="435">
        <f>IF(AND(ISNUMBER(AH243),ISNUMBER(AH231)),AH243-AH231,"")</f>
        <v>-1.15</v>
      </c>
      <c r="AK243" s="435">
        <f>IF(AND(ISNUMBER(AH243),ISNUMBER(AH183)),AH243-AH183,"")</f>
        <v>-1.8</v>
      </c>
      <c r="AL243" s="560">
        <f>IFERROR(LN(INDEX(Data!$B$2:$B$497,MATCH(N243,Data!$A$2:$A$497,1))/INDEX(Data!$B$2:$B$497,MATCH(N231,Data!$A$2:$A$497,1))),"")</f>
        <v>-0.00966529257466963</v>
      </c>
      <c r="AM243" s="560">
        <f>IFERROR(LN(INDEX(Data!$C$2:$C$497,MATCH(N243,Data!$A$2:$A$497,1))/INDEX(Data!$C$2:$C$497,MATCH(N231,Data!$A$2:$A$497,1))),"")</f>
        <v>-0.0688733923958543</v>
      </c>
      <c r="AN243" s="560">
        <f>IFERROR(LN(INDEX(Data!$D$2:$D$497,MATCH(N243,Data!$A$2:$A$497,1))/INDEX(Data!$D$2:$D$497,MATCH(N231,Data!$A$2:$A$497,1))),"")</f>
      </c>
      <c r="AO243" s="560">
        <f>IFERROR(LN(INDEX(Data!$E$2:$E$497,MATCH(N243,Data!$A$2:$A$497,1))/INDEX(Data!$E$2:$E$497,MATCH(N231,Data!$A$2:$A$497,1))),"")</f>
      </c>
      <c r="AP243" s="560">
        <f>IFERROR(LN(INDEX(Data!$F$2:$F$497,MATCH(N243,Data!$A$2:$A$497,1))/INDEX(Data!$F$2:$F$497,MATCH(N231,Data!$A$2:$A$497,1))),"")</f>
        <v>0.149644668718628</v>
      </c>
      <c r="AQ243" s="560">
        <f>IFERROR(LN(INDEX(Data!$G$2:$G$497,MATCH(N243,Data!$A$2:$A$497,1))/INDEX(Data!$G$2:$G$497,MATCH(N231,Data!$A$2:$A$497,1))),"")</f>
        <v>0.0626994881094926</v>
      </c>
      <c r="AR243" s="560">
        <f>IFERROR(LN(INDEX(Data!$H$2:$H$497,MATCH(N243,Data!$A$2:$A$497,1))/INDEX(Data!$H$2:$H$497,MATCH(N231,Data!$A$2:$A$497,1))),"")</f>
      </c>
      <c r="AS243" s="560">
        <f>IFERROR(LN(INDEX(Data!$I$2:$I$497,MATCH(N243,Data!$A$2:$A$497,1))/INDEX(Data!$I$2:$I$497,MATCH(N231,Data!$A$2:$A$497,1))),"")</f>
      </c>
      <c r="AT243" s="560">
        <f>IFERROR(LN(INDEX(Data!$J$2:$J$497,MATCH(N243,Data!$A$2:$A$497,1))/INDEX(Data!$J$2:$J$497,MATCH(N231,Data!$A$2:$A$497,1))),"")</f>
        <v>0.15757266315588</v>
      </c>
      <c r="AU243" s="560">
        <f>IFERROR(LN(INDEX(Data!$K$2:$K$497,MATCH(N243,Data!$A$2:$A$497,1))/INDEX(Data!$K$2:$K$497,MATCH(N231,Data!$A$2:$A$497,1))),"")</f>
        <v>0.128624003318686</v>
      </c>
      <c r="AV243" s="561">
        <f>IFERROR(LN(INDEX(Data!$L$2:$L$497,MATCH(N243,Data!$A$2:$A$497,1))/INDEX(Data!$L$2:$L$497,MATCH(N231,Data!$A$2:$A$497,1))),"")</f>
        <v>0.144379038923418</v>
      </c>
    </row>
    <row r="244">
      <c r="N244" s="337" t="n">
        <v>32142</v>
      </c>
      <c r="O244" s="116">
        <f>INDEX('Additional data'!$B$2:$B$965,MATCH(DATE(YEAR(N244),MONTH(N244),1),'Additional data'!$A$2:$A$965,0))</f>
        <v>17.241</v>
      </c>
      <c r="P244" s="489">
        <f>LN(O244)</f>
        <v>2.84729026819371</v>
      </c>
      <c r="Q244" s="489">
        <f>Q243+LN(1+INDEX('Additional data'!$H$2:$H$1196,MATCH(N244,'Additional data'!$G$2:$G$1196,1))+INDEX('Additional data'!$I$2:$I$1196,MATCH(N244,'Additional data'!$G$2:$G$1196,1)))</f>
        <v>1.74473292292312</v>
      </c>
      <c r="R244" s="489">
        <f>LN(INDEX(Data!$B$2:$B$497,MATCH(N244,Data!$A$2:$A$497,1)))</f>
        <v>8.20998845247559</v>
      </c>
      <c r="S244" s="116">
        <f>IF(INDEX('Additional data'!$E$2:$E$699,MATCH(DATE(YEAR(N244),MONTH(N244),1),'Additional data'!$D$2:$D$699,0))=0,(INDEX('Additional data'!$E$2:$E$699,MATCH(DATE(YEAR(N244),MONTH(N244),1),'Additional data'!$D$2:$D$699,0)-1)+INDEX('Additional data'!$E$2:$E$699,MATCH(DATE(YEAR(N244),MONTH(N244),1),'Additional data'!$D$2:$D$699,0)+1))/2,INDEX('Additional data'!$E$2:$E$699,MATCH(DATE(YEAR(N244),MONTH(N244),1),'Additional data'!$D$2:$D$699,0)))</f>
        <v>11.46</v>
      </c>
      <c r="T244" s="425">
        <f>P244-P243</f>
        <v>-0.0929292954300185</v>
      </c>
      <c r="U244" s="425">
        <f>Q244-Q243</f>
        <v>0.069619341880057</v>
      </c>
      <c r="V244" s="425">
        <f>R244-R243</f>
        <v>-0.00512619953829407</v>
      </c>
      <c r="W244" s="116">
        <f>S244-S243</f>
        <v>-0.989999999999998</v>
      </c>
      <c r="X244" s="425">
        <f>P244-P232</f>
        <v>0.0699627916067591</v>
      </c>
      <c r="Y244" s="425">
        <f>Q244-Q232</f>
        <v>0.0163138584406091</v>
      </c>
      <c r="Z244" s="425">
        <f>R244-R232</f>
        <v>-0.081808652573141</v>
      </c>
      <c r="AA244" s="116">
        <f>S244-S232</f>
        <v>-4.07</v>
      </c>
      <c r="AB244" s="425">
        <f>P244-P184</f>
        <v>-0.609657128572933</v>
      </c>
      <c r="AC244" s="425">
        <f>Q244-Q184</f>
        <v>0.691908654240672</v>
      </c>
      <c r="AD244" s="77" t="n"/>
      <c r="AE244" s="235">
        <f>S244-S184</f>
        <v>-0.67</v>
      </c>
      <c r="AG244" s="554">
        <f>N244</f>
        <v>32142.0</v>
      </c>
      <c r="AH244" s="435">
        <f>IFERROR(INDEX('RBA 5Y yield'!$B$5:$B$661,MATCH(N244,'RBA 5Y yield'!$A$5:$A$661,1))*100,"")</f>
        <v>12.15</v>
      </c>
      <c r="AI244" s="435">
        <f>IF(AND(ISNUMBER(AH244),ISNUMBER(AH243)),AH244-AH243,"")</f>
        <v>-0.65</v>
      </c>
      <c r="AJ244" s="435">
        <f>IF(AND(ISNUMBER(AH244),ISNUMBER(AH232)),AH244-AH232,"")</f>
        <v>-1.7</v>
      </c>
      <c r="AK244" s="435">
        <f>IF(AND(ISNUMBER(AH244),ISNUMBER(AH184)),AH244-AH184,"")</f>
        <v>-1.85</v>
      </c>
      <c r="AL244" s="560">
        <f>IFERROR(LN(INDEX(Data!$B$2:$B$497,MATCH(N244,Data!$A$2:$A$497,1))/INDEX(Data!$B$2:$B$497,MATCH(N232,Data!$A$2:$A$497,1))),"")</f>
        <v>-0.0818086525731413</v>
      </c>
      <c r="AM244" s="560">
        <f>IFERROR(LN(INDEX(Data!$C$2:$C$497,MATCH(N244,Data!$A$2:$A$497,1))/INDEX(Data!$C$2:$C$497,MATCH(N232,Data!$A$2:$A$497,1))),"")</f>
        <v>-0.0785715637388164</v>
      </c>
      <c r="AN244" s="560">
        <f>IFERROR(LN(INDEX(Data!$D$2:$D$497,MATCH(N244,Data!$A$2:$A$497,1))/INDEX(Data!$D$2:$D$497,MATCH(N232,Data!$A$2:$A$497,1))),"")</f>
      </c>
      <c r="AO244" s="560">
        <f>IFERROR(LN(INDEX(Data!$E$2:$E$497,MATCH(N244,Data!$A$2:$A$497,1))/INDEX(Data!$E$2:$E$497,MATCH(N232,Data!$A$2:$A$497,1))),"")</f>
      </c>
      <c r="AP244" s="560">
        <f>IFERROR(LN(INDEX(Data!$F$2:$F$497,MATCH(N244,Data!$A$2:$A$497,1))/INDEX(Data!$F$2:$F$497,MATCH(N232,Data!$A$2:$A$497,1))),"")</f>
        <v>0.129087725726054</v>
      </c>
      <c r="AQ244" s="560">
        <f>IFERROR(LN(INDEX(Data!$G$2:$G$497,MATCH(N244,Data!$A$2:$A$497,1))/INDEX(Data!$G$2:$G$497,MATCH(N232,Data!$A$2:$A$497,1))),"")</f>
        <v>0.0981615080699382</v>
      </c>
      <c r="AR244" s="560">
        <f>IFERROR(LN(INDEX(Data!$H$2:$H$497,MATCH(N244,Data!$A$2:$A$497,1))/INDEX(Data!$H$2:$H$497,MATCH(N232,Data!$A$2:$A$497,1))),"")</f>
      </c>
      <c r="AS244" s="560">
        <f>IFERROR(LN(INDEX(Data!$I$2:$I$497,MATCH(N244,Data!$A$2:$A$497,1))/INDEX(Data!$I$2:$I$497,MATCH(N232,Data!$A$2:$A$497,1))),"")</f>
      </c>
      <c r="AT244" s="560">
        <f>IFERROR(LN(INDEX(Data!$J$2:$J$497,MATCH(N244,Data!$A$2:$A$497,1))/INDEX(Data!$J$2:$J$497,MATCH(N232,Data!$A$2:$A$497,1))),"")</f>
        <v>0.172454562312473</v>
      </c>
      <c r="AU244" s="560">
        <f>IFERROR(LN(INDEX(Data!$K$2:$K$497,MATCH(N244,Data!$A$2:$A$497,1))/INDEX(Data!$K$2:$K$497,MATCH(N232,Data!$A$2:$A$497,1))),"")</f>
        <v>0.126368193094731</v>
      </c>
      <c r="AV244" s="561">
        <f>IFERROR(LN(INDEX(Data!$L$2:$L$497,MATCH(N244,Data!$A$2:$A$497,1))/INDEX(Data!$L$2:$L$497,MATCH(N232,Data!$A$2:$A$497,1))),"")</f>
        <v>0.142460728931235</v>
      </c>
    </row>
    <row r="245">
      <c r="N245" s="337" t="n">
        <v>32173</v>
      </c>
      <c r="O245" s="116">
        <f>INDEX('Additional data'!$B$2:$B$965,MATCH(DATE(YEAR(N245),MONTH(N245),1),'Additional data'!$A$2:$A$965,0))</f>
        <v>17.16</v>
      </c>
      <c r="P245" s="489">
        <f>LN(O245)</f>
        <v>2.84258109405982</v>
      </c>
      <c r="Q245" s="489">
        <f>Q244+LN(1+INDEX('Additional data'!$H$2:$H$1196,MATCH(N245,'Additional data'!$G$2:$G$1196,1))+INDEX('Additional data'!$I$2:$I$1196,MATCH(N245,'Additional data'!$G$2:$G$1196,1)))</f>
        <v>1.7887498083399</v>
      </c>
      <c r="R245" s="489">
        <f>LN(INDEX(Data!$B$2:$B$497,MATCH(N245,Data!$A$2:$A$497,1)))</f>
        <v>8.1635137564573</v>
      </c>
      <c r="S245" s="116">
        <f>IF(INDEX('Additional data'!$E$2:$E$699,MATCH(DATE(YEAR(N245),MONTH(N245),1),'Additional data'!$D$2:$D$699,0))=0,(INDEX('Additional data'!$E$2:$E$699,MATCH(DATE(YEAR(N245),MONTH(N245),1),'Additional data'!$D$2:$D$699,0)-1)+INDEX('Additional data'!$E$2:$E$699,MATCH(DATE(YEAR(N245),MONTH(N245),1),'Additional data'!$D$2:$D$699,0)+1))/2,INDEX('Additional data'!$E$2:$E$699,MATCH(DATE(YEAR(N245),MONTH(N245),1),'Additional data'!$D$2:$D$699,0)))</f>
        <v>11.05</v>
      </c>
      <c r="T245" s="425">
        <f>P245-P244</f>
        <v>-0.0047091741338976</v>
      </c>
      <c r="U245" s="425">
        <f>Q245-Q244</f>
        <v>0.0440168854167742</v>
      </c>
      <c r="V245" s="425">
        <f>R245-R244</f>
        <v>-0.0464746960182882</v>
      </c>
      <c r="W245" s="116">
        <f>S245-S244</f>
        <v>-0.41</v>
      </c>
      <c r="X245" s="425">
        <f>P245-P233</f>
        <v>-0.0835867161082655</v>
      </c>
      <c r="Y245" s="425">
        <f>Q245-Q233</f>
        <v>-0.0607357841220604</v>
      </c>
      <c r="Z245" s="425">
        <f>R245-R233</f>
        <v>-0.145473756008931</v>
      </c>
      <c r="AA245" s="116">
        <f>S245-S233</f>
        <v>-4.81</v>
      </c>
      <c r="AB245" s="425">
        <f>P245-P185</f>
        <v>-0.597516436559896</v>
      </c>
      <c r="AC245" s="425">
        <f>Q245-Q185</f>
        <v>0.694016136580236</v>
      </c>
      <c r="AD245" s="77" t="n"/>
      <c r="AE245" s="235">
        <f>S245-S185</f>
        <v>0.4</v>
      </c>
      <c r="AG245" s="554">
        <f>N245</f>
        <v>32173.0</v>
      </c>
      <c r="AH245" s="435">
        <f>IFERROR(INDEX('RBA 5Y yield'!$B$5:$B$661,MATCH(N245,'RBA 5Y yield'!$A$5:$A$661,1))*100,"")</f>
        <v>11.9</v>
      </c>
      <c r="AI245" s="435">
        <f>IF(AND(ISNUMBER(AH245),ISNUMBER(AH244)),AH245-AH244,"")</f>
        <v>-0.250000000000002</v>
      </c>
      <c r="AJ245" s="435">
        <f>IF(AND(ISNUMBER(AH245),ISNUMBER(AH233)),AH245-AH233,"")</f>
        <v>-2.8</v>
      </c>
      <c r="AK245" s="435">
        <f>IF(AND(ISNUMBER(AH245),ISNUMBER(AH185)),AH245-AH185,"")</f>
        <v>-0.700000000000001</v>
      </c>
      <c r="AL245" s="560">
        <f>IFERROR(LN(INDEX(Data!$B$2:$B$497,MATCH(N245,Data!$A$2:$A$497,1))/INDEX(Data!$B$2:$B$497,MATCH(N233,Data!$A$2:$A$497,1))),"")</f>
        <v>-0.145473756008931</v>
      </c>
      <c r="AM245" s="560">
        <f>IFERROR(LN(INDEX(Data!$C$2:$C$497,MATCH(N245,Data!$A$2:$A$497,1))/INDEX(Data!$C$2:$C$497,MATCH(N233,Data!$A$2:$A$497,1))),"")</f>
        <v>-0.0982695375465305</v>
      </c>
      <c r="AN245" s="560">
        <f>IFERROR(LN(INDEX(Data!$D$2:$D$497,MATCH(N245,Data!$A$2:$A$497,1))/INDEX(Data!$D$2:$D$497,MATCH(N233,Data!$A$2:$A$497,1))),"")</f>
      </c>
      <c r="AO245" s="560">
        <f>IFERROR(LN(INDEX(Data!$E$2:$E$497,MATCH(N245,Data!$A$2:$A$497,1))/INDEX(Data!$E$2:$E$497,MATCH(N233,Data!$A$2:$A$497,1))),"")</f>
      </c>
      <c r="AP245" s="560">
        <f>IFERROR(LN(INDEX(Data!$F$2:$F$497,MATCH(N245,Data!$A$2:$A$497,1))/INDEX(Data!$F$2:$F$497,MATCH(N233,Data!$A$2:$A$497,1))),"")</f>
        <v>0.113900334770898</v>
      </c>
      <c r="AQ245" s="560">
        <f>IFERROR(LN(INDEX(Data!$G$2:$G$497,MATCH(N245,Data!$A$2:$A$497,1))/INDEX(Data!$G$2:$G$497,MATCH(N233,Data!$A$2:$A$497,1))),"")</f>
        <v>0.0981615080699382</v>
      </c>
      <c r="AR245" s="560">
        <f>IFERROR(LN(INDEX(Data!$H$2:$H$497,MATCH(N245,Data!$A$2:$A$497,1))/INDEX(Data!$H$2:$H$497,MATCH(N233,Data!$A$2:$A$497,1))),"")</f>
      </c>
      <c r="AS245" s="560">
        <f>IFERROR(LN(INDEX(Data!$I$2:$I$497,MATCH(N245,Data!$A$2:$A$497,1))/INDEX(Data!$I$2:$I$497,MATCH(N233,Data!$A$2:$A$497,1))),"")</f>
      </c>
      <c r="AT245" s="560">
        <f>IFERROR(LN(INDEX(Data!$J$2:$J$497,MATCH(N245,Data!$A$2:$A$497,1))/INDEX(Data!$J$2:$J$497,MATCH(N233,Data!$A$2:$A$497,1))),"")</f>
        <v>0.201354470783137</v>
      </c>
      <c r="AU245" s="560">
        <f>IFERROR(LN(INDEX(Data!$K$2:$K$497,MATCH(N245,Data!$A$2:$A$497,1))/INDEX(Data!$K$2:$K$497,MATCH(N233,Data!$A$2:$A$497,1))),"")</f>
        <v>0.133780779474511</v>
      </c>
      <c r="AV245" s="561">
        <f>IFERROR(LN(INDEX(Data!$L$2:$L$497,MATCH(N245,Data!$A$2:$A$497,1))/INDEX(Data!$L$2:$L$497,MATCH(N233,Data!$A$2:$A$497,1))),"")</f>
        <v>0.139002488866562</v>
      </c>
    </row>
    <row r="246">
      <c r="N246" s="337" t="n">
        <v>32202</v>
      </c>
      <c r="O246" s="116">
        <f>INDEX('Additional data'!$B$2:$B$965,MATCH(DATE(YEAR(N246),MONTH(N246),1),'Additional data'!$A$2:$A$965,0))</f>
        <v>16.765</v>
      </c>
      <c r="P246" s="489">
        <f>LN(O246)</f>
        <v>2.81929337991819</v>
      </c>
      <c r="Q246" s="489">
        <f>Q245+LN(1+INDEX('Additional data'!$H$2:$H$1196,MATCH(N246,'Additional data'!$G$2:$G$1196,1))+INDEX('Additional data'!$I$2:$I$1196,MATCH(N246,'Additional data'!$G$2:$G$1196,1)))</f>
        <v>1.83972805310453</v>
      </c>
      <c r="R246" s="489">
        <f>LN(INDEX(Data!$B$2:$B$497,MATCH(N246,Data!$A$2:$A$497,1)))</f>
        <v>8.16048967564076</v>
      </c>
      <c r="S246" s="116">
        <f>IF(INDEX('Additional data'!$E$2:$E$699,MATCH(DATE(YEAR(N246),MONTH(N246),1),'Additional data'!$D$2:$D$699,0))=0,(INDEX('Additional data'!$E$2:$E$699,MATCH(DATE(YEAR(N246),MONTH(N246),1),'Additional data'!$D$2:$D$699,0)-1)+INDEX('Additional data'!$E$2:$E$699,MATCH(DATE(YEAR(N246),MONTH(N246),1),'Additional data'!$D$2:$D$699,0)+1))/2,INDEX('Additional data'!$E$2:$E$699,MATCH(DATE(YEAR(N246),MONTH(N246),1),'Additional data'!$D$2:$D$699,0)))</f>
        <v>10.95</v>
      </c>
      <c r="T246" s="425">
        <f>P246-P245</f>
        <v>-0.0232877141416243</v>
      </c>
      <c r="U246" s="425">
        <f>Q246-Q245</f>
        <v>0.0509782447646294</v>
      </c>
      <c r="V246" s="425">
        <f>R246-R245</f>
        <v>-0.00302408081654093</v>
      </c>
      <c r="W246" s="116">
        <f>S246-S245</f>
        <v>-0.100000000000001</v>
      </c>
      <c r="X246" s="425">
        <f>P246-P234</f>
        <v>-0.0557391083980141</v>
      </c>
      <c r="Y246" s="425">
        <f>Q246-Q234</f>
        <v>-0.0567365405514255</v>
      </c>
      <c r="Z246" s="425">
        <f>R246-R234</f>
        <v>-0.225478033922593</v>
      </c>
      <c r="AA246" s="116">
        <f>S246-S234</f>
        <v>-5.75</v>
      </c>
      <c r="AB246" s="425">
        <f>P246-P186</f>
        <v>-0.546276824100812</v>
      </c>
      <c r="AC246" s="425">
        <f>Q246-Q186</f>
        <v>0.713398819755115</v>
      </c>
      <c r="AD246" s="77" t="n"/>
      <c r="AE246" s="235">
        <f>S246-S186</f>
        <v>-2.82</v>
      </c>
      <c r="AG246" s="554">
        <f>N246</f>
        <v>32202.0</v>
      </c>
      <c r="AH246" s="435">
        <f>IFERROR(INDEX('RBA 5Y yield'!$B$5:$B$661,MATCH(N246,'RBA 5Y yield'!$A$5:$A$661,1))*100,"")</f>
        <v>11.9</v>
      </c>
      <c r="AI246" s="435">
        <f>IF(AND(ISNUMBER(AH246),ISNUMBER(AH245)),AH246-AH245,"")</f>
        <v>0</v>
      </c>
      <c r="AJ246" s="435">
        <f>IF(AND(ISNUMBER(AH246),ISNUMBER(AH234)),AH246-AH234,"")</f>
        <v>-2.65</v>
      </c>
      <c r="AK246" s="435">
        <f>IF(AND(ISNUMBER(AH246),ISNUMBER(AH186)),AH246-AH186,"")</f>
        <v>-1.5</v>
      </c>
      <c r="AL246" s="560">
        <f>IFERROR(LN(INDEX(Data!$B$2:$B$497,MATCH(N246,Data!$A$2:$A$497,1))/INDEX(Data!$B$2:$B$497,MATCH(N234,Data!$A$2:$A$497,1))),"")</f>
        <v>-0.225478033922594</v>
      </c>
      <c r="AM246" s="560">
        <f>IFERROR(LN(INDEX(Data!$C$2:$C$497,MATCH(N246,Data!$A$2:$A$497,1))/INDEX(Data!$C$2:$C$497,MATCH(N234,Data!$A$2:$A$497,1))),"")</f>
        <v>-0.05451826696812</v>
      </c>
      <c r="AN246" s="560">
        <f>IFERROR(LN(INDEX(Data!$D$2:$D$497,MATCH(N246,Data!$A$2:$A$497,1))/INDEX(Data!$D$2:$D$497,MATCH(N234,Data!$A$2:$A$497,1))),"")</f>
      </c>
      <c r="AO246" s="560">
        <f>IFERROR(LN(INDEX(Data!$E$2:$E$497,MATCH(N246,Data!$A$2:$A$497,1))/INDEX(Data!$E$2:$E$497,MATCH(N234,Data!$A$2:$A$497,1))),"")</f>
      </c>
      <c r="AP246" s="560">
        <f>IFERROR(LN(INDEX(Data!$F$2:$F$497,MATCH(N246,Data!$A$2:$A$497,1))/INDEX(Data!$F$2:$F$497,MATCH(N234,Data!$A$2:$A$497,1))),"")</f>
        <v>0.17738223825701</v>
      </c>
      <c r="AQ246" s="560">
        <f>IFERROR(LN(INDEX(Data!$G$2:$G$497,MATCH(N246,Data!$A$2:$A$497,1))/INDEX(Data!$G$2:$G$497,MATCH(N234,Data!$A$2:$A$497,1))),"")</f>
        <v>0.0981615080699382</v>
      </c>
      <c r="AR246" s="560">
        <f>IFERROR(LN(INDEX(Data!$H$2:$H$497,MATCH(N246,Data!$A$2:$A$497,1))/INDEX(Data!$H$2:$H$497,MATCH(N234,Data!$A$2:$A$497,1))),"")</f>
      </c>
      <c r="AS246" s="560">
        <f>IFERROR(LN(INDEX(Data!$I$2:$I$497,MATCH(N246,Data!$A$2:$A$497,1))/INDEX(Data!$I$2:$I$497,MATCH(N234,Data!$A$2:$A$497,1))),"")</f>
      </c>
      <c r="AT246" s="560">
        <f>IFERROR(LN(INDEX(Data!$J$2:$J$497,MATCH(N246,Data!$A$2:$A$497,1))/INDEX(Data!$J$2:$J$497,MATCH(N234,Data!$A$2:$A$497,1))),"")</f>
        <v>0.209690858460729</v>
      </c>
      <c r="AU246" s="560">
        <f>IFERROR(LN(INDEX(Data!$K$2:$K$497,MATCH(N246,Data!$A$2:$A$497,1))/INDEX(Data!$K$2:$K$497,MATCH(N234,Data!$A$2:$A$497,1))),"")</f>
        <v>0.126300990252858</v>
      </c>
      <c r="AV246" s="561">
        <f>IFERROR(LN(INDEX(Data!$L$2:$L$497,MATCH(N246,Data!$A$2:$A$497,1))/INDEX(Data!$L$2:$L$497,MATCH(N234,Data!$A$2:$A$497,1))),"")</f>
        <v>0.133615054527319</v>
      </c>
    </row>
    <row r="247">
      <c r="N247" s="337" t="n">
        <v>32233</v>
      </c>
      <c r="O247" s="116">
        <f>INDEX('Additional data'!$B$2:$B$965,MATCH(DATE(YEAR(N247),MONTH(N247),1),'Additional data'!$A$2:$A$965,0))</f>
        <v>16.217</v>
      </c>
      <c r="P247" s="489">
        <f>LN(O247)</f>
        <v>2.78606007473724</v>
      </c>
      <c r="Q247" s="489">
        <f>Q246+LN(1+INDEX('Additional data'!$H$2:$H$1196,MATCH(N247,'Additional data'!$G$2:$G$1196,1))+INDEX('Additional data'!$I$2:$I$1196,MATCH(N247,'Additional data'!$G$2:$G$1196,1)))</f>
        <v>1.82136039574634</v>
      </c>
      <c r="R247" s="489">
        <f>LN(INDEX(Data!$B$2:$B$497,MATCH(N247,Data!$A$2:$A$497,1)))</f>
        <v>8.2878554959387</v>
      </c>
      <c r="S247" s="116">
        <f>IF(INDEX('Additional data'!$E$2:$E$699,MATCH(DATE(YEAR(N247),MONTH(N247),1),'Additional data'!$D$2:$D$699,0))=0,(INDEX('Additional data'!$E$2:$E$699,MATCH(DATE(YEAR(N247),MONTH(N247),1),'Additional data'!$D$2:$D$699,0)-1)+INDEX('Additional data'!$E$2:$E$699,MATCH(DATE(YEAR(N247),MONTH(N247),1),'Additional data'!$D$2:$D$699,0)+1))/2,INDEX('Additional data'!$E$2:$E$699,MATCH(DATE(YEAR(N247),MONTH(N247),1),'Additional data'!$D$2:$D$699,0)))</f>
        <v>10.95</v>
      </c>
      <c r="T247" s="425">
        <f>P247-P246</f>
        <v>-0.0332333051809548</v>
      </c>
      <c r="U247" s="425">
        <f>Q247-Q246</f>
        <v>-0.018367657358185</v>
      </c>
      <c r="V247" s="425">
        <f>R247-R246</f>
        <v>0.127365820297937</v>
      </c>
      <c r="W247" s="116">
        <f>S247-S246</f>
        <v>0</v>
      </c>
      <c r="X247" s="425">
        <f>P247-P235</f>
        <v>-0.121114171834962</v>
      </c>
      <c r="Y247" s="425">
        <f>Q247-Q235</f>
        <v>-0.095886737092139</v>
      </c>
      <c r="Z247" s="425">
        <f>R247-R235</f>
        <v>-0.146303852147973</v>
      </c>
      <c r="AA247" s="116">
        <f>S247-S235</f>
        <v>-5.46</v>
      </c>
      <c r="AB247" s="425">
        <f>P247-P187</f>
        <v>-0.575009515834139</v>
      </c>
      <c r="AC247" s="425">
        <f>Q247-Q187</f>
        <v>0.66120961392142</v>
      </c>
      <c r="AD247" s="77" t="n"/>
      <c r="AE247" s="235">
        <f>S247-S187</f>
        <v>-4.31</v>
      </c>
      <c r="AG247" s="554">
        <f>N247</f>
        <v>32233.0</v>
      </c>
      <c r="AH247" s="435">
        <f>IFERROR(INDEX('RBA 5Y yield'!$B$5:$B$661,MATCH(N247,'RBA 5Y yield'!$A$5:$A$661,1))*100,"")</f>
        <v>11.5</v>
      </c>
      <c r="AI247" s="435">
        <f>IF(AND(ISNUMBER(AH247),ISNUMBER(AH246)),AH247-AH246,"")</f>
        <v>-0.399999999999999</v>
      </c>
      <c r="AJ247" s="435">
        <f>IF(AND(ISNUMBER(AH247),ISNUMBER(AH235)),AH247-AH235,"")</f>
        <v>-2.35</v>
      </c>
      <c r="AK247" s="435">
        <f>IF(AND(ISNUMBER(AH247),ISNUMBER(AH187)),AH247-AH187,"")</f>
        <v>-2.9</v>
      </c>
      <c r="AL247" s="560">
        <f>IFERROR(LN(INDEX(Data!$B$2:$B$497,MATCH(N247,Data!$A$2:$A$497,1))/INDEX(Data!$B$2:$B$497,MATCH(N235,Data!$A$2:$A$497,1))),"")</f>
        <v>-0.146303852147973</v>
      </c>
      <c r="AM247" s="560">
        <f>IFERROR(LN(INDEX(Data!$C$2:$C$497,MATCH(N247,Data!$A$2:$A$497,1))/INDEX(Data!$C$2:$C$497,MATCH(N235,Data!$A$2:$A$497,1))),"")</f>
        <v>-0.0797951906931961</v>
      </c>
      <c r="AN247" s="560">
        <f>IFERROR(LN(INDEX(Data!$D$2:$D$497,MATCH(N247,Data!$A$2:$A$497,1))/INDEX(Data!$D$2:$D$497,MATCH(N235,Data!$A$2:$A$497,1))),"")</f>
      </c>
      <c r="AO247" s="560">
        <f>IFERROR(LN(INDEX(Data!$E$2:$E$497,MATCH(N247,Data!$A$2:$A$497,1))/INDEX(Data!$E$2:$E$497,MATCH(N235,Data!$A$2:$A$497,1))),"")</f>
      </c>
      <c r="AP247" s="560">
        <f>IFERROR(LN(INDEX(Data!$F$2:$F$497,MATCH(N247,Data!$A$2:$A$497,1))/INDEX(Data!$F$2:$F$497,MATCH(N235,Data!$A$2:$A$497,1))),"")</f>
        <v>0.154690655381386</v>
      </c>
      <c r="AQ247" s="560">
        <f>IFERROR(LN(INDEX(Data!$G$2:$G$497,MATCH(N247,Data!$A$2:$A$497,1))/INDEX(Data!$G$2:$G$497,MATCH(N235,Data!$A$2:$A$497,1))),"")</f>
        <v>0.130243651048424</v>
      </c>
      <c r="AR247" s="560">
        <f>IFERROR(LN(INDEX(Data!$H$2:$H$497,MATCH(N247,Data!$A$2:$A$497,1))/INDEX(Data!$H$2:$H$497,MATCH(N235,Data!$A$2:$A$497,1))),"")</f>
      </c>
      <c r="AS247" s="560">
        <f>IFERROR(LN(INDEX(Data!$I$2:$I$497,MATCH(N247,Data!$A$2:$A$497,1))/INDEX(Data!$I$2:$I$497,MATCH(N235,Data!$A$2:$A$497,1))),"")</f>
      </c>
      <c r="AT247" s="560">
        <f>IFERROR(LN(INDEX(Data!$J$2:$J$497,MATCH(N247,Data!$A$2:$A$497,1))/INDEX(Data!$J$2:$J$497,MATCH(N235,Data!$A$2:$A$497,1))),"")</f>
        <v>0.194000466835299</v>
      </c>
      <c r="AU247" s="560">
        <f>IFERROR(LN(INDEX(Data!$K$2:$K$497,MATCH(N247,Data!$A$2:$A$497,1))/INDEX(Data!$K$2:$K$497,MATCH(N235,Data!$A$2:$A$497,1))),"")</f>
        <v>0.118198510546605</v>
      </c>
      <c r="AV247" s="561">
        <f>IFERROR(LN(INDEX(Data!$L$2:$L$497,MATCH(N247,Data!$A$2:$A$497,1))/INDEX(Data!$L$2:$L$497,MATCH(N235,Data!$A$2:$A$497,1))),"")</f>
        <v>0.128975826672946</v>
      </c>
    </row>
    <row r="248">
      <c r="N248" s="337" t="n">
        <v>32263</v>
      </c>
      <c r="O248" s="116">
        <f>INDEX('Additional data'!$B$2:$B$965,MATCH(DATE(YEAR(N248),MONTH(N248),1),'Additional data'!$A$2:$A$965,0))</f>
        <v>17.875</v>
      </c>
      <c r="P248" s="489">
        <f>LN(O248)</f>
        <v>2.88340308858007</v>
      </c>
      <c r="Q248" s="489">
        <f>Q247+LN(1+INDEX('Additional data'!$H$2:$H$1196,MATCH(N248,'Additional data'!$G$2:$G$1196,1))+INDEX('Additional data'!$I$2:$I$1196,MATCH(N248,'Additional data'!$G$2:$G$1196,1)))</f>
        <v>1.83160771219789</v>
      </c>
      <c r="R248" s="489">
        <f>LN(INDEX(Data!$B$2:$B$497,MATCH(N248,Data!$A$2:$A$497,1)))</f>
        <v>8.32372979420344</v>
      </c>
      <c r="S248" s="116">
        <f>IF(INDEX('Additional data'!$E$2:$E$699,MATCH(DATE(YEAR(N248),MONTH(N248),1),'Additional data'!$D$2:$D$699,0))=0,(INDEX('Additional data'!$E$2:$E$699,MATCH(DATE(YEAR(N248),MONTH(N248),1),'Additional data'!$D$2:$D$699,0)-1)+INDEX('Additional data'!$E$2:$E$699,MATCH(DATE(YEAR(N248),MONTH(N248),1),'Additional data'!$D$2:$D$699,0)+1))/2,INDEX('Additional data'!$E$2:$E$699,MATCH(DATE(YEAR(N248),MONTH(N248),1),'Additional data'!$D$2:$D$699,0)))</f>
        <v>11.39</v>
      </c>
      <c r="T248" s="425">
        <f>P248-P247</f>
        <v>0.097343013842834</v>
      </c>
      <c r="U248" s="425">
        <f>Q248-Q247</f>
        <v>0.0102473164515495</v>
      </c>
      <c r="V248" s="425">
        <f>R248-R247</f>
        <v>0.0358742982647371</v>
      </c>
      <c r="W248" s="116">
        <f>S248-S247</f>
        <v>0.440000000000001</v>
      </c>
      <c r="X248" s="425">
        <f>P248-P236</f>
        <v>-0.0420676519332535</v>
      </c>
      <c r="Y248" s="425">
        <f>Q248-Q236</f>
        <v>-0.0690017794875661</v>
      </c>
      <c r="Z248" s="425">
        <f>R248-R236</f>
        <v>-0.149386109971871</v>
      </c>
      <c r="AA248" s="116">
        <f>S248-S236</f>
        <v>-3.69</v>
      </c>
      <c r="AB248" s="425">
        <f>P248-P188</f>
        <v>-0.53792366437725</v>
      </c>
      <c r="AC248" s="425">
        <f>Q248-Q188</f>
        <v>0.600346302915016</v>
      </c>
      <c r="AD248" s="77" t="n"/>
      <c r="AE248" s="235">
        <f>S248-S188</f>
        <v>-2.53</v>
      </c>
      <c r="AG248" s="554">
        <f>N248</f>
        <v>32263.0</v>
      </c>
      <c r="AH248" s="435">
        <f>IFERROR(INDEX('RBA 5Y yield'!$B$5:$B$661,MATCH(N248,'RBA 5Y yield'!$A$5:$A$661,1))*100,"")</f>
        <v>11.25</v>
      </c>
      <c r="AI248" s="435">
        <f>IF(AND(ISNUMBER(AH248),ISNUMBER(AH247)),AH248-AH247,"")</f>
        <v>-0.25</v>
      </c>
      <c r="AJ248" s="435">
        <f>IF(AND(ISNUMBER(AH248),ISNUMBER(AH236)),AH248-AH236,"")</f>
        <v>-2.25</v>
      </c>
      <c r="AK248" s="435">
        <f>IF(AND(ISNUMBER(AH248),ISNUMBER(AH188)),AH248-AH188,"")</f>
        <v>-2.25</v>
      </c>
      <c r="AL248" s="560">
        <f>IFERROR(LN(INDEX(Data!$B$2:$B$497,MATCH(N248,Data!$A$2:$A$497,1))/INDEX(Data!$B$2:$B$497,MATCH(N236,Data!$A$2:$A$497,1))),"")</f>
        <v>-0.149386109971871</v>
      </c>
      <c r="AM248" s="560">
        <f>IFERROR(LN(INDEX(Data!$C$2:$C$497,MATCH(N248,Data!$A$2:$A$497,1))/INDEX(Data!$C$2:$C$497,MATCH(N236,Data!$A$2:$A$497,1))),"")</f>
        <v>-0.129992592093858</v>
      </c>
      <c r="AN248" s="560">
        <f>IFERROR(LN(INDEX(Data!$D$2:$D$497,MATCH(N248,Data!$A$2:$A$497,1))/INDEX(Data!$D$2:$D$497,MATCH(N236,Data!$A$2:$A$497,1))),"")</f>
      </c>
      <c r="AO248" s="560">
        <f>IFERROR(LN(INDEX(Data!$E$2:$E$497,MATCH(N248,Data!$A$2:$A$497,1))/INDEX(Data!$E$2:$E$497,MATCH(N236,Data!$A$2:$A$497,1))),"")</f>
      </c>
      <c r="AP248" s="560">
        <f>IFERROR(LN(INDEX(Data!$F$2:$F$497,MATCH(N248,Data!$A$2:$A$497,1))/INDEX(Data!$F$2:$F$497,MATCH(N236,Data!$A$2:$A$497,1))),"")</f>
        <v>0.109851814571444</v>
      </c>
      <c r="AQ248" s="560">
        <f>IFERROR(LN(INDEX(Data!$G$2:$G$497,MATCH(N248,Data!$A$2:$A$497,1))/INDEX(Data!$G$2:$G$497,MATCH(N236,Data!$A$2:$A$497,1))),"")</f>
        <v>0.130243651048424</v>
      </c>
      <c r="AR248" s="560">
        <f>IFERROR(LN(INDEX(Data!$H$2:$H$497,MATCH(N248,Data!$A$2:$A$497,1))/INDEX(Data!$H$2:$H$497,MATCH(N236,Data!$A$2:$A$497,1))),"")</f>
      </c>
      <c r="AS248" s="560">
        <f>IFERROR(LN(INDEX(Data!$I$2:$I$497,MATCH(N248,Data!$A$2:$A$497,1))/INDEX(Data!$I$2:$I$497,MATCH(N236,Data!$A$2:$A$497,1))),"")</f>
      </c>
      <c r="AT248" s="560">
        <f>IFERROR(LN(INDEX(Data!$J$2:$J$497,MATCH(N248,Data!$A$2:$A$497,1))/INDEX(Data!$J$2:$J$497,MATCH(N236,Data!$A$2:$A$497,1))),"")</f>
        <v>0.194286454327921</v>
      </c>
      <c r="AU248" s="560">
        <f>IFERROR(LN(INDEX(Data!$K$2:$K$497,MATCH(N248,Data!$A$2:$A$497,1))/INDEX(Data!$K$2:$K$497,MATCH(N236,Data!$A$2:$A$497,1))),"")</f>
        <v>0.114134997992326</v>
      </c>
      <c r="AV248" s="561">
        <f>IFERROR(LN(INDEX(Data!$L$2:$L$497,MATCH(N248,Data!$A$2:$A$497,1))/INDEX(Data!$L$2:$L$497,MATCH(N236,Data!$A$2:$A$497,1))),"")</f>
        <v>0.123623289111179</v>
      </c>
    </row>
    <row r="249">
      <c r="N249" s="337" t="n">
        <v>32294</v>
      </c>
      <c r="O249" s="116">
        <f>INDEX('Additional data'!$B$2:$B$965,MATCH(DATE(YEAR(N249),MONTH(N249),1),'Additional data'!$A$2:$A$965,0))</f>
        <v>17.438</v>
      </c>
      <c r="P249" s="489">
        <f>LN(O249)</f>
        <v>2.85865173300562</v>
      </c>
      <c r="Q249" s="489">
        <f>Q248+LN(1+INDEX('Additional data'!$H$2:$H$1196,MATCH(N249,'Additional data'!$G$2:$G$1196,1))+INDEX('Additional data'!$I$2:$I$1196,MATCH(N249,'Additional data'!$G$2:$G$1196,1)))</f>
        <v>1.83400483679761</v>
      </c>
      <c r="R249" s="489">
        <f>LN(INDEX(Data!$B$2:$B$497,MATCH(N249,Data!$A$2:$A$497,1)))</f>
        <v>8.39989503818537</v>
      </c>
      <c r="S249" s="116">
        <f>IF(INDEX('Additional data'!$E$2:$E$699,MATCH(DATE(YEAR(N249),MONTH(N249),1),'Additional data'!$D$2:$D$699,0))=0,(INDEX('Additional data'!$E$2:$E$699,MATCH(DATE(YEAR(N249),MONTH(N249),1),'Additional data'!$D$2:$D$699,0)-1)+INDEX('Additional data'!$E$2:$E$699,MATCH(DATE(YEAR(N249),MONTH(N249),1),'Additional data'!$D$2:$D$699,0)+1))/2,INDEX('Additional data'!$E$2:$E$699,MATCH(DATE(YEAR(N249),MONTH(N249),1),'Additional data'!$D$2:$D$699,0)))</f>
        <v>12.28</v>
      </c>
      <c r="T249" s="425">
        <f>P249-P248</f>
        <v>-0.0247513555744479</v>
      </c>
      <c r="U249" s="425">
        <f>Q249-Q248</f>
        <v>0.00239712459972141</v>
      </c>
      <c r="V249" s="425">
        <f>R249-R248</f>
        <v>0.0761652439819311</v>
      </c>
      <c r="W249" s="116">
        <f>S249-S248</f>
        <v>0.889999999999999</v>
      </c>
      <c r="X249" s="425">
        <f>P249-P237</f>
        <v>-0.107394230178007</v>
      </c>
      <c r="Y249" s="425">
        <f>Q249-Q237</f>
        <v>-0.0714926889606209</v>
      </c>
      <c r="Z249" s="425">
        <f>R249-R237</f>
        <v>-0.0868801820093363</v>
      </c>
      <c r="AA249" s="116">
        <f>S249-S237</f>
        <v>-1.86</v>
      </c>
      <c r="AB249" s="425">
        <f>P249-P189</f>
        <v>-0.542545648656532</v>
      </c>
      <c r="AC249" s="425">
        <f>Q249-Q189</f>
        <v>0.590814856649464</v>
      </c>
      <c r="AD249" s="77" t="n"/>
      <c r="AE249" s="235">
        <f>S249-S189</f>
        <v>0.129999999999999</v>
      </c>
      <c r="AG249" s="554">
        <f>N249</f>
        <v>32294.0</v>
      </c>
      <c r="AH249" s="435">
        <f>IFERROR(INDEX('RBA 5Y yield'!$B$5:$B$661,MATCH(N249,'RBA 5Y yield'!$A$5:$A$661,1))*100,"")</f>
        <v>12.45</v>
      </c>
      <c r="AI249" s="435">
        <f>IF(AND(ISNUMBER(AH249),ISNUMBER(AH248)),AH249-AH248,"")</f>
        <v>1.2</v>
      </c>
      <c r="AJ249" s="435">
        <f>IF(AND(ISNUMBER(AH249),ISNUMBER(AH237)),AH249-AH237,"")</f>
        <v>-1</v>
      </c>
      <c r="AK249" s="435">
        <f>IF(AND(ISNUMBER(AH249),ISNUMBER(AH189)),AH249-AH189,"")</f>
        <v>-0.350000000000001</v>
      </c>
      <c r="AL249" s="560">
        <f>IFERROR(LN(INDEX(Data!$B$2:$B$497,MATCH(N249,Data!$A$2:$A$497,1))/INDEX(Data!$B$2:$B$497,MATCH(N237,Data!$A$2:$A$497,1))),"")</f>
        <v>-0.0868801820093362</v>
      </c>
      <c r="AM249" s="560">
        <f>IFERROR(LN(INDEX(Data!$C$2:$C$497,MATCH(N249,Data!$A$2:$A$497,1))/INDEX(Data!$C$2:$C$497,MATCH(N237,Data!$A$2:$A$497,1))),"")</f>
        <v>-0.202435130883276</v>
      </c>
      <c r="AN249" s="560">
        <f>IFERROR(LN(INDEX(Data!$D$2:$D$497,MATCH(N249,Data!$A$2:$A$497,1))/INDEX(Data!$D$2:$D$497,MATCH(N237,Data!$A$2:$A$497,1))),"")</f>
      </c>
      <c r="AO249" s="560">
        <f>IFERROR(LN(INDEX(Data!$E$2:$E$497,MATCH(N249,Data!$A$2:$A$497,1))/INDEX(Data!$E$2:$E$497,MATCH(N237,Data!$A$2:$A$497,1))),"")</f>
      </c>
      <c r="AP249" s="560">
        <f>IFERROR(LN(INDEX(Data!$F$2:$F$497,MATCH(N249,Data!$A$2:$A$497,1))/INDEX(Data!$F$2:$F$497,MATCH(N237,Data!$A$2:$A$497,1))),"")</f>
        <v>0.0557407621229557</v>
      </c>
      <c r="AQ249" s="560">
        <f>IFERROR(LN(INDEX(Data!$G$2:$G$497,MATCH(N249,Data!$A$2:$A$497,1))/INDEX(Data!$G$2:$G$497,MATCH(N237,Data!$A$2:$A$497,1))),"")</f>
        <v>0.130243651048424</v>
      </c>
      <c r="AR249" s="560">
        <f>IFERROR(LN(INDEX(Data!$H$2:$H$497,MATCH(N249,Data!$A$2:$A$497,1))/INDEX(Data!$H$2:$H$497,MATCH(N237,Data!$A$2:$A$497,1))),"")</f>
      </c>
      <c r="AS249" s="560">
        <f>IFERROR(LN(INDEX(Data!$I$2:$I$497,MATCH(N249,Data!$A$2:$A$497,1))/INDEX(Data!$I$2:$I$497,MATCH(N237,Data!$A$2:$A$497,1))),"")</f>
      </c>
      <c r="AT249" s="560">
        <f>IFERROR(LN(INDEX(Data!$J$2:$J$497,MATCH(N249,Data!$A$2:$A$497,1))/INDEX(Data!$J$2:$J$497,MATCH(N237,Data!$A$2:$A$497,1))),"")</f>
        <v>0.151756815300814</v>
      </c>
      <c r="AU249" s="560">
        <f>IFERROR(LN(INDEX(Data!$K$2:$K$497,MATCH(N249,Data!$A$2:$A$497,1))/INDEX(Data!$K$2:$K$497,MATCH(N237,Data!$A$2:$A$497,1))),"")</f>
        <v>0.107282811135684</v>
      </c>
      <c r="AV249" s="561">
        <f>IFERROR(LN(INDEX(Data!$L$2:$L$497,MATCH(N249,Data!$A$2:$A$497,1))/INDEX(Data!$L$2:$L$497,MATCH(N237,Data!$A$2:$A$497,1))),"")</f>
        <v>0.119618962362033</v>
      </c>
    </row>
    <row r="250">
      <c r="N250" s="337" t="n">
        <v>32324</v>
      </c>
      <c r="O250" s="116">
        <f>INDEX('Additional data'!$B$2:$B$965,MATCH(DATE(YEAR(N250),MONTH(N250),1),'Additional data'!$A$2:$A$965,0))</f>
        <v>16.53</v>
      </c>
      <c r="P250" s="489">
        <f>LN(O250)</f>
        <v>2.80517691183293</v>
      </c>
      <c r="Q250" s="489">
        <f>Q249+LN(1+INDEX('Additional data'!$H$2:$H$1196,MATCH(N250,'Additional data'!$G$2:$G$1196,1))+INDEX('Additional data'!$I$2:$I$1196,MATCH(N250,'Additional data'!$G$2:$G$1196,1)))</f>
        <v>1.88536312907276</v>
      </c>
      <c r="R250" s="489">
        <f>LN(INDEX(Data!$B$2:$B$497,MATCH(N250,Data!$A$2:$A$497,1)))</f>
        <v>8.39475433422366</v>
      </c>
      <c r="S250" s="116">
        <f>IF(INDEX('Additional data'!$E$2:$E$699,MATCH(DATE(YEAR(N250),MONTH(N250),1),'Additional data'!$D$2:$D$699,0))=0,(INDEX('Additional data'!$E$2:$E$699,MATCH(DATE(YEAR(N250),MONTH(N250),1),'Additional data'!$D$2:$D$699,0)-1)+INDEX('Additional data'!$E$2:$E$699,MATCH(DATE(YEAR(N250),MONTH(N250),1),'Additional data'!$D$2:$D$699,0)+1))/2,INDEX('Additional data'!$E$2:$E$699,MATCH(DATE(YEAR(N250),MONTH(N250),1),'Additional data'!$D$2:$D$699,0)))</f>
        <v>13.1</v>
      </c>
      <c r="T250" s="425">
        <f>P250-P249</f>
        <v>-0.0534748211726903</v>
      </c>
      <c r="U250" s="425">
        <f>Q250-Q249</f>
        <v>0.0513582922751421</v>
      </c>
      <c r="V250" s="425">
        <f>R250-R249</f>
        <v>-0.00514070396170929</v>
      </c>
      <c r="W250" s="116">
        <f>S250-S249</f>
        <v>0.82</v>
      </c>
      <c r="X250" s="425">
        <f>P250-P238</f>
        <v>-0.192253918356639</v>
      </c>
      <c r="Y250" s="425">
        <f>Q250-Q238</f>
        <v>-0.0630980961175942</v>
      </c>
      <c r="Z250" s="425">
        <f>R250-R238</f>
        <v>-0.0900809410844516</v>
      </c>
      <c r="AA250" s="116">
        <f>S250-S238</f>
        <v>-0.58</v>
      </c>
      <c r="AB250" s="425">
        <f>P250-P190</f>
        <v>-0.628810292652213</v>
      </c>
      <c r="AC250" s="425">
        <f>Q250-Q190</f>
        <v>0.605455565989443</v>
      </c>
      <c r="AD250" s="77" t="n"/>
      <c r="AE250" s="235">
        <f>S250-S190</f>
        <v>-1.14</v>
      </c>
      <c r="AG250" s="554">
        <f>N250</f>
        <v>32324.0</v>
      </c>
      <c r="AH250" s="435">
        <f>IFERROR(INDEX('RBA 5Y yield'!$B$5:$B$661,MATCH(N250,'RBA 5Y yield'!$A$5:$A$661,1))*100,"")</f>
        <v>11.95</v>
      </c>
      <c r="AI250" s="435">
        <f>IF(AND(ISNUMBER(AH250),ISNUMBER(AH249)),AH250-AH249,"")</f>
        <v>-0.5</v>
      </c>
      <c r="AJ250" s="435">
        <f>IF(AND(ISNUMBER(AH250),ISNUMBER(AH238)),AH250-AH238,"")</f>
        <v>-1.15</v>
      </c>
      <c r="AK250" s="435">
        <f>IF(AND(ISNUMBER(AH250),ISNUMBER(AH190)),AH250-AH190,"")</f>
        <v>-2.35</v>
      </c>
      <c r="AL250" s="560">
        <f>IFERROR(LN(INDEX(Data!$B$2:$B$497,MATCH(N250,Data!$A$2:$A$497,1))/INDEX(Data!$B$2:$B$497,MATCH(N238,Data!$A$2:$A$497,1))),"")</f>
        <v>-0.0900809410844518</v>
      </c>
      <c r="AM250" s="560">
        <f>IFERROR(LN(INDEX(Data!$C$2:$C$497,MATCH(N250,Data!$A$2:$A$497,1))/INDEX(Data!$C$2:$C$497,MATCH(N238,Data!$A$2:$A$497,1))),"")</f>
        <v>-0.140780076317849</v>
      </c>
      <c r="AN250" s="560">
        <f>IFERROR(LN(INDEX(Data!$D$2:$D$497,MATCH(N250,Data!$A$2:$A$497,1))/INDEX(Data!$D$2:$D$497,MATCH(N238,Data!$A$2:$A$497,1))),"")</f>
      </c>
      <c r="AO250" s="560">
        <f>IFERROR(LN(INDEX(Data!$E$2:$E$497,MATCH(N250,Data!$A$2:$A$497,1))/INDEX(Data!$E$2:$E$497,MATCH(N238,Data!$A$2:$A$497,1))),"")</f>
      </c>
      <c r="AP250" s="560">
        <f>IFERROR(LN(INDEX(Data!$F$2:$F$497,MATCH(N250,Data!$A$2:$A$497,1))/INDEX(Data!$F$2:$F$497,MATCH(N238,Data!$A$2:$A$497,1))),"")</f>
        <v>0.0225505088903946</v>
      </c>
      <c r="AQ250" s="560">
        <f>IFERROR(LN(INDEX(Data!$G$2:$G$497,MATCH(N250,Data!$A$2:$A$497,1))/INDEX(Data!$G$2:$G$497,MATCH(N238,Data!$A$2:$A$497,1))),"")</f>
        <v>0.171429660776821</v>
      </c>
      <c r="AR250" s="560">
        <f>IFERROR(LN(INDEX(Data!$H$2:$H$497,MATCH(N250,Data!$A$2:$A$497,1))/INDEX(Data!$H$2:$H$497,MATCH(N238,Data!$A$2:$A$497,1))),"")</f>
      </c>
      <c r="AS250" s="560">
        <f>IFERROR(LN(INDEX(Data!$I$2:$I$497,MATCH(N250,Data!$A$2:$A$497,1))/INDEX(Data!$I$2:$I$497,MATCH(N238,Data!$A$2:$A$497,1))),"")</f>
      </c>
      <c r="AT250" s="560">
        <f>IFERROR(LN(INDEX(Data!$J$2:$J$497,MATCH(N250,Data!$A$2:$A$497,1))/INDEX(Data!$J$2:$J$497,MATCH(N238,Data!$A$2:$A$497,1))),"")</f>
        <v>0.156470866482956</v>
      </c>
      <c r="AU250" s="560">
        <f>IFERROR(LN(INDEX(Data!$K$2:$K$497,MATCH(N250,Data!$A$2:$A$497,1))/INDEX(Data!$K$2:$K$497,MATCH(N238,Data!$A$2:$A$497,1))),"")</f>
        <v>0.117000466704299</v>
      </c>
      <c r="AV250" s="561">
        <f>IFERROR(LN(INDEX(Data!$L$2:$L$497,MATCH(N250,Data!$A$2:$A$497,1))/INDEX(Data!$L$2:$L$497,MATCH(N238,Data!$A$2:$A$497,1))),"")</f>
        <v>0.118025296312439</v>
      </c>
    </row>
    <row r="251">
      <c r="N251" s="337" t="n">
        <v>32355</v>
      </c>
      <c r="O251" s="116">
        <f>INDEX('Additional data'!$B$2:$B$965,MATCH(DATE(YEAR(N251),MONTH(N251),1),'Additional data'!$A$2:$A$965,0))</f>
        <v>15.498</v>
      </c>
      <c r="P251" s="489">
        <f>LN(O251)</f>
        <v>2.74071098334176</v>
      </c>
      <c r="Q251" s="489">
        <f>Q250+LN(1+INDEX('Additional data'!$H$2:$H$1196,MATCH(N251,'Additional data'!$G$2:$G$1196,1))+INDEX('Additional data'!$I$2:$I$1196,MATCH(N251,'Additional data'!$G$2:$G$1196,1)))</f>
        <v>1.87793561324396</v>
      </c>
      <c r="R251" s="489">
        <f>LN(INDEX(Data!$B$2:$B$497,MATCH(N251,Data!$A$2:$A$497,1)))</f>
        <v>8.4318749257589</v>
      </c>
      <c r="S251" s="116">
        <f>IF(INDEX('Additional data'!$E$2:$E$699,MATCH(DATE(YEAR(N251),MONTH(N251),1),'Additional data'!$D$2:$D$699,0))=0,(INDEX('Additional data'!$E$2:$E$699,MATCH(DATE(YEAR(N251),MONTH(N251),1),'Additional data'!$D$2:$D$699,0)-1)+INDEX('Additional data'!$E$2:$E$699,MATCH(DATE(YEAR(N251),MONTH(N251),1),'Additional data'!$D$2:$D$699,0)+1))/2,INDEX('Additional data'!$E$2:$E$699,MATCH(DATE(YEAR(N251),MONTH(N251),1),'Additional data'!$D$2:$D$699,0)))</f>
        <v>13.08</v>
      </c>
      <c r="T251" s="425">
        <f>P251-P250</f>
        <v>-0.0644659284911748</v>
      </c>
      <c r="U251" s="425">
        <f>Q251-Q250</f>
        <v>-0.00742751582879664</v>
      </c>
      <c r="V251" s="425">
        <f>R251-R250</f>
        <v>0.0371205915352402</v>
      </c>
      <c r="W251" s="116">
        <f>S251-S250</f>
        <v>-0.0199999999999996</v>
      </c>
      <c r="X251" s="425">
        <f>P251-P239</f>
        <v>-0.320574920951672</v>
      </c>
      <c r="Y251" s="425">
        <f>Q251-Q239</f>
        <v>-0.112626787965026</v>
      </c>
      <c r="Z251" s="425">
        <f>R251-R239</f>
        <v>-0.195176650717578</v>
      </c>
      <c r="AA251" s="116">
        <f>S251-S239</f>
        <v>0.0899999999999999</v>
      </c>
      <c r="AB251" s="425">
        <f>P251-P191</f>
        <v>-0.714343071111108</v>
      </c>
      <c r="AC251" s="425">
        <f>Q251-Q191</f>
        <v>0.631791680313456</v>
      </c>
      <c r="AD251" s="77" t="n"/>
      <c r="AE251" s="235">
        <f>S251-S191</f>
        <v>0.279999999999999</v>
      </c>
      <c r="AG251" s="554">
        <f>N251</f>
        <v>32355.0</v>
      </c>
      <c r="AH251" s="435">
        <f>IFERROR(INDEX('RBA 5Y yield'!$B$5:$B$661,MATCH(N251,'RBA 5Y yield'!$A$5:$A$661,1))*100,"")</f>
        <v>12.05</v>
      </c>
      <c r="AI251" s="435">
        <f>IF(AND(ISNUMBER(AH251),ISNUMBER(AH250)),AH251-AH250,"")</f>
        <v>0.0999999999999996</v>
      </c>
      <c r="AJ251" s="435">
        <f>IF(AND(ISNUMBER(AH251),ISNUMBER(AH239)),AH251-AH239,"")</f>
        <v>-0.950000000000001</v>
      </c>
      <c r="AK251" s="435">
        <f>IF(AND(ISNUMBER(AH251),ISNUMBER(AH191)),AH251-AH191,"")</f>
        <v>-2.25</v>
      </c>
      <c r="AL251" s="560">
        <f>IFERROR(LN(INDEX(Data!$B$2:$B$497,MATCH(N251,Data!$A$2:$A$497,1))/INDEX(Data!$B$2:$B$497,MATCH(N239,Data!$A$2:$A$497,1))),"")</f>
        <v>-0.195176650717577</v>
      </c>
      <c r="AM251" s="560">
        <f>IFERROR(LN(INDEX(Data!$C$2:$C$497,MATCH(N251,Data!$A$2:$A$497,1))/INDEX(Data!$C$2:$C$497,MATCH(N239,Data!$A$2:$A$497,1))),"")</f>
        <v>-0.203941689712675</v>
      </c>
      <c r="AN251" s="560">
        <f>IFERROR(LN(INDEX(Data!$D$2:$D$497,MATCH(N251,Data!$A$2:$A$497,1))/INDEX(Data!$D$2:$D$497,MATCH(N239,Data!$A$2:$A$497,1))),"")</f>
      </c>
      <c r="AO251" s="560">
        <f>IFERROR(LN(INDEX(Data!$E$2:$E$497,MATCH(N251,Data!$A$2:$A$497,1))/INDEX(Data!$E$2:$E$497,MATCH(N239,Data!$A$2:$A$497,1))),"")</f>
      </c>
      <c r="AP251" s="560">
        <f>IFERROR(LN(INDEX(Data!$F$2:$F$497,MATCH(N251,Data!$A$2:$A$497,1))/INDEX(Data!$F$2:$F$497,MATCH(N239,Data!$A$2:$A$497,1))),"")</f>
        <v>-0.0661870464087447</v>
      </c>
      <c r="AQ251" s="560">
        <f>IFERROR(LN(INDEX(Data!$G$2:$G$497,MATCH(N251,Data!$A$2:$A$497,1))/INDEX(Data!$G$2:$G$497,MATCH(N239,Data!$A$2:$A$497,1))),"")</f>
        <v>0.171429660776821</v>
      </c>
      <c r="AR251" s="560">
        <f>IFERROR(LN(INDEX(Data!$H$2:$H$497,MATCH(N251,Data!$A$2:$A$497,1))/INDEX(Data!$H$2:$H$497,MATCH(N239,Data!$A$2:$A$497,1))),"")</f>
      </c>
      <c r="AS251" s="560">
        <f>IFERROR(LN(INDEX(Data!$I$2:$I$497,MATCH(N251,Data!$A$2:$A$497,1))/INDEX(Data!$I$2:$I$497,MATCH(N239,Data!$A$2:$A$497,1))),"")</f>
      </c>
      <c r="AT251" s="560">
        <f>IFERROR(LN(INDEX(Data!$J$2:$J$497,MATCH(N251,Data!$A$2:$A$497,1))/INDEX(Data!$J$2:$J$497,MATCH(N239,Data!$A$2:$A$497,1))),"")</f>
        <v>0.153545169666463</v>
      </c>
      <c r="AU251" s="560">
        <f>IFERROR(LN(INDEX(Data!$K$2:$K$497,MATCH(N251,Data!$A$2:$A$497,1))/INDEX(Data!$K$2:$K$497,MATCH(N239,Data!$A$2:$A$497,1))),"")</f>
        <v>0.125502284670471</v>
      </c>
      <c r="AV251" s="561">
        <f>IFERROR(LN(INDEX(Data!$L$2:$L$497,MATCH(N251,Data!$A$2:$A$497,1))/INDEX(Data!$L$2:$L$497,MATCH(N239,Data!$A$2:$A$497,1))),"")</f>
        <v>0.117483785304206</v>
      </c>
    </row>
    <row r="252">
      <c r="N252" s="337" t="n">
        <v>32386</v>
      </c>
      <c r="O252" s="116">
        <f>INDEX('Additional data'!$B$2:$B$965,MATCH(DATE(YEAR(N252),MONTH(N252),1),'Additional data'!$A$2:$A$965,0))</f>
        <v>15.524</v>
      </c>
      <c r="P252" s="489">
        <f>LN(O252)</f>
        <v>2.74238721350666</v>
      </c>
      <c r="Q252" s="489">
        <f>Q251+LN(1+INDEX('Additional data'!$H$2:$H$1196,MATCH(N252,'Additional data'!$G$2:$G$1196,1))+INDEX('Additional data'!$I$2:$I$1196,MATCH(N252,'Additional data'!$G$2:$G$1196,1)))</f>
        <v>1.85035884547372</v>
      </c>
      <c r="R252" s="489">
        <f>LN(INDEX(Data!$B$2:$B$497,MATCH(N252,Data!$A$2:$A$497,1)))</f>
        <v>8.40782465436087</v>
      </c>
      <c r="S252" s="116">
        <f>IF(INDEX('Additional data'!$E$2:$E$699,MATCH(DATE(YEAR(N252),MONTH(N252),1),'Additional data'!$D$2:$D$699,0))=0,(INDEX('Additional data'!$E$2:$E$699,MATCH(DATE(YEAR(N252),MONTH(N252),1),'Additional data'!$D$2:$D$699,0)-1)+INDEX('Additional data'!$E$2:$E$699,MATCH(DATE(YEAR(N252),MONTH(N252),1),'Additional data'!$D$2:$D$699,0)+1))/2,INDEX('Additional data'!$E$2:$E$699,MATCH(DATE(YEAR(N252),MONTH(N252),1),'Additional data'!$D$2:$D$699,0)))</f>
        <v>13.32</v>
      </c>
      <c r="T252" s="425">
        <f>P252-P251</f>
        <v>0.00167623016490159</v>
      </c>
      <c r="U252" s="425">
        <f>Q252-Q251</f>
        <v>-0.0275767677702345</v>
      </c>
      <c r="V252" s="425">
        <f>R252-R251</f>
        <v>-0.0240502713980266</v>
      </c>
      <c r="W252" s="116">
        <f>S252-S251</f>
        <v>0.24</v>
      </c>
      <c r="X252" s="425">
        <f>P252-P240</f>
        <v>-0.266952063453548</v>
      </c>
      <c r="Y252" s="425">
        <f>Q252-Q240</f>
        <v>-0.179328110419311</v>
      </c>
      <c r="Z252" s="425">
        <f>R252-R240</f>
        <v>-0.277371402253131</v>
      </c>
      <c r="AA252" s="116">
        <f>S252-S240</f>
        <v>0.780000000000001</v>
      </c>
      <c r="AB252" s="425">
        <f>P252-P192</f>
        <v>-0.720532226783492</v>
      </c>
      <c r="AC252" s="425">
        <f>Q252-Q192</f>
        <v>0.601618286695955</v>
      </c>
      <c r="AD252" s="77" t="n"/>
      <c r="AE252" s="235">
        <f>S252-S192</f>
        <v>1.16</v>
      </c>
      <c r="AG252" s="554">
        <f>N252</f>
        <v>32386.0</v>
      </c>
      <c r="AH252" s="435">
        <f>IFERROR(INDEX('RBA 5Y yield'!$B$5:$B$661,MATCH(N252,'RBA 5Y yield'!$A$5:$A$661,1))*100,"")</f>
        <v>12.3</v>
      </c>
      <c r="AI252" s="435">
        <f>IF(AND(ISNUMBER(AH252),ISNUMBER(AH251)),AH252-AH251,"")</f>
        <v>0.250000000000002</v>
      </c>
      <c r="AJ252" s="435">
        <f>IF(AND(ISNUMBER(AH252),ISNUMBER(AH240)),AH252-AH240,"")</f>
        <v>-0.5</v>
      </c>
      <c r="AK252" s="435">
        <f>IF(AND(ISNUMBER(AH252),ISNUMBER(AH192)),AH252-AH192,"")</f>
        <v>-2.1</v>
      </c>
      <c r="AL252" s="560">
        <f>IFERROR(LN(INDEX(Data!$B$2:$B$497,MATCH(N252,Data!$A$2:$A$497,1))/INDEX(Data!$B$2:$B$497,MATCH(N240,Data!$A$2:$A$497,1))),"")</f>
        <v>-0.277371402253131</v>
      </c>
      <c r="AM252" s="560">
        <f>IFERROR(LN(INDEX(Data!$C$2:$C$497,MATCH(N252,Data!$A$2:$A$497,1))/INDEX(Data!$C$2:$C$497,MATCH(N240,Data!$A$2:$A$497,1))),"")</f>
        <v>-0.257958774200792</v>
      </c>
      <c r="AN252" s="560">
        <f>IFERROR(LN(INDEX(Data!$D$2:$D$497,MATCH(N252,Data!$A$2:$A$497,1))/INDEX(Data!$D$2:$D$497,MATCH(N240,Data!$A$2:$A$497,1))),"")</f>
      </c>
      <c r="AO252" s="560">
        <f>IFERROR(LN(INDEX(Data!$E$2:$E$497,MATCH(N252,Data!$A$2:$A$497,1))/INDEX(Data!$E$2:$E$497,MATCH(N240,Data!$A$2:$A$497,1))),"")</f>
      </c>
      <c r="AP252" s="560">
        <f>IFERROR(LN(INDEX(Data!$F$2:$F$497,MATCH(N252,Data!$A$2:$A$497,1))/INDEX(Data!$F$2:$F$497,MATCH(N240,Data!$A$2:$A$497,1))),"")</f>
        <v>-0.0322074906607357</v>
      </c>
      <c r="AQ252" s="560">
        <f>IFERROR(LN(INDEX(Data!$G$2:$G$497,MATCH(N252,Data!$A$2:$A$497,1))/INDEX(Data!$G$2:$G$497,MATCH(N240,Data!$A$2:$A$497,1))),"")</f>
        <v>0.171429660776821</v>
      </c>
      <c r="AR252" s="560">
        <f>IFERROR(LN(INDEX(Data!$H$2:$H$497,MATCH(N252,Data!$A$2:$A$497,1))/INDEX(Data!$H$2:$H$497,MATCH(N240,Data!$A$2:$A$497,1))),"")</f>
      </c>
      <c r="AS252" s="560">
        <f>IFERROR(LN(INDEX(Data!$I$2:$I$497,MATCH(N252,Data!$A$2:$A$497,1))/INDEX(Data!$I$2:$I$497,MATCH(N240,Data!$A$2:$A$497,1))),"")</f>
      </c>
      <c r="AT252" s="560">
        <f>IFERROR(LN(INDEX(Data!$J$2:$J$497,MATCH(N252,Data!$A$2:$A$497,1))/INDEX(Data!$J$2:$J$497,MATCH(N240,Data!$A$2:$A$497,1))),"")</f>
        <v>0.14780366636667</v>
      </c>
      <c r="AU252" s="560">
        <f>IFERROR(LN(INDEX(Data!$K$2:$K$497,MATCH(N252,Data!$A$2:$A$497,1))/INDEX(Data!$K$2:$K$497,MATCH(N240,Data!$A$2:$A$497,1))),"")</f>
        <v>0.12692564519977</v>
      </c>
      <c r="AV252" s="561">
        <f>IFERROR(LN(INDEX(Data!$L$2:$L$497,MATCH(N252,Data!$A$2:$A$497,1))/INDEX(Data!$L$2:$L$497,MATCH(N240,Data!$A$2:$A$497,1))),"")</f>
        <v>0.117042246294614</v>
      </c>
    </row>
    <row r="253">
      <c r="N253" s="337" t="n">
        <v>32416</v>
      </c>
      <c r="O253" s="116">
        <f>INDEX('Additional data'!$B$2:$B$965,MATCH(DATE(YEAR(N253),MONTH(N253),1),'Additional data'!$A$2:$A$965,0))</f>
        <v>14.467</v>
      </c>
      <c r="P253" s="489">
        <f>LN(O253)</f>
        <v>2.67187019364745</v>
      </c>
      <c r="Q253" s="489">
        <f>Q252+LN(1+INDEX('Additional data'!$H$2:$H$1196,MATCH(N253,'Additional data'!$G$2:$G$1196,1))+INDEX('Additional data'!$I$2:$I$1196,MATCH(N253,'Additional data'!$G$2:$G$1196,1)))</f>
        <v>1.88890625508596</v>
      </c>
      <c r="R253" s="489">
        <f>LN(INDEX(Data!$B$2:$B$497,MATCH(N253,Data!$A$2:$A$497,1)))</f>
        <v>8.39831956127783</v>
      </c>
      <c r="S253" s="116">
        <f>IF(INDEX('Additional data'!$E$2:$E$699,MATCH(DATE(YEAR(N253),MONTH(N253),1),'Additional data'!$D$2:$D$699,0))=0,(INDEX('Additional data'!$E$2:$E$699,MATCH(DATE(YEAR(N253),MONTH(N253),1),'Additional data'!$D$2:$D$699,0)-1)+INDEX('Additional data'!$E$2:$E$699,MATCH(DATE(YEAR(N253),MONTH(N253),1),'Additional data'!$D$2:$D$699,0)+1))/2,INDEX('Additional data'!$E$2:$E$699,MATCH(DATE(YEAR(N253),MONTH(N253),1),'Additional data'!$D$2:$D$699,0)))</f>
        <v>13.64</v>
      </c>
      <c r="T253" s="425">
        <f>P253-P252</f>
        <v>-0.0705170198592064</v>
      </c>
      <c r="U253" s="425">
        <f>Q253-Q252</f>
        <v>0.0385474096122389</v>
      </c>
      <c r="V253" s="425">
        <f>R253-R252</f>
        <v>-0.00950509308304781</v>
      </c>
      <c r="W253" s="116">
        <f>S253-S252</f>
        <v>0.32</v>
      </c>
      <c r="X253" s="425">
        <f>P253-P241</f>
        <v>-0.299876717156026</v>
      </c>
      <c r="Y253" s="425">
        <f>Q253-Q241</f>
        <v>-0.119250582256709</v>
      </c>
      <c r="Z253" s="425">
        <f>R253-R241</f>
        <v>-0.333533294844312</v>
      </c>
      <c r="AA253" s="116">
        <f>S253-S241</f>
        <v>1.94</v>
      </c>
      <c r="AB253" s="425">
        <f>P253-P193</f>
        <v>-0.765659117262092</v>
      </c>
      <c r="AC253" s="425">
        <f>Q253-Q193</f>
        <v>0.623505255415087</v>
      </c>
      <c r="AD253" s="77" t="n"/>
      <c r="AE253" s="235">
        <f>S253-S193</f>
        <v>2.58</v>
      </c>
      <c r="AG253" s="554">
        <f>N253</f>
        <v>32416.0</v>
      </c>
      <c r="AH253" s="435">
        <f>IFERROR(INDEX('RBA 5Y yield'!$B$5:$B$661,MATCH(N253,'RBA 5Y yield'!$A$5:$A$661,1))*100,"")</f>
        <v>12.6</v>
      </c>
      <c r="AI253" s="435">
        <f>IF(AND(ISNUMBER(AH253),ISNUMBER(AH252)),AH253-AH252,"")</f>
        <v>0.299999999999999</v>
      </c>
      <c r="AJ253" s="435">
        <f>IF(AND(ISNUMBER(AH253),ISNUMBER(AH241)),AH253-AH241,"")</f>
        <v>0.65</v>
      </c>
      <c r="AK253" s="435">
        <f>IF(AND(ISNUMBER(AH253),ISNUMBER(AH193)),AH253-AH193,"")</f>
        <v>-0.9</v>
      </c>
      <c r="AL253" s="560">
        <f>IFERROR(LN(INDEX(Data!$B$2:$B$497,MATCH(N253,Data!$A$2:$A$497,1))/INDEX(Data!$B$2:$B$497,MATCH(N241,Data!$A$2:$A$497,1))),"")</f>
        <v>-0.333533294844312</v>
      </c>
      <c r="AM253" s="560">
        <f>IFERROR(LN(INDEX(Data!$C$2:$C$497,MATCH(N253,Data!$A$2:$A$497,1))/INDEX(Data!$C$2:$C$497,MATCH(N241,Data!$A$2:$A$497,1))),"")</f>
        <v>-0.193248140493547</v>
      </c>
      <c r="AN253" s="560">
        <f>IFERROR(LN(INDEX(Data!$D$2:$D$497,MATCH(N253,Data!$A$2:$A$497,1))/INDEX(Data!$D$2:$D$497,MATCH(N241,Data!$A$2:$A$497,1))),"")</f>
      </c>
      <c r="AO253" s="560">
        <f>IFERROR(LN(INDEX(Data!$E$2:$E$497,MATCH(N253,Data!$A$2:$A$497,1))/INDEX(Data!$E$2:$E$497,MATCH(N241,Data!$A$2:$A$497,1))),"")</f>
      </c>
      <c r="AP253" s="560">
        <f>IFERROR(LN(INDEX(Data!$F$2:$F$497,MATCH(N253,Data!$A$2:$A$497,1))/INDEX(Data!$F$2:$F$497,MATCH(N241,Data!$A$2:$A$497,1))),"")</f>
        <v>-0.0425250331559992</v>
      </c>
      <c r="AQ253" s="560">
        <f>IFERROR(LN(INDEX(Data!$G$2:$G$497,MATCH(N253,Data!$A$2:$A$497,1))/INDEX(Data!$G$2:$G$497,MATCH(N241,Data!$A$2:$A$497,1))),"")</f>
        <v>0.247755135747363</v>
      </c>
      <c r="AR253" s="560">
        <f>IFERROR(LN(INDEX(Data!$H$2:$H$497,MATCH(N253,Data!$A$2:$A$497,1))/INDEX(Data!$H$2:$H$497,MATCH(N241,Data!$A$2:$A$497,1))),"")</f>
      </c>
      <c r="AS253" s="560">
        <f>IFERROR(LN(INDEX(Data!$I$2:$I$497,MATCH(N253,Data!$A$2:$A$497,1))/INDEX(Data!$I$2:$I$497,MATCH(N241,Data!$A$2:$A$497,1))),"")</f>
      </c>
      <c r="AT253" s="560">
        <f>IFERROR(LN(INDEX(Data!$J$2:$J$497,MATCH(N253,Data!$A$2:$A$497,1))/INDEX(Data!$J$2:$J$497,MATCH(N241,Data!$A$2:$A$497,1))),"")</f>
        <v>0.11134232019323</v>
      </c>
      <c r="AU253" s="560">
        <f>IFERROR(LN(INDEX(Data!$K$2:$K$497,MATCH(N253,Data!$A$2:$A$497,1))/INDEX(Data!$K$2:$K$497,MATCH(N241,Data!$A$2:$A$497,1))),"")</f>
        <v>0.165696039309606</v>
      </c>
      <c r="AV253" s="561">
        <f>IFERROR(LN(INDEX(Data!$L$2:$L$497,MATCH(N253,Data!$A$2:$A$497,1))/INDEX(Data!$L$2:$L$497,MATCH(N241,Data!$A$2:$A$497,1))),"")</f>
        <v>0.116707606922116</v>
      </c>
    </row>
    <row r="254">
      <c r="N254" s="337" t="n">
        <v>32447</v>
      </c>
      <c r="O254" s="116">
        <f>INDEX('Additional data'!$B$2:$B$965,MATCH(DATE(YEAR(N254),MONTH(N254),1),'Additional data'!$A$2:$A$965,0))</f>
        <v>13.798</v>
      </c>
      <c r="P254" s="489">
        <f>LN(O254)</f>
        <v>2.62452365412392</v>
      </c>
      <c r="Q254" s="489">
        <f>Q253+LN(1+INDEX('Additional data'!$H$2:$H$1196,MATCH(N254,'Additional data'!$G$2:$G$1196,1))+INDEX('Additional data'!$I$2:$I$1196,MATCH(N254,'Additional data'!$G$2:$G$1196,1)))</f>
        <v>1.90645143430171</v>
      </c>
      <c r="R254" s="489">
        <f>LN(INDEX(Data!$B$2:$B$497,MATCH(N254,Data!$A$2:$A$497,1)))</f>
        <v>8.4293232641596</v>
      </c>
      <c r="S254" s="116">
        <f>IF(INDEX('Additional data'!$E$2:$E$699,MATCH(DATE(YEAR(N254),MONTH(N254),1),'Additional data'!$D$2:$D$699,0))=0,(INDEX('Additional data'!$E$2:$E$699,MATCH(DATE(YEAR(N254),MONTH(N254),1),'Additional data'!$D$2:$D$699,0)-1)+INDEX('Additional data'!$E$2:$E$699,MATCH(DATE(YEAR(N254),MONTH(N254),1),'Additional data'!$D$2:$D$699,0)+1))/2,INDEX('Additional data'!$E$2:$E$699,MATCH(DATE(YEAR(N254),MONTH(N254),1),'Additional data'!$D$2:$D$699,0)))</f>
        <v>14</v>
      </c>
      <c r="T254" s="425">
        <f>P254-P253</f>
        <v>-0.0473465395235366</v>
      </c>
      <c r="U254" s="425">
        <f>Q254-Q253</f>
        <v>0.0175451792157488</v>
      </c>
      <c r="V254" s="425">
        <f>R254-R253</f>
        <v>0.0310037028817725</v>
      </c>
      <c r="W254" s="116">
        <f>S254-S253</f>
        <v>0.359999999999999</v>
      </c>
      <c r="X254" s="425">
        <f>P254-P242</f>
        <v>-0.363579592265583</v>
      </c>
      <c r="Y254" s="425">
        <f>Q254-Q242</f>
        <v>0.154348811730509</v>
      </c>
      <c r="Z254" s="425">
        <f>R254-R242</f>
        <v>0.244502724159128</v>
      </c>
      <c r="AA254" s="116">
        <f>S254-S242</f>
        <v>2.01</v>
      </c>
      <c r="AB254" s="425">
        <f>P254-P194</f>
        <v>-0.790247847565357</v>
      </c>
      <c r="AC254" s="425">
        <f>Q254-Q194</f>
        <v>0.668113354180524</v>
      </c>
      <c r="AD254" s="77" t="n"/>
      <c r="AE254" s="235">
        <f>S254-S194</f>
        <v>3.06</v>
      </c>
      <c r="AG254" s="554">
        <f>N254</f>
        <v>32447.0</v>
      </c>
      <c r="AH254" s="435">
        <f>IFERROR(INDEX('RBA 5Y yield'!$B$5:$B$661,MATCH(N254,'RBA 5Y yield'!$A$5:$A$661,1))*100,"")</f>
        <v>12.7</v>
      </c>
      <c r="AI254" s="435">
        <f>IF(AND(ISNUMBER(AH254),ISNUMBER(AH253)),AH254-AH253,"")</f>
        <v>0.0999999999999996</v>
      </c>
      <c r="AJ254" s="435">
        <f>IF(AND(ISNUMBER(AH254),ISNUMBER(AH242)),AH254-AH242,"")</f>
        <v>-0.700000000000001</v>
      </c>
      <c r="AK254" s="435">
        <f>IF(AND(ISNUMBER(AH254),ISNUMBER(AH194)),AH254-AH194,"")</f>
        <v>0.35</v>
      </c>
      <c r="AL254" s="560">
        <f>IFERROR(LN(INDEX(Data!$B$2:$B$497,MATCH(N254,Data!$A$2:$A$497,1))/INDEX(Data!$B$2:$B$497,MATCH(N242,Data!$A$2:$A$497,1))),"")</f>
        <v>0.244502724159127</v>
      </c>
      <c r="AM254" s="560">
        <f>IFERROR(LN(INDEX(Data!$C$2:$C$497,MATCH(N254,Data!$A$2:$A$497,1))/INDEX(Data!$C$2:$C$497,MATCH(N242,Data!$A$2:$A$497,1))),"")</f>
        <v>-0.0558155889936753</v>
      </c>
      <c r="AN254" s="560">
        <f>IFERROR(LN(INDEX(Data!$D$2:$D$497,MATCH(N254,Data!$A$2:$A$497,1))/INDEX(Data!$D$2:$D$497,MATCH(N242,Data!$A$2:$A$497,1))),"")</f>
      </c>
      <c r="AO254" s="560">
        <f>IFERROR(LN(INDEX(Data!$E$2:$E$497,MATCH(N254,Data!$A$2:$A$497,1))/INDEX(Data!$E$2:$E$497,MATCH(N242,Data!$A$2:$A$497,1))),"")</f>
      </c>
      <c r="AP254" s="560">
        <f>IFERROR(LN(INDEX(Data!$F$2:$F$497,MATCH(N254,Data!$A$2:$A$497,1))/INDEX(Data!$F$2:$F$497,MATCH(N242,Data!$A$2:$A$497,1))),"")</f>
        <v>-0.108343678449562</v>
      </c>
      <c r="AQ254" s="560">
        <f>IFERROR(LN(INDEX(Data!$G$2:$G$497,MATCH(N254,Data!$A$2:$A$497,1))/INDEX(Data!$G$2:$G$497,MATCH(N242,Data!$A$2:$A$497,1))),"")</f>
        <v>0.247755135747363</v>
      </c>
      <c r="AR254" s="560">
        <f>IFERROR(LN(INDEX(Data!$H$2:$H$497,MATCH(N254,Data!$A$2:$A$497,1))/INDEX(Data!$H$2:$H$497,MATCH(N242,Data!$A$2:$A$497,1))),"")</f>
      </c>
      <c r="AS254" s="560">
        <f>IFERROR(LN(INDEX(Data!$I$2:$I$497,MATCH(N254,Data!$A$2:$A$497,1))/INDEX(Data!$I$2:$I$497,MATCH(N242,Data!$A$2:$A$497,1))),"")</f>
      </c>
      <c r="AT254" s="560">
        <f>IFERROR(LN(INDEX(Data!$J$2:$J$497,MATCH(N254,Data!$A$2:$A$497,1))/INDEX(Data!$J$2:$J$497,MATCH(N242,Data!$A$2:$A$497,1))),"")</f>
        <v>0.162340342123428</v>
      </c>
      <c r="AU254" s="560">
        <f>IFERROR(LN(INDEX(Data!$K$2:$K$497,MATCH(N254,Data!$A$2:$A$497,1))/INDEX(Data!$K$2:$K$497,MATCH(N242,Data!$A$2:$A$497,1))),"")</f>
        <v>0.145568222481072</v>
      </c>
      <c r="AV254" s="561">
        <f>IFERROR(LN(INDEX(Data!$L$2:$L$497,MATCH(N254,Data!$A$2:$A$497,1))/INDEX(Data!$L$2:$L$497,MATCH(N242,Data!$A$2:$A$497,1))),"")</f>
        <v>0.120702140372311</v>
      </c>
    </row>
    <row r="255">
      <c r="N255" s="337" t="n">
        <v>32477</v>
      </c>
      <c r="O255" s="116">
        <f>INDEX('Additional data'!$B$2:$B$965,MATCH(DATE(YEAR(N255),MONTH(N255),1),'Additional data'!$A$2:$A$965,0))</f>
        <v>13.977</v>
      </c>
      <c r="P255" s="489">
        <f>LN(O255)</f>
        <v>2.63741312150277</v>
      </c>
      <c r="Q255" s="489">
        <f>Q254+LN(1+INDEX('Additional data'!$H$2:$H$1196,MATCH(N255,'Additional data'!$G$2:$G$1196,1))+INDEX('Additional data'!$I$2:$I$1196,MATCH(N255,'Additional data'!$G$2:$G$1196,1)))</f>
        <v>1.88930527546674</v>
      </c>
      <c r="R255" s="489">
        <f>LN(INDEX(Data!$B$2:$B$497,MATCH(N255,Data!$A$2:$A$497,1)))</f>
        <v>8.35765804131214</v>
      </c>
      <c r="S255" s="116">
        <f>IF(INDEX('Additional data'!$E$2:$E$699,MATCH(DATE(YEAR(N255),MONTH(N255),1),'Additional data'!$D$2:$D$699,0))=0,(INDEX('Additional data'!$E$2:$E$699,MATCH(DATE(YEAR(N255),MONTH(N255),1),'Additional data'!$D$2:$D$699,0)-1)+INDEX('Additional data'!$E$2:$E$699,MATCH(DATE(YEAR(N255),MONTH(N255),1),'Additional data'!$D$2:$D$699,0)+1))/2,INDEX('Additional data'!$E$2:$E$699,MATCH(DATE(YEAR(N255),MONTH(N255),1),'Additional data'!$D$2:$D$699,0)))</f>
        <v>14.73</v>
      </c>
      <c r="T255" s="425">
        <f>P255-P254</f>
        <v>0.0128894673788529</v>
      </c>
      <c r="U255" s="425">
        <f>Q255-Q254</f>
        <v>-0.0171461588349706</v>
      </c>
      <c r="V255" s="425">
        <f>R255-R254</f>
        <v>-0.071665222847459</v>
      </c>
      <c r="W255" s="116">
        <f>S255-S254</f>
        <v>0.73</v>
      </c>
      <c r="X255" s="425">
        <f>P255-P243</f>
        <v>-0.302806442120963</v>
      </c>
      <c r="Y255" s="425">
        <f>Q255-Q243</f>
        <v>0.214191694423675</v>
      </c>
      <c r="Z255" s="425">
        <f>R255-R243</f>
        <v>0.142543389298252</v>
      </c>
      <c r="AA255" s="116">
        <f>S255-S243</f>
        <v>2.28</v>
      </c>
      <c r="AB255" s="425">
        <f>P255-P195</f>
        <v>-0.758436653832791</v>
      </c>
      <c r="AC255" s="425">
        <f>Q255-Q195</f>
        <v>0.622671326190707</v>
      </c>
      <c r="AD255" s="77" t="n"/>
      <c r="AE255" s="235">
        <f>S255-S195</f>
        <v>4.18</v>
      </c>
      <c r="AG255" s="554">
        <f>N255</f>
        <v>32477.0</v>
      </c>
      <c r="AH255" s="435">
        <f>IFERROR(INDEX('RBA 5Y yield'!$B$5:$B$661,MATCH(N255,'RBA 5Y yield'!$A$5:$A$661,1))*100,"")</f>
        <v>13.05</v>
      </c>
      <c r="AI255" s="435">
        <f>IF(AND(ISNUMBER(AH255),ISNUMBER(AH254)),AH255-AH254,"")</f>
        <v>0.350000000000001</v>
      </c>
      <c r="AJ255" s="435">
        <f>IF(AND(ISNUMBER(AH255),ISNUMBER(AH243)),AH255-AH243,"")</f>
        <v>0.25</v>
      </c>
      <c r="AK255" s="435">
        <f>IF(AND(ISNUMBER(AH255),ISNUMBER(AH195)),AH255-AH195,"")</f>
        <v>1.15</v>
      </c>
      <c r="AL255" s="560">
        <f>IFERROR(LN(INDEX(Data!$B$2:$B$497,MATCH(N255,Data!$A$2:$A$497,1))/INDEX(Data!$B$2:$B$497,MATCH(N243,Data!$A$2:$A$497,1))),"")</f>
        <v>0.142543389298254</v>
      </c>
      <c r="AM255" s="560">
        <f>IFERROR(LN(INDEX(Data!$C$2:$C$497,MATCH(N255,Data!$A$2:$A$497,1))/INDEX(Data!$C$2:$C$497,MATCH(N243,Data!$A$2:$A$497,1))),"")</f>
        <v>4.61872669009572e-05</v>
      </c>
      <c r="AN255" s="560">
        <f>IFERROR(LN(INDEX(Data!$D$2:$D$497,MATCH(N255,Data!$A$2:$A$497,1))/INDEX(Data!$D$2:$D$497,MATCH(N243,Data!$A$2:$A$497,1))),"")</f>
      </c>
      <c r="AO255" s="560">
        <f>IFERROR(LN(INDEX(Data!$E$2:$E$497,MATCH(N255,Data!$A$2:$A$497,1))/INDEX(Data!$E$2:$E$497,MATCH(N243,Data!$A$2:$A$497,1))),"")</f>
      </c>
      <c r="AP255" s="560">
        <f>IFERROR(LN(INDEX(Data!$F$2:$F$497,MATCH(N255,Data!$A$2:$A$497,1))/INDEX(Data!$F$2:$F$497,MATCH(N243,Data!$A$2:$A$497,1))),"")</f>
        <v>-0.0673220261412462</v>
      </c>
      <c r="AQ255" s="560">
        <f>IFERROR(LN(INDEX(Data!$G$2:$G$497,MATCH(N255,Data!$A$2:$A$497,1))/INDEX(Data!$G$2:$G$497,MATCH(N243,Data!$A$2:$A$497,1))),"")</f>
        <v>0.247755135747363</v>
      </c>
      <c r="AR255" s="560">
        <f>IFERROR(LN(INDEX(Data!$H$2:$H$497,MATCH(N255,Data!$A$2:$A$497,1))/INDEX(Data!$H$2:$H$497,MATCH(N243,Data!$A$2:$A$497,1))),"")</f>
      </c>
      <c r="AS255" s="560">
        <f>IFERROR(LN(INDEX(Data!$I$2:$I$497,MATCH(N255,Data!$A$2:$A$497,1))/INDEX(Data!$I$2:$I$497,MATCH(N243,Data!$A$2:$A$497,1))),"")</f>
      </c>
      <c r="AT255" s="560">
        <f>IFERROR(LN(INDEX(Data!$J$2:$J$497,MATCH(N255,Data!$A$2:$A$497,1))/INDEX(Data!$J$2:$J$497,MATCH(N243,Data!$A$2:$A$497,1))),"")</f>
        <v>0.124532149997795</v>
      </c>
      <c r="AU255" s="560">
        <f>IFERROR(LN(INDEX(Data!$K$2:$K$497,MATCH(N255,Data!$A$2:$A$497,1))/INDEX(Data!$K$2:$K$497,MATCH(N243,Data!$A$2:$A$497,1))),"")</f>
        <v>0.132536481829183</v>
      </c>
      <c r="AV255" s="561">
        <f>IFERROR(LN(INDEX(Data!$L$2:$L$497,MATCH(N255,Data!$A$2:$A$497,1))/INDEX(Data!$L$2:$L$497,MATCH(N243,Data!$A$2:$A$497,1))),"")</f>
        <v>0.119692402569774</v>
      </c>
    </row>
    <row r="256">
      <c r="N256" s="337" t="n">
        <v>32508</v>
      </c>
      <c r="O256" s="116">
        <f>INDEX('Additional data'!$B$2:$B$965,MATCH(DATE(YEAR(N256),MONTH(N256),1),'Additional data'!$A$2:$A$965,0))</f>
        <v>16.266</v>
      </c>
      <c r="P256" s="489">
        <f>LN(O256)</f>
        <v>2.78907703974458</v>
      </c>
      <c r="Q256" s="489">
        <f>Q255+LN(1+INDEX('Additional data'!$H$2:$H$1196,MATCH(N256,'Additional data'!$G$2:$G$1196,1))+INDEX('Additional data'!$I$2:$I$1196,MATCH(N256,'Additional data'!$G$2:$G$1196,1)))</f>
        <v>1.9101857530461</v>
      </c>
      <c r="R256" s="489">
        <f>LN(INDEX(Data!$B$2:$B$497,MATCH(N256,Data!$A$2:$A$497,1)))</f>
        <v>8.37445382089782</v>
      </c>
      <c r="S256" s="116">
        <f>IF(INDEX('Additional data'!$E$2:$E$699,MATCH(DATE(YEAR(N256),MONTH(N256),1),'Additional data'!$D$2:$D$699,0))=0,(INDEX('Additional data'!$E$2:$E$699,MATCH(DATE(YEAR(N256),MONTH(N256),1),'Additional data'!$D$2:$D$699,0)-1)+INDEX('Additional data'!$E$2:$E$699,MATCH(DATE(YEAR(N256),MONTH(N256),1),'Additional data'!$D$2:$D$699,0)+1))/2,INDEX('Additional data'!$E$2:$E$699,MATCH(DATE(YEAR(N256),MONTH(N256),1),'Additional data'!$D$2:$D$699,0)))</f>
        <v>15.11</v>
      </c>
      <c r="T256" s="425">
        <f>P256-P255</f>
        <v>0.151663918241814</v>
      </c>
      <c r="U256" s="425">
        <f>Q256-Q255</f>
        <v>0.0208804775793552</v>
      </c>
      <c r="V256" s="425">
        <f>R256-R255</f>
        <v>0.0167957795856832</v>
      </c>
      <c r="W256" s="116">
        <f>S256-S255</f>
        <v>0.379999999999999</v>
      </c>
      <c r="X256" s="425">
        <f>P256-P244</f>
        <v>-0.0582132284491306</v>
      </c>
      <c r="Y256" s="425">
        <f>Q256-Q244</f>
        <v>0.165452830122973</v>
      </c>
      <c r="Z256" s="425">
        <f>R256-R244</f>
        <v>0.164465368422229</v>
      </c>
      <c r="AA256" s="116">
        <f>S256-S244</f>
        <v>3.65</v>
      </c>
      <c r="AB256" s="425">
        <f>P256-P196</f>
        <v>-0.586460595136994</v>
      </c>
      <c r="AC256" s="425">
        <f>Q256-Q196</f>
        <v>0.654006261673921</v>
      </c>
      <c r="AD256" s="77" t="n"/>
      <c r="AE256" s="235">
        <f>S256-S196</f>
        <v>6.22</v>
      </c>
      <c r="AG256" s="554">
        <f>N256</f>
        <v>32508.0</v>
      </c>
      <c r="AH256" s="435">
        <f>IFERROR(INDEX('RBA 5Y yield'!$B$5:$B$661,MATCH(N256,'RBA 5Y yield'!$A$5:$A$661,1))*100,"")</f>
        <v>13.5</v>
      </c>
      <c r="AI256" s="435">
        <f>IF(AND(ISNUMBER(AH256),ISNUMBER(AH255)),AH256-AH255,"")</f>
        <v>0.449999999999999</v>
      </c>
      <c r="AJ256" s="435">
        <f>IF(AND(ISNUMBER(AH256),ISNUMBER(AH244)),AH256-AH244,"")</f>
        <v>1.35</v>
      </c>
      <c r="AK256" s="435">
        <f>IF(AND(ISNUMBER(AH256),ISNUMBER(AH196)),AH256-AH196,"")</f>
        <v>0.699999999999999</v>
      </c>
      <c r="AL256" s="560">
        <f>IFERROR(LN(INDEX(Data!$B$2:$B$497,MATCH(N256,Data!$A$2:$A$497,1))/INDEX(Data!$B$2:$B$497,MATCH(N244,Data!$A$2:$A$497,1))),"")</f>
        <v>0.164465368422228</v>
      </c>
      <c r="AM256" s="560">
        <f>IFERROR(LN(INDEX(Data!$C$2:$C$497,MATCH(N256,Data!$A$2:$A$497,1))/INDEX(Data!$C$2:$C$497,MATCH(N244,Data!$A$2:$A$497,1))),"")</f>
        <v>0.0707631240330757</v>
      </c>
      <c r="AN256" s="560">
        <f>IFERROR(LN(INDEX(Data!$D$2:$D$497,MATCH(N256,Data!$A$2:$A$497,1))/INDEX(Data!$D$2:$D$497,MATCH(N244,Data!$A$2:$A$497,1))),"")</f>
        <v>0.804388032998949</v>
      </c>
      <c r="AO256" s="560">
        <f>IFERROR(LN(INDEX(Data!$E$2:$E$497,MATCH(N256,Data!$A$2:$A$497,1))/INDEX(Data!$E$2:$E$497,MATCH(N244,Data!$A$2:$A$497,1))),"")</f>
      </c>
      <c r="AP256" s="560">
        <f>IFERROR(LN(INDEX(Data!$F$2:$F$497,MATCH(N256,Data!$A$2:$A$497,1))/INDEX(Data!$F$2:$F$497,MATCH(N244,Data!$A$2:$A$497,1))),"")</f>
        <v>0.0787078537974702</v>
      </c>
      <c r="AQ256" s="560">
        <f>IFERROR(LN(INDEX(Data!$G$2:$G$497,MATCH(N256,Data!$A$2:$A$497,1))/INDEX(Data!$G$2:$G$497,MATCH(N244,Data!$A$2:$A$497,1))),"")</f>
        <v>0.296254245413921</v>
      </c>
      <c r="AR256" s="560">
        <f>IFERROR(LN(INDEX(Data!$H$2:$H$497,MATCH(N256,Data!$A$2:$A$497,1))/INDEX(Data!$H$2:$H$497,MATCH(N244,Data!$A$2:$A$497,1))),"")</f>
      </c>
      <c r="AS256" s="560">
        <f>IFERROR(LN(INDEX(Data!$I$2:$I$497,MATCH(N256,Data!$A$2:$A$497,1))/INDEX(Data!$I$2:$I$497,MATCH(N244,Data!$A$2:$A$497,1))),"")</f>
      </c>
      <c r="AT256" s="560">
        <f>IFERROR(LN(INDEX(Data!$J$2:$J$497,MATCH(N256,Data!$A$2:$A$497,1))/INDEX(Data!$J$2:$J$497,MATCH(N244,Data!$A$2:$A$497,1))),"")</f>
        <v>0.0861342608909443</v>
      </c>
      <c r="AU256" s="560">
        <f>IFERROR(LN(INDEX(Data!$K$2:$K$497,MATCH(N256,Data!$A$2:$A$497,1))/INDEX(Data!$K$2:$K$497,MATCH(N244,Data!$A$2:$A$497,1))),"")</f>
        <v>0.129033227470738</v>
      </c>
      <c r="AV256" s="561">
        <f>IFERROR(LN(INDEX(Data!$L$2:$L$497,MATCH(N256,Data!$A$2:$A$497,1))/INDEX(Data!$L$2:$L$497,MATCH(N244,Data!$A$2:$A$497,1))),"")</f>
        <v>0.121210213634745</v>
      </c>
    </row>
    <row r="257">
      <c r="N257" s="337" t="n">
        <v>32539</v>
      </c>
      <c r="O257" s="116">
        <f>INDEX('Additional data'!$B$2:$B$965,MATCH(DATE(YEAR(N257),MONTH(N257),1),'Additional data'!$A$2:$A$965,0))</f>
        <v>17.983</v>
      </c>
      <c r="P257" s="489">
        <f>LN(O257)</f>
        <v>2.88942686718306</v>
      </c>
      <c r="Q257" s="489">
        <f>Q256+LN(1+INDEX('Additional data'!$H$2:$H$1196,MATCH(N257,'Additional data'!$G$2:$G$1196,1))+INDEX('Additional data'!$I$2:$I$1196,MATCH(N257,'Additional data'!$G$2:$G$1196,1)))</f>
        <v>1.97428667845262</v>
      </c>
      <c r="R257" s="489">
        <f>LN(INDEX(Data!$B$2:$B$497,MATCH(N257,Data!$A$2:$A$497,1)))</f>
        <v>8.41807978851888</v>
      </c>
      <c r="S257" s="116">
        <f>IF(INDEX('Additional data'!$E$2:$E$699,MATCH(DATE(YEAR(N257),MONTH(N257),1),'Additional data'!$D$2:$D$699,0))=0,(INDEX('Additional data'!$E$2:$E$699,MATCH(DATE(YEAR(N257),MONTH(N257),1),'Additional data'!$D$2:$D$699,0)-1)+INDEX('Additional data'!$E$2:$E$699,MATCH(DATE(YEAR(N257),MONTH(N257),1),'Additional data'!$D$2:$D$699,0)+1))/2,INDEX('Additional data'!$E$2:$E$699,MATCH(DATE(YEAR(N257),MONTH(N257),1),'Additional data'!$D$2:$D$699,0)))</f>
        <v>15.56</v>
      </c>
      <c r="T257" s="425">
        <f>P257-P256</f>
        <v>0.100349827438476</v>
      </c>
      <c r="U257" s="425">
        <f>Q257-Q256</f>
        <v>0.0641009254065237</v>
      </c>
      <c r="V257" s="425">
        <f>R257-R256</f>
        <v>0.0436259676210558</v>
      </c>
      <c r="W257" s="116">
        <f>S257-S256</f>
        <v>0.450000000000001</v>
      </c>
      <c r="X257" s="425">
        <f>P257-P245</f>
        <v>0.0468457731232435</v>
      </c>
      <c r="Y257" s="425">
        <f>Q257-Q245</f>
        <v>0.185536870112722</v>
      </c>
      <c r="Z257" s="425">
        <f>R257-R245</f>
        <v>0.254566032061573</v>
      </c>
      <c r="AA257" s="116">
        <f>S257-S245</f>
        <v>4.51</v>
      </c>
      <c r="AB257" s="425">
        <f>P257-P197</f>
        <v>-0.501383421592609</v>
      </c>
      <c r="AC257" s="425">
        <f>Q257-Q197</f>
        <v>0.729774991948127</v>
      </c>
      <c r="AD257" s="77" t="n"/>
      <c r="AE257" s="235">
        <f>S257-S197</f>
        <v>5.8</v>
      </c>
      <c r="AG257" s="554">
        <f>N257</f>
        <v>32539.0</v>
      </c>
      <c r="AH257" s="435">
        <f>IFERROR(INDEX('RBA 5Y yield'!$B$5:$B$661,MATCH(N257,'RBA 5Y yield'!$A$5:$A$661,1))*100,"")</f>
        <v>14.05</v>
      </c>
      <c r="AI257" s="435">
        <f>IF(AND(ISNUMBER(AH257),ISNUMBER(AH256)),AH257-AH256,"")</f>
        <v>0.550000000000001</v>
      </c>
      <c r="AJ257" s="435">
        <f>IF(AND(ISNUMBER(AH257),ISNUMBER(AH245)),AH257-AH245,"")</f>
        <v>2.15</v>
      </c>
      <c r="AK257" s="435">
        <f>IF(AND(ISNUMBER(AH257),ISNUMBER(AH197)),AH257-AH197,"")</f>
        <v>1.15</v>
      </c>
      <c r="AL257" s="560">
        <f>IFERROR(LN(INDEX(Data!$B$2:$B$497,MATCH(N257,Data!$A$2:$A$497,1))/INDEX(Data!$B$2:$B$497,MATCH(N245,Data!$A$2:$A$497,1))),"")</f>
        <v>0.254566032061574</v>
      </c>
      <c r="AM257" s="560">
        <f>IFERROR(LN(INDEX(Data!$C$2:$C$497,MATCH(N257,Data!$A$2:$A$497,1))/INDEX(Data!$C$2:$C$497,MATCH(N245,Data!$A$2:$A$497,1))),"")</f>
        <v>0.0186054815055349</v>
      </c>
      <c r="AN257" s="560">
        <f>IFERROR(LN(INDEX(Data!$D$2:$D$497,MATCH(N257,Data!$A$2:$A$497,1))/INDEX(Data!$D$2:$D$497,MATCH(N245,Data!$A$2:$A$497,1))),"")</f>
        <v>0.663471510911565</v>
      </c>
      <c r="AO257" s="560">
        <f>IFERROR(LN(INDEX(Data!$E$2:$E$497,MATCH(N257,Data!$A$2:$A$497,1))/INDEX(Data!$E$2:$E$497,MATCH(N245,Data!$A$2:$A$497,1))),"")</f>
      </c>
      <c r="AP257" s="560">
        <f>IFERROR(LN(INDEX(Data!$F$2:$F$497,MATCH(N257,Data!$A$2:$A$497,1))/INDEX(Data!$F$2:$F$497,MATCH(N245,Data!$A$2:$A$497,1))),"")</f>
        <v>0.000261345337667538</v>
      </c>
      <c r="AQ257" s="560">
        <f>IFERROR(LN(INDEX(Data!$G$2:$G$497,MATCH(N257,Data!$A$2:$A$497,1))/INDEX(Data!$G$2:$G$497,MATCH(N245,Data!$A$2:$A$497,1))),"")</f>
        <v>0.296254245413921</v>
      </c>
      <c r="AR257" s="560">
        <f>IFERROR(LN(INDEX(Data!$H$2:$H$497,MATCH(N257,Data!$A$2:$A$497,1))/INDEX(Data!$H$2:$H$497,MATCH(N245,Data!$A$2:$A$497,1))),"")</f>
      </c>
      <c r="AS257" s="560">
        <f>IFERROR(LN(INDEX(Data!$I$2:$I$497,MATCH(N257,Data!$A$2:$A$497,1))/INDEX(Data!$I$2:$I$497,MATCH(N245,Data!$A$2:$A$497,1))),"")</f>
      </c>
      <c r="AT257" s="560">
        <f>IFERROR(LN(INDEX(Data!$J$2:$J$497,MATCH(N257,Data!$A$2:$A$497,1))/INDEX(Data!$J$2:$J$497,MATCH(N245,Data!$A$2:$A$497,1))),"")</f>
        <v>0.0548595008009512</v>
      </c>
      <c r="AU257" s="560">
        <f>IFERROR(LN(INDEX(Data!$K$2:$K$497,MATCH(N257,Data!$A$2:$A$497,1))/INDEX(Data!$K$2:$K$497,MATCH(N245,Data!$A$2:$A$497,1))),"")</f>
        <v>0.114918756004339</v>
      </c>
      <c r="AV257" s="561">
        <f>IFERROR(LN(INDEX(Data!$L$2:$L$497,MATCH(N257,Data!$A$2:$A$497,1))/INDEX(Data!$L$2:$L$497,MATCH(N245,Data!$A$2:$A$497,1))),"")</f>
        <v>0.124120062451158</v>
      </c>
    </row>
    <row r="258">
      <c r="N258" s="337" t="n">
        <v>32567</v>
      </c>
      <c r="O258" s="116">
        <f>INDEX('Additional data'!$B$2:$B$965,MATCH(DATE(YEAR(N258),MONTH(N258),1),'Additional data'!$A$2:$A$965,0))</f>
        <v>17.826</v>
      </c>
      <c r="P258" s="489">
        <f>LN(O258)</f>
        <v>2.88065806570853</v>
      </c>
      <c r="Q258" s="489">
        <f>Q257+LN(1+INDEX('Additional data'!$H$2:$H$1196,MATCH(N258,'Additional data'!$G$2:$G$1196,1))+INDEX('Additional data'!$I$2:$I$1196,MATCH(N258,'Additional data'!$G$2:$G$1196,1)))</f>
        <v>1.95795402383172</v>
      </c>
      <c r="R258" s="489">
        <f>LN(INDEX(Data!$B$2:$B$497,MATCH(N258,Data!$A$2:$A$497,1)))</f>
        <v>8.37756324032985</v>
      </c>
      <c r="S258" s="116">
        <f>IF(INDEX('Additional data'!$E$2:$E$699,MATCH(DATE(YEAR(N258),MONTH(N258),1),'Additional data'!$D$2:$D$699,0))=0,(INDEX('Additional data'!$E$2:$E$699,MATCH(DATE(YEAR(N258),MONTH(N258),1),'Additional data'!$D$2:$D$699,0)-1)+INDEX('Additional data'!$E$2:$E$699,MATCH(DATE(YEAR(N258),MONTH(N258),1),'Additional data'!$D$2:$D$699,0)+1))/2,INDEX('Additional data'!$E$2:$E$699,MATCH(DATE(YEAR(N258),MONTH(N258),1),'Additional data'!$D$2:$D$699,0)))</f>
        <v>16.54</v>
      </c>
      <c r="T258" s="425">
        <f>P258-P257</f>
        <v>-0.00876880147453418</v>
      </c>
      <c r="U258" s="425">
        <f>Q258-Q257</f>
        <v>-0.0163326546208975</v>
      </c>
      <c r="V258" s="425">
        <f>R258-R257</f>
        <v>-0.0405165481890322</v>
      </c>
      <c r="W258" s="116">
        <f>S258-S257</f>
        <v>0.979999999999999</v>
      </c>
      <c r="X258" s="425">
        <f>P258-P246</f>
        <v>0.0613646857903336</v>
      </c>
      <c r="Y258" s="425">
        <f>Q258-Q246</f>
        <v>0.118225970727195</v>
      </c>
      <c r="Z258" s="425">
        <f>R258-R246</f>
        <v>0.217073564689082</v>
      </c>
      <c r="AA258" s="116">
        <f>S258-S246</f>
        <v>5.59</v>
      </c>
      <c r="AB258" s="425">
        <f>P258-P198</f>
        <v>-0.525361006232843</v>
      </c>
      <c r="AC258" s="425">
        <f>Q258-Q198</f>
        <v>0.754889527241403</v>
      </c>
      <c r="AD258" s="77" t="n"/>
      <c r="AE258" s="235">
        <f>S258-S198</f>
        <v>4.5</v>
      </c>
      <c r="AG258" s="554">
        <f>N258</f>
        <v>32567.0</v>
      </c>
      <c r="AH258" s="435">
        <f>IFERROR(INDEX('RBA 5Y yield'!$B$5:$B$661,MATCH(N258,'RBA 5Y yield'!$A$5:$A$661,1))*100,"")</f>
        <v>14.35</v>
      </c>
      <c r="AI258" s="435">
        <f>IF(AND(ISNUMBER(AH258),ISNUMBER(AH257)),AH258-AH257,"")</f>
        <v>0.299999999999999</v>
      </c>
      <c r="AJ258" s="435">
        <f>IF(AND(ISNUMBER(AH258),ISNUMBER(AH246)),AH258-AH246,"")</f>
        <v>2.45</v>
      </c>
      <c r="AK258" s="435">
        <f>IF(AND(ISNUMBER(AH258),ISNUMBER(AH198)),AH258-AH198,"")</f>
        <v>1.2</v>
      </c>
      <c r="AL258" s="560">
        <f>IFERROR(LN(INDEX(Data!$B$2:$B$497,MATCH(N258,Data!$A$2:$A$497,1))/INDEX(Data!$B$2:$B$497,MATCH(N246,Data!$A$2:$A$497,1))),"")</f>
        <v>0.217073564689083</v>
      </c>
      <c r="AM258" s="560">
        <f>IFERROR(LN(INDEX(Data!$C$2:$C$497,MATCH(N258,Data!$A$2:$A$497,1))/INDEX(Data!$C$2:$C$497,MATCH(N246,Data!$A$2:$A$497,1))),"")</f>
        <v>0.0557055566301826</v>
      </c>
      <c r="AN258" s="560">
        <f>IFERROR(LN(INDEX(Data!$D$2:$D$497,MATCH(N258,Data!$A$2:$A$497,1))/INDEX(Data!$D$2:$D$497,MATCH(N246,Data!$A$2:$A$497,1))),"")</f>
        <v>0.809654873104587</v>
      </c>
      <c r="AO258" s="560">
        <f>IFERROR(LN(INDEX(Data!$E$2:$E$497,MATCH(N258,Data!$A$2:$A$497,1))/INDEX(Data!$E$2:$E$497,MATCH(N246,Data!$A$2:$A$497,1))),"")</f>
      </c>
      <c r="AP258" s="560">
        <f>IFERROR(LN(INDEX(Data!$F$2:$F$497,MATCH(N258,Data!$A$2:$A$497,1))/INDEX(Data!$F$2:$F$497,MATCH(N246,Data!$A$2:$A$497,1))),"")</f>
        <v>0.166724161177726</v>
      </c>
      <c r="AQ258" s="560">
        <f>IFERROR(LN(INDEX(Data!$G$2:$G$497,MATCH(N258,Data!$A$2:$A$497,1))/INDEX(Data!$G$2:$G$497,MATCH(N246,Data!$A$2:$A$497,1))),"")</f>
        <v>0.296254245413921</v>
      </c>
      <c r="AR258" s="560">
        <f>IFERROR(LN(INDEX(Data!$H$2:$H$497,MATCH(N258,Data!$A$2:$A$497,1))/INDEX(Data!$H$2:$H$497,MATCH(N246,Data!$A$2:$A$497,1))),"")</f>
      </c>
      <c r="AS258" s="560">
        <f>IFERROR(LN(INDEX(Data!$I$2:$I$497,MATCH(N258,Data!$A$2:$A$497,1))/INDEX(Data!$I$2:$I$497,MATCH(N246,Data!$A$2:$A$497,1))),"")</f>
      </c>
      <c r="AT258" s="560">
        <f>IFERROR(LN(INDEX(Data!$J$2:$J$497,MATCH(N258,Data!$A$2:$A$497,1))/INDEX(Data!$J$2:$J$497,MATCH(N246,Data!$A$2:$A$497,1))),"")</f>
        <v>0.0462222782919503</v>
      </c>
      <c r="AU258" s="560">
        <f>IFERROR(LN(INDEX(Data!$K$2:$K$497,MATCH(N258,Data!$A$2:$A$497,1))/INDEX(Data!$K$2:$K$497,MATCH(N246,Data!$A$2:$A$497,1))),"")</f>
        <v>0.096170814592538</v>
      </c>
      <c r="AV258" s="561">
        <f>IFERROR(LN(INDEX(Data!$L$2:$L$497,MATCH(N258,Data!$A$2:$A$497,1))/INDEX(Data!$L$2:$L$497,MATCH(N246,Data!$A$2:$A$497,1))),"")</f>
        <v>0.126743530128265</v>
      </c>
    </row>
    <row r="259">
      <c r="N259" s="337" t="n">
        <v>32598</v>
      </c>
      <c r="O259" s="116">
        <f>INDEX('Additional data'!$B$2:$B$965,MATCH(DATE(YEAR(N259),MONTH(N259),1),'Additional data'!$A$2:$A$965,0))</f>
        <v>19.445</v>
      </c>
      <c r="P259" s="489">
        <f>LN(O259)</f>
        <v>2.96758996760771</v>
      </c>
      <c r="Q259" s="489">
        <f>Q258+LN(1+INDEX('Additional data'!$H$2:$H$1196,MATCH(N259,'Additional data'!$G$2:$G$1196,1))+INDEX('Additional data'!$I$2:$I$1196,MATCH(N259,'Additional data'!$G$2:$G$1196,1)))</f>
        <v>1.98010682847286</v>
      </c>
      <c r="R259" s="489">
        <f>LN(INDEX(Data!$B$2:$B$497,MATCH(N259,Data!$A$2:$A$497,1)))</f>
        <v>8.36571892679239</v>
      </c>
      <c r="S259" s="116">
        <f>IF(INDEX('Additional data'!$E$2:$E$699,MATCH(DATE(YEAR(N259),MONTH(N259),1),'Additional data'!$D$2:$D$699,0))=0,(INDEX('Additional data'!$E$2:$E$699,MATCH(DATE(YEAR(N259),MONTH(N259),1),'Additional data'!$D$2:$D$699,0)-1)+INDEX('Additional data'!$E$2:$E$699,MATCH(DATE(YEAR(N259),MONTH(N259),1),'Additional data'!$D$2:$D$699,0)+1))/2,INDEX('Additional data'!$E$2:$E$699,MATCH(DATE(YEAR(N259),MONTH(N259),1),'Additional data'!$D$2:$D$699,0)))</f>
        <v>17.25</v>
      </c>
      <c r="T259" s="425">
        <f>P259-P258</f>
        <v>0.086931901899185</v>
      </c>
      <c r="U259" s="425">
        <f>Q259-Q258</f>
        <v>0.0221528046411332</v>
      </c>
      <c r="V259" s="425">
        <f>R259-R258</f>
        <v>-0.0118443135374573</v>
      </c>
      <c r="W259" s="116">
        <f>S259-S258</f>
        <v>0.710000000000001</v>
      </c>
      <c r="X259" s="425">
        <f>P259-P247</f>
        <v>0.181529892870473</v>
      </c>
      <c r="Y259" s="425">
        <f>Q259-Q247</f>
        <v>0.158746432726514</v>
      </c>
      <c r="Z259" s="425">
        <f>R259-R247</f>
        <v>0.0778634308536876</v>
      </c>
      <c r="AA259" s="116">
        <f>S259-S247</f>
        <v>6.3</v>
      </c>
      <c r="AB259" s="425">
        <f>P259-P199</f>
        <v>-0.458657686254228</v>
      </c>
      <c r="AC259" s="425">
        <f>Q259-Q199</f>
        <v>0.763336684826424</v>
      </c>
      <c r="AD259" s="77" t="n"/>
      <c r="AE259" s="235">
        <f>S259-S199</f>
        <v>3.48</v>
      </c>
      <c r="AG259" s="554">
        <f>N259</f>
        <v>32598.0</v>
      </c>
      <c r="AH259" s="435">
        <f>IFERROR(INDEX('RBA 5Y yield'!$B$5:$B$661,MATCH(N259,'RBA 5Y yield'!$A$5:$A$661,1))*100,"")</f>
        <v>14.3</v>
      </c>
      <c r="AI259" s="435">
        <f>IF(AND(ISNUMBER(AH259),ISNUMBER(AH258)),AH259-AH258,"")</f>
        <v>-0.0500000000000007</v>
      </c>
      <c r="AJ259" s="435">
        <f>IF(AND(ISNUMBER(AH259),ISNUMBER(AH247)),AH259-AH247,"")</f>
        <v>2.8</v>
      </c>
      <c r="AK259" s="435">
        <f>IF(AND(ISNUMBER(AH259),ISNUMBER(AH199)),AH259-AH199,"")</f>
        <v>1.05</v>
      </c>
      <c r="AL259" s="560">
        <f>IFERROR(LN(INDEX(Data!$B$2:$B$497,MATCH(N259,Data!$A$2:$A$497,1))/INDEX(Data!$B$2:$B$497,MATCH(N247,Data!$A$2:$A$497,1))),"")</f>
        <v>0.077863430853687</v>
      </c>
      <c r="AM259" s="560">
        <f>IFERROR(LN(INDEX(Data!$C$2:$C$497,MATCH(N259,Data!$A$2:$A$497,1))/INDEX(Data!$C$2:$C$497,MATCH(N247,Data!$A$2:$A$497,1))),"")</f>
        <v>0.0825786886417555</v>
      </c>
      <c r="AN259" s="560">
        <f>IFERROR(LN(INDEX(Data!$D$2:$D$497,MATCH(N259,Data!$A$2:$A$497,1))/INDEX(Data!$D$2:$D$497,MATCH(N247,Data!$A$2:$A$497,1))),"")</f>
        <v>0.81361834428955</v>
      </c>
      <c r="AO259" s="560">
        <f>IFERROR(LN(INDEX(Data!$E$2:$E$497,MATCH(N259,Data!$A$2:$A$497,1))/INDEX(Data!$E$2:$E$497,MATCH(N247,Data!$A$2:$A$497,1))),"")</f>
      </c>
      <c r="AP259" s="560">
        <f>IFERROR(LN(INDEX(Data!$F$2:$F$497,MATCH(N259,Data!$A$2:$A$497,1))/INDEX(Data!$F$2:$F$497,MATCH(N247,Data!$A$2:$A$497,1))),"")</f>
        <v>0.196558196617221</v>
      </c>
      <c r="AQ259" s="560">
        <f>IFERROR(LN(INDEX(Data!$G$2:$G$497,MATCH(N259,Data!$A$2:$A$497,1))/INDEX(Data!$G$2:$G$497,MATCH(N247,Data!$A$2:$A$497,1))),"")</f>
        <v>0.330911245352988</v>
      </c>
      <c r="AR259" s="560">
        <f>IFERROR(LN(INDEX(Data!$H$2:$H$497,MATCH(N259,Data!$A$2:$A$497,1))/INDEX(Data!$H$2:$H$497,MATCH(N247,Data!$A$2:$A$497,1))),"")</f>
      </c>
      <c r="AS259" s="560">
        <f>IFERROR(LN(INDEX(Data!$I$2:$I$497,MATCH(N259,Data!$A$2:$A$497,1))/INDEX(Data!$I$2:$I$497,MATCH(N247,Data!$A$2:$A$497,1))),"")</f>
      </c>
      <c r="AT259" s="560">
        <f>IFERROR(LN(INDEX(Data!$J$2:$J$497,MATCH(N259,Data!$A$2:$A$497,1))/INDEX(Data!$J$2:$J$497,MATCH(N247,Data!$A$2:$A$497,1))),"")</f>
        <v>0.0352136144449411</v>
      </c>
      <c r="AU259" s="560">
        <f>IFERROR(LN(INDEX(Data!$K$2:$K$497,MATCH(N259,Data!$A$2:$A$497,1))/INDEX(Data!$K$2:$K$497,MATCH(N247,Data!$A$2:$A$497,1))),"")</f>
        <v>0.10443820052189</v>
      </c>
      <c r="AV259" s="561">
        <f>IFERROR(LN(INDEX(Data!$L$2:$L$497,MATCH(N259,Data!$A$2:$A$497,1))/INDEX(Data!$L$2:$L$497,MATCH(N247,Data!$A$2:$A$497,1))),"")</f>
        <v>0.131554507672565</v>
      </c>
    </row>
    <row r="260">
      <c r="N260" s="337" t="n">
        <v>32628</v>
      </c>
      <c r="O260" s="116">
        <f>INDEX('Additional data'!$B$2:$B$965,MATCH(DATE(YEAR(N260),MONTH(N260),1),'Additional data'!$A$2:$A$965,0))</f>
        <v>21.04</v>
      </c>
      <c r="P260" s="489">
        <f>LN(O260)</f>
        <v>3.04642538786951</v>
      </c>
      <c r="Q260" s="489">
        <f>Q259+LN(1+INDEX('Additional data'!$H$2:$H$1196,MATCH(N260,'Additional data'!$G$2:$G$1196,1))+INDEX('Additional data'!$I$2:$I$1196,MATCH(N260,'Additional data'!$G$2:$G$1196,1)))</f>
        <v>2.02908745069448</v>
      </c>
      <c r="R260" s="489">
        <f>LN(INDEX(Data!$B$2:$B$497,MATCH(N260,Data!$A$2:$A$497,1)))</f>
        <v>8.40288162323808</v>
      </c>
      <c r="S260" s="116">
        <f>IF(INDEX('Additional data'!$E$2:$E$699,MATCH(DATE(YEAR(N260),MONTH(N260),1),'Additional data'!$D$2:$D$699,0))=0,(INDEX('Additional data'!$E$2:$E$699,MATCH(DATE(YEAR(N260),MONTH(N260),1),'Additional data'!$D$2:$D$699,0)-1)+INDEX('Additional data'!$E$2:$E$699,MATCH(DATE(YEAR(N260),MONTH(N260),1),'Additional data'!$D$2:$D$699,0)+1))/2,INDEX('Additional data'!$E$2:$E$699,MATCH(DATE(YEAR(N260),MONTH(N260),1),'Additional data'!$D$2:$D$699,0)))</f>
        <v>17.46</v>
      </c>
      <c r="T260" s="425">
        <f>P260-P259</f>
        <v>0.0788354202617985</v>
      </c>
      <c r="U260" s="425">
        <f>Q260-Q259</f>
        <v>0.048980622221622</v>
      </c>
      <c r="V260" s="425">
        <f>R260-R259</f>
        <v>0.0371626964456926</v>
      </c>
      <c r="W260" s="116">
        <f>S260-S259</f>
        <v>0.210000000000001</v>
      </c>
      <c r="X260" s="425">
        <f>P260-P248</f>
        <v>0.163022299289438</v>
      </c>
      <c r="Y260" s="425">
        <f>Q260-Q248</f>
        <v>0.197479738496586</v>
      </c>
      <c r="Z260" s="425">
        <f>R260-R248</f>
        <v>0.0791518290346431</v>
      </c>
      <c r="AA260" s="116">
        <f>S260-S248</f>
        <v>6.07</v>
      </c>
      <c r="AB260" s="425">
        <f>P260-P200</f>
        <v>-0.37516268344038</v>
      </c>
      <c r="AC260" s="425">
        <f>Q260-Q200</f>
        <v>0.809321798068247</v>
      </c>
      <c r="AD260" s="77" t="n"/>
      <c r="AE260" s="235">
        <f>S260-S200</f>
        <v>3.58</v>
      </c>
      <c r="AG260" s="554">
        <f>N260</f>
        <v>32628.0</v>
      </c>
      <c r="AH260" s="435">
        <f>IFERROR(INDEX('RBA 5Y yield'!$B$5:$B$661,MATCH(N260,'RBA 5Y yield'!$A$5:$A$661,1))*100,"")</f>
        <v>14.25</v>
      </c>
      <c r="AI260" s="435">
        <f>IF(AND(ISNUMBER(AH260),ISNUMBER(AH259)),AH260-AH259,"")</f>
        <v>-0.0500000000000007</v>
      </c>
      <c r="AJ260" s="435">
        <f>IF(AND(ISNUMBER(AH260),ISNUMBER(AH248)),AH260-AH248,"")</f>
        <v>3</v>
      </c>
      <c r="AK260" s="435">
        <f>IF(AND(ISNUMBER(AH260),ISNUMBER(AH200)),AH260-AH200,"")</f>
        <v>1.25</v>
      </c>
      <c r="AL260" s="560">
        <f>IFERROR(LN(INDEX(Data!$B$2:$B$497,MATCH(N260,Data!$A$2:$A$497,1))/INDEX(Data!$B$2:$B$497,MATCH(N248,Data!$A$2:$A$497,1))),"")</f>
        <v>0.0791518290346415</v>
      </c>
      <c r="AM260" s="560">
        <f>IFERROR(LN(INDEX(Data!$C$2:$C$497,MATCH(N260,Data!$A$2:$A$497,1))/INDEX(Data!$C$2:$C$497,MATCH(N248,Data!$A$2:$A$497,1))),"")</f>
        <v>0.139694486781927</v>
      </c>
      <c r="AN260" s="560">
        <f>IFERROR(LN(INDEX(Data!$D$2:$D$497,MATCH(N260,Data!$A$2:$A$497,1))/INDEX(Data!$D$2:$D$497,MATCH(N248,Data!$A$2:$A$497,1))),"")</f>
        <v>0.943119672441071</v>
      </c>
      <c r="AO260" s="560">
        <f>IFERROR(LN(INDEX(Data!$E$2:$E$497,MATCH(N260,Data!$A$2:$A$497,1))/INDEX(Data!$E$2:$E$497,MATCH(N248,Data!$A$2:$A$497,1))),"")</f>
      </c>
      <c r="AP260" s="560">
        <f>IFERROR(LN(INDEX(Data!$F$2:$F$497,MATCH(N260,Data!$A$2:$A$497,1))/INDEX(Data!$F$2:$F$497,MATCH(N248,Data!$A$2:$A$497,1))),"")</f>
        <v>0.246464603011419</v>
      </c>
      <c r="AQ260" s="560">
        <f>IFERROR(LN(INDEX(Data!$G$2:$G$497,MATCH(N260,Data!$A$2:$A$497,1))/INDEX(Data!$G$2:$G$497,MATCH(N248,Data!$A$2:$A$497,1))),"")</f>
        <v>0.330911245352988</v>
      </c>
      <c r="AR260" s="560">
        <f>IFERROR(LN(INDEX(Data!$H$2:$H$497,MATCH(N260,Data!$A$2:$A$497,1))/INDEX(Data!$H$2:$H$497,MATCH(N248,Data!$A$2:$A$497,1))),"")</f>
      </c>
      <c r="AS260" s="560">
        <f>IFERROR(LN(INDEX(Data!$I$2:$I$497,MATCH(N260,Data!$A$2:$A$497,1))/INDEX(Data!$I$2:$I$497,MATCH(N248,Data!$A$2:$A$497,1))),"")</f>
      </c>
      <c r="AT260" s="560">
        <f>IFERROR(LN(INDEX(Data!$J$2:$J$497,MATCH(N260,Data!$A$2:$A$497,1))/INDEX(Data!$J$2:$J$497,MATCH(N248,Data!$A$2:$A$497,1))),"")</f>
        <v>0.033341409433618</v>
      </c>
      <c r="AU260" s="560">
        <f>IFERROR(LN(INDEX(Data!$K$2:$K$497,MATCH(N260,Data!$A$2:$A$497,1))/INDEX(Data!$K$2:$K$497,MATCH(N248,Data!$A$2:$A$497,1))),"")</f>
        <v>0.12121577245922</v>
      </c>
      <c r="AV260" s="561">
        <f>IFERROR(LN(INDEX(Data!$L$2:$L$497,MATCH(N260,Data!$A$2:$A$497,1))/INDEX(Data!$L$2:$L$497,MATCH(N248,Data!$A$2:$A$497,1))),"")</f>
        <v>0.136839258621007</v>
      </c>
    </row>
    <row r="261">
      <c r="N261" s="337" t="n">
        <v>32659</v>
      </c>
      <c r="O261" s="116">
        <f>INDEX('Additional data'!$B$2:$B$965,MATCH(DATE(YEAR(N261),MONTH(N261),1),'Additional data'!$A$2:$A$965,0))</f>
        <v>20.032</v>
      </c>
      <c r="P261" s="489">
        <f>LN(O261)</f>
        <v>2.99733099491769</v>
      </c>
      <c r="Q261" s="489">
        <f>Q260+LN(1+INDEX('Additional data'!$H$2:$H$1196,MATCH(N261,'Additional data'!$G$2:$G$1196,1))+INDEX('Additional data'!$I$2:$I$1196,MATCH(N261,'Additional data'!$G$2:$G$1196,1)))</f>
        <v>2.06898101435616</v>
      </c>
      <c r="R261" s="489">
        <f>LN(INDEX(Data!$B$2:$B$497,MATCH(N261,Data!$A$2:$A$497,1)))</f>
        <v>8.42709341385979</v>
      </c>
      <c r="S261" s="116">
        <f>IF(INDEX('Additional data'!$E$2:$E$699,MATCH(DATE(YEAR(N261),MONTH(N261),1),'Additional data'!$D$2:$D$699,0))=0,(INDEX('Additional data'!$E$2:$E$699,MATCH(DATE(YEAR(N261),MONTH(N261),1),'Additional data'!$D$2:$D$699,0)-1)+INDEX('Additional data'!$E$2:$E$699,MATCH(DATE(YEAR(N261),MONTH(N261),1),'Additional data'!$D$2:$D$699,0)+1))/2,INDEX('Additional data'!$E$2:$E$699,MATCH(DATE(YEAR(N261),MONTH(N261),1),'Additional data'!$D$2:$D$699,0)))</f>
        <v>17.52</v>
      </c>
      <c r="T261" s="425">
        <f>P261-P260</f>
        <v>-0.0490943929518211</v>
      </c>
      <c r="U261" s="425">
        <f>Q261-Q260</f>
        <v>0.0398935636616766</v>
      </c>
      <c r="V261" s="425">
        <f>R261-R260</f>
        <v>0.0242117906217114</v>
      </c>
      <c r="W261" s="116">
        <f>S261-S260</f>
        <v>0.0599999999999987</v>
      </c>
      <c r="X261" s="425">
        <f>P261-P249</f>
        <v>0.138679261912065</v>
      </c>
      <c r="Y261" s="425">
        <f>Q261-Q249</f>
        <v>0.234976177558541</v>
      </c>
      <c r="Z261" s="425">
        <f>R261-R249</f>
        <v>0.0271983756744234</v>
      </c>
      <c r="AA261" s="116">
        <f>S261-S249</f>
        <v>5.24</v>
      </c>
      <c r="AB261" s="425">
        <f>P261-P201</f>
        <v>-0.421051211498568</v>
      </c>
      <c r="AC261" s="425">
        <f>Q261-Q201</f>
        <v>0.902616138457039</v>
      </c>
      <c r="AD261" s="77" t="n"/>
      <c r="AE261" s="235">
        <f>S261-S201</f>
        <v>3.74</v>
      </c>
      <c r="AG261" s="554">
        <f>N261</f>
        <v>32659.0</v>
      </c>
      <c r="AH261" s="435">
        <f>IFERROR(INDEX('RBA 5Y yield'!$B$5:$B$661,MATCH(N261,'RBA 5Y yield'!$A$5:$A$661,1))*100,"")</f>
        <v>14.65</v>
      </c>
      <c r="AI261" s="435">
        <f>IF(AND(ISNUMBER(AH261),ISNUMBER(AH260)),AH261-AH260,"")</f>
        <v>0.4</v>
      </c>
      <c r="AJ261" s="435">
        <f>IF(AND(ISNUMBER(AH261),ISNUMBER(AH249)),AH261-AH249,"")</f>
        <v>2.2</v>
      </c>
      <c r="AK261" s="435">
        <f>IF(AND(ISNUMBER(AH261),ISNUMBER(AH201)),AH261-AH201,"")</f>
        <v>1.45</v>
      </c>
      <c r="AL261" s="560">
        <f>IFERROR(LN(INDEX(Data!$B$2:$B$497,MATCH(N261,Data!$A$2:$A$497,1))/INDEX(Data!$B$2:$B$497,MATCH(N249,Data!$A$2:$A$497,1))),"")</f>
        <v>0.0271983756744237</v>
      </c>
      <c r="AM261" s="560">
        <f>IFERROR(LN(INDEX(Data!$C$2:$C$497,MATCH(N261,Data!$A$2:$A$497,1))/INDEX(Data!$C$2:$C$497,MATCH(N249,Data!$A$2:$A$497,1))),"")</f>
        <v>0.28985115342486</v>
      </c>
      <c r="AN261" s="560">
        <f>IFERROR(LN(INDEX(Data!$D$2:$D$497,MATCH(N261,Data!$A$2:$A$497,1))/INDEX(Data!$D$2:$D$497,MATCH(N249,Data!$A$2:$A$497,1))),"")</f>
        <v>1.04670911053709</v>
      </c>
      <c r="AO261" s="560">
        <f>IFERROR(LN(INDEX(Data!$E$2:$E$497,MATCH(N261,Data!$A$2:$A$497,1))/INDEX(Data!$E$2:$E$497,MATCH(N249,Data!$A$2:$A$497,1))),"")</f>
      </c>
      <c r="AP261" s="560">
        <f>IFERROR(LN(INDEX(Data!$F$2:$F$497,MATCH(N261,Data!$A$2:$A$497,1))/INDEX(Data!$F$2:$F$497,MATCH(N249,Data!$A$2:$A$497,1))),"")</f>
        <v>0.313730094632647</v>
      </c>
      <c r="AQ261" s="560">
        <f>IFERROR(LN(INDEX(Data!$G$2:$G$497,MATCH(N261,Data!$A$2:$A$497,1))/INDEX(Data!$G$2:$G$497,MATCH(N249,Data!$A$2:$A$497,1))),"")</f>
        <v>0.330911245352988</v>
      </c>
      <c r="AR261" s="560">
        <f>IFERROR(LN(INDEX(Data!$H$2:$H$497,MATCH(N261,Data!$A$2:$A$497,1))/INDEX(Data!$H$2:$H$497,MATCH(N249,Data!$A$2:$A$497,1))),"")</f>
      </c>
      <c r="AS261" s="560">
        <f>IFERROR(LN(INDEX(Data!$I$2:$I$497,MATCH(N261,Data!$A$2:$A$497,1))/INDEX(Data!$I$2:$I$497,MATCH(N249,Data!$A$2:$A$497,1))),"")</f>
      </c>
      <c r="AT261" s="560">
        <f>IFERROR(LN(INDEX(Data!$J$2:$J$497,MATCH(N261,Data!$A$2:$A$497,1))/INDEX(Data!$J$2:$J$497,MATCH(N249,Data!$A$2:$A$497,1))),"")</f>
        <v>0.0516027375642191</v>
      </c>
      <c r="AU261" s="560">
        <f>IFERROR(LN(INDEX(Data!$K$2:$K$497,MATCH(N261,Data!$A$2:$A$497,1))/INDEX(Data!$K$2:$K$497,MATCH(N249,Data!$A$2:$A$497,1))),"")</f>
        <v>0.13753753951566</v>
      </c>
      <c r="AV261" s="561">
        <f>IFERROR(LN(INDEX(Data!$L$2:$L$497,MATCH(N261,Data!$A$2:$A$497,1))/INDEX(Data!$L$2:$L$497,MATCH(N249,Data!$A$2:$A$497,1))),"")</f>
        <v>0.141575702346916</v>
      </c>
    </row>
    <row r="262">
      <c r="N262" s="337" t="n">
        <v>32689</v>
      </c>
      <c r="O262" s="116">
        <f>INDEX('Additional data'!$B$2:$B$965,MATCH(DATE(YEAR(N262),MONTH(N262),1),'Additional data'!$A$2:$A$965,0))</f>
        <v>20.005</v>
      </c>
      <c r="P262" s="489">
        <f>LN(O262)</f>
        <v>2.9959822423092</v>
      </c>
      <c r="Q262" s="489">
        <f>Q261+LN(1+INDEX('Additional data'!$H$2:$H$1196,MATCH(N262,'Additional data'!$G$2:$G$1196,1))+INDEX('Additional data'!$I$2:$I$1196,MATCH(N262,'Additional data'!$G$2:$G$1196,1)))</f>
        <v>2.06276171454224</v>
      </c>
      <c r="R262" s="489">
        <f>LN(INDEX(Data!$B$2:$B$497,MATCH(N262,Data!$A$2:$A$497,1)))</f>
        <v>8.42941060803248</v>
      </c>
      <c r="S262" s="116">
        <f>IF(INDEX('Additional data'!$E$2:$E$699,MATCH(DATE(YEAR(N262),MONTH(N262),1),'Additional data'!$D$2:$D$699,0))=0,(INDEX('Additional data'!$E$2:$E$699,MATCH(DATE(YEAR(N262),MONTH(N262),1),'Additional data'!$D$2:$D$699,0)-1)+INDEX('Additional data'!$E$2:$E$699,MATCH(DATE(YEAR(N262),MONTH(N262),1),'Additional data'!$D$2:$D$699,0)+1))/2,INDEX('Additional data'!$E$2:$E$699,MATCH(DATE(YEAR(N262),MONTH(N262),1),'Additional data'!$D$2:$D$699,0)))</f>
        <v>18.37</v>
      </c>
      <c r="T262" s="425">
        <f>P262-P261</f>
        <v>-0.00134875260848988</v>
      </c>
      <c r="U262" s="425">
        <f>Q262-Q261</f>
        <v>-0.006219299813917</v>
      </c>
      <c r="V262" s="425">
        <f>R262-R261</f>
        <v>0.00231719417268828</v>
      </c>
      <c r="W262" s="116">
        <f>S262-S261</f>
        <v>0.850000000000001</v>
      </c>
      <c r="X262" s="425">
        <f>P262-P250</f>
        <v>0.190805330476265</v>
      </c>
      <c r="Y262" s="425">
        <f>Q262-Q250</f>
        <v>0.177398585469482</v>
      </c>
      <c r="Z262" s="425">
        <f>R262-R250</f>
        <v>0.034656273808821</v>
      </c>
      <c r="AA262" s="116">
        <f>S262-S250</f>
        <v>5.27</v>
      </c>
      <c r="AB262" s="425">
        <f>P262-P202</f>
        <v>-0.404114533908924</v>
      </c>
      <c r="AC262" s="425">
        <f>Q262-Q202</f>
        <v>0.871119031458854</v>
      </c>
      <c r="AD262" s="77" t="n"/>
      <c r="AE262" s="235">
        <f>S262-S202</f>
        <v>5.56</v>
      </c>
      <c r="AG262" s="554">
        <f>N262</f>
        <v>32689.0</v>
      </c>
      <c r="AH262" s="435">
        <f>IFERROR(INDEX('RBA 5Y yield'!$B$5:$B$661,MATCH(N262,'RBA 5Y yield'!$A$5:$A$661,1))*100,"")</f>
        <v>14.2</v>
      </c>
      <c r="AI262" s="435">
        <f>IF(AND(ISNUMBER(AH262),ISNUMBER(AH261)),AH262-AH261,"")</f>
        <v>-0.449999999999999</v>
      </c>
      <c r="AJ262" s="435">
        <f>IF(AND(ISNUMBER(AH262),ISNUMBER(AH250)),AH262-AH250,"")</f>
        <v>2.25</v>
      </c>
      <c r="AK262" s="435">
        <f>IF(AND(ISNUMBER(AH262),ISNUMBER(AH202)),AH262-AH202,"")</f>
        <v>1.25</v>
      </c>
      <c r="AL262" s="560">
        <f>IFERROR(LN(INDEX(Data!$B$2:$B$497,MATCH(N262,Data!$A$2:$A$497,1))/INDEX(Data!$B$2:$B$497,MATCH(N250,Data!$A$2:$A$497,1))),"")</f>
        <v>0.0346562738088198</v>
      </c>
      <c r="AM262" s="560">
        <f>IFERROR(LN(INDEX(Data!$C$2:$C$497,MATCH(N262,Data!$A$2:$A$497,1))/INDEX(Data!$C$2:$C$497,MATCH(N250,Data!$A$2:$A$497,1))),"")</f>
        <v>0.2115950144295</v>
      </c>
      <c r="AN262" s="560">
        <f>IFERROR(LN(INDEX(Data!$D$2:$D$497,MATCH(N262,Data!$A$2:$A$497,1))/INDEX(Data!$D$2:$D$497,MATCH(N250,Data!$A$2:$A$497,1))),"")</f>
        <v>0.894177236173083</v>
      </c>
      <c r="AO262" s="560">
        <f>IFERROR(LN(INDEX(Data!$E$2:$E$497,MATCH(N262,Data!$A$2:$A$497,1))/INDEX(Data!$E$2:$E$497,MATCH(N250,Data!$A$2:$A$497,1))),"")</f>
      </c>
      <c r="AP262" s="560">
        <f>IFERROR(LN(INDEX(Data!$F$2:$F$497,MATCH(N262,Data!$A$2:$A$497,1))/INDEX(Data!$F$2:$F$497,MATCH(N250,Data!$A$2:$A$497,1))),"")</f>
        <v>0.349982879956696</v>
      </c>
      <c r="AQ262" s="560">
        <f>IFERROR(LN(INDEX(Data!$G$2:$G$497,MATCH(N262,Data!$A$2:$A$497,1))/INDEX(Data!$G$2:$G$497,MATCH(N250,Data!$A$2:$A$497,1))),"")</f>
        <v>0.298040587321417</v>
      </c>
      <c r="AR262" s="560">
        <f>IFERROR(LN(INDEX(Data!$H$2:$H$497,MATCH(N262,Data!$A$2:$A$497,1))/INDEX(Data!$H$2:$H$497,MATCH(N250,Data!$A$2:$A$497,1))),"")</f>
      </c>
      <c r="AS262" s="560">
        <f>IFERROR(LN(INDEX(Data!$I$2:$I$497,MATCH(N262,Data!$A$2:$A$497,1))/INDEX(Data!$I$2:$I$497,MATCH(N250,Data!$A$2:$A$497,1))),"")</f>
      </c>
      <c r="AT262" s="560">
        <f>IFERROR(LN(INDEX(Data!$J$2:$J$497,MATCH(N262,Data!$A$2:$A$497,1))/INDEX(Data!$J$2:$J$497,MATCH(N250,Data!$A$2:$A$497,1))),"")</f>
        <v>0.0516987741625617</v>
      </c>
      <c r="AU262" s="560">
        <f>IFERROR(LN(INDEX(Data!$K$2:$K$497,MATCH(N262,Data!$A$2:$A$497,1))/INDEX(Data!$K$2:$K$497,MATCH(N250,Data!$A$2:$A$497,1))),"")</f>
        <v>0.151809764583803</v>
      </c>
      <c r="AV262" s="561">
        <f>IFERROR(LN(INDEX(Data!$L$2:$L$497,MATCH(N262,Data!$A$2:$A$497,1))/INDEX(Data!$L$2:$L$497,MATCH(N250,Data!$A$2:$A$497,1))),"")</f>
        <v>0.14621522181935</v>
      </c>
    </row>
    <row r="263">
      <c r="N263" s="337" t="n">
        <v>32720</v>
      </c>
      <c r="O263" s="116">
        <f>INDEX('Additional data'!$B$2:$B$965,MATCH(DATE(YEAR(N263),MONTH(N263),1),'Additional data'!$A$2:$A$965,0))</f>
        <v>19.644</v>
      </c>
      <c r="P263" s="489">
        <f>LN(O263)</f>
        <v>2.977771948177</v>
      </c>
      <c r="Q263" s="489">
        <f>Q262+LN(1+INDEX('Additional data'!$H$2:$H$1196,MATCH(N263,'Additional data'!$G$2:$G$1196,1))+INDEX('Additional data'!$I$2:$I$1196,MATCH(N263,'Additional data'!$G$2:$G$1196,1)))</f>
        <v>2.13861102682568</v>
      </c>
      <c r="R263" s="489">
        <f>LN(INDEX(Data!$B$2:$B$497,MATCH(N263,Data!$A$2:$A$497,1)))</f>
        <v>8.50274937998383</v>
      </c>
      <c r="S263" s="116">
        <f>IF(INDEX('Additional data'!$E$2:$E$699,MATCH(DATE(YEAR(N263),MONTH(N263),1),'Additional data'!$D$2:$D$699,0))=0,(INDEX('Additional data'!$E$2:$E$699,MATCH(DATE(YEAR(N263),MONTH(N263),1),'Additional data'!$D$2:$D$699,0)-1)+INDEX('Additional data'!$E$2:$E$699,MATCH(DATE(YEAR(N263),MONTH(N263),1),'Additional data'!$D$2:$D$699,0)+1))/2,INDEX('Additional data'!$E$2:$E$699,MATCH(DATE(YEAR(N263),MONTH(N263),1),'Additional data'!$D$2:$D$699,0)))</f>
        <v>18.06</v>
      </c>
      <c r="T263" s="425">
        <f>P263-P262</f>
        <v>-0.0182102941322002</v>
      </c>
      <c r="U263" s="425">
        <f>Q263-Q262</f>
        <v>0.0758493122834381</v>
      </c>
      <c r="V263" s="425">
        <f>R263-R262</f>
        <v>0.0733387719513452</v>
      </c>
      <c r="W263" s="116">
        <f>S263-S262</f>
        <v>-0.310000000000002</v>
      </c>
      <c r="X263" s="425">
        <f>P263-P251</f>
        <v>0.23706096483524</v>
      </c>
      <c r="Y263" s="425">
        <f>Q263-Q251</f>
        <v>0.260675413581717</v>
      </c>
      <c r="Z263" s="425">
        <f>R263-R251</f>
        <v>0.070874454224926</v>
      </c>
      <c r="AA263" s="116">
        <f>S263-S251</f>
        <v>4.98</v>
      </c>
      <c r="AB263" s="425">
        <f>P263-P203</f>
        <v>-0.380935381864205</v>
      </c>
      <c r="AC263" s="425">
        <f>Q263-Q203</f>
        <v>0.966151163159066</v>
      </c>
      <c r="AD263" s="77" t="n"/>
      <c r="AE263" s="235">
        <f>S263-S203</f>
        <v>5.76</v>
      </c>
      <c r="AG263" s="554">
        <f>N263</f>
        <v>32720.0</v>
      </c>
      <c r="AH263" s="435">
        <f>IFERROR(INDEX('RBA 5Y yield'!$B$5:$B$661,MATCH(N263,'RBA 5Y yield'!$A$5:$A$661,1))*100,"")</f>
        <v>14</v>
      </c>
      <c r="AI263" s="435">
        <f>IF(AND(ISNUMBER(AH263),ISNUMBER(AH262)),AH263-AH262,"")</f>
        <v>-0.199999999999998</v>
      </c>
      <c r="AJ263" s="435">
        <f>IF(AND(ISNUMBER(AH263),ISNUMBER(AH251)),AH263-AH251,"")</f>
        <v>1.95</v>
      </c>
      <c r="AK263" s="435">
        <f>IF(AND(ISNUMBER(AH263),ISNUMBER(AH203)),AH263-AH203,"")</f>
        <v>1.25</v>
      </c>
      <c r="AL263" s="560">
        <f>IFERROR(LN(INDEX(Data!$B$2:$B$497,MATCH(N263,Data!$A$2:$A$497,1))/INDEX(Data!$B$2:$B$497,MATCH(N251,Data!$A$2:$A$497,1))),"")</f>
        <v>0.0708744542249266</v>
      </c>
      <c r="AM263" s="560">
        <f>IFERROR(LN(INDEX(Data!$C$2:$C$497,MATCH(N263,Data!$A$2:$A$497,1))/INDEX(Data!$C$2:$C$497,MATCH(N251,Data!$A$2:$A$497,1))),"")</f>
        <v>0.291885204071379</v>
      </c>
      <c r="AN263" s="560">
        <f>IFERROR(LN(INDEX(Data!$D$2:$D$497,MATCH(N263,Data!$A$2:$A$497,1))/INDEX(Data!$D$2:$D$497,MATCH(N251,Data!$A$2:$A$497,1))),"")</f>
        <v>1.03547472035473</v>
      </c>
      <c r="AO263" s="560">
        <f>IFERROR(LN(INDEX(Data!$E$2:$E$497,MATCH(N263,Data!$A$2:$A$497,1))/INDEX(Data!$E$2:$E$497,MATCH(N251,Data!$A$2:$A$497,1))),"")</f>
      </c>
      <c r="AP263" s="560">
        <f>IFERROR(LN(INDEX(Data!$F$2:$F$497,MATCH(N263,Data!$A$2:$A$497,1))/INDEX(Data!$F$2:$F$497,MATCH(N251,Data!$A$2:$A$497,1))),"")</f>
        <v>0.339392943324836</v>
      </c>
      <c r="AQ263" s="560">
        <f>IFERROR(LN(INDEX(Data!$G$2:$G$497,MATCH(N263,Data!$A$2:$A$497,1))/INDEX(Data!$G$2:$G$497,MATCH(N251,Data!$A$2:$A$497,1))),"")</f>
        <v>0.298040587321417</v>
      </c>
      <c r="AR263" s="560">
        <f>IFERROR(LN(INDEX(Data!$H$2:$H$497,MATCH(N263,Data!$A$2:$A$497,1))/INDEX(Data!$H$2:$H$497,MATCH(N251,Data!$A$2:$A$497,1))),"")</f>
      </c>
      <c r="AS263" s="560">
        <f>IFERROR(LN(INDEX(Data!$I$2:$I$497,MATCH(N263,Data!$A$2:$A$497,1))/INDEX(Data!$I$2:$I$497,MATCH(N251,Data!$A$2:$A$497,1))),"")</f>
      </c>
      <c r="AT263" s="560">
        <f>IFERROR(LN(INDEX(Data!$J$2:$J$497,MATCH(N263,Data!$A$2:$A$497,1))/INDEX(Data!$J$2:$J$497,MATCH(N251,Data!$A$2:$A$497,1))),"")</f>
        <v>0.0626818622104169</v>
      </c>
      <c r="AU263" s="560">
        <f>IFERROR(LN(INDEX(Data!$K$2:$K$497,MATCH(N263,Data!$A$2:$A$497,1))/INDEX(Data!$K$2:$K$497,MATCH(N251,Data!$A$2:$A$497,1))),"")</f>
        <v>0.177300612115773</v>
      </c>
      <c r="AV263" s="561">
        <f>IFERROR(LN(INDEX(Data!$L$2:$L$497,MATCH(N263,Data!$A$2:$A$497,1))/INDEX(Data!$L$2:$L$497,MATCH(N251,Data!$A$2:$A$497,1))),"")</f>
        <v>0.150095881507141</v>
      </c>
    </row>
    <row r="264">
      <c r="N264" s="337" t="n">
        <v>32751</v>
      </c>
      <c r="O264" s="116">
        <f>INDEX('Additional data'!$B$2:$B$965,MATCH(DATE(YEAR(N264),MONTH(N264),1),'Additional data'!$A$2:$A$965,0))</f>
        <v>18.522</v>
      </c>
      <c r="P264" s="489">
        <f>LN(O264)</f>
        <v>2.91895921474808</v>
      </c>
      <c r="Q264" s="489">
        <f>Q263+LN(1+INDEX('Additional data'!$H$2:$H$1196,MATCH(N264,'Additional data'!$G$2:$G$1196,1))+INDEX('Additional data'!$I$2:$I$1196,MATCH(N264,'Additional data'!$G$2:$G$1196,1)))</f>
        <v>2.16007893344092</v>
      </c>
      <c r="R264" s="489">
        <f>LN(INDEX(Data!$B$2:$B$497,MATCH(N264,Data!$A$2:$A$497,1)))</f>
        <v>8.579980179515</v>
      </c>
      <c r="S264" s="116">
        <f>IF(INDEX('Additional data'!$E$2:$E$699,MATCH(DATE(YEAR(N264),MONTH(N264),1),'Additional data'!$D$2:$D$699,0))=0,(INDEX('Additional data'!$E$2:$E$699,MATCH(DATE(YEAR(N264),MONTH(N264),1),'Additional data'!$D$2:$D$699,0)-1)+INDEX('Additional data'!$E$2:$E$699,MATCH(DATE(YEAR(N264),MONTH(N264),1),'Additional data'!$D$2:$D$699,0)+1))/2,INDEX('Additional data'!$E$2:$E$699,MATCH(DATE(YEAR(N264),MONTH(N264),1),'Additional data'!$D$2:$D$699,0)))</f>
        <v>17.96</v>
      </c>
      <c r="T264" s="425">
        <f>P264-P263</f>
        <v>-0.0588127334289208</v>
      </c>
      <c r="U264" s="425">
        <f>Q264-Q263</f>
        <v>0.021467906615241</v>
      </c>
      <c r="V264" s="425">
        <f>R264-R263</f>
        <v>0.0772307995311774</v>
      </c>
      <c r="W264" s="116">
        <f>S264-S263</f>
        <v>-0.0999999999999979</v>
      </c>
      <c r="X264" s="425">
        <f>P264-P252</f>
        <v>0.176572001241417</v>
      </c>
      <c r="Y264" s="425">
        <f>Q264-Q252</f>
        <v>0.309720087967192</v>
      </c>
      <c r="Z264" s="425">
        <f>R264-R252</f>
        <v>0.17215552515413</v>
      </c>
      <c r="AA264" s="116">
        <f>S264-S252</f>
        <v>4.64</v>
      </c>
      <c r="AB264" s="425">
        <f>P264-P204</f>
        <v>-0.456920358929788</v>
      </c>
      <c r="AC264" s="425">
        <f>Q264-Q204</f>
        <v>0.882358559116814</v>
      </c>
      <c r="AD264" s="77" t="n"/>
      <c r="AE264" s="235">
        <f>S264-S204</f>
        <v>6.4</v>
      </c>
      <c r="AG264" s="554">
        <f>N264</f>
        <v>32751.0</v>
      </c>
      <c r="AH264" s="435">
        <f>IFERROR(INDEX('RBA 5Y yield'!$B$5:$B$661,MATCH(N264,'RBA 5Y yield'!$A$5:$A$661,1))*100,"")</f>
        <v>13.7</v>
      </c>
      <c r="AI264" s="435">
        <f>IF(AND(ISNUMBER(AH264),ISNUMBER(AH263)),AH264-AH263,"")</f>
        <v>-0.300000000000001</v>
      </c>
      <c r="AJ264" s="435">
        <f>IF(AND(ISNUMBER(AH264),ISNUMBER(AH252)),AH264-AH252,"")</f>
        <v>1.4</v>
      </c>
      <c r="AK264" s="435">
        <f>IF(AND(ISNUMBER(AH264),ISNUMBER(AH204)),AH264-AH204,"")</f>
        <v>1.55</v>
      </c>
      <c r="AL264" s="560">
        <f>IFERROR(LN(INDEX(Data!$B$2:$B$497,MATCH(N264,Data!$A$2:$A$497,1))/INDEX(Data!$B$2:$B$497,MATCH(N252,Data!$A$2:$A$497,1))),"")</f>
        <v>0.17215552515413</v>
      </c>
      <c r="AM264" s="560">
        <f>IFERROR(LN(INDEX(Data!$C$2:$C$497,MATCH(N264,Data!$A$2:$A$497,1))/INDEX(Data!$C$2:$C$497,MATCH(N252,Data!$A$2:$A$497,1))),"")</f>
        <v>0.326252344479184</v>
      </c>
      <c r="AN264" s="560">
        <f>IFERROR(LN(INDEX(Data!$D$2:$D$497,MATCH(N264,Data!$A$2:$A$497,1))/INDEX(Data!$D$2:$D$497,MATCH(N252,Data!$A$2:$A$497,1))),"")</f>
        <v>1.09577821379613</v>
      </c>
      <c r="AO264" s="560">
        <f>IFERROR(LN(INDEX(Data!$E$2:$E$497,MATCH(N264,Data!$A$2:$A$497,1))/INDEX(Data!$E$2:$E$497,MATCH(N252,Data!$A$2:$A$497,1))),"")</f>
      </c>
      <c r="AP264" s="560">
        <f>IFERROR(LN(INDEX(Data!$F$2:$F$497,MATCH(N264,Data!$A$2:$A$497,1))/INDEX(Data!$F$2:$F$497,MATCH(N252,Data!$A$2:$A$497,1))),"")</f>
        <v>0.36620506527441</v>
      </c>
      <c r="AQ264" s="560">
        <f>IFERROR(LN(INDEX(Data!$G$2:$G$497,MATCH(N264,Data!$A$2:$A$497,1))/INDEX(Data!$G$2:$G$497,MATCH(N252,Data!$A$2:$A$497,1))),"")</f>
        <v>0.298040587321417</v>
      </c>
      <c r="AR264" s="560">
        <f>IFERROR(LN(INDEX(Data!$H$2:$H$497,MATCH(N264,Data!$A$2:$A$497,1))/INDEX(Data!$H$2:$H$497,MATCH(N252,Data!$A$2:$A$497,1))),"")</f>
      </c>
      <c r="AS264" s="560">
        <f>IFERROR(LN(INDEX(Data!$I$2:$I$497,MATCH(N264,Data!$A$2:$A$497,1))/INDEX(Data!$I$2:$I$497,MATCH(N252,Data!$A$2:$A$497,1))),"")</f>
      </c>
      <c r="AT264" s="560">
        <f>IFERROR(LN(INDEX(Data!$J$2:$J$497,MATCH(N264,Data!$A$2:$A$497,1))/INDEX(Data!$J$2:$J$497,MATCH(N252,Data!$A$2:$A$497,1))),"")</f>
        <v>0.0769654836160095</v>
      </c>
      <c r="AU264" s="560">
        <f>IFERROR(LN(INDEX(Data!$K$2:$K$497,MATCH(N264,Data!$A$2:$A$497,1))/INDEX(Data!$K$2:$K$497,MATCH(N252,Data!$A$2:$A$497,1))),"")</f>
        <v>0.175244226725169</v>
      </c>
      <c r="AV264" s="561">
        <f>IFERROR(LN(INDEX(Data!$L$2:$L$497,MATCH(N264,Data!$A$2:$A$497,1))/INDEX(Data!$L$2:$L$497,MATCH(N252,Data!$A$2:$A$497,1))),"")</f>
        <v>0.154735690381136</v>
      </c>
    </row>
    <row r="265">
      <c r="N265" s="337" t="n">
        <v>32781</v>
      </c>
      <c r="O265" s="116">
        <f>INDEX('Additional data'!$B$2:$B$965,MATCH(DATE(YEAR(N265),MONTH(N265),1),'Additional data'!$A$2:$A$965,0))</f>
        <v>19.594</v>
      </c>
      <c r="P265" s="489">
        <f>LN(O265)</f>
        <v>2.97522339692245</v>
      </c>
      <c r="Q265" s="489">
        <f>Q264+LN(1+INDEX('Additional data'!$H$2:$H$1196,MATCH(N265,'Additional data'!$G$2:$G$1196,1))+INDEX('Additional data'!$I$2:$I$1196,MATCH(N265,'Additional data'!$G$2:$G$1196,1)))</f>
        <v>2.15897832799688</v>
      </c>
      <c r="R265" s="489">
        <f>LN(INDEX(Data!$B$2:$B$497,MATCH(N265,Data!$A$2:$A$497,1)))</f>
        <v>8.5670113983971</v>
      </c>
      <c r="S265" s="116">
        <f>IF(INDEX('Additional data'!$E$2:$E$699,MATCH(DATE(YEAR(N265),MONTH(N265),1),'Additional data'!$D$2:$D$699,0))=0,(INDEX('Additional data'!$E$2:$E$699,MATCH(DATE(YEAR(N265),MONTH(N265),1),'Additional data'!$D$2:$D$699,0)-1)+INDEX('Additional data'!$E$2:$E$699,MATCH(DATE(YEAR(N265),MONTH(N265),1),'Additional data'!$D$2:$D$699,0)+1))/2,INDEX('Additional data'!$E$2:$E$699,MATCH(DATE(YEAR(N265),MONTH(N265),1),'Additional data'!$D$2:$D$699,0)))</f>
        <v>18.12</v>
      </c>
      <c r="T265" s="425">
        <f>P265-P264</f>
        <v>0.0562641821743735</v>
      </c>
      <c r="U265" s="425">
        <f>Q265-Q264</f>
        <v>-0.00110060544403323</v>
      </c>
      <c r="V265" s="425">
        <f>R265-R264</f>
        <v>-0.0129687811179053</v>
      </c>
      <c r="W265" s="116">
        <f>S265-S264</f>
        <v>0.16</v>
      </c>
      <c r="X265" s="425">
        <f>P265-P253</f>
        <v>0.303353203274997</v>
      </c>
      <c r="Y265" s="425">
        <f>Q265-Q253</f>
        <v>0.27007207291092</v>
      </c>
      <c r="Z265" s="425">
        <f>R265-R253</f>
        <v>0.168691837119273</v>
      </c>
      <c r="AA265" s="116">
        <f>S265-S253</f>
        <v>4.48</v>
      </c>
      <c r="AB265" s="425">
        <f>P265-P205</f>
        <v>-0.402739475266791</v>
      </c>
      <c r="AC265" s="425">
        <f>Q265-Q205</f>
        <v>0.880658133600813</v>
      </c>
      <c r="AD265" s="77" t="n"/>
      <c r="AE265" s="235">
        <f>S265-S205</f>
        <v>7.59</v>
      </c>
      <c r="AG265" s="554">
        <f>N265</f>
        <v>32781.0</v>
      </c>
      <c r="AH265" s="435">
        <f>IFERROR(INDEX('RBA 5Y yield'!$B$5:$B$661,MATCH(N265,'RBA 5Y yield'!$A$5:$A$661,1))*100,"")</f>
        <v>14.55</v>
      </c>
      <c r="AI265" s="435">
        <f>IF(AND(ISNUMBER(AH265),ISNUMBER(AH264)),AH265-AH264,"")</f>
        <v>0.849999999999998</v>
      </c>
      <c r="AJ265" s="435">
        <f>IF(AND(ISNUMBER(AH265),ISNUMBER(AH253)),AH265-AH253,"")</f>
        <v>1.95</v>
      </c>
      <c r="AK265" s="435">
        <f>IF(AND(ISNUMBER(AH265),ISNUMBER(AH205)),AH265-AH205,"")</f>
        <v>1.95</v>
      </c>
      <c r="AL265" s="560">
        <f>IFERROR(LN(INDEX(Data!$B$2:$B$497,MATCH(N265,Data!$A$2:$A$497,1))/INDEX(Data!$B$2:$B$497,MATCH(N253,Data!$A$2:$A$497,1))),"")</f>
        <v>0.168691837119274</v>
      </c>
      <c r="AM265" s="560">
        <f>IFERROR(LN(INDEX(Data!$C$2:$C$497,MATCH(N265,Data!$A$2:$A$497,1))/INDEX(Data!$C$2:$C$497,MATCH(N253,Data!$A$2:$A$497,1))),"")</f>
        <v>0.255314824300275</v>
      </c>
      <c r="AN265" s="560">
        <f>IFERROR(LN(INDEX(Data!$D$2:$D$497,MATCH(N265,Data!$A$2:$A$497,1))/INDEX(Data!$D$2:$D$497,MATCH(N253,Data!$A$2:$A$497,1))),"")</f>
        <v>1.11330719032947</v>
      </c>
      <c r="AO265" s="560">
        <f>IFERROR(LN(INDEX(Data!$E$2:$E$497,MATCH(N265,Data!$A$2:$A$497,1))/INDEX(Data!$E$2:$E$497,MATCH(N253,Data!$A$2:$A$497,1))),"")</f>
      </c>
      <c r="AP265" s="560">
        <f>IFERROR(LN(INDEX(Data!$F$2:$F$497,MATCH(N265,Data!$A$2:$A$497,1))/INDEX(Data!$F$2:$F$497,MATCH(N253,Data!$A$2:$A$497,1))),"")</f>
        <v>0.410034357927626</v>
      </c>
      <c r="AQ265" s="560">
        <f>IFERROR(LN(INDEX(Data!$G$2:$G$497,MATCH(N265,Data!$A$2:$A$497,1))/INDEX(Data!$G$2:$G$497,MATCH(N253,Data!$A$2:$A$497,1))),"")</f>
        <v>0.204681593048031</v>
      </c>
      <c r="AR265" s="560">
        <f>IFERROR(LN(INDEX(Data!$H$2:$H$497,MATCH(N265,Data!$A$2:$A$497,1))/INDEX(Data!$H$2:$H$497,MATCH(N253,Data!$A$2:$A$497,1))),"")</f>
      </c>
      <c r="AS265" s="560">
        <f>IFERROR(LN(INDEX(Data!$I$2:$I$497,MATCH(N265,Data!$A$2:$A$497,1))/INDEX(Data!$I$2:$I$497,MATCH(N253,Data!$A$2:$A$497,1))),"")</f>
      </c>
      <c r="AT265" s="560">
        <f>IFERROR(LN(INDEX(Data!$J$2:$J$497,MATCH(N265,Data!$A$2:$A$497,1))/INDEX(Data!$J$2:$J$497,MATCH(N253,Data!$A$2:$A$497,1))),"")</f>
        <v>0.0609180423060068</v>
      </c>
      <c r="AU265" s="560">
        <f>IFERROR(LN(INDEX(Data!$K$2:$K$497,MATCH(N265,Data!$A$2:$A$497,1))/INDEX(Data!$K$2:$K$497,MATCH(N253,Data!$A$2:$A$497,1))),"")</f>
        <v>0.157519477228259</v>
      </c>
      <c r="AV265" s="561">
        <f>IFERROR(LN(INDEX(Data!$L$2:$L$497,MATCH(N265,Data!$A$2:$A$497,1))/INDEX(Data!$L$2:$L$497,MATCH(N253,Data!$A$2:$A$497,1))),"")</f>
        <v>0.158161336289172</v>
      </c>
    </row>
    <row r="266">
      <c r="N266" s="337" t="n">
        <v>32812</v>
      </c>
      <c r="O266" s="116">
        <f>INDEX('Additional data'!$B$2:$B$965,MATCH(DATE(YEAR(N266),MONTH(N266),1),'Additional data'!$A$2:$A$965,0))</f>
        <v>20.091</v>
      </c>
      <c r="P266" s="489">
        <f>LN(O266)</f>
        <v>3.00027195359602</v>
      </c>
      <c r="Q266" s="489">
        <f>Q265+LN(1+INDEX('Additional data'!$H$2:$H$1196,MATCH(N266,'Additional data'!$G$2:$G$1196,1))+INDEX('Additional data'!$I$2:$I$1196,MATCH(N266,'Additional data'!$G$2:$G$1196,1)))</f>
        <v>2.128828351046</v>
      </c>
      <c r="R266" s="489">
        <f>LN(INDEX(Data!$B$2:$B$497,MATCH(N266,Data!$A$2:$A$497,1)))</f>
        <v>8.52253887774099</v>
      </c>
      <c r="S266" s="116">
        <f>IF(INDEX('Additional data'!$E$2:$E$699,MATCH(DATE(YEAR(N266),MONTH(N266),1),'Additional data'!$D$2:$D$699,0))=0,(INDEX('Additional data'!$E$2:$E$699,MATCH(DATE(YEAR(N266),MONTH(N266),1),'Additional data'!$D$2:$D$699,0)-1)+INDEX('Additional data'!$E$2:$E$699,MATCH(DATE(YEAR(N266),MONTH(N266),1),'Additional data'!$D$2:$D$699,0)+1))/2,INDEX('Additional data'!$E$2:$E$699,MATCH(DATE(YEAR(N266),MONTH(N266),1),'Additional data'!$D$2:$D$699,0)))</f>
        <v>18.36</v>
      </c>
      <c r="T266" s="425">
        <f>P266-P265</f>
        <v>0.0250485566735721</v>
      </c>
      <c r="U266" s="425">
        <f>Q266-Q265</f>
        <v>-0.0301499769508831</v>
      </c>
      <c r="V266" s="425">
        <f>R266-R265</f>
        <v>-0.0444725206561074</v>
      </c>
      <c r="W266" s="116">
        <f>S266-S265</f>
        <v>0.239999999999998</v>
      </c>
      <c r="X266" s="425">
        <f>P266-P254</f>
        <v>0.375748299472106</v>
      </c>
      <c r="Y266" s="425">
        <f>Q266-Q254</f>
        <v>0.222376916744288</v>
      </c>
      <c r="Z266" s="425">
        <f>R266-R254</f>
        <v>0.0932156135813926</v>
      </c>
      <c r="AA266" s="116">
        <f>S266-S254</f>
        <v>4.36</v>
      </c>
      <c r="AB266" s="425">
        <f>P266-P206</f>
        <v>-0.358887416719234</v>
      </c>
      <c r="AC266" s="425">
        <f>Q266-Q206</f>
        <v>0.848909435286233</v>
      </c>
      <c r="AD266" s="77" t="n"/>
      <c r="AE266" s="235">
        <f>S266-S206</f>
        <v>7.19</v>
      </c>
      <c r="AG266" s="554">
        <f>N266</f>
        <v>32812.0</v>
      </c>
      <c r="AH266" s="435">
        <f>IFERROR(INDEX('RBA 5Y yield'!$B$5:$B$661,MATCH(N266,'RBA 5Y yield'!$A$5:$A$661,1))*100,"")</f>
        <v>14.5</v>
      </c>
      <c r="AI266" s="435">
        <f>IF(AND(ISNUMBER(AH266),ISNUMBER(AH265)),AH266-AH265,"")</f>
        <v>-0.0500000000000007</v>
      </c>
      <c r="AJ266" s="435">
        <f>IF(AND(ISNUMBER(AH266),ISNUMBER(AH254)),AH266-AH254,"")</f>
        <v>1.8</v>
      </c>
      <c r="AK266" s="435">
        <f>IF(AND(ISNUMBER(AH266),ISNUMBER(AH206)),AH266-AH206,"")</f>
        <v>1.65</v>
      </c>
      <c r="AL266" s="560">
        <f>IFERROR(LN(INDEX(Data!$B$2:$B$497,MATCH(N266,Data!$A$2:$A$497,1))/INDEX(Data!$B$2:$B$497,MATCH(N254,Data!$A$2:$A$497,1))),"")</f>
        <v>0.0932156135813928</v>
      </c>
      <c r="AM266" s="560">
        <f>IFERROR(LN(INDEX(Data!$C$2:$C$497,MATCH(N266,Data!$A$2:$A$497,1))/INDEX(Data!$C$2:$C$497,MATCH(N254,Data!$A$2:$A$497,1))),"")</f>
        <v>0.246499918706599</v>
      </c>
      <c r="AN266" s="560">
        <f>IFERROR(LN(INDEX(Data!$D$2:$D$497,MATCH(N266,Data!$A$2:$A$497,1))/INDEX(Data!$D$2:$D$497,MATCH(N254,Data!$A$2:$A$497,1))),"")</f>
        <v>1.196636172317</v>
      </c>
      <c r="AO266" s="560">
        <f>IFERROR(LN(INDEX(Data!$E$2:$E$497,MATCH(N266,Data!$A$2:$A$497,1))/INDEX(Data!$E$2:$E$497,MATCH(N254,Data!$A$2:$A$497,1))),"")</f>
      </c>
      <c r="AP266" s="560">
        <f>IFERROR(LN(INDEX(Data!$F$2:$F$497,MATCH(N266,Data!$A$2:$A$497,1))/INDEX(Data!$F$2:$F$497,MATCH(N254,Data!$A$2:$A$497,1))),"")</f>
        <v>0.394679279136324</v>
      </c>
      <c r="AQ266" s="560">
        <f>IFERROR(LN(INDEX(Data!$G$2:$G$497,MATCH(N266,Data!$A$2:$A$497,1))/INDEX(Data!$G$2:$G$497,MATCH(N254,Data!$A$2:$A$497,1))),"")</f>
        <v>0.204681593048031</v>
      </c>
      <c r="AR266" s="560">
        <f>IFERROR(LN(INDEX(Data!$H$2:$H$497,MATCH(N266,Data!$A$2:$A$497,1))/INDEX(Data!$H$2:$H$497,MATCH(N254,Data!$A$2:$A$497,1))),"")</f>
      </c>
      <c r="AS266" s="560">
        <f>IFERROR(LN(INDEX(Data!$I$2:$I$497,MATCH(N266,Data!$A$2:$A$497,1))/INDEX(Data!$I$2:$I$497,MATCH(N254,Data!$A$2:$A$497,1))),"")</f>
      </c>
      <c r="AT266" s="560">
        <f>IFERROR(LN(INDEX(Data!$J$2:$J$497,MATCH(N266,Data!$A$2:$A$497,1))/INDEX(Data!$J$2:$J$497,MATCH(N254,Data!$A$2:$A$497,1))),"")</f>
        <v>0.0654174010744643</v>
      </c>
      <c r="AU266" s="560">
        <f>IFERROR(LN(INDEX(Data!$K$2:$K$497,MATCH(N266,Data!$A$2:$A$497,1))/INDEX(Data!$K$2:$K$497,MATCH(N254,Data!$A$2:$A$497,1))),"")</f>
        <v>0.153759133590545</v>
      </c>
      <c r="AV266" s="561">
        <f>IFERROR(LN(INDEX(Data!$L$2:$L$497,MATCH(N266,Data!$A$2:$A$497,1))/INDEX(Data!$L$2:$L$497,MATCH(N254,Data!$A$2:$A$497,1))),"")</f>
        <v>0.162006204833207</v>
      </c>
    </row>
    <row r="267">
      <c r="N267" s="337" t="n">
        <v>32842</v>
      </c>
      <c r="O267" s="116">
        <f>INDEX('Additional data'!$B$2:$B$965,MATCH(DATE(YEAR(N267),MONTH(N267),1),'Additional data'!$A$2:$A$965,0))</f>
        <v>19.82</v>
      </c>
      <c r="P267" s="489">
        <f>LN(O267)</f>
        <v>2.98669152890184</v>
      </c>
      <c r="Q267" s="489">
        <f>Q266+LN(1+INDEX('Additional data'!$H$2:$H$1196,MATCH(N267,'Additional data'!$G$2:$G$1196,1))+INDEX('Additional data'!$I$2:$I$1196,MATCH(N267,'Additional data'!$G$2:$G$1196,1)))</f>
        <v>2.14598040986357</v>
      </c>
      <c r="R267" s="489">
        <f>LN(INDEX(Data!$B$2:$B$497,MATCH(N267,Data!$A$2:$A$497,1)))</f>
        <v>8.50805153349895</v>
      </c>
      <c r="S267" s="116">
        <f>IF(INDEX('Additional data'!$E$2:$E$699,MATCH(DATE(YEAR(N267),MONTH(N267),1),'Additional data'!$D$2:$D$699,0))=0,(INDEX('Additional data'!$E$2:$E$699,MATCH(DATE(YEAR(N267),MONTH(N267),1),'Additional data'!$D$2:$D$699,0)-1)+INDEX('Additional data'!$E$2:$E$699,MATCH(DATE(YEAR(N267),MONTH(N267),1),'Additional data'!$D$2:$D$699,0)+1))/2,INDEX('Additional data'!$E$2:$E$699,MATCH(DATE(YEAR(N267),MONTH(N267),1),'Additional data'!$D$2:$D$699,0)))</f>
        <v>18.25</v>
      </c>
      <c r="T267" s="425">
        <f>P267-P266</f>
        <v>-0.0135804246941809</v>
      </c>
      <c r="U267" s="425">
        <f>Q267-Q266</f>
        <v>0.0171520588175653</v>
      </c>
      <c r="V267" s="425">
        <f>R267-R266</f>
        <v>-0.0144873442420366</v>
      </c>
      <c r="W267" s="116">
        <f>S267-S266</f>
        <v>-0.109999999999999</v>
      </c>
      <c r="X267" s="425">
        <f>P267-P255</f>
        <v>0.349278407399072</v>
      </c>
      <c r="Y267" s="425">
        <f>Q267-Q255</f>
        <v>0.256675134396824</v>
      </c>
      <c r="Z267" s="425">
        <f>R267-R255</f>
        <v>0.150393492186815</v>
      </c>
      <c r="AA267" s="116">
        <f>S267-S255</f>
        <v>3.52</v>
      </c>
      <c r="AB267" s="425">
        <f>P267-P207</f>
        <v>-0.349006870527618</v>
      </c>
      <c r="AC267" s="425">
        <f>Q267-Q207</f>
        <v>0.876515952007657</v>
      </c>
      <c r="AD267" s="77" t="n"/>
      <c r="AE267" s="235">
        <f>S267-S207</f>
        <v>6.99</v>
      </c>
      <c r="AG267" s="554">
        <f>N267</f>
        <v>32842.0</v>
      </c>
      <c r="AH267" s="435">
        <f>IFERROR(INDEX('RBA 5Y yield'!$B$5:$B$661,MATCH(N267,'RBA 5Y yield'!$A$5:$A$661,1))*100,"")</f>
        <v>13.85</v>
      </c>
      <c r="AI267" s="435">
        <f>IF(AND(ISNUMBER(AH267),ISNUMBER(AH266)),AH267-AH266,"")</f>
        <v>-0.649999999999997</v>
      </c>
      <c r="AJ267" s="435">
        <f>IF(AND(ISNUMBER(AH267),ISNUMBER(AH255)),AH267-AH255,"")</f>
        <v>0.800000000000001</v>
      </c>
      <c r="AK267" s="435">
        <f>IF(AND(ISNUMBER(AH267),ISNUMBER(AH207)),AH267-AH207,"")</f>
        <v>0.850000000000001</v>
      </c>
      <c r="AL267" s="560">
        <f>IFERROR(LN(INDEX(Data!$B$2:$B$497,MATCH(N267,Data!$A$2:$A$497,1))/INDEX(Data!$B$2:$B$497,MATCH(N255,Data!$A$2:$A$497,1))),"")</f>
        <v>0.150393492186815</v>
      </c>
      <c r="AM267" s="560">
        <f>IFERROR(LN(INDEX(Data!$C$2:$C$497,MATCH(N267,Data!$A$2:$A$497,1))/INDEX(Data!$C$2:$C$497,MATCH(N255,Data!$A$2:$A$497,1))),"")</f>
        <v>0.336769683504869</v>
      </c>
      <c r="AN267" s="560">
        <f>IFERROR(LN(INDEX(Data!$D$2:$D$497,MATCH(N267,Data!$A$2:$A$497,1))/INDEX(Data!$D$2:$D$497,MATCH(N255,Data!$A$2:$A$497,1))),"")</f>
        <v>1.24049820219579</v>
      </c>
      <c r="AO267" s="560">
        <f>IFERROR(LN(INDEX(Data!$E$2:$E$497,MATCH(N267,Data!$A$2:$A$497,1))/INDEX(Data!$E$2:$E$497,MATCH(N255,Data!$A$2:$A$497,1))),"")</f>
      </c>
      <c r="AP267" s="560">
        <f>IFERROR(LN(INDEX(Data!$F$2:$F$497,MATCH(N267,Data!$A$2:$A$497,1))/INDEX(Data!$F$2:$F$497,MATCH(N255,Data!$A$2:$A$497,1))),"")</f>
        <v>0.423971177952624</v>
      </c>
      <c r="AQ267" s="560">
        <f>IFERROR(LN(INDEX(Data!$G$2:$G$497,MATCH(N267,Data!$A$2:$A$497,1))/INDEX(Data!$G$2:$G$497,MATCH(N255,Data!$A$2:$A$497,1))),"")</f>
        <v>0.204681593048031</v>
      </c>
      <c r="AR267" s="560">
        <f>IFERROR(LN(INDEX(Data!$H$2:$H$497,MATCH(N267,Data!$A$2:$A$497,1))/INDEX(Data!$H$2:$H$497,MATCH(N255,Data!$A$2:$A$497,1))),"")</f>
      </c>
      <c r="AS267" s="560">
        <f>IFERROR(LN(INDEX(Data!$I$2:$I$497,MATCH(N267,Data!$A$2:$A$497,1))/INDEX(Data!$I$2:$I$497,MATCH(N255,Data!$A$2:$A$497,1))),"")</f>
      </c>
      <c r="AT267" s="560">
        <f>IFERROR(LN(INDEX(Data!$J$2:$J$497,MATCH(N267,Data!$A$2:$A$497,1))/INDEX(Data!$J$2:$J$497,MATCH(N255,Data!$A$2:$A$497,1))),"")</f>
        <v>0.101529617203857</v>
      </c>
      <c r="AU267" s="560">
        <f>IFERROR(LN(INDEX(Data!$K$2:$K$497,MATCH(N267,Data!$A$2:$A$497,1))/INDEX(Data!$K$2:$K$497,MATCH(N255,Data!$A$2:$A$497,1))),"")</f>
        <v>0.164182414071189</v>
      </c>
      <c r="AV267" s="561">
        <f>IFERROR(LN(INDEX(Data!$L$2:$L$497,MATCH(N267,Data!$A$2:$A$497,1))/INDEX(Data!$L$2:$L$497,MATCH(N255,Data!$A$2:$A$497,1))),"")</f>
        <v>0.16624028572292</v>
      </c>
    </row>
    <row r="268">
      <c r="N268" s="337" t="n">
        <v>32873</v>
      </c>
      <c r="O268" s="116">
        <f>INDEX('Additional data'!$B$2:$B$965,MATCH(DATE(YEAR(N268),MONTH(N268),1),'Additional data'!$A$2:$A$965,0))</f>
        <v>21.088</v>
      </c>
      <c r="P268" s="489">
        <f>LN(O268)</f>
        <v>3.0487041583201</v>
      </c>
      <c r="Q268" s="489">
        <f>Q267+LN(1+INDEX('Additional data'!$H$2:$H$1196,MATCH(N268,'Additional data'!$G$2:$G$1196,1))+INDEX('Additional data'!$I$2:$I$1196,MATCH(N268,'Additional data'!$G$2:$G$1196,1)))</f>
        <v>2.16372209133972</v>
      </c>
      <c r="R268" s="489">
        <f>LN(INDEX(Data!$B$2:$B$497,MATCH(N268,Data!$A$2:$A$497,1)))</f>
        <v>8.53487592626855</v>
      </c>
      <c r="S268" s="116">
        <f>IF(INDEX('Additional data'!$E$2:$E$699,MATCH(DATE(YEAR(N268),MONTH(N268),1),'Additional data'!$D$2:$D$699,0))=0,(INDEX('Additional data'!$E$2:$E$699,MATCH(DATE(YEAR(N268),MONTH(N268),1),'Additional data'!$D$2:$D$699,0)-1)+INDEX('Additional data'!$E$2:$E$699,MATCH(DATE(YEAR(N268),MONTH(N268),1),'Additional data'!$D$2:$D$699,0)+1))/2,INDEX('Additional data'!$E$2:$E$699,MATCH(DATE(YEAR(N268),MONTH(N268),1),'Additional data'!$D$2:$D$699,0)))</f>
        <v>17.89</v>
      </c>
      <c r="T268" s="425">
        <f>P268-P267</f>
        <v>0.062012629418255</v>
      </c>
      <c r="U268" s="425">
        <f>Q268-Q267</f>
        <v>0.0177416814761573</v>
      </c>
      <c r="V268" s="425">
        <f>R268-R267</f>
        <v>0.0268243927695924</v>
      </c>
      <c r="W268" s="116">
        <f>S268-S267</f>
        <v>-0.359999999999999</v>
      </c>
      <c r="X268" s="425">
        <f>P268-P256</f>
        <v>0.259627118575513</v>
      </c>
      <c r="Y268" s="425">
        <f>Q268-Q256</f>
        <v>0.253536338293626</v>
      </c>
      <c r="Z268" s="425">
        <f>R268-R256</f>
        <v>0.160422105370724</v>
      </c>
      <c r="AA268" s="116">
        <f>S268-S256</f>
        <v>2.78</v>
      </c>
      <c r="AB268" s="425">
        <f>P268-P208</f>
        <v>-0.187186096707233</v>
      </c>
      <c r="AC268" s="425">
        <f>Q268-Q208</f>
        <v>0.869662586628434</v>
      </c>
      <c r="AD268" s="425">
        <f>R268-R208</f>
        <v>1.0282841461977</v>
      </c>
      <c r="AE268" s="235">
        <f>S268-S208</f>
        <v>5.55</v>
      </c>
      <c r="AG268" s="554">
        <f>N268</f>
        <v>32873.0</v>
      </c>
      <c r="AH268" s="435">
        <f>IFERROR(INDEX('RBA 5Y yield'!$B$5:$B$661,MATCH(N268,'RBA 5Y yield'!$A$5:$A$661,1))*100,"")</f>
        <v>13.45</v>
      </c>
      <c r="AI268" s="435">
        <f>IF(AND(ISNUMBER(AH268),ISNUMBER(AH267)),AH268-AH267,"")</f>
        <v>-0.4</v>
      </c>
      <c r="AJ268" s="435">
        <f>IF(AND(ISNUMBER(AH268),ISNUMBER(AH256)),AH268-AH256,"")</f>
        <v>-0.0499999999999989</v>
      </c>
      <c r="AK268" s="435">
        <f>IF(AND(ISNUMBER(AH268),ISNUMBER(AH208)),AH268-AH208,"")</f>
        <v>0.35</v>
      </c>
      <c r="AL268" s="560">
        <f>IFERROR(LN(INDEX(Data!$B$2:$B$497,MATCH(N268,Data!$A$2:$A$497,1))/INDEX(Data!$B$2:$B$497,MATCH(N256,Data!$A$2:$A$497,1))),"")</f>
        <v>0.160422105370724</v>
      </c>
      <c r="AM268" s="560">
        <f>IFERROR(LN(INDEX(Data!$C$2:$C$497,MATCH(N268,Data!$A$2:$A$497,1))/INDEX(Data!$C$2:$C$497,MATCH(N256,Data!$A$2:$A$497,1))),"")</f>
        <v>0.300815523940818</v>
      </c>
      <c r="AN268" s="560">
        <f>IFERROR(LN(INDEX(Data!$D$2:$D$497,MATCH(N268,Data!$A$2:$A$497,1))/INDEX(Data!$D$2:$D$497,MATCH(N256,Data!$A$2:$A$497,1))),"")</f>
        <v>1.31851248849209</v>
      </c>
      <c r="AO268" s="560">
        <f>IFERROR(LN(INDEX(Data!$E$2:$E$497,MATCH(N268,Data!$A$2:$A$497,1))/INDEX(Data!$E$2:$E$497,MATCH(N256,Data!$A$2:$A$497,1))),"")</f>
      </c>
      <c r="AP268" s="560">
        <f>IFERROR(LN(INDEX(Data!$F$2:$F$497,MATCH(N268,Data!$A$2:$A$497,1))/INDEX(Data!$F$2:$F$497,MATCH(N256,Data!$A$2:$A$497,1))),"")</f>
        <v>0.404292866801627</v>
      </c>
      <c r="AQ268" s="560">
        <f>IFERROR(LN(INDEX(Data!$G$2:$G$497,MATCH(N268,Data!$A$2:$A$497,1))/INDEX(Data!$G$2:$G$497,MATCH(N256,Data!$A$2:$A$497,1))),"")</f>
        <v>0.112303063834684</v>
      </c>
      <c r="AR268" s="560">
        <f>IFERROR(LN(INDEX(Data!$H$2:$H$497,MATCH(N268,Data!$A$2:$A$497,1))/INDEX(Data!$H$2:$H$497,MATCH(N256,Data!$A$2:$A$497,1))),"")</f>
      </c>
      <c r="AS268" s="560">
        <f>IFERROR(LN(INDEX(Data!$I$2:$I$497,MATCH(N268,Data!$A$2:$A$497,1))/INDEX(Data!$I$2:$I$497,MATCH(N256,Data!$A$2:$A$497,1))),"")</f>
      </c>
      <c r="AT268" s="560">
        <f>IFERROR(LN(INDEX(Data!$J$2:$J$497,MATCH(N268,Data!$A$2:$A$497,1))/INDEX(Data!$J$2:$J$497,MATCH(N256,Data!$A$2:$A$497,1))),"")</f>
        <v>0.130098063376595</v>
      </c>
      <c r="AU268" s="560">
        <f>IFERROR(LN(INDEX(Data!$K$2:$K$497,MATCH(N268,Data!$A$2:$A$497,1))/INDEX(Data!$K$2:$K$497,MATCH(N256,Data!$A$2:$A$497,1))),"")</f>
        <v>0.165330517018641</v>
      </c>
      <c r="AV268" s="561">
        <f>IFERROR(LN(INDEX(Data!$L$2:$L$497,MATCH(N268,Data!$A$2:$A$497,1))/INDEX(Data!$L$2:$L$497,MATCH(N256,Data!$A$2:$A$497,1))),"")</f>
        <v>0.169162647341499</v>
      </c>
    </row>
    <row r="269">
      <c r="N269" s="337" t="n">
        <v>32904</v>
      </c>
      <c r="O269" s="116">
        <f>INDEX('Additional data'!$B$2:$B$965,MATCH(DATE(YEAR(N269),MONTH(N269),1),'Additional data'!$A$2:$A$965,0))</f>
        <v>22.641</v>
      </c>
      <c r="P269" s="489">
        <f>LN(O269)</f>
        <v>3.11976242197084</v>
      </c>
      <c r="Q269" s="489">
        <f>Q268+LN(1+INDEX('Additional data'!$H$2:$H$1196,MATCH(N269,'Additional data'!$G$2:$G$1196,1))+INDEX('Additional data'!$I$2:$I$1196,MATCH(N269,'Additional data'!$G$2:$G$1196,1)))</f>
        <v>2.08867521701681</v>
      </c>
      <c r="R269" s="489">
        <f>LN(INDEX(Data!$B$2:$B$497,MATCH(N269,Data!$A$2:$A$497,1)))</f>
        <v>8.55302354841706</v>
      </c>
      <c r="S269" s="116">
        <f>IF(INDEX('Additional data'!$E$2:$E$699,MATCH(DATE(YEAR(N269),MONTH(N269),1),'Additional data'!$D$2:$D$699,0))=0,(INDEX('Additional data'!$E$2:$E$699,MATCH(DATE(YEAR(N269),MONTH(N269),1),'Additional data'!$D$2:$D$699,0)-1)+INDEX('Additional data'!$E$2:$E$699,MATCH(DATE(YEAR(N269),MONTH(N269),1),'Additional data'!$D$2:$D$699,0)+1))/2,INDEX('Additional data'!$E$2:$E$699,MATCH(DATE(YEAR(N269),MONTH(N269),1),'Additional data'!$D$2:$D$699,0)))</f>
        <v>17.33</v>
      </c>
      <c r="T269" s="425">
        <f>P269-P268</f>
        <v>0.0710582636507442</v>
      </c>
      <c r="U269" s="425">
        <f>Q269-Q268</f>
        <v>-0.0750468743229114</v>
      </c>
      <c r="V269" s="425">
        <f>R269-R268</f>
        <v>0.0181476221485184</v>
      </c>
      <c r="W269" s="116">
        <f>S269-S268</f>
        <v>-0.560000000000002</v>
      </c>
      <c r="X269" s="425">
        <f>P269-P257</f>
        <v>0.230335554787781</v>
      </c>
      <c r="Y269" s="425">
        <f>Q269-Q257</f>
        <v>0.114388538564191</v>
      </c>
      <c r="Z269" s="425">
        <f>R269-R257</f>
        <v>0.134943759898187</v>
      </c>
      <c r="AA269" s="116">
        <f>S269-S257</f>
        <v>1.77</v>
      </c>
      <c r="AB269" s="425">
        <f>P269-P209</f>
        <v>-0.12443021088115</v>
      </c>
      <c r="AC269" s="425">
        <f>Q269-Q209</f>
        <v>0.711930345686916</v>
      </c>
      <c r="AD269" s="425">
        <f>R269-R209</f>
        <v>0.98046912439047</v>
      </c>
      <c r="AE269" s="235">
        <f>S269-S209</f>
        <v>3.98</v>
      </c>
      <c r="AG269" s="554">
        <f>N269</f>
        <v>32904.0</v>
      </c>
      <c r="AH269" s="435">
        <f>IFERROR(INDEX('RBA 5Y yield'!$B$5:$B$661,MATCH(N269,'RBA 5Y yield'!$A$5:$A$661,1))*100,"")</f>
        <v>13.25</v>
      </c>
      <c r="AI269" s="435">
        <f>IF(AND(ISNUMBER(AH269),ISNUMBER(AH268)),AH269-AH268,"")</f>
        <v>-0.200000000000001</v>
      </c>
      <c r="AJ269" s="435">
        <f>IF(AND(ISNUMBER(AH269),ISNUMBER(AH257)),AH269-AH257,"")</f>
        <v>-0.800000000000001</v>
      </c>
      <c r="AK269" s="435">
        <f>IF(AND(ISNUMBER(AH269),ISNUMBER(AH209)),AH269-AH209,"")</f>
        <v>0.35</v>
      </c>
      <c r="AL269" s="560">
        <f>IFERROR(LN(INDEX(Data!$B$2:$B$497,MATCH(N269,Data!$A$2:$A$497,1))/INDEX(Data!$B$2:$B$497,MATCH(N257,Data!$A$2:$A$497,1))),"")</f>
        <v>0.134943759898187</v>
      </c>
      <c r="AM269" s="560">
        <f>IFERROR(LN(INDEX(Data!$C$2:$C$497,MATCH(N269,Data!$A$2:$A$497,1))/INDEX(Data!$C$2:$C$497,MATCH(N257,Data!$A$2:$A$497,1))),"")</f>
        <v>0.262259414276166</v>
      </c>
      <c r="AN269" s="560">
        <f>IFERROR(LN(INDEX(Data!$D$2:$D$497,MATCH(N269,Data!$A$2:$A$497,1))/INDEX(Data!$D$2:$D$497,MATCH(N257,Data!$A$2:$A$497,1))),"")</f>
        <v>1.4499126966435</v>
      </c>
      <c r="AO269" s="560">
        <f>IFERROR(LN(INDEX(Data!$E$2:$E$497,MATCH(N269,Data!$A$2:$A$497,1))/INDEX(Data!$E$2:$E$497,MATCH(N257,Data!$A$2:$A$497,1))),"")</f>
      </c>
      <c r="AP269" s="560">
        <f>IFERROR(LN(INDEX(Data!$F$2:$F$497,MATCH(N269,Data!$A$2:$A$497,1))/INDEX(Data!$F$2:$F$497,MATCH(N257,Data!$A$2:$A$497,1))),"")</f>
        <v>0.467541992910123</v>
      </c>
      <c r="AQ269" s="560">
        <f>IFERROR(LN(INDEX(Data!$G$2:$G$497,MATCH(N269,Data!$A$2:$A$497,1))/INDEX(Data!$G$2:$G$497,MATCH(N257,Data!$A$2:$A$497,1))),"")</f>
        <v>0.112303063834684</v>
      </c>
      <c r="AR269" s="560">
        <f>IFERROR(LN(INDEX(Data!$H$2:$H$497,MATCH(N269,Data!$A$2:$A$497,1))/INDEX(Data!$H$2:$H$497,MATCH(N257,Data!$A$2:$A$497,1))),"")</f>
      </c>
      <c r="AS269" s="560">
        <f>IFERROR(LN(INDEX(Data!$I$2:$I$497,MATCH(N269,Data!$A$2:$A$497,1))/INDEX(Data!$I$2:$I$497,MATCH(N257,Data!$A$2:$A$497,1))),"")</f>
      </c>
      <c r="AT269" s="560">
        <f>IFERROR(LN(INDEX(Data!$J$2:$J$497,MATCH(N269,Data!$A$2:$A$497,1))/INDEX(Data!$J$2:$J$497,MATCH(N257,Data!$A$2:$A$497,1))),"")</f>
        <v>0.153591458521882</v>
      </c>
      <c r="AU269" s="560">
        <f>IFERROR(LN(INDEX(Data!$K$2:$K$497,MATCH(N269,Data!$A$2:$A$497,1))/INDEX(Data!$K$2:$K$497,MATCH(N257,Data!$A$2:$A$497,1))),"")</f>
        <v>0.143450812862423</v>
      </c>
      <c r="AV269" s="561">
        <f>IFERROR(LN(INDEX(Data!$L$2:$L$497,MATCH(N269,Data!$A$2:$A$497,1))/INDEX(Data!$L$2:$L$497,MATCH(N257,Data!$A$2:$A$497,1))),"")</f>
        <v>0.17214031213609</v>
      </c>
    </row>
    <row r="270">
      <c r="N270" s="337" t="n">
        <v>32932</v>
      </c>
      <c r="O270" s="116">
        <f>INDEX('Additional data'!$B$2:$B$965,MATCH(DATE(YEAR(N270),MONTH(N270),1),'Additional data'!$A$2:$A$965,0))</f>
        <v>22.108</v>
      </c>
      <c r="P270" s="489">
        <f>LN(O270)</f>
        <v>3.09593953397102</v>
      </c>
      <c r="Q270" s="489">
        <f>Q269+LN(1+INDEX('Additional data'!$H$2:$H$1196,MATCH(N270,'Additional data'!$G$2:$G$1196,1))+INDEX('Additional data'!$I$2:$I$1196,MATCH(N270,'Additional data'!$G$2:$G$1196,1)))</f>
        <v>2.10543400083177</v>
      </c>
      <c r="R270" s="489">
        <f>LN(INDEX(Data!$B$2:$B$497,MATCH(N270,Data!$A$2:$A$497,1)))</f>
        <v>8.49025355616029</v>
      </c>
      <c r="S270" s="116">
        <f>IF(INDEX('Additional data'!$E$2:$E$699,MATCH(DATE(YEAR(N270),MONTH(N270),1),'Additional data'!$D$2:$D$699,0))=0,(INDEX('Additional data'!$E$2:$E$699,MATCH(DATE(YEAR(N270),MONTH(N270),1),'Additional data'!$D$2:$D$699,0)-1)+INDEX('Additional data'!$E$2:$E$699,MATCH(DATE(YEAR(N270),MONTH(N270),1),'Additional data'!$D$2:$D$699,0)+1))/2,INDEX('Additional data'!$E$2:$E$699,MATCH(DATE(YEAR(N270),MONTH(N270),1),'Additional data'!$D$2:$D$699,0)))</f>
        <v>16.2</v>
      </c>
      <c r="T270" s="425">
        <f>P270-P269</f>
        <v>-0.0238228879998244</v>
      </c>
      <c r="U270" s="425">
        <f>Q270-Q269</f>
        <v>0.016758783814955</v>
      </c>
      <c r="V270" s="425">
        <f>R270-R269</f>
        <v>-0.0627699922567793</v>
      </c>
      <c r="W270" s="116">
        <f>S270-S269</f>
        <v>-1.13</v>
      </c>
      <c r="X270" s="425">
        <f>P270-P258</f>
        <v>0.215281468262491</v>
      </c>
      <c r="Y270" s="425">
        <f>Q270-Q258</f>
        <v>0.147479977000044</v>
      </c>
      <c r="Z270" s="425">
        <f>R270-R258</f>
        <v>0.11269031583044</v>
      </c>
      <c r="AA270" s="116">
        <f>S270-S258</f>
        <v>-0.34</v>
      </c>
      <c r="AB270" s="425">
        <f>P270-P210</f>
        <v>-0.20988433254784</v>
      </c>
      <c r="AC270" s="425">
        <f>Q270-Q210</f>
        <v>0.710849211373539</v>
      </c>
      <c r="AD270" s="425">
        <f>R270-R210</f>
        <v>0.891603631671496</v>
      </c>
      <c r="AE270" s="235">
        <f>S270-S210</f>
        <v>2.39</v>
      </c>
      <c r="AG270" s="554">
        <f>N270</f>
        <v>32932.0</v>
      </c>
      <c r="AH270" s="435">
        <f>IFERROR(INDEX('RBA 5Y yield'!$B$5:$B$661,MATCH(N270,'RBA 5Y yield'!$A$5:$A$661,1))*100,"")</f>
        <v>13.8</v>
      </c>
      <c r="AI270" s="435">
        <f>IF(AND(ISNUMBER(AH270),ISNUMBER(AH269)),AH270-AH269,"")</f>
        <v>0.550000000000001</v>
      </c>
      <c r="AJ270" s="435">
        <f>IF(AND(ISNUMBER(AH270),ISNUMBER(AH258)),AH270-AH258,"")</f>
        <v>-0.549999999999999</v>
      </c>
      <c r="AK270" s="435">
        <f>IF(AND(ISNUMBER(AH270),ISNUMBER(AH210)),AH270-AH210,"")</f>
        <v>0.4</v>
      </c>
      <c r="AL270" s="560">
        <f>IFERROR(LN(INDEX(Data!$B$2:$B$497,MATCH(N270,Data!$A$2:$A$497,1))/INDEX(Data!$B$2:$B$497,MATCH(N258,Data!$A$2:$A$497,1))),"")</f>
        <v>0.11269031583044</v>
      </c>
      <c r="AM270" s="560">
        <f>IFERROR(LN(INDEX(Data!$C$2:$C$497,MATCH(N270,Data!$A$2:$A$497,1))/INDEX(Data!$C$2:$C$497,MATCH(N258,Data!$A$2:$A$497,1))),"")</f>
        <v>0.150219346890838</v>
      </c>
      <c r="AN270" s="560">
        <f>IFERROR(LN(INDEX(Data!$D$2:$D$497,MATCH(N270,Data!$A$2:$A$497,1))/INDEX(Data!$D$2:$D$497,MATCH(N258,Data!$A$2:$A$497,1))),"")</f>
        <v>1.434121443651</v>
      </c>
      <c r="AO270" s="560">
        <f>IFERROR(LN(INDEX(Data!$E$2:$E$497,MATCH(N270,Data!$A$2:$A$497,1))/INDEX(Data!$E$2:$E$497,MATCH(N258,Data!$A$2:$A$497,1))),"")</f>
      </c>
      <c r="AP270" s="560">
        <f>IFERROR(LN(INDEX(Data!$F$2:$F$497,MATCH(N270,Data!$A$2:$A$497,1))/INDEX(Data!$F$2:$F$497,MATCH(N258,Data!$A$2:$A$497,1))),"")</f>
        <v>0.324554506339568</v>
      </c>
      <c r="AQ270" s="560">
        <f>IFERROR(LN(INDEX(Data!$G$2:$G$497,MATCH(N270,Data!$A$2:$A$497,1))/INDEX(Data!$G$2:$G$497,MATCH(N258,Data!$A$2:$A$497,1))),"")</f>
        <v>0.112303063834684</v>
      </c>
      <c r="AR270" s="560">
        <f>IFERROR(LN(INDEX(Data!$H$2:$H$497,MATCH(N270,Data!$A$2:$A$497,1))/INDEX(Data!$H$2:$H$497,MATCH(N258,Data!$A$2:$A$497,1))),"")</f>
      </c>
      <c r="AS270" s="560">
        <f>IFERROR(LN(INDEX(Data!$I$2:$I$497,MATCH(N270,Data!$A$2:$A$497,1))/INDEX(Data!$I$2:$I$497,MATCH(N258,Data!$A$2:$A$497,1))),"")</f>
      </c>
      <c r="AT270" s="560">
        <f>IFERROR(LN(INDEX(Data!$J$2:$J$497,MATCH(N270,Data!$A$2:$A$497,1))/INDEX(Data!$J$2:$J$497,MATCH(N258,Data!$A$2:$A$497,1))),"")</f>
        <v>0.149544520750124</v>
      </c>
      <c r="AU270" s="560">
        <f>IFERROR(LN(INDEX(Data!$K$2:$K$497,MATCH(N270,Data!$A$2:$A$497,1))/INDEX(Data!$K$2:$K$497,MATCH(N258,Data!$A$2:$A$497,1))),"")</f>
        <v>0.153589707287414</v>
      </c>
      <c r="AV270" s="561">
        <f>IFERROR(LN(INDEX(Data!$L$2:$L$497,MATCH(N270,Data!$A$2:$A$497,1))/INDEX(Data!$L$2:$L$497,MATCH(N258,Data!$A$2:$A$497,1))),"")</f>
        <v>0.173880633690778</v>
      </c>
    </row>
    <row r="271">
      <c r="N271" s="337" t="n">
        <v>32963</v>
      </c>
      <c r="O271" s="116">
        <f>INDEX('Additional data'!$B$2:$B$965,MATCH(DATE(YEAR(N271),MONTH(N271),1),'Additional data'!$A$2:$A$965,0))</f>
        <v>20.418</v>
      </c>
      <c r="P271" s="489">
        <f>LN(O271)</f>
        <v>3.01641686474682</v>
      </c>
      <c r="Q271" s="489">
        <f>Q270+LN(1+INDEX('Additional data'!$H$2:$H$1196,MATCH(N271,'Additional data'!$G$2:$G$1196,1))+INDEX('Additional data'!$I$2:$I$1196,MATCH(N271,'Additional data'!$G$2:$G$1196,1)))</f>
        <v>2.1298338876553</v>
      </c>
      <c r="R271" s="489">
        <f>LN(INDEX(Data!$B$2:$B$497,MATCH(N271,Data!$A$2:$A$497,1)))</f>
        <v>8.47347116252501</v>
      </c>
      <c r="S271" s="116">
        <f>IF(INDEX('Additional data'!$E$2:$E$699,MATCH(DATE(YEAR(N271),MONTH(N271),1),'Additional data'!$D$2:$D$699,0))=0,(INDEX('Additional data'!$E$2:$E$699,MATCH(DATE(YEAR(N271),MONTH(N271),1),'Additional data'!$D$2:$D$699,0)-1)+INDEX('Additional data'!$E$2:$E$699,MATCH(DATE(YEAR(N271),MONTH(N271),1),'Additional data'!$D$2:$D$699,0)+1))/2,INDEX('Additional data'!$E$2:$E$699,MATCH(DATE(YEAR(N271),MONTH(N271),1),'Additional data'!$D$2:$D$699,0)))</f>
        <v>15.84</v>
      </c>
      <c r="T271" s="425">
        <f>P271-P270</f>
        <v>-0.0795226692241933</v>
      </c>
      <c r="U271" s="425">
        <f>Q271-Q270</f>
        <v>0.0243998868235353</v>
      </c>
      <c r="V271" s="425">
        <f>R271-R270</f>
        <v>-0.01678239363528</v>
      </c>
      <c r="W271" s="116">
        <f>S271-S270</f>
        <v>-0.359999999999999</v>
      </c>
      <c r="X271" s="425">
        <f>P271-P259</f>
        <v>0.0488268971391128</v>
      </c>
      <c r="Y271" s="425">
        <f>Q271-Q259</f>
        <v>0.149727059182446</v>
      </c>
      <c r="Z271" s="425">
        <f>R271-R259</f>
        <v>0.107752235732617</v>
      </c>
      <c r="AA271" s="116">
        <f>S271-S259</f>
        <v>-1.41</v>
      </c>
      <c r="AB271" s="425">
        <f>P271-P211</f>
        <v>-0.32425172384051</v>
      </c>
      <c r="AC271" s="425">
        <f>Q271-Q211</f>
        <v>0.737351306288945</v>
      </c>
      <c r="AD271" s="425">
        <f>R271-R211</f>
        <v>0.823064508079834</v>
      </c>
      <c r="AE271" s="235">
        <f>S271-S211</f>
        <v>0.550000000000001</v>
      </c>
      <c r="AG271" s="554">
        <f>N271</f>
        <v>32963.0</v>
      </c>
      <c r="AH271" s="435">
        <f>IFERROR(INDEX('RBA 5Y yield'!$B$5:$B$661,MATCH(N271,'RBA 5Y yield'!$A$5:$A$661,1))*100,"")</f>
        <v>13.87</v>
      </c>
      <c r="AI271" s="435">
        <f>IF(AND(ISNUMBER(AH271),ISNUMBER(AH270)),AH271-AH270,"")</f>
        <v>0.0699999999999985</v>
      </c>
      <c r="AJ271" s="435">
        <f>IF(AND(ISNUMBER(AH271),ISNUMBER(AH259)),AH271-AH259,"")</f>
        <v>-0.43</v>
      </c>
      <c r="AK271" s="435">
        <f>IF(AND(ISNUMBER(AH271),ISNUMBER(AH211)),AH271-AH211,"")</f>
        <v>0.269999999999998</v>
      </c>
      <c r="AL271" s="560">
        <f>IFERROR(LN(INDEX(Data!$B$2:$B$497,MATCH(N271,Data!$A$2:$A$497,1))/INDEX(Data!$B$2:$B$497,MATCH(N259,Data!$A$2:$A$497,1))),"")</f>
        <v>0.107752235732618</v>
      </c>
      <c r="AM271" s="560">
        <f>IFERROR(LN(INDEX(Data!$C$2:$C$497,MATCH(N271,Data!$A$2:$A$497,1))/INDEX(Data!$C$2:$C$497,MATCH(N259,Data!$A$2:$A$497,1))),"")</f>
        <v>0.116146436282223</v>
      </c>
      <c r="AN271" s="560">
        <f>IFERROR(LN(INDEX(Data!$D$2:$D$497,MATCH(N271,Data!$A$2:$A$497,1))/INDEX(Data!$D$2:$D$497,MATCH(N259,Data!$A$2:$A$497,1))),"")</f>
        <v>1.28655912050314</v>
      </c>
      <c r="AO271" s="560">
        <f>IFERROR(LN(INDEX(Data!$E$2:$E$497,MATCH(N271,Data!$A$2:$A$497,1))/INDEX(Data!$E$2:$E$497,MATCH(N259,Data!$A$2:$A$497,1))),"")</f>
      </c>
      <c r="AP271" s="560">
        <f>IFERROR(LN(INDEX(Data!$F$2:$F$497,MATCH(N271,Data!$A$2:$A$497,1))/INDEX(Data!$F$2:$F$497,MATCH(N259,Data!$A$2:$A$497,1))),"")</f>
        <v>0.292633493120587</v>
      </c>
      <c r="AQ271" s="560">
        <f>IFERROR(LN(INDEX(Data!$G$2:$G$497,MATCH(N271,Data!$A$2:$A$497,1))/INDEX(Data!$G$2:$G$497,MATCH(N259,Data!$A$2:$A$497,1))),"")</f>
        <v>0.0393637430453481</v>
      </c>
      <c r="AR271" s="560">
        <f>IFERROR(LN(INDEX(Data!$H$2:$H$497,MATCH(N271,Data!$A$2:$A$497,1))/INDEX(Data!$H$2:$H$497,MATCH(N259,Data!$A$2:$A$497,1))),"")</f>
      </c>
      <c r="AS271" s="560">
        <f>IFERROR(LN(INDEX(Data!$I$2:$I$497,MATCH(N271,Data!$A$2:$A$497,1))/INDEX(Data!$I$2:$I$497,MATCH(N259,Data!$A$2:$A$497,1))),"")</f>
      </c>
      <c r="AT271" s="560">
        <f>IFERROR(LN(INDEX(Data!$J$2:$J$497,MATCH(N271,Data!$A$2:$A$497,1))/INDEX(Data!$J$2:$J$497,MATCH(N259,Data!$A$2:$A$497,1))),"")</f>
        <v>0.147466907431036</v>
      </c>
      <c r="AU271" s="560">
        <f>IFERROR(LN(INDEX(Data!$K$2:$K$497,MATCH(N271,Data!$A$2:$A$497,1))/INDEX(Data!$K$2:$K$497,MATCH(N259,Data!$A$2:$A$497,1))),"")</f>
        <v>0.147547058864732</v>
      </c>
      <c r="AV271" s="561">
        <f>IFERROR(LN(INDEX(Data!$L$2:$L$497,MATCH(N271,Data!$A$2:$A$497,1))/INDEX(Data!$L$2:$L$497,MATCH(N259,Data!$A$2:$A$497,1))),"")</f>
        <v>0.174835598788556</v>
      </c>
    </row>
    <row r="272">
      <c r="N272" s="337" t="n">
        <v>32993</v>
      </c>
      <c r="O272" s="116">
        <f>INDEX('Additional data'!$B$2:$B$965,MATCH(DATE(YEAR(N272),MONTH(N272),1),'Additional data'!$A$2:$A$965,0))</f>
        <v>18.582</v>
      </c>
      <c r="P272" s="489">
        <f>LN(O272)</f>
        <v>2.92219337021912</v>
      </c>
      <c r="Q272" s="489">
        <f>Q271+LN(1+INDEX('Additional data'!$H$2:$H$1196,MATCH(N272,'Additional data'!$G$2:$G$1196,1))+INDEX('Additional data'!$I$2:$I$1196,MATCH(N272,'Additional data'!$G$2:$G$1196,1)))</f>
        <v>2.10277096810561</v>
      </c>
      <c r="R272" s="489">
        <f>LN(INDEX(Data!$B$2:$B$497,MATCH(N272,Data!$A$2:$A$497,1)))</f>
        <v>8.41354232458675</v>
      </c>
      <c r="S272" s="116">
        <f>IF(INDEX('Additional data'!$E$2:$E$699,MATCH(DATE(YEAR(N272),MONTH(N272),1),'Additional data'!$D$2:$D$699,0))=0,(INDEX('Additional data'!$E$2:$E$699,MATCH(DATE(YEAR(N272),MONTH(N272),1),'Additional data'!$D$2:$D$699,0)-1)+INDEX('Additional data'!$E$2:$E$699,MATCH(DATE(YEAR(N272),MONTH(N272),1),'Additional data'!$D$2:$D$699,0)+1))/2,INDEX('Additional data'!$E$2:$E$699,MATCH(DATE(YEAR(N272),MONTH(N272),1),'Additional data'!$D$2:$D$699,0)))</f>
        <v>15.14</v>
      </c>
      <c r="T272" s="425">
        <f>P272-P271</f>
        <v>-0.0942234945277027</v>
      </c>
      <c r="U272" s="425">
        <f>Q272-Q271</f>
        <v>-0.0270629195496892</v>
      </c>
      <c r="V272" s="425">
        <f>R272-R271</f>
        <v>-0.0599288379382514</v>
      </c>
      <c r="W272" s="116">
        <f>S272-S271</f>
        <v>-0.699999999999999</v>
      </c>
      <c r="X272" s="425">
        <f>P272-P260</f>
        <v>-0.124232017650388</v>
      </c>
      <c r="Y272" s="425">
        <f>Q272-Q260</f>
        <v>0.0736835174111348</v>
      </c>
      <c r="Z272" s="425">
        <f>R272-R260</f>
        <v>0.010660701348673</v>
      </c>
      <c r="AA272" s="116">
        <f>S272-S260</f>
        <v>-2.32</v>
      </c>
      <c r="AB272" s="425">
        <f>P272-P212</f>
        <v>-0.438355612965226</v>
      </c>
      <c r="AC272" s="425">
        <f>Q272-Q212</f>
        <v>0.712691271355566</v>
      </c>
      <c r="AD272" s="425">
        <f>R272-R212</f>
        <v>0.702933804956614</v>
      </c>
      <c r="AE272" s="235">
        <f>S272-S212</f>
        <v>-0.649999999999999</v>
      </c>
      <c r="AG272" s="554">
        <f>N272</f>
        <v>32993.0</v>
      </c>
      <c r="AH272" s="435">
        <f>IFERROR(INDEX('RBA 5Y yield'!$B$5:$B$661,MATCH(N272,'RBA 5Y yield'!$A$5:$A$661,1))*100,"")</f>
        <v>14.24</v>
      </c>
      <c r="AI272" s="435">
        <f>IF(AND(ISNUMBER(AH272),ISNUMBER(AH271)),AH272-AH271,"")</f>
        <v>0.370000000000001</v>
      </c>
      <c r="AJ272" s="435">
        <f>IF(AND(ISNUMBER(AH272),ISNUMBER(AH260)),AH272-AH260,"")</f>
        <v>-0.00999999999999801</v>
      </c>
      <c r="AK272" s="435">
        <f>IF(AND(ISNUMBER(AH272),ISNUMBER(AH212)),AH272-AH212,"")</f>
        <v>0.44</v>
      </c>
      <c r="AL272" s="560">
        <f>IFERROR(LN(INDEX(Data!$B$2:$B$497,MATCH(N272,Data!$A$2:$A$497,1))/INDEX(Data!$B$2:$B$497,MATCH(N260,Data!$A$2:$A$497,1))),"")</f>
        <v>0.010660701348673</v>
      </c>
      <c r="AM272" s="560">
        <f>IFERROR(LN(INDEX(Data!$C$2:$C$497,MATCH(N272,Data!$A$2:$A$497,1))/INDEX(Data!$C$2:$C$497,MATCH(N260,Data!$A$2:$A$497,1))),"")</f>
        <v>0.0561519335527045</v>
      </c>
      <c r="AN272" s="560">
        <f>IFERROR(LN(INDEX(Data!$D$2:$D$497,MATCH(N272,Data!$A$2:$A$497,1))/INDEX(Data!$D$2:$D$497,MATCH(N260,Data!$A$2:$A$497,1))),"")</f>
        <v>1.15341590928592</v>
      </c>
      <c r="AO272" s="560">
        <f>IFERROR(LN(INDEX(Data!$E$2:$E$497,MATCH(N272,Data!$A$2:$A$497,1))/INDEX(Data!$E$2:$E$497,MATCH(N260,Data!$A$2:$A$497,1))),"")</f>
      </c>
      <c r="AP272" s="560">
        <f>IFERROR(LN(INDEX(Data!$F$2:$F$497,MATCH(N272,Data!$A$2:$A$497,1))/INDEX(Data!$F$2:$F$497,MATCH(N260,Data!$A$2:$A$497,1))),"")</f>
        <v>0.229927594936834</v>
      </c>
      <c r="AQ272" s="560">
        <f>IFERROR(LN(INDEX(Data!$G$2:$G$497,MATCH(N272,Data!$A$2:$A$497,1))/INDEX(Data!$G$2:$G$497,MATCH(N260,Data!$A$2:$A$497,1))),"")</f>
        <v>0.0393637430453481</v>
      </c>
      <c r="AR272" s="560">
        <f>IFERROR(LN(INDEX(Data!$H$2:$H$497,MATCH(N272,Data!$A$2:$A$497,1))/INDEX(Data!$H$2:$H$497,MATCH(N260,Data!$A$2:$A$497,1))),"")</f>
      </c>
      <c r="AS272" s="560">
        <f>IFERROR(LN(INDEX(Data!$I$2:$I$497,MATCH(N272,Data!$A$2:$A$497,1))/INDEX(Data!$I$2:$I$497,MATCH(N260,Data!$A$2:$A$497,1))),"")</f>
      </c>
      <c r="AT272" s="560">
        <f>IFERROR(LN(INDEX(Data!$J$2:$J$497,MATCH(N272,Data!$A$2:$A$497,1))/INDEX(Data!$J$2:$J$497,MATCH(N260,Data!$A$2:$A$497,1))),"")</f>
        <v>0.131441560916968</v>
      </c>
      <c r="AU272" s="560">
        <f>IFERROR(LN(INDEX(Data!$K$2:$K$497,MATCH(N272,Data!$A$2:$A$497,1))/INDEX(Data!$K$2:$K$497,MATCH(N260,Data!$A$2:$A$497,1))),"")</f>
        <v>0.127840471308591</v>
      </c>
      <c r="AV272" s="561">
        <f>IFERROR(LN(INDEX(Data!$L$2:$L$497,MATCH(N272,Data!$A$2:$A$497,1))/INDEX(Data!$L$2:$L$497,MATCH(N260,Data!$A$2:$A$497,1))),"")</f>
        <v>0.172988401681171</v>
      </c>
    </row>
    <row r="273">
      <c r="N273" s="337" t="n">
        <v>33024</v>
      </c>
      <c r="O273" s="116">
        <f>INDEX('Additional data'!$B$2:$B$965,MATCH(DATE(YEAR(N273),MONTH(N273),1),'Additional data'!$A$2:$A$965,0))</f>
        <v>18.237</v>
      </c>
      <c r="P273" s="489">
        <f>LN(O273)</f>
        <v>2.9034524974347</v>
      </c>
      <c r="Q273" s="489">
        <f>Q272+LN(1+INDEX('Additional data'!$H$2:$H$1196,MATCH(N273,'Additional data'!$G$2:$G$1196,1))+INDEX('Additional data'!$I$2:$I$1196,MATCH(N273,'Additional data'!$G$2:$G$1196,1)))</f>
        <v>2.18995732978453</v>
      </c>
      <c r="R273" s="489">
        <f>LN(INDEX(Data!$B$2:$B$497,MATCH(N273,Data!$A$2:$A$497,1)))</f>
        <v>8.47068841376049</v>
      </c>
      <c r="S273" s="116">
        <f>IF(INDEX('Additional data'!$E$2:$E$699,MATCH(DATE(YEAR(N273),MONTH(N273),1),'Additional data'!$D$2:$D$699,0))=0,(INDEX('Additional data'!$E$2:$E$699,MATCH(DATE(YEAR(N273),MONTH(N273),1),'Additional data'!$D$2:$D$699,0)-1)+INDEX('Additional data'!$E$2:$E$699,MATCH(DATE(YEAR(N273),MONTH(N273),1),'Additional data'!$D$2:$D$699,0)+1))/2,INDEX('Additional data'!$E$2:$E$699,MATCH(DATE(YEAR(N273),MONTH(N273),1),'Additional data'!$D$2:$D$699,0)))</f>
        <v>15.05</v>
      </c>
      <c r="T273" s="425">
        <f>P273-P272</f>
        <v>-0.0187408727844258</v>
      </c>
      <c r="U273" s="425">
        <f>Q273-Q272</f>
        <v>0.0871863616789161</v>
      </c>
      <c r="V273" s="425">
        <f>R273-R272</f>
        <v>0.057146089173731</v>
      </c>
      <c r="W273" s="116">
        <f>S273-S272</f>
        <v>-0.0899999999999999</v>
      </c>
      <c r="X273" s="425">
        <f>P273-P261</f>
        <v>-0.0938784974829932</v>
      </c>
      <c r="Y273" s="425">
        <f>Q273-Q261</f>
        <v>0.120976315428374</v>
      </c>
      <c r="Z273" s="425">
        <f>R273-R261</f>
        <v>0.0435949999006926</v>
      </c>
      <c r="AA273" s="116">
        <f>S273-S261</f>
        <v>-2.47</v>
      </c>
      <c r="AB273" s="425">
        <f>P273-P213</f>
        <v>-0.415196261592302</v>
      </c>
      <c r="AC273" s="425">
        <f>Q273-Q213</f>
        <v>0.744159144278139</v>
      </c>
      <c r="AD273" s="425">
        <f>R273-R213</f>
        <v>0.760348759520027</v>
      </c>
      <c r="AE273" s="235">
        <f>S273-S213</f>
        <v>-0.479999999999999</v>
      </c>
      <c r="AG273" s="554">
        <f>N273</f>
        <v>33024.0</v>
      </c>
      <c r="AH273" s="435">
        <f>IFERROR(INDEX('RBA 5Y yield'!$B$5:$B$661,MATCH(N273,'RBA 5Y yield'!$A$5:$A$661,1))*100,"")</f>
        <v>14.02</v>
      </c>
      <c r="AI273" s="435">
        <f>IF(AND(ISNUMBER(AH273),ISNUMBER(AH272)),AH273-AH272,"")</f>
        <v>-0.220000000000001</v>
      </c>
      <c r="AJ273" s="435">
        <f>IF(AND(ISNUMBER(AH273),ISNUMBER(AH261)),AH273-AH261,"")</f>
        <v>-0.629999999999999</v>
      </c>
      <c r="AK273" s="435">
        <f>IF(AND(ISNUMBER(AH273),ISNUMBER(AH213)),AH273-AH213,"")</f>
        <v>0.419999999999998</v>
      </c>
      <c r="AL273" s="560">
        <f>IFERROR(LN(INDEX(Data!$B$2:$B$497,MATCH(N273,Data!$A$2:$A$497,1))/INDEX(Data!$B$2:$B$497,MATCH(N261,Data!$A$2:$A$497,1))),"")</f>
        <v>0.0435949999006921</v>
      </c>
      <c r="AM273" s="560">
        <f>IFERROR(LN(INDEX(Data!$C$2:$C$497,MATCH(N273,Data!$A$2:$A$497,1))/INDEX(Data!$C$2:$C$497,MATCH(N261,Data!$A$2:$A$497,1))),"")</f>
        <v>0.0397927526805993</v>
      </c>
      <c r="AN273" s="560">
        <f>IFERROR(LN(INDEX(Data!$D$2:$D$497,MATCH(N273,Data!$A$2:$A$497,1))/INDEX(Data!$D$2:$D$497,MATCH(N261,Data!$A$2:$A$497,1))),"")</f>
        <v>1.09365150571445</v>
      </c>
      <c r="AO273" s="560">
        <f>IFERROR(LN(INDEX(Data!$E$2:$E$497,MATCH(N273,Data!$A$2:$A$497,1))/INDEX(Data!$E$2:$E$497,MATCH(N261,Data!$A$2:$A$497,1))),"")</f>
      </c>
      <c r="AP273" s="560">
        <f>IFERROR(LN(INDEX(Data!$F$2:$F$497,MATCH(N273,Data!$A$2:$A$497,1))/INDEX(Data!$F$2:$F$497,MATCH(N261,Data!$A$2:$A$497,1))),"")</f>
        <v>0.155099969009613</v>
      </c>
      <c r="AQ273" s="560">
        <f>IFERROR(LN(INDEX(Data!$G$2:$G$497,MATCH(N273,Data!$A$2:$A$497,1))/INDEX(Data!$G$2:$G$497,MATCH(N261,Data!$A$2:$A$497,1))),"")</f>
        <v>0.0393637430453481</v>
      </c>
      <c r="AR273" s="560">
        <f>IFERROR(LN(INDEX(Data!$H$2:$H$497,MATCH(N273,Data!$A$2:$A$497,1))/INDEX(Data!$H$2:$H$497,MATCH(N261,Data!$A$2:$A$497,1))),"")</f>
      </c>
      <c r="AS273" s="560">
        <f>IFERROR(LN(INDEX(Data!$I$2:$I$497,MATCH(N273,Data!$A$2:$A$497,1))/INDEX(Data!$I$2:$I$497,MATCH(N261,Data!$A$2:$A$497,1))),"")</f>
      </c>
      <c r="AT273" s="560">
        <f>IFERROR(LN(INDEX(Data!$J$2:$J$497,MATCH(N273,Data!$A$2:$A$497,1))/INDEX(Data!$J$2:$J$497,MATCH(N261,Data!$A$2:$A$497,1))),"")</f>
        <v>0.158822095677141</v>
      </c>
      <c r="AU273" s="560">
        <f>IFERROR(LN(INDEX(Data!$K$2:$K$497,MATCH(N273,Data!$A$2:$A$497,1))/INDEX(Data!$K$2:$K$497,MATCH(N261,Data!$A$2:$A$497,1))),"")</f>
        <v>0.142007914533404</v>
      </c>
      <c r="AV273" s="561">
        <f>IFERROR(LN(INDEX(Data!$L$2:$L$497,MATCH(N273,Data!$A$2:$A$497,1))/INDEX(Data!$L$2:$L$497,MATCH(N261,Data!$A$2:$A$497,1))),"")</f>
        <v>0.172326458846934</v>
      </c>
    </row>
    <row r="274">
      <c r="N274" s="337" t="n">
        <v>33054</v>
      </c>
      <c r="O274" s="116">
        <f>INDEX('Additional data'!$B$2:$B$965,MATCH(DATE(YEAR(N274),MONTH(N274),1),'Additional data'!$A$2:$A$965,0))</f>
        <v>16.871</v>
      </c>
      <c r="P274" s="489">
        <f>LN(O274)</f>
        <v>2.82559617162384</v>
      </c>
      <c r="Q274" s="489">
        <f>Q273+LN(1+INDEX('Additional data'!$H$2:$H$1196,MATCH(N274,'Additional data'!$G$2:$G$1196,1))+INDEX('Additional data'!$I$2:$I$1196,MATCH(N274,'Additional data'!$G$2:$G$1196,1)))</f>
        <v>2.18534671722685</v>
      </c>
      <c r="R274" s="489">
        <f>LN(INDEX(Data!$B$2:$B$497,MATCH(N274,Data!$A$2:$A$497,1)))</f>
        <v>8.46949343253882</v>
      </c>
      <c r="S274" s="116">
        <f>IF(INDEX('Additional data'!$E$2:$E$699,MATCH(DATE(YEAR(N274),MONTH(N274),1),'Additional data'!$D$2:$D$699,0))=0,(INDEX('Additional data'!$E$2:$E$699,MATCH(DATE(YEAR(N274),MONTH(N274),1),'Additional data'!$D$2:$D$699,0)-1)+INDEX('Additional data'!$E$2:$E$699,MATCH(DATE(YEAR(N274),MONTH(N274),1),'Additional data'!$D$2:$D$699,0)+1))/2,INDEX('Additional data'!$E$2:$E$699,MATCH(DATE(YEAR(N274),MONTH(N274),1),'Additional data'!$D$2:$D$699,0)))</f>
        <v>15.02</v>
      </c>
      <c r="T274" s="425">
        <f>P274-P273</f>
        <v>-0.0778563258108571</v>
      </c>
      <c r="U274" s="425">
        <f>Q274-Q273</f>
        <v>-0.00461061255768325</v>
      </c>
      <c r="V274" s="425">
        <f>R274-R273</f>
        <v>-0.00119498122166739</v>
      </c>
      <c r="W274" s="116">
        <f>S274-S273</f>
        <v>-0.0300000000000011</v>
      </c>
      <c r="X274" s="425">
        <f>P274-P262</f>
        <v>-0.17038607068536</v>
      </c>
      <c r="Y274" s="425">
        <f>Q274-Q262</f>
        <v>0.122585002684608</v>
      </c>
      <c r="Z274" s="425">
        <f>R274-R262</f>
        <v>0.0400828245063369</v>
      </c>
      <c r="AA274" s="116">
        <f>S274-S262</f>
        <v>-3.35</v>
      </c>
      <c r="AB274" s="425">
        <f>P274-P214</f>
        <v>-0.47552301462538</v>
      </c>
      <c r="AC274" s="425">
        <f>Q274-Q214</f>
        <v>0.721512169234357</v>
      </c>
      <c r="AD274" s="425">
        <f>R274-R214</f>
        <v>0.770647898666771</v>
      </c>
      <c r="AE274" s="235">
        <f>S274-S214</f>
        <v>-0.73</v>
      </c>
      <c r="AG274" s="554">
        <f>N274</f>
        <v>33054.0</v>
      </c>
      <c r="AH274" s="435">
        <f>IFERROR(INDEX('RBA 5Y yield'!$B$5:$B$661,MATCH(N274,'RBA 5Y yield'!$A$5:$A$661,1))*100,"")</f>
        <v>13.8</v>
      </c>
      <c r="AI274" s="435">
        <f>IF(AND(ISNUMBER(AH274),ISNUMBER(AH273)),AH274-AH273,"")</f>
        <v>-0.219999999999999</v>
      </c>
      <c r="AJ274" s="435">
        <f>IF(AND(ISNUMBER(AH274),ISNUMBER(AH262)),AH274-AH262,"")</f>
        <v>-0.399999999999999</v>
      </c>
      <c r="AK274" s="435">
        <f>IF(AND(ISNUMBER(AH274),ISNUMBER(AH214)),AH274-AH214,"")</f>
        <v>0.449999999999999</v>
      </c>
      <c r="AL274" s="560">
        <f>IFERROR(LN(INDEX(Data!$B$2:$B$497,MATCH(N274,Data!$A$2:$A$497,1))/INDEX(Data!$B$2:$B$497,MATCH(N262,Data!$A$2:$A$497,1))),"")</f>
        <v>0.0400828245063373</v>
      </c>
      <c r="AM274" s="560">
        <f>IFERROR(LN(INDEX(Data!$C$2:$C$497,MATCH(N274,Data!$A$2:$A$497,1))/INDEX(Data!$C$2:$C$497,MATCH(N262,Data!$A$2:$A$497,1))),"")</f>
        <v>0.0132688870620957</v>
      </c>
      <c r="AN274" s="560">
        <f>IFERROR(LN(INDEX(Data!$D$2:$D$497,MATCH(N274,Data!$A$2:$A$497,1))/INDEX(Data!$D$2:$D$497,MATCH(N262,Data!$A$2:$A$497,1))),"")</f>
        <v>1.14830642775143</v>
      </c>
      <c r="AO274" s="560">
        <f>IFERROR(LN(INDEX(Data!$E$2:$E$497,MATCH(N274,Data!$A$2:$A$497,1))/INDEX(Data!$E$2:$E$497,MATCH(N262,Data!$A$2:$A$497,1))),"")</f>
      </c>
      <c r="AP274" s="560">
        <f>IFERROR(LN(INDEX(Data!$F$2:$F$497,MATCH(N274,Data!$A$2:$A$497,1))/INDEX(Data!$F$2:$F$497,MATCH(N262,Data!$A$2:$A$497,1))),"")</f>
        <v>0.0819701237104702</v>
      </c>
      <c r="AQ274" s="560">
        <f>IFERROR(LN(INDEX(Data!$G$2:$G$497,MATCH(N274,Data!$A$2:$A$497,1))/INDEX(Data!$G$2:$G$497,MATCH(N262,Data!$A$2:$A$497,1))),"")</f>
        <v>0.0289666002884801</v>
      </c>
      <c r="AR274" s="560">
        <f>IFERROR(LN(INDEX(Data!$H$2:$H$497,MATCH(N274,Data!$A$2:$A$497,1))/INDEX(Data!$H$2:$H$497,MATCH(N262,Data!$A$2:$A$497,1))),"")</f>
      </c>
      <c r="AS274" s="560">
        <f>IFERROR(LN(INDEX(Data!$I$2:$I$497,MATCH(N274,Data!$A$2:$A$497,1))/INDEX(Data!$I$2:$I$497,MATCH(N262,Data!$A$2:$A$497,1))),"")</f>
      </c>
      <c r="AT274" s="560">
        <f>IFERROR(LN(INDEX(Data!$J$2:$J$497,MATCH(N274,Data!$A$2:$A$497,1))/INDEX(Data!$J$2:$J$497,MATCH(N262,Data!$A$2:$A$497,1))),"")</f>
        <v>0.148521910437413</v>
      </c>
      <c r="AU274" s="560">
        <f>IFERROR(LN(INDEX(Data!$K$2:$K$497,MATCH(N274,Data!$A$2:$A$497,1))/INDEX(Data!$K$2:$K$497,MATCH(N262,Data!$A$2:$A$497,1))),"")</f>
        <v>0.131920732055841</v>
      </c>
      <c r="AV274" s="561">
        <f>IFERROR(LN(INDEX(Data!$L$2:$L$497,MATCH(N274,Data!$A$2:$A$497,1))/INDEX(Data!$L$2:$L$497,MATCH(N262,Data!$A$2:$A$497,1))),"")</f>
        <v>0.169568827496557</v>
      </c>
    </row>
    <row r="275">
      <c r="N275" s="337" t="n">
        <v>33085</v>
      </c>
      <c r="O275" s="116">
        <f>INDEX('Additional data'!$B$2:$B$965,MATCH(DATE(YEAR(N275),MONTH(N275),1),'Additional data'!$A$2:$A$965,0))</f>
        <v>18.638</v>
      </c>
      <c r="P275" s="489">
        <f>LN(O275)</f>
        <v>2.92520250736346</v>
      </c>
      <c r="Q275" s="489">
        <f>Q274+LN(1+INDEX('Additional data'!$H$2:$H$1196,MATCH(N275,'Additional data'!$G$2:$G$1196,1))+INDEX('Additional data'!$I$2:$I$1196,MATCH(N275,'Additional data'!$G$2:$G$1196,1)))</f>
        <v>2.17307168635123</v>
      </c>
      <c r="R275" s="489">
        <f>LN(INDEX(Data!$B$2:$B$497,MATCH(N275,Data!$A$2:$A$497,1)))</f>
        <v>8.51887178179479</v>
      </c>
      <c r="S275" s="116">
        <f>IF(INDEX('Additional data'!$E$2:$E$699,MATCH(DATE(YEAR(N275),MONTH(N275),1),'Additional data'!$D$2:$D$699,0))=0,(INDEX('Additional data'!$E$2:$E$699,MATCH(DATE(YEAR(N275),MONTH(N275),1),'Additional data'!$D$2:$D$699,0)-1)+INDEX('Additional data'!$E$2:$E$699,MATCH(DATE(YEAR(N275),MONTH(N275),1),'Additional data'!$D$2:$D$699,0)+1))/2,INDEX('Additional data'!$E$2:$E$699,MATCH(DATE(YEAR(N275),MONTH(N275),1),'Additional data'!$D$2:$D$699,0)))</f>
        <v>14.83</v>
      </c>
      <c r="T275" s="425">
        <f>P275-P274</f>
        <v>0.099606335739626</v>
      </c>
      <c r="U275" s="425">
        <f>Q275-Q274</f>
        <v>-0.0122750308756125</v>
      </c>
      <c r="V275" s="425">
        <f>R275-R274</f>
        <v>0.0493783492559761</v>
      </c>
      <c r="W275" s="116">
        <f>S275-S274</f>
        <v>-0.19</v>
      </c>
      <c r="X275" s="425">
        <f>P275-P263</f>
        <v>-0.0525694408135342</v>
      </c>
      <c r="Y275" s="425">
        <f>Q275-Q263</f>
        <v>0.0344606595255574</v>
      </c>
      <c r="Z275" s="425">
        <f>R275-R263</f>
        <v>0.0161224018109678</v>
      </c>
      <c r="AA275" s="116">
        <f>S275-S263</f>
        <v>-3.23</v>
      </c>
      <c r="AB275" s="425">
        <f>P275-P215</f>
        <v>-0.382745902079061</v>
      </c>
      <c r="AC275" s="425">
        <f>Q275-Q215</f>
        <v>0.710237638692328</v>
      </c>
      <c r="AD275" s="425">
        <f>R275-R215</f>
        <v>0.734356932275833</v>
      </c>
      <c r="AE275" s="235">
        <f>S275-S215</f>
        <v>-0.310000000000001</v>
      </c>
      <c r="AG275" s="554">
        <f>N275</f>
        <v>33085.0</v>
      </c>
      <c r="AH275" s="435">
        <f>IFERROR(INDEX('RBA 5Y yield'!$B$5:$B$661,MATCH(N275,'RBA 5Y yield'!$A$5:$A$661,1))*100,"")</f>
        <v>13.51</v>
      </c>
      <c r="AI275" s="435">
        <f>IF(AND(ISNUMBER(AH275),ISNUMBER(AH274)),AH275-AH274,"")</f>
        <v>-0.290000000000001</v>
      </c>
      <c r="AJ275" s="435">
        <f>IF(AND(ISNUMBER(AH275),ISNUMBER(AH263)),AH275-AH263,"")</f>
        <v>-0.490000000000002</v>
      </c>
      <c r="AK275" s="435">
        <f>IF(AND(ISNUMBER(AH275),ISNUMBER(AH215)),AH275-AH215,"")</f>
        <v>0.209999999999999</v>
      </c>
      <c r="AL275" s="560">
        <f>IFERROR(LN(INDEX(Data!$B$2:$B$497,MATCH(N275,Data!$A$2:$A$497,1))/INDEX(Data!$B$2:$B$497,MATCH(N263,Data!$A$2:$A$497,1))),"")</f>
        <v>0.0161224018109665</v>
      </c>
      <c r="AM275" s="560">
        <f>IFERROR(LN(INDEX(Data!$C$2:$C$497,MATCH(N275,Data!$A$2:$A$497,1))/INDEX(Data!$C$2:$C$497,MATCH(N263,Data!$A$2:$A$497,1))),"")</f>
        <v>-0.0845411272745221</v>
      </c>
      <c r="AN275" s="560">
        <f>IFERROR(LN(INDEX(Data!$D$2:$D$497,MATCH(N275,Data!$A$2:$A$497,1))/INDEX(Data!$D$2:$D$497,MATCH(N263,Data!$A$2:$A$497,1))),"")</f>
        <v>1.08864279205191</v>
      </c>
      <c r="AO275" s="560">
        <f>IFERROR(LN(INDEX(Data!$E$2:$E$497,MATCH(N275,Data!$A$2:$A$497,1))/INDEX(Data!$E$2:$E$497,MATCH(N263,Data!$A$2:$A$497,1))),"")</f>
        <v>-0.126258047018632</v>
      </c>
      <c r="AP275" s="560">
        <f>IFERROR(LN(INDEX(Data!$F$2:$F$497,MATCH(N275,Data!$A$2:$A$497,1))/INDEX(Data!$F$2:$F$497,MATCH(N263,Data!$A$2:$A$497,1))),"")</f>
        <v>0.183861012989445</v>
      </c>
      <c r="AQ275" s="560">
        <f>IFERROR(LN(INDEX(Data!$G$2:$G$497,MATCH(N275,Data!$A$2:$A$497,1))/INDEX(Data!$G$2:$G$497,MATCH(N263,Data!$A$2:$A$497,1))),"")</f>
        <v>0.0289666002884801</v>
      </c>
      <c r="AR275" s="560">
        <f>IFERROR(LN(INDEX(Data!$H$2:$H$497,MATCH(N275,Data!$A$2:$A$497,1))/INDEX(Data!$H$2:$H$497,MATCH(N263,Data!$A$2:$A$497,1))),"")</f>
      </c>
      <c r="AS275" s="560">
        <f>IFERROR(LN(INDEX(Data!$I$2:$I$497,MATCH(N275,Data!$A$2:$A$497,1))/INDEX(Data!$I$2:$I$497,MATCH(N263,Data!$A$2:$A$497,1))),"")</f>
      </c>
      <c r="AT275" s="560">
        <f>IFERROR(LN(INDEX(Data!$J$2:$J$497,MATCH(N275,Data!$A$2:$A$497,1))/INDEX(Data!$J$2:$J$497,MATCH(N263,Data!$A$2:$A$497,1))),"")</f>
        <v>0.151694894522612</v>
      </c>
      <c r="AU275" s="560">
        <f>IFERROR(LN(INDEX(Data!$K$2:$K$497,MATCH(N275,Data!$A$2:$A$497,1))/INDEX(Data!$K$2:$K$497,MATCH(N263,Data!$A$2:$A$497,1))),"")</f>
        <v>0.118806458430752</v>
      </c>
      <c r="AV275" s="561">
        <f>IFERROR(LN(INDEX(Data!$L$2:$L$497,MATCH(N275,Data!$A$2:$A$497,1))/INDEX(Data!$L$2:$L$497,MATCH(N263,Data!$A$2:$A$497,1))),"")</f>
        <v>0.167170232254996</v>
      </c>
    </row>
    <row r="276">
      <c r="N276" s="337" t="n">
        <v>33116</v>
      </c>
      <c r="O276" s="116">
        <f>INDEX('Additional data'!$B$2:$B$965,MATCH(DATE(YEAR(N276),MONTH(N276),1),'Additional data'!$A$2:$A$965,0))</f>
        <v>27.174</v>
      </c>
      <c r="P276" s="489">
        <f>LN(O276)</f>
        <v>3.30226063380213</v>
      </c>
      <c r="Q276" s="489">
        <f>Q275+LN(1+INDEX('Additional data'!$H$2:$H$1196,MATCH(N276,'Additional data'!$G$2:$G$1196,1))+INDEX('Additional data'!$I$2:$I$1196,MATCH(N276,'Additional data'!$G$2:$G$1196,1)))</f>
        <v>2.07369324237096</v>
      </c>
      <c r="R276" s="489">
        <f>LN(INDEX(Data!$B$2:$B$497,MATCH(N276,Data!$A$2:$A$497,1)))</f>
        <v>8.47737069722907</v>
      </c>
      <c r="S276" s="116">
        <f>IF(INDEX('Additional data'!$E$2:$E$699,MATCH(DATE(YEAR(N276),MONTH(N276),1),'Additional data'!$D$2:$D$699,0))=0,(INDEX('Additional data'!$E$2:$E$699,MATCH(DATE(YEAR(N276),MONTH(N276),1),'Additional data'!$D$2:$D$699,0)-1)+INDEX('Additional data'!$E$2:$E$699,MATCH(DATE(YEAR(N276),MONTH(N276),1),'Additional data'!$D$2:$D$699,0)+1))/2,INDEX('Additional data'!$E$2:$E$699,MATCH(DATE(YEAR(N276),MONTH(N276),1),'Additional data'!$D$2:$D$699,0)))</f>
        <v>13.92</v>
      </c>
      <c r="T276" s="425">
        <f>P276-P275</f>
        <v>0.377058126438668</v>
      </c>
      <c r="U276" s="425">
        <f>Q276-Q275</f>
        <v>-0.0993784439802785</v>
      </c>
      <c r="V276" s="425">
        <f>R276-R275</f>
        <v>-0.0415010845657271</v>
      </c>
      <c r="W276" s="116">
        <f>S276-S275</f>
        <v>-0.91</v>
      </c>
      <c r="X276" s="425">
        <f>P276-P264</f>
        <v>0.383301419054054</v>
      </c>
      <c r="Y276" s="425">
        <f>Q276-Q264</f>
        <v>-0.0863856910699621</v>
      </c>
      <c r="Z276" s="425">
        <f>R276-R264</f>
        <v>-0.102609482285937</v>
      </c>
      <c r="AA276" s="116">
        <f>S276-S264</f>
        <v>-4.04</v>
      </c>
      <c r="AB276" s="425">
        <f>P276-P216</f>
        <v>-0.0211553703399932</v>
      </c>
      <c r="AC276" s="425">
        <f>Q276-Q216</f>
        <v>0.615469807269732</v>
      </c>
      <c r="AD276" s="425">
        <f>R276-R216</f>
        <v>0.689449397091407</v>
      </c>
      <c r="AE276" s="235">
        <f>S276-S216</f>
        <v>-2.33</v>
      </c>
      <c r="AG276" s="554">
        <f>N276</f>
        <v>33116.0</v>
      </c>
      <c r="AH276" s="435">
        <f>IFERROR(INDEX('RBA 5Y yield'!$B$5:$B$661,MATCH(N276,'RBA 5Y yield'!$A$5:$A$661,1))*100,"")</f>
        <v>13.41</v>
      </c>
      <c r="AI276" s="435">
        <f>IF(AND(ISNUMBER(AH276),ISNUMBER(AH275)),AH276-AH275,"")</f>
        <v>-0.0999999999999996</v>
      </c>
      <c r="AJ276" s="435">
        <f>IF(AND(ISNUMBER(AH276),ISNUMBER(AH264)),AH276-AH264,"")</f>
        <v>-0.290000000000001</v>
      </c>
      <c r="AK276" s="435">
        <f>IF(AND(ISNUMBER(AH276),ISNUMBER(AH216)),AH276-AH216,"")</f>
        <v>-0.590000000000002</v>
      </c>
      <c r="AL276" s="560">
        <f>IFERROR(LN(INDEX(Data!$B$2:$B$497,MATCH(N276,Data!$A$2:$A$497,1))/INDEX(Data!$B$2:$B$497,MATCH(N264,Data!$A$2:$A$497,1))),"")</f>
        <v>-0.102609482285936</v>
      </c>
      <c r="AM276" s="560">
        <f>IFERROR(LN(INDEX(Data!$C$2:$C$497,MATCH(N276,Data!$A$2:$A$497,1))/INDEX(Data!$C$2:$C$497,MATCH(N264,Data!$A$2:$A$497,1))),"")</f>
        <v>-0.21640140035314</v>
      </c>
      <c r="AN276" s="560">
        <f>IFERROR(LN(INDEX(Data!$D$2:$D$497,MATCH(N276,Data!$A$2:$A$497,1))/INDEX(Data!$D$2:$D$497,MATCH(N264,Data!$A$2:$A$497,1))),"")</f>
        <v>0.849303550305718</v>
      </c>
      <c r="AO276" s="560">
        <f>IFERROR(LN(INDEX(Data!$E$2:$E$497,MATCH(N276,Data!$A$2:$A$497,1))/INDEX(Data!$E$2:$E$497,MATCH(N264,Data!$A$2:$A$497,1))),"")</f>
        <v>-0.214469051932089</v>
      </c>
      <c r="AP276" s="560">
        <f>IFERROR(LN(INDEX(Data!$F$2:$F$497,MATCH(N276,Data!$A$2:$A$497,1))/INDEX(Data!$F$2:$F$497,MATCH(N264,Data!$A$2:$A$497,1))),"")</f>
        <v>0.287788216749737</v>
      </c>
      <c r="AQ276" s="560">
        <f>IFERROR(LN(INDEX(Data!$G$2:$G$497,MATCH(N276,Data!$A$2:$A$497,1))/INDEX(Data!$G$2:$G$497,MATCH(N264,Data!$A$2:$A$497,1))),"")</f>
        <v>0.0289666002884801</v>
      </c>
      <c r="AR276" s="560">
        <f>IFERROR(LN(INDEX(Data!$H$2:$H$497,MATCH(N276,Data!$A$2:$A$497,1))/INDEX(Data!$H$2:$H$497,MATCH(N264,Data!$A$2:$A$497,1))),"")</f>
      </c>
      <c r="AS276" s="560">
        <f>IFERROR(LN(INDEX(Data!$I$2:$I$497,MATCH(N276,Data!$A$2:$A$497,1))/INDEX(Data!$I$2:$I$497,MATCH(N264,Data!$A$2:$A$497,1))),"")</f>
      </c>
      <c r="AT276" s="560">
        <f>IFERROR(LN(INDEX(Data!$J$2:$J$497,MATCH(N276,Data!$A$2:$A$497,1))/INDEX(Data!$J$2:$J$497,MATCH(N264,Data!$A$2:$A$497,1))),"")</f>
        <v>0.139196283545619</v>
      </c>
      <c r="AU276" s="560">
        <f>IFERROR(LN(INDEX(Data!$K$2:$K$497,MATCH(N276,Data!$A$2:$A$497,1))/INDEX(Data!$K$2:$K$497,MATCH(N264,Data!$A$2:$A$497,1))),"")</f>
        <v>0.110604221952928</v>
      </c>
      <c r="AV276" s="561">
        <f>IFERROR(LN(INDEX(Data!$L$2:$L$497,MATCH(N276,Data!$A$2:$A$497,1))/INDEX(Data!$L$2:$L$497,MATCH(N264,Data!$A$2:$A$497,1))),"")</f>
        <v>0.164857233573872</v>
      </c>
    </row>
    <row r="277">
      <c r="N277" s="337" t="n">
        <v>33146</v>
      </c>
      <c r="O277" s="116">
        <f>INDEX('Additional data'!$B$2:$B$965,MATCH(DATE(YEAR(N277),MONTH(N277),1),'Additional data'!$A$2:$A$965,0))</f>
        <v>33.687</v>
      </c>
      <c r="P277" s="489">
        <f>LN(O277)</f>
        <v>3.51711200625851</v>
      </c>
      <c r="Q277" s="489">
        <f>Q276+LN(1+INDEX('Additional data'!$H$2:$H$1196,MATCH(N277,'Additional data'!$G$2:$G$1196,1))+INDEX('Additional data'!$I$2:$I$1196,MATCH(N277,'Additional data'!$G$2:$G$1196,1)))</f>
        <v>2.0170170651774</v>
      </c>
      <c r="R277" s="489">
        <f>LN(INDEX(Data!$B$2:$B$497,MATCH(N277,Data!$A$2:$A$497,1)))</f>
        <v>8.40384530592491</v>
      </c>
      <c r="S277" s="116">
        <f>IF(INDEX('Additional data'!$E$2:$E$699,MATCH(DATE(YEAR(N277),MONTH(N277),1),'Additional data'!$D$2:$D$699,0))=0,(INDEX('Additional data'!$E$2:$E$699,MATCH(DATE(YEAR(N277),MONTH(N277),1),'Additional data'!$D$2:$D$699,0)-1)+INDEX('Additional data'!$E$2:$E$699,MATCH(DATE(YEAR(N277),MONTH(N277),1),'Additional data'!$D$2:$D$699,0)+1))/2,INDEX('Additional data'!$E$2:$E$699,MATCH(DATE(YEAR(N277),MONTH(N277),1),'Additional data'!$D$2:$D$699,0)))</f>
        <v>13.52</v>
      </c>
      <c r="T277" s="425">
        <f>P277-P276</f>
        <v>0.214851372456379</v>
      </c>
      <c r="U277" s="425">
        <f>Q277-Q276</f>
        <v>-0.0566761771935567</v>
      </c>
      <c r="V277" s="425">
        <f>R277-R276</f>
        <v>-0.0735253913041536</v>
      </c>
      <c r="W277" s="116">
        <f>S277-S276</f>
        <v>-0.4</v>
      </c>
      <c r="X277" s="425">
        <f>P277-P265</f>
        <v>0.54188860933606</v>
      </c>
      <c r="Y277" s="425">
        <f>Q277-Q265</f>
        <v>-0.141961262819486</v>
      </c>
      <c r="Z277" s="425">
        <f>R277-R265</f>
        <v>-0.163166092472185</v>
      </c>
      <c r="AA277" s="116">
        <f>S277-S265</f>
        <v>-4.6</v>
      </c>
      <c r="AB277" s="425">
        <f>P277-P217</f>
        <v>0.174638969749366</v>
      </c>
      <c r="AC277" s="425">
        <f>Q277-Q217</f>
        <v>0.598678563775091</v>
      </c>
      <c r="AD277" s="425">
        <f>R277-R217</f>
        <v>0.561605804876656</v>
      </c>
      <c r="AE277" s="235">
        <f>S277-S217</f>
        <v>-3.26</v>
      </c>
      <c r="AG277" s="554">
        <f>N277</f>
        <v>33146.0</v>
      </c>
      <c r="AH277" s="435">
        <f>IFERROR(INDEX('RBA 5Y yield'!$B$5:$B$661,MATCH(N277,'RBA 5Y yield'!$A$5:$A$661,1))*100,"")</f>
        <v>13.17</v>
      </c>
      <c r="AI277" s="435">
        <f>IF(AND(ISNUMBER(AH277),ISNUMBER(AH276)),AH277-AH276,"")</f>
        <v>-0.239999999999998</v>
      </c>
      <c r="AJ277" s="435">
        <f>IF(AND(ISNUMBER(AH277),ISNUMBER(AH265)),AH277-AH265,"")</f>
        <v>-1.38</v>
      </c>
      <c r="AK277" s="435">
        <f>IF(AND(ISNUMBER(AH277),ISNUMBER(AH217)),AH277-AH217,"")</f>
        <v>-0.73</v>
      </c>
      <c r="AL277" s="560">
        <f>IFERROR(LN(INDEX(Data!$B$2:$B$497,MATCH(N277,Data!$A$2:$A$497,1))/INDEX(Data!$B$2:$B$497,MATCH(N265,Data!$A$2:$A$497,1))),"")</f>
        <v>-0.163166092472186</v>
      </c>
      <c r="AM277" s="560">
        <f>IFERROR(LN(INDEX(Data!$C$2:$C$497,MATCH(N277,Data!$A$2:$A$497,1))/INDEX(Data!$C$2:$C$497,MATCH(N265,Data!$A$2:$A$497,1))),"")</f>
        <v>-0.339047321543433</v>
      </c>
      <c r="AN277" s="560">
        <f>IFERROR(LN(INDEX(Data!$D$2:$D$497,MATCH(N277,Data!$A$2:$A$497,1))/INDEX(Data!$D$2:$D$497,MATCH(N265,Data!$A$2:$A$497,1))),"")</f>
        <v>0.559678364101155</v>
      </c>
      <c r="AO277" s="560">
        <f>IFERROR(LN(INDEX(Data!$E$2:$E$497,MATCH(N277,Data!$A$2:$A$497,1))/INDEX(Data!$E$2:$E$497,MATCH(N265,Data!$A$2:$A$497,1))),"")</f>
        <v>-0.275252637224554</v>
      </c>
      <c r="AP277" s="560">
        <f>IFERROR(LN(INDEX(Data!$F$2:$F$497,MATCH(N277,Data!$A$2:$A$497,1))/INDEX(Data!$F$2:$F$497,MATCH(N265,Data!$A$2:$A$497,1))),"")</f>
        <v>0.443598447506161</v>
      </c>
      <c r="AQ277" s="560">
        <f>IFERROR(LN(INDEX(Data!$G$2:$G$497,MATCH(N277,Data!$A$2:$A$497,1))/INDEX(Data!$G$2:$G$497,MATCH(N265,Data!$A$2:$A$497,1))),"")</f>
        <v>0.0200032863187441</v>
      </c>
      <c r="AR277" s="560">
        <f>IFERROR(LN(INDEX(Data!$H$2:$H$497,MATCH(N277,Data!$A$2:$A$497,1))/INDEX(Data!$H$2:$H$497,MATCH(N265,Data!$A$2:$A$497,1))),"")</f>
      </c>
      <c r="AS277" s="560">
        <f>IFERROR(LN(INDEX(Data!$I$2:$I$497,MATCH(N277,Data!$A$2:$A$497,1))/INDEX(Data!$I$2:$I$497,MATCH(N265,Data!$A$2:$A$497,1))),"")</f>
      </c>
      <c r="AT277" s="560">
        <f>IFERROR(LN(INDEX(Data!$J$2:$J$497,MATCH(N277,Data!$A$2:$A$497,1))/INDEX(Data!$J$2:$J$497,MATCH(N265,Data!$A$2:$A$497,1))),"")</f>
        <v>0.172633153508139</v>
      </c>
      <c r="AU277" s="560">
        <f>IFERROR(LN(INDEX(Data!$K$2:$K$497,MATCH(N277,Data!$A$2:$A$497,1))/INDEX(Data!$K$2:$K$497,MATCH(N265,Data!$A$2:$A$497,1))),"")</f>
        <v>0.111671550487222</v>
      </c>
      <c r="AV277" s="561">
        <f>IFERROR(LN(INDEX(Data!$L$2:$L$497,MATCH(N277,Data!$A$2:$A$497,1))/INDEX(Data!$L$2:$L$497,MATCH(N265,Data!$A$2:$A$497,1))),"")</f>
        <v>0.162106508249464</v>
      </c>
    </row>
    <row r="278">
      <c r="N278" s="337" t="n">
        <v>33177</v>
      </c>
      <c r="O278" s="116">
        <f>INDEX('Additional data'!$B$2:$B$965,MATCH(DATE(YEAR(N278),MONTH(N278),1),'Additional data'!$A$2:$A$965,0))</f>
        <v>35.922</v>
      </c>
      <c r="P278" s="489">
        <f>LN(O278)</f>
        <v>3.58134992117127</v>
      </c>
      <c r="Q278" s="489">
        <f>Q277+LN(1+INDEX('Additional data'!$H$2:$H$1196,MATCH(N278,'Additional data'!$G$2:$G$1196,1))+INDEX('Additional data'!$I$2:$I$1196,MATCH(N278,'Additional data'!$G$2:$G$1196,1)))</f>
        <v>2.00453954366629</v>
      </c>
      <c r="R278" s="489">
        <f>LN(INDEX(Data!$B$2:$B$497,MATCH(N278,Data!$A$2:$A$497,1)))</f>
        <v>8.36315583850058</v>
      </c>
      <c r="S278" s="116">
        <f>IF(INDEX('Additional data'!$E$2:$E$699,MATCH(DATE(YEAR(N278),MONTH(N278),1),'Additional data'!$D$2:$D$699,0))=0,(INDEX('Additional data'!$E$2:$E$699,MATCH(DATE(YEAR(N278),MONTH(N278),1),'Additional data'!$D$2:$D$699,0)-1)+INDEX('Additional data'!$E$2:$E$699,MATCH(DATE(YEAR(N278),MONTH(N278),1),'Additional data'!$D$2:$D$699,0)+1))/2,INDEX('Additional data'!$E$2:$E$699,MATCH(DATE(YEAR(N278),MONTH(N278),1),'Additional data'!$D$2:$D$699,0)))</f>
        <v>13.07</v>
      </c>
      <c r="T278" s="425">
        <f>P278-P277</f>
        <v>0.0642379149127588</v>
      </c>
      <c r="U278" s="425">
        <f>Q278-Q277</f>
        <v>-0.0124775215111126</v>
      </c>
      <c r="V278" s="425">
        <f>R278-R277</f>
        <v>-0.0406894674243379</v>
      </c>
      <c r="W278" s="116">
        <f>S278-S277</f>
        <v>-0.449999999999999</v>
      </c>
      <c r="X278" s="425">
        <f>P278-P266</f>
        <v>0.581077967575247</v>
      </c>
      <c r="Y278" s="425">
        <f>Q278-Q266</f>
        <v>-0.124288807379715</v>
      </c>
      <c r="Z278" s="425">
        <f>R278-R266</f>
        <v>-0.159383039240415</v>
      </c>
      <c r="AA278" s="116">
        <f>S278-S266</f>
        <v>-5.29</v>
      </c>
      <c r="AB278" s="425">
        <f>P278-P218</f>
        <v>0.195672351167151</v>
      </c>
      <c r="AC278" s="425">
        <f>Q278-Q218</f>
        <v>0.540749779360061</v>
      </c>
      <c r="AD278" s="425">
        <f>R278-R218</f>
        <v>0.473284634624112</v>
      </c>
      <c r="AE278" s="235">
        <f>S278-S218</f>
        <v>-3.29</v>
      </c>
      <c r="AG278" s="554">
        <f>N278</f>
        <v>33177.0</v>
      </c>
      <c r="AH278" s="435">
        <f>IFERROR(INDEX('RBA 5Y yield'!$B$5:$B$661,MATCH(N278,'RBA 5Y yield'!$A$5:$A$661,1))*100,"")</f>
        <v>12.77</v>
      </c>
      <c r="AI278" s="435">
        <f>IF(AND(ISNUMBER(AH278),ISNUMBER(AH277)),AH278-AH277,"")</f>
        <v>-0.4</v>
      </c>
      <c r="AJ278" s="435">
        <f>IF(AND(ISNUMBER(AH278),ISNUMBER(AH266)),AH278-AH266,"")</f>
        <v>-1.73</v>
      </c>
      <c r="AK278" s="435">
        <f>IF(AND(ISNUMBER(AH278),ISNUMBER(AH218)),AH278-AH218,"")</f>
        <v>-1.98</v>
      </c>
      <c r="AL278" s="560">
        <f>IFERROR(LN(INDEX(Data!$B$2:$B$497,MATCH(N278,Data!$A$2:$A$497,1))/INDEX(Data!$B$2:$B$497,MATCH(N266,Data!$A$2:$A$497,1))),"")</f>
        <v>-0.159383039240414</v>
      </c>
      <c r="AM278" s="560">
        <f>IFERROR(LN(INDEX(Data!$C$2:$C$497,MATCH(N278,Data!$A$2:$A$497,1))/INDEX(Data!$C$2:$C$497,MATCH(N266,Data!$A$2:$A$497,1))),"")</f>
        <v>-0.194411484508957</v>
      </c>
      <c r="AN278" s="560">
        <f>IFERROR(LN(INDEX(Data!$D$2:$D$497,MATCH(N278,Data!$A$2:$A$497,1))/INDEX(Data!$D$2:$D$497,MATCH(N266,Data!$A$2:$A$497,1))),"")</f>
        <v>0.526213427094628</v>
      </c>
      <c r="AO278" s="560">
        <f>IFERROR(LN(INDEX(Data!$E$2:$E$497,MATCH(N278,Data!$A$2:$A$497,1))/INDEX(Data!$E$2:$E$497,MATCH(N266,Data!$A$2:$A$497,1))),"")</f>
        <v>-0.20750861864979</v>
      </c>
      <c r="AP278" s="560">
        <f>IFERROR(LN(INDEX(Data!$F$2:$F$497,MATCH(N278,Data!$A$2:$A$497,1))/INDEX(Data!$F$2:$F$497,MATCH(N266,Data!$A$2:$A$497,1))),"")</f>
        <v>0.444742109162177</v>
      </c>
      <c r="AQ278" s="560">
        <f>IFERROR(LN(INDEX(Data!$G$2:$G$497,MATCH(N278,Data!$A$2:$A$497,1))/INDEX(Data!$G$2:$G$497,MATCH(N266,Data!$A$2:$A$497,1))),"")</f>
        <v>0.0200032863187441</v>
      </c>
      <c r="AR278" s="560">
        <f>IFERROR(LN(INDEX(Data!$H$2:$H$497,MATCH(N278,Data!$A$2:$A$497,1))/INDEX(Data!$H$2:$H$497,MATCH(N266,Data!$A$2:$A$497,1))),"")</f>
      </c>
      <c r="AS278" s="560">
        <f>IFERROR(LN(INDEX(Data!$I$2:$I$497,MATCH(N278,Data!$A$2:$A$497,1))/INDEX(Data!$I$2:$I$497,MATCH(N266,Data!$A$2:$A$497,1))),"")</f>
      </c>
      <c r="AT278" s="560">
        <f>IFERROR(LN(INDEX(Data!$J$2:$J$497,MATCH(N278,Data!$A$2:$A$497,1))/INDEX(Data!$J$2:$J$497,MATCH(N266,Data!$A$2:$A$497,1))),"")</f>
        <v>0.180821731042073</v>
      </c>
      <c r="AU278" s="560">
        <f>IFERROR(LN(INDEX(Data!$K$2:$K$497,MATCH(N278,Data!$A$2:$A$497,1))/INDEX(Data!$K$2:$K$497,MATCH(N266,Data!$A$2:$A$497,1))),"")</f>
        <v>0.114236227355278</v>
      </c>
      <c r="AV278" s="561">
        <f>IFERROR(LN(INDEX(Data!$L$2:$L$497,MATCH(N278,Data!$A$2:$A$497,1))/INDEX(Data!$L$2:$L$497,MATCH(N266,Data!$A$2:$A$497,1))),"")</f>
        <v>0.15864773364119</v>
      </c>
    </row>
    <row r="279">
      <c r="N279" s="337" t="n">
        <v>33207</v>
      </c>
      <c r="O279" s="116">
        <f>INDEX('Additional data'!$B$2:$B$965,MATCH(DATE(YEAR(N279),MONTH(N279),1),'Additional data'!$A$2:$A$965,0))</f>
        <v>32.3</v>
      </c>
      <c r="P279" s="489">
        <f>LN(O279)</f>
        <v>3.47506723022861</v>
      </c>
      <c r="Q279" s="489">
        <f>Q278+LN(1+INDEX('Additional data'!$H$2:$H$1196,MATCH(N279,'Additional data'!$G$2:$G$1196,1))+INDEX('Additional data'!$I$2:$I$1196,MATCH(N279,'Additional data'!$G$2:$G$1196,1)))</f>
        <v>2.07145024894891</v>
      </c>
      <c r="R279" s="489">
        <f>LN(INDEX(Data!$B$2:$B$497,MATCH(N279,Data!$A$2:$A$497,1)))</f>
        <v>8.36660283278374</v>
      </c>
      <c r="S279" s="116">
        <f>IF(INDEX('Additional data'!$E$2:$E$699,MATCH(DATE(YEAR(N279),MONTH(N279),1),'Additional data'!$D$2:$D$699,0))=0,(INDEX('Additional data'!$E$2:$E$699,MATCH(DATE(YEAR(N279),MONTH(N279),1),'Additional data'!$D$2:$D$699,0)-1)+INDEX('Additional data'!$E$2:$E$699,MATCH(DATE(YEAR(N279),MONTH(N279),1),'Additional data'!$D$2:$D$699,0)+1))/2,INDEX('Additional data'!$E$2:$E$699,MATCH(DATE(YEAR(N279),MONTH(N279),1),'Additional data'!$D$2:$D$699,0)))</f>
        <v>12.41</v>
      </c>
      <c r="T279" s="425">
        <f>P279-P278</f>
        <v>-0.106282690942659</v>
      </c>
      <c r="U279" s="425">
        <f>Q279-Q278</f>
        <v>0.066910705282627</v>
      </c>
      <c r="V279" s="425">
        <f>R279-R278</f>
        <v>0.00344699428316098</v>
      </c>
      <c r="W279" s="116">
        <f>S279-S278</f>
        <v>-0.66</v>
      </c>
      <c r="X279" s="425">
        <f>P279-P267</f>
        <v>0.488375701326769</v>
      </c>
      <c r="Y279" s="425">
        <f>Q279-Q267</f>
        <v>-0.0745301609146534</v>
      </c>
      <c r="Z279" s="425">
        <f>R279-R267</f>
        <v>-0.141448700715218</v>
      </c>
      <c r="AA279" s="116">
        <f>S279-S267</f>
        <v>-5.84</v>
      </c>
      <c r="AB279" s="425">
        <f>P279-P219</f>
        <v>0.0471305513768341</v>
      </c>
      <c r="AC279" s="425">
        <f>Q279-Q219</f>
        <v>0.5393478444606</v>
      </c>
      <c r="AD279" s="425">
        <f>R279-R219</f>
        <v>0.509896039687895</v>
      </c>
      <c r="AE279" s="235">
        <f>S279-S219</f>
        <v>-5.77</v>
      </c>
      <c r="AG279" s="554">
        <f>N279</f>
        <v>33207.0</v>
      </c>
      <c r="AH279" s="435">
        <f>IFERROR(INDEX('RBA 5Y yield'!$B$5:$B$661,MATCH(N279,'RBA 5Y yield'!$A$5:$A$661,1))*100,"")</f>
        <v>12.36</v>
      </c>
      <c r="AI279" s="435">
        <f>IF(AND(ISNUMBER(AH279),ISNUMBER(AH278)),AH279-AH278,"")</f>
        <v>-0.410000000000002</v>
      </c>
      <c r="AJ279" s="435">
        <f>IF(AND(ISNUMBER(AH279),ISNUMBER(AH267)),AH279-AH267,"")</f>
        <v>-1.49</v>
      </c>
      <c r="AK279" s="435">
        <f>IF(AND(ISNUMBER(AH279),ISNUMBER(AH219)),AH279-AH219,"")</f>
        <v>-2.84</v>
      </c>
      <c r="AL279" s="560">
        <f>IFERROR(LN(INDEX(Data!$B$2:$B$497,MATCH(N279,Data!$A$2:$A$497,1))/INDEX(Data!$B$2:$B$497,MATCH(N267,Data!$A$2:$A$497,1))),"")</f>
        <v>-0.141448700715218</v>
      </c>
      <c r="AM279" s="560">
        <f>IFERROR(LN(INDEX(Data!$C$2:$C$497,MATCH(N279,Data!$A$2:$A$497,1))/INDEX(Data!$C$2:$C$497,MATCH(N267,Data!$A$2:$A$497,1))),"")</f>
        <v>-0.226842501029965</v>
      </c>
      <c r="AN279" s="560">
        <f>IFERROR(LN(INDEX(Data!$D$2:$D$497,MATCH(N279,Data!$A$2:$A$497,1))/INDEX(Data!$D$2:$D$497,MATCH(N267,Data!$A$2:$A$497,1))),"")</f>
        <v>0.49795263191466</v>
      </c>
      <c r="AO279" s="560">
        <f>IFERROR(LN(INDEX(Data!$E$2:$E$497,MATCH(N279,Data!$A$2:$A$497,1))/INDEX(Data!$E$2:$E$497,MATCH(N267,Data!$A$2:$A$497,1))),"")</f>
        <v>-0.190978382254661</v>
      </c>
      <c r="AP279" s="560">
        <f>IFERROR(LN(INDEX(Data!$F$2:$F$497,MATCH(N279,Data!$A$2:$A$497,1))/INDEX(Data!$F$2:$F$497,MATCH(N267,Data!$A$2:$A$497,1))),"")</f>
        <v>0.373768529735301</v>
      </c>
      <c r="AQ279" s="560">
        <f>IFERROR(LN(INDEX(Data!$G$2:$G$497,MATCH(N279,Data!$A$2:$A$497,1))/INDEX(Data!$G$2:$G$497,MATCH(N267,Data!$A$2:$A$497,1))),"")</f>
        <v>0.0200032863187441</v>
      </c>
      <c r="AR279" s="560">
        <f>IFERROR(LN(INDEX(Data!$H$2:$H$497,MATCH(N279,Data!$A$2:$A$497,1))/INDEX(Data!$H$2:$H$497,MATCH(N267,Data!$A$2:$A$497,1))),"")</f>
      </c>
      <c r="AS279" s="560">
        <f>IFERROR(LN(INDEX(Data!$I$2:$I$497,MATCH(N279,Data!$A$2:$A$497,1))/INDEX(Data!$I$2:$I$497,MATCH(N267,Data!$A$2:$A$497,1))),"")</f>
      </c>
      <c r="AT279" s="560">
        <f>IFERROR(LN(INDEX(Data!$J$2:$J$497,MATCH(N279,Data!$A$2:$A$497,1))/INDEX(Data!$J$2:$J$497,MATCH(N267,Data!$A$2:$A$497,1))),"")</f>
        <v>0.179839109901652</v>
      </c>
      <c r="AU279" s="560">
        <f>IFERROR(LN(INDEX(Data!$K$2:$K$497,MATCH(N279,Data!$A$2:$A$497,1))/INDEX(Data!$K$2:$K$497,MATCH(N267,Data!$A$2:$A$497,1))),"")</f>
        <v>0.1261980784267</v>
      </c>
      <c r="AV279" s="561">
        <f>IFERROR(LN(INDEX(Data!$L$2:$L$497,MATCH(N279,Data!$A$2:$A$497,1))/INDEX(Data!$L$2:$L$497,MATCH(N267,Data!$A$2:$A$497,1))),"")</f>
        <v>0.154113008692511</v>
      </c>
    </row>
    <row r="280">
      <c r="N280" s="337" t="n">
        <v>33238</v>
      </c>
      <c r="O280" s="116">
        <f>INDEX('Additional data'!$B$2:$B$965,MATCH(DATE(YEAR(N280),MONTH(N280),1),'Additional data'!$A$2:$A$965,0))</f>
        <v>27.337</v>
      </c>
      <c r="P280" s="489">
        <f>LN(O280)</f>
        <v>3.30824109594079</v>
      </c>
      <c r="Q280" s="489">
        <f>Q279+LN(1+INDEX('Additional data'!$H$2:$H$1196,MATCH(N280,'Additional data'!$G$2:$G$1196,1))+INDEX('Additional data'!$I$2:$I$1196,MATCH(N280,'Additional data'!$G$2:$G$1196,1)))</f>
        <v>2.1015914058609</v>
      </c>
      <c r="R280" s="489">
        <f>LN(INDEX(Data!$B$2:$B$497,MATCH(N280,Data!$A$2:$A$497,1)))</f>
        <v>8.34229203522577</v>
      </c>
      <c r="S280" s="116">
        <f>IF(INDEX('Additional data'!$E$2:$E$699,MATCH(DATE(YEAR(N280),MONTH(N280),1),'Additional data'!$D$2:$D$699,0))=0,(INDEX('Additional data'!$E$2:$E$699,MATCH(DATE(YEAR(N280),MONTH(N280),1),'Additional data'!$D$2:$D$699,0)-1)+INDEX('Additional data'!$E$2:$E$699,MATCH(DATE(YEAR(N280),MONTH(N280),1),'Additional data'!$D$2:$D$699,0)+1))/2,INDEX('Additional data'!$E$2:$E$699,MATCH(DATE(YEAR(N280),MONTH(N280),1),'Additional data'!$D$2:$D$699,0)))</f>
        <v>12.19</v>
      </c>
      <c r="T280" s="425">
        <f>P280-P279</f>
        <v>-0.16682613428782</v>
      </c>
      <c r="U280" s="425">
        <f>Q280-Q279</f>
        <v>0.0301411569119869</v>
      </c>
      <c r="V280" s="425">
        <f>R280-R279</f>
        <v>-0.0243107975579697</v>
      </c>
      <c r="W280" s="116">
        <f>S280-S279</f>
        <v>-0.220000000000001</v>
      </c>
      <c r="X280" s="425">
        <f>P280-P268</f>
        <v>0.259536937620694</v>
      </c>
      <c r="Y280" s="425">
        <f>Q280-Q268</f>
        <v>-0.0621306854788237</v>
      </c>
      <c r="Z280" s="425">
        <f>R280-R268</f>
        <v>-0.19258389104278</v>
      </c>
      <c r="AA280" s="116">
        <f>S280-S268</f>
        <v>-5.7</v>
      </c>
      <c r="AB280" s="425">
        <f>P280-P220</f>
        <v>0.00399524035508625</v>
      </c>
      <c r="AC280" s="425">
        <f>Q280-Q220</f>
        <v>0.525185075816063</v>
      </c>
      <c r="AD280" s="425">
        <f>R280-R220</f>
        <v>0.470637510454749</v>
      </c>
      <c r="AE280" s="235">
        <f>S280-S220</f>
        <v>-7.37</v>
      </c>
      <c r="AG280" s="554">
        <f>N280</f>
        <v>33238.0</v>
      </c>
      <c r="AH280" s="435">
        <f>IFERROR(INDEX('RBA 5Y yield'!$B$5:$B$661,MATCH(N280,'RBA 5Y yield'!$A$5:$A$661,1))*100,"")</f>
        <v>11.99</v>
      </c>
      <c r="AI280" s="435">
        <f>IF(AND(ISNUMBER(AH280),ISNUMBER(AH279)),AH280-AH279,"")</f>
        <v>-0.369999999999999</v>
      </c>
      <c r="AJ280" s="435">
        <f>IF(AND(ISNUMBER(AH280),ISNUMBER(AH268)),AH280-AH268,"")</f>
        <v>-1.46</v>
      </c>
      <c r="AK280" s="435">
        <f>IF(AND(ISNUMBER(AH280),ISNUMBER(AH220)),AH280-AH220,"")</f>
        <v>-3.21</v>
      </c>
      <c r="AL280" s="560">
        <f>IFERROR(LN(INDEX(Data!$B$2:$B$497,MATCH(N280,Data!$A$2:$A$497,1))/INDEX(Data!$B$2:$B$497,MATCH(N268,Data!$A$2:$A$497,1))),"")</f>
        <v>-0.192583891042779</v>
      </c>
      <c r="AM280" s="560">
        <f>IFERROR(LN(INDEX(Data!$C$2:$C$497,MATCH(N280,Data!$A$2:$A$497,1))/INDEX(Data!$C$2:$C$497,MATCH(N268,Data!$A$2:$A$497,1))),"")</f>
        <v>-0.210367413422824</v>
      </c>
      <c r="AN280" s="560">
        <f>IFERROR(LN(INDEX(Data!$D$2:$D$497,MATCH(N280,Data!$A$2:$A$497,1))/INDEX(Data!$D$2:$D$497,MATCH(N268,Data!$A$2:$A$497,1))),"")</f>
        <v>0.366055319953438</v>
      </c>
      <c r="AO280" s="560">
        <f>IFERROR(LN(INDEX(Data!$E$2:$E$497,MATCH(N280,Data!$A$2:$A$497,1))/INDEX(Data!$E$2:$E$497,MATCH(N268,Data!$A$2:$A$497,1))),"")</f>
        <v>-0.183931100384044</v>
      </c>
      <c r="AP280" s="560">
        <f>IFERROR(LN(INDEX(Data!$F$2:$F$497,MATCH(N280,Data!$A$2:$A$497,1))/INDEX(Data!$F$2:$F$497,MATCH(N268,Data!$A$2:$A$497,1))),"")</f>
        <v>0.280042758362574</v>
      </c>
      <c r="AQ280" s="560">
        <f>IFERROR(LN(INDEX(Data!$G$2:$G$497,MATCH(N280,Data!$A$2:$A$497,1))/INDEX(Data!$G$2:$G$497,MATCH(N268,Data!$A$2:$A$497,1))),"")</f>
        <v>0.0228927063726386</v>
      </c>
      <c r="AR280" s="560">
        <f>IFERROR(LN(INDEX(Data!$H$2:$H$497,MATCH(N280,Data!$A$2:$A$497,1))/INDEX(Data!$H$2:$H$497,MATCH(N268,Data!$A$2:$A$497,1))),"")</f>
      </c>
      <c r="AS280" s="560">
        <f>IFERROR(LN(INDEX(Data!$I$2:$I$497,MATCH(N280,Data!$A$2:$A$497,1))/INDEX(Data!$I$2:$I$497,MATCH(N268,Data!$A$2:$A$497,1))),"")</f>
      </c>
      <c r="AT280" s="560">
        <f>IFERROR(LN(INDEX(Data!$J$2:$J$497,MATCH(N280,Data!$A$2:$A$497,1))/INDEX(Data!$J$2:$J$497,MATCH(N268,Data!$A$2:$A$497,1))),"")</f>
        <v>0.174777046142145</v>
      </c>
      <c r="AU280" s="560">
        <f>IFERROR(LN(INDEX(Data!$K$2:$K$497,MATCH(N280,Data!$A$2:$A$497,1))/INDEX(Data!$K$2:$K$497,MATCH(N268,Data!$A$2:$A$497,1))),"")</f>
        <v>0.132167963577417</v>
      </c>
      <c r="AV280" s="561">
        <f>IFERROR(LN(INDEX(Data!$L$2:$L$497,MATCH(N280,Data!$A$2:$A$497,1))/INDEX(Data!$L$2:$L$497,MATCH(N268,Data!$A$2:$A$497,1))),"")</f>
        <v>0.149573257589795</v>
      </c>
    </row>
    <row r="281">
      <c r="N281" s="337" t="n">
        <v>33269</v>
      </c>
      <c r="O281" s="116">
        <f>INDEX('Additional data'!$B$2:$B$965,MATCH(DATE(YEAR(N281),MONTH(N281),1),'Additional data'!$A$2:$A$965,0))</f>
        <v>24.959</v>
      </c>
      <c r="P281" s="489">
        <f>LN(O281)</f>
        <v>3.21723447859608</v>
      </c>
      <c r="Q281" s="489">
        <f>Q280+LN(1+INDEX('Additional data'!$H$2:$H$1196,MATCH(N281,'Additional data'!$G$2:$G$1196,1))+INDEX('Additional data'!$I$2:$I$1196,MATCH(N281,'Additional data'!$G$2:$G$1196,1)))</f>
        <v>2.15237957269301</v>
      </c>
      <c r="R281" s="489">
        <f>LN(INDEX(Data!$B$2:$B$497,MATCH(N281,Data!$A$2:$A$497,1)))</f>
        <v>8.37461528794159</v>
      </c>
      <c r="S281" s="116">
        <f>IF(INDEX('Additional data'!$E$2:$E$699,MATCH(DATE(YEAR(N281),MONTH(N281),1),'Additional data'!$D$2:$D$699,0))=0,(INDEX('Additional data'!$E$2:$E$699,MATCH(DATE(YEAR(N281),MONTH(N281),1),'Additional data'!$D$2:$D$699,0)-1)+INDEX('Additional data'!$E$2:$E$699,MATCH(DATE(YEAR(N281),MONTH(N281),1),'Additional data'!$D$2:$D$699,0)+1))/2,INDEX('Additional data'!$E$2:$E$699,MATCH(DATE(YEAR(N281),MONTH(N281),1),'Additional data'!$D$2:$D$699,0)))</f>
        <v>11.93</v>
      </c>
      <c r="T281" s="425">
        <f>P281-P280</f>
        <v>-0.0910066173447159</v>
      </c>
      <c r="U281" s="425">
        <f>Q281-Q280</f>
        <v>0.0507881668321053</v>
      </c>
      <c r="V281" s="425">
        <f>R281-R280</f>
        <v>0.0323232527158286</v>
      </c>
      <c r="W281" s="116">
        <f>S281-S280</f>
        <v>-0.26</v>
      </c>
      <c r="X281" s="425">
        <f>P281-P269</f>
        <v>0.0974720566252341</v>
      </c>
      <c r="Y281" s="425">
        <f>Q281-Q269</f>
        <v>0.0637043556761929</v>
      </c>
      <c r="Z281" s="425">
        <f>R281-R269</f>
        <v>-0.17840826047547</v>
      </c>
      <c r="AA281" s="116">
        <f>S281-S269</f>
        <v>-5.4</v>
      </c>
      <c r="AB281" s="425">
        <f>P281-P221</f>
        <v>0.0841344307492782</v>
      </c>
      <c r="AC281" s="425">
        <f>Q281-Q221</f>
        <v>0.56394586243545</v>
      </c>
      <c r="AD281" s="425">
        <f>R281-R221</f>
        <v>0.431720143246921</v>
      </c>
      <c r="AE281" s="235">
        <f>S281-S221</f>
        <v>-7.04</v>
      </c>
      <c r="AG281" s="554">
        <f>N281</f>
        <v>33269.0</v>
      </c>
      <c r="AH281" s="435">
        <f>IFERROR(INDEX('RBA 5Y yield'!$B$5:$B$661,MATCH(N281,'RBA 5Y yield'!$A$5:$A$661,1))*100,"")</f>
        <v>11.6</v>
      </c>
      <c r="AI281" s="435">
        <f>IF(AND(ISNUMBER(AH281),ISNUMBER(AH280)),AH281-AH280,"")</f>
        <v>-0.389999999999999</v>
      </c>
      <c r="AJ281" s="435">
        <f>IF(AND(ISNUMBER(AH281),ISNUMBER(AH269)),AH281-AH269,"")</f>
        <v>-1.65</v>
      </c>
      <c r="AK281" s="435">
        <f>IF(AND(ISNUMBER(AH281),ISNUMBER(AH221)),AH281-AH221,"")</f>
        <v>-2.7</v>
      </c>
      <c r="AL281" s="560">
        <f>IFERROR(LN(INDEX(Data!$B$2:$B$497,MATCH(N281,Data!$A$2:$A$497,1))/INDEX(Data!$B$2:$B$497,MATCH(N269,Data!$A$2:$A$497,1))),"")</f>
        <v>-0.17840826047547</v>
      </c>
      <c r="AM281" s="560">
        <f>IFERROR(LN(INDEX(Data!$C$2:$C$497,MATCH(N281,Data!$A$2:$A$497,1))/INDEX(Data!$C$2:$C$497,MATCH(N269,Data!$A$2:$A$497,1))),"")</f>
        <v>-0.185134025464322</v>
      </c>
      <c r="AN281" s="560">
        <f>IFERROR(LN(INDEX(Data!$D$2:$D$497,MATCH(N281,Data!$A$2:$A$497,1))/INDEX(Data!$D$2:$D$497,MATCH(N269,Data!$A$2:$A$497,1))),"")</f>
        <v>0.309045253288322</v>
      </c>
      <c r="AO281" s="560">
        <f>IFERROR(LN(INDEX(Data!$E$2:$E$497,MATCH(N281,Data!$A$2:$A$497,1))/INDEX(Data!$E$2:$E$497,MATCH(N269,Data!$A$2:$A$497,1))),"")</f>
        <v>-0.122469897779924</v>
      </c>
      <c r="AP281" s="560">
        <f>IFERROR(LN(INDEX(Data!$F$2:$F$497,MATCH(N281,Data!$A$2:$A$497,1))/INDEX(Data!$F$2:$F$497,MATCH(N269,Data!$A$2:$A$497,1))),"")</f>
        <v>0.138176210772296</v>
      </c>
      <c r="AQ281" s="560">
        <f>IFERROR(LN(INDEX(Data!$G$2:$G$497,MATCH(N281,Data!$A$2:$A$497,1))/INDEX(Data!$G$2:$G$497,MATCH(N269,Data!$A$2:$A$497,1))),"")</f>
        <v>0.0228927063726386</v>
      </c>
      <c r="AR281" s="560">
        <f>IFERROR(LN(INDEX(Data!$H$2:$H$497,MATCH(N281,Data!$A$2:$A$497,1))/INDEX(Data!$H$2:$H$497,MATCH(N269,Data!$A$2:$A$497,1))),"")</f>
      </c>
      <c r="AS281" s="560">
        <f>IFERROR(LN(INDEX(Data!$I$2:$I$497,MATCH(N281,Data!$A$2:$A$497,1))/INDEX(Data!$I$2:$I$497,MATCH(N269,Data!$A$2:$A$497,1))),"")</f>
      </c>
      <c r="AT281" s="560">
        <f>IFERROR(LN(INDEX(Data!$J$2:$J$497,MATCH(N281,Data!$A$2:$A$497,1))/INDEX(Data!$J$2:$J$497,MATCH(N269,Data!$A$2:$A$497,1))),"")</f>
        <v>0.179691799504417</v>
      </c>
      <c r="AU281" s="560">
        <f>IFERROR(LN(INDEX(Data!$K$2:$K$497,MATCH(N281,Data!$A$2:$A$497,1))/INDEX(Data!$K$2:$K$497,MATCH(N269,Data!$A$2:$A$497,1))),"")</f>
        <v>0.156925364423794</v>
      </c>
      <c r="AV281" s="561">
        <f>IFERROR(LN(INDEX(Data!$L$2:$L$497,MATCH(N281,Data!$A$2:$A$497,1))/INDEX(Data!$L$2:$L$497,MATCH(N269,Data!$A$2:$A$497,1))),"")</f>
        <v>0.144334257308712</v>
      </c>
    </row>
    <row r="282">
      <c r="N282" s="337" t="n">
        <v>33297</v>
      </c>
      <c r="O282" s="116">
        <f>INDEX('Additional data'!$B$2:$B$965,MATCH(DATE(YEAR(N282),MONTH(N282),1),'Additional data'!$A$2:$A$965,0))</f>
        <v>20.523</v>
      </c>
      <c r="P282" s="489">
        <f>LN(O282)</f>
        <v>3.02154620844697</v>
      </c>
      <c r="Q282" s="489">
        <f>Q281+LN(1+INDEX('Additional data'!$H$2:$H$1196,MATCH(N282,'Additional data'!$G$2:$G$1196,1))+INDEX('Additional data'!$I$2:$I$1196,MATCH(N282,'Additional data'!$G$2:$G$1196,1)))</f>
        <v>2.22628038053254</v>
      </c>
      <c r="R282" s="489">
        <f>LN(INDEX(Data!$B$2:$B$497,MATCH(N282,Data!$A$2:$A$497,1)))</f>
        <v>8.43860442625584</v>
      </c>
      <c r="S282" s="116">
        <f>IF(INDEX('Additional data'!$E$2:$E$699,MATCH(DATE(YEAR(N282),MONTH(N282),1),'Additional data'!$D$2:$D$699,0))=0,(INDEX('Additional data'!$E$2:$E$699,MATCH(DATE(YEAR(N282),MONTH(N282),1),'Additional data'!$D$2:$D$699,0)-1)+INDEX('Additional data'!$E$2:$E$699,MATCH(DATE(YEAR(N282),MONTH(N282),1),'Additional data'!$D$2:$D$699,0)+1))/2,INDEX('Additional data'!$E$2:$E$699,MATCH(DATE(YEAR(N282),MONTH(N282),1),'Additional data'!$D$2:$D$699,0)))</f>
        <v>11.62</v>
      </c>
      <c r="T282" s="425">
        <f>P282-P281</f>
        <v>-0.195688270149105</v>
      </c>
      <c r="U282" s="425">
        <f>Q282-Q281</f>
        <v>0.073900807839534</v>
      </c>
      <c r="V282" s="425">
        <f>R282-R281</f>
        <v>0.0639891383142448</v>
      </c>
      <c r="W282" s="116">
        <f>S282-S281</f>
        <v>-0.310000000000001</v>
      </c>
      <c r="X282" s="425">
        <f>P282-P270</f>
        <v>-0.0743933255240461</v>
      </c>
      <c r="Y282" s="425">
        <f>Q282-Q270</f>
        <v>0.120846379700772</v>
      </c>
      <c r="Z282" s="425">
        <f>R282-R270</f>
        <v>-0.0516491299044457</v>
      </c>
      <c r="AA282" s="116">
        <f>S282-S270</f>
        <v>-4.58</v>
      </c>
      <c r="AB282" s="425">
        <f>P282-P222</f>
        <v>0.284455138560347</v>
      </c>
      <c r="AC282" s="425">
        <f>Q282-Q222</f>
        <v>0.56394586243545</v>
      </c>
      <c r="AD282" s="425">
        <f>R282-R222</f>
        <v>0.517540603520049</v>
      </c>
      <c r="AE282" s="235">
        <f>S282-S222</f>
        <v>-6.67</v>
      </c>
      <c r="AG282" s="554">
        <f>N282</f>
        <v>33297.0</v>
      </c>
      <c r="AH282" s="435">
        <f>IFERROR(INDEX('RBA 5Y yield'!$B$5:$B$661,MATCH(N282,'RBA 5Y yield'!$A$5:$A$661,1))*100,"")</f>
        <v>11.32</v>
      </c>
      <c r="AI282" s="435">
        <f>IF(AND(ISNUMBER(AH282),ISNUMBER(AH281)),AH282-AH281,"")</f>
        <v>-0.280000000000001</v>
      </c>
      <c r="AJ282" s="435">
        <f>IF(AND(ISNUMBER(AH282),ISNUMBER(AH270)),AH282-AH270,"")</f>
        <v>-2.48</v>
      </c>
      <c r="AK282" s="435">
        <f>IF(AND(ISNUMBER(AH282),ISNUMBER(AH222)),AH282-AH222,"")</f>
        <v>-2.58</v>
      </c>
      <c r="AL282" s="560">
        <f>IFERROR(LN(INDEX(Data!$B$2:$B$497,MATCH(N282,Data!$A$2:$A$497,1))/INDEX(Data!$B$2:$B$497,MATCH(N270,Data!$A$2:$A$497,1))),"")</f>
        <v>-0.0516491299044465</v>
      </c>
      <c r="AM282" s="560">
        <f>IFERROR(LN(INDEX(Data!$C$2:$C$497,MATCH(N282,Data!$A$2:$A$497,1))/INDEX(Data!$C$2:$C$497,MATCH(N270,Data!$A$2:$A$497,1))),"")</f>
        <v>-0.0670340797035797</v>
      </c>
      <c r="AN282" s="560">
        <f>IFERROR(LN(INDEX(Data!$D$2:$D$497,MATCH(N282,Data!$A$2:$A$497,1))/INDEX(Data!$D$2:$D$497,MATCH(N270,Data!$A$2:$A$497,1))),"")</f>
        <v>0.286306705897825</v>
      </c>
      <c r="AO282" s="560">
        <f>IFERROR(LN(INDEX(Data!$E$2:$E$497,MATCH(N282,Data!$A$2:$A$497,1))/INDEX(Data!$E$2:$E$497,MATCH(N270,Data!$A$2:$A$497,1))),"")</f>
        <v>-0.0920451906621921</v>
      </c>
      <c r="AP282" s="560">
        <f>IFERROR(LN(INDEX(Data!$F$2:$F$497,MATCH(N282,Data!$A$2:$A$497,1))/INDEX(Data!$F$2:$F$497,MATCH(N270,Data!$A$2:$A$497,1))),"")</f>
        <v>0.144458232850026</v>
      </c>
      <c r="AQ282" s="560">
        <f>IFERROR(LN(INDEX(Data!$G$2:$G$497,MATCH(N282,Data!$A$2:$A$497,1))/INDEX(Data!$G$2:$G$497,MATCH(N270,Data!$A$2:$A$497,1))),"")</f>
        <v>0.0228927063726386</v>
      </c>
      <c r="AR282" s="560">
        <f>IFERROR(LN(INDEX(Data!$H$2:$H$497,MATCH(N282,Data!$A$2:$A$497,1))/INDEX(Data!$H$2:$H$497,MATCH(N270,Data!$A$2:$A$497,1))),"")</f>
      </c>
      <c r="AS282" s="560">
        <f>IFERROR(LN(INDEX(Data!$I$2:$I$497,MATCH(N282,Data!$A$2:$A$497,1))/INDEX(Data!$I$2:$I$497,MATCH(N270,Data!$A$2:$A$497,1))),"")</f>
      </c>
      <c r="AT282" s="560">
        <f>IFERROR(LN(INDEX(Data!$J$2:$J$497,MATCH(N282,Data!$A$2:$A$497,1))/INDEX(Data!$J$2:$J$497,MATCH(N270,Data!$A$2:$A$497,1))),"")</f>
        <v>0.197638244129837</v>
      </c>
      <c r="AU282" s="560">
        <f>IFERROR(LN(INDEX(Data!$K$2:$K$497,MATCH(N282,Data!$A$2:$A$497,1))/INDEX(Data!$K$2:$K$497,MATCH(N270,Data!$A$2:$A$497,1))),"")</f>
        <v>0.166722298376785</v>
      </c>
      <c r="AV282" s="561">
        <f>IFERROR(LN(INDEX(Data!$L$2:$L$497,MATCH(N282,Data!$A$2:$A$497,1))/INDEX(Data!$L$2:$L$497,MATCH(N270,Data!$A$2:$A$497,1))),"")</f>
        <v>0.140405424808208</v>
      </c>
    </row>
    <row r="283">
      <c r="N283" s="337" t="n">
        <v>33328</v>
      </c>
      <c r="O283" s="116">
        <f>INDEX('Additional data'!$B$2:$B$965,MATCH(DATE(YEAR(N283),MONTH(N283),1),'Additional data'!$A$2:$A$965,0))</f>
        <v>19.86</v>
      </c>
      <c r="P283" s="489">
        <f>LN(O283)</f>
        <v>2.98870765861703</v>
      </c>
      <c r="Q283" s="489">
        <f>Q282+LN(1+INDEX('Additional data'!$H$2:$H$1196,MATCH(N283,'Additional data'!$G$2:$G$1196,1))+INDEX('Additional data'!$I$2:$I$1196,MATCH(N283,'Additional data'!$G$2:$G$1196,1)))</f>
        <v>2.25680958556736</v>
      </c>
      <c r="R283" s="489">
        <f>LN(INDEX(Data!$B$2:$B$497,MATCH(N283,Data!$A$2:$A$497,1)))</f>
        <v>8.47131677814871</v>
      </c>
      <c r="S283" s="116">
        <f>IF(INDEX('Additional data'!$E$2:$E$699,MATCH(DATE(YEAR(N283),MONTH(N283),1),'Additional data'!$D$2:$D$699,0))=0,(INDEX('Additional data'!$E$2:$E$699,MATCH(DATE(YEAR(N283),MONTH(N283),1),'Additional data'!$D$2:$D$699,0)-1)+INDEX('Additional data'!$E$2:$E$699,MATCH(DATE(YEAR(N283),MONTH(N283),1),'Additional data'!$D$2:$D$699,0)+1))/2,INDEX('Additional data'!$E$2:$E$699,MATCH(DATE(YEAR(N283),MONTH(N283),1),'Additional data'!$D$2:$D$699,0)))</f>
        <v>11.49</v>
      </c>
      <c r="T283" s="425">
        <f>P283-P282</f>
        <v>-0.0328385498299442</v>
      </c>
      <c r="U283" s="425">
        <f>Q283-Q282</f>
        <v>0.0305292050348229</v>
      </c>
      <c r="V283" s="425">
        <f>R283-R282</f>
        <v>0.0327123518928723</v>
      </c>
      <c r="W283" s="116">
        <f>S283-S282</f>
        <v>-0.129999999999999</v>
      </c>
      <c r="X283" s="425">
        <f>P283-P271</f>
        <v>-0.027709206129797</v>
      </c>
      <c r="Y283" s="425">
        <f>Q283-Q271</f>
        <v>0.12697569791206</v>
      </c>
      <c r="Z283" s="425">
        <f>R283-R271</f>
        <v>-0.00215438437629345</v>
      </c>
      <c r="AA283" s="116">
        <f>S283-S271</f>
        <v>-4.35</v>
      </c>
      <c r="AB283" s="425">
        <f>P283-P223</f>
        <v>0.453583292668409</v>
      </c>
      <c r="AC283" s="425">
        <f>Q283-Q223</f>
        <v>0.540839518304363</v>
      </c>
      <c r="AD283" s="425">
        <f>R283-R223</f>
        <v>0.466450336624732</v>
      </c>
      <c r="AE283" s="235">
        <f>S283-S223</f>
        <v>-4.95</v>
      </c>
      <c r="AG283" s="554">
        <f>N283</f>
        <v>33328.0</v>
      </c>
      <c r="AH283" s="435">
        <f>IFERROR(INDEX('RBA 5Y yield'!$B$5:$B$661,MATCH(N283,'RBA 5Y yield'!$A$5:$A$661,1))*100,"")</f>
        <v>11.31</v>
      </c>
      <c r="AI283" s="435">
        <f>IF(AND(ISNUMBER(AH283),ISNUMBER(AH282)),AH283-AH282,"")</f>
        <v>-0.00999999999999979</v>
      </c>
      <c r="AJ283" s="435">
        <f>IF(AND(ISNUMBER(AH283),ISNUMBER(AH271)),AH283-AH271,"")</f>
        <v>-2.56</v>
      </c>
      <c r="AK283" s="435">
        <f>IF(AND(ISNUMBER(AH283),ISNUMBER(AH223)),AH283-AH223,"")</f>
        <v>-1.59</v>
      </c>
      <c r="AL283" s="560">
        <f>IFERROR(LN(INDEX(Data!$B$2:$B$497,MATCH(N283,Data!$A$2:$A$497,1))/INDEX(Data!$B$2:$B$497,MATCH(N271,Data!$A$2:$A$497,1))),"")</f>
        <v>-0.00215438437629432</v>
      </c>
      <c r="AM283" s="560">
        <f>IFERROR(LN(INDEX(Data!$C$2:$C$497,MATCH(N283,Data!$A$2:$A$497,1))/INDEX(Data!$C$2:$C$497,MATCH(N271,Data!$A$2:$A$497,1))),"")</f>
        <v>0.00376866537048322</v>
      </c>
      <c r="AN283" s="560">
        <f>IFERROR(LN(INDEX(Data!$D$2:$D$497,MATCH(N283,Data!$A$2:$A$497,1))/INDEX(Data!$D$2:$D$497,MATCH(N271,Data!$A$2:$A$497,1))),"")</f>
        <v>0.434755370945784</v>
      </c>
      <c r="AO283" s="560">
        <f>IFERROR(LN(INDEX(Data!$E$2:$E$497,MATCH(N283,Data!$A$2:$A$497,1))/INDEX(Data!$E$2:$E$497,MATCH(N271,Data!$A$2:$A$497,1))),"")</f>
        <v>-0.0292309644850781</v>
      </c>
      <c r="AP283" s="560">
        <f>IFERROR(LN(INDEX(Data!$F$2:$F$497,MATCH(N283,Data!$A$2:$A$497,1))/INDEX(Data!$F$2:$F$497,MATCH(N271,Data!$A$2:$A$497,1))),"")</f>
        <v>0.188745287832861</v>
      </c>
      <c r="AQ283" s="560">
        <f>IFERROR(LN(INDEX(Data!$G$2:$G$497,MATCH(N283,Data!$A$2:$A$497,1))/INDEX(Data!$G$2:$G$497,MATCH(N271,Data!$A$2:$A$497,1))),"")</f>
        <v>0.0169213450148668</v>
      </c>
      <c r="AR283" s="560">
        <f>IFERROR(LN(INDEX(Data!$H$2:$H$497,MATCH(N283,Data!$A$2:$A$497,1))/INDEX(Data!$H$2:$H$497,MATCH(N271,Data!$A$2:$A$497,1))),"")</f>
      </c>
      <c r="AS283" s="560">
        <f>IFERROR(LN(INDEX(Data!$I$2:$I$497,MATCH(N283,Data!$A$2:$A$497,1))/INDEX(Data!$I$2:$I$497,MATCH(N271,Data!$A$2:$A$497,1))),"")</f>
      </c>
      <c r="AT283" s="560">
        <f>IFERROR(LN(INDEX(Data!$J$2:$J$497,MATCH(N283,Data!$A$2:$A$497,1))/INDEX(Data!$J$2:$J$497,MATCH(N271,Data!$A$2:$A$497,1))),"")</f>
        <v>0.199321563352152</v>
      </c>
      <c r="AU283" s="560">
        <f>IFERROR(LN(INDEX(Data!$K$2:$K$497,MATCH(N283,Data!$A$2:$A$497,1))/INDEX(Data!$K$2:$K$497,MATCH(N271,Data!$A$2:$A$497,1))),"")</f>
        <v>0.168555689977229</v>
      </c>
      <c r="AV283" s="561">
        <f>IFERROR(LN(INDEX(Data!$L$2:$L$497,MATCH(N283,Data!$A$2:$A$497,1))/INDEX(Data!$L$2:$L$497,MATCH(N271,Data!$A$2:$A$497,1))),"")</f>
        <v>0.135748095100253</v>
      </c>
    </row>
    <row r="284">
      <c r="N284" s="337" t="n">
        <v>33358</v>
      </c>
      <c r="O284" s="116">
        <f>INDEX('Additional data'!$B$2:$B$965,MATCH(DATE(YEAR(N284),MONTH(N284),1),'Additional data'!$A$2:$A$965,0))</f>
        <v>20.823</v>
      </c>
      <c r="P284" s="489">
        <f>LN(O284)</f>
        <v>3.03605814502556</v>
      </c>
      <c r="Q284" s="489">
        <f>Q283+LN(1+INDEX('Additional data'!$H$2:$H$1196,MATCH(N284,'Additional data'!$G$2:$G$1196,1))+INDEX('Additional data'!$I$2:$I$1196,MATCH(N284,'Additional data'!$G$2:$G$1196,1)))</f>
        <v>2.25930646576595</v>
      </c>
      <c r="R284" s="489">
        <f>LN(INDEX(Data!$B$2:$B$497,MATCH(N284,Data!$A$2:$A$497,1)))</f>
        <v>8.53556342077112</v>
      </c>
      <c r="S284" s="116">
        <f>IF(INDEX('Additional data'!$E$2:$E$699,MATCH(DATE(YEAR(N284),MONTH(N284),1),'Additional data'!$D$2:$D$699,0))=0,(INDEX('Additional data'!$E$2:$E$699,MATCH(DATE(YEAR(N284),MONTH(N284),1),'Additional data'!$D$2:$D$699,0)-1)+INDEX('Additional data'!$E$2:$E$699,MATCH(DATE(YEAR(N284),MONTH(N284),1),'Additional data'!$D$2:$D$699,0)+1))/2,INDEX('Additional data'!$E$2:$E$699,MATCH(DATE(YEAR(N284),MONTH(N284),1),'Additional data'!$D$2:$D$699,0)))</f>
        <v>11.36</v>
      </c>
      <c r="T284" s="425">
        <f>P284-P283</f>
        <v>0.0473504864085297</v>
      </c>
      <c r="U284" s="425">
        <f>Q284-Q283</f>
        <v>0.00249688019858718</v>
      </c>
      <c r="V284" s="425">
        <f>R284-R283</f>
        <v>0.064246642622404</v>
      </c>
      <c r="W284" s="116">
        <f>S284-S283</f>
        <v>-0.130000000000001</v>
      </c>
      <c r="X284" s="425">
        <f>P284-P272</f>
        <v>0.113864774806435</v>
      </c>
      <c r="Y284" s="425">
        <f>Q284-Q272</f>
        <v>0.156535497660336</v>
      </c>
      <c r="Z284" s="425">
        <f>R284-R272</f>
        <v>0.122021096184362</v>
      </c>
      <c r="AA284" s="116">
        <f>S284-S272</f>
        <v>-3.78</v>
      </c>
      <c r="AB284" s="425">
        <f>P284-P224</f>
        <v>0.482947823976084</v>
      </c>
      <c r="AC284" s="425">
        <f>Q284-Q224</f>
        <v>0.550965425667442</v>
      </c>
      <c r="AD284" s="425">
        <f>R284-R224</f>
        <v>0.460852081142319</v>
      </c>
      <c r="AE284" s="235">
        <f>S284-S224</f>
        <v>-4.4</v>
      </c>
      <c r="AG284" s="554">
        <f>N284</f>
        <v>33358.0</v>
      </c>
      <c r="AH284" s="435">
        <f>IFERROR(INDEX('RBA 5Y yield'!$B$5:$B$661,MATCH(N284,'RBA 5Y yield'!$A$5:$A$661,1))*100,"")</f>
        <v>10.89</v>
      </c>
      <c r="AI284" s="435">
        <f>IF(AND(ISNUMBER(AH284),ISNUMBER(AH283)),AH284-AH283,"")</f>
        <v>-0.42</v>
      </c>
      <c r="AJ284" s="435">
        <f>IF(AND(ISNUMBER(AH284),ISNUMBER(AH272)),AH284-AH272,"")</f>
        <v>-3.35</v>
      </c>
      <c r="AK284" s="435">
        <f>IF(AND(ISNUMBER(AH284),ISNUMBER(AH224)),AH284-AH224,"")</f>
        <v>-1.51</v>
      </c>
      <c r="AL284" s="560">
        <f>IFERROR(LN(INDEX(Data!$B$2:$B$497,MATCH(N284,Data!$A$2:$A$497,1))/INDEX(Data!$B$2:$B$497,MATCH(N272,Data!$A$2:$A$497,1))),"")</f>
        <v>0.122021096184362</v>
      </c>
      <c r="AM284" s="560">
        <f>IFERROR(LN(INDEX(Data!$C$2:$C$497,MATCH(N284,Data!$A$2:$A$497,1))/INDEX(Data!$C$2:$C$497,MATCH(N272,Data!$A$2:$A$497,1))),"")</f>
        <v>0.000675024953904066</v>
      </c>
      <c r="AN284" s="560">
        <f>IFERROR(LN(INDEX(Data!$D$2:$D$497,MATCH(N284,Data!$A$2:$A$497,1))/INDEX(Data!$D$2:$D$497,MATCH(N272,Data!$A$2:$A$497,1))),"")</f>
        <v>0.36099386393342</v>
      </c>
      <c r="AO284" s="560">
        <f>IFERROR(LN(INDEX(Data!$E$2:$E$497,MATCH(N284,Data!$A$2:$A$497,1))/INDEX(Data!$E$2:$E$497,MATCH(N272,Data!$A$2:$A$497,1))),"")</f>
        <v>-0.0228488931781228</v>
      </c>
      <c r="AP284" s="560">
        <f>IFERROR(LN(INDEX(Data!$F$2:$F$497,MATCH(N284,Data!$A$2:$A$497,1))/INDEX(Data!$F$2:$F$497,MATCH(N272,Data!$A$2:$A$497,1))),"")</f>
        <v>0.199350843061454</v>
      </c>
      <c r="AQ284" s="560">
        <f>IFERROR(LN(INDEX(Data!$G$2:$G$497,MATCH(N284,Data!$A$2:$A$497,1))/INDEX(Data!$G$2:$G$497,MATCH(N272,Data!$A$2:$A$497,1))),"")</f>
        <v>0.0169213450148668</v>
      </c>
      <c r="AR284" s="560">
        <f>IFERROR(LN(INDEX(Data!$H$2:$H$497,MATCH(N284,Data!$A$2:$A$497,1))/INDEX(Data!$H$2:$H$497,MATCH(N272,Data!$A$2:$A$497,1))),"")</f>
      </c>
      <c r="AS284" s="560">
        <f>IFERROR(LN(INDEX(Data!$I$2:$I$497,MATCH(N284,Data!$A$2:$A$497,1))/INDEX(Data!$I$2:$I$497,MATCH(N272,Data!$A$2:$A$497,1))),"")</f>
      </c>
      <c r="AT284" s="560">
        <f>IFERROR(LN(INDEX(Data!$J$2:$J$497,MATCH(N284,Data!$A$2:$A$497,1))/INDEX(Data!$J$2:$J$497,MATCH(N272,Data!$A$2:$A$497,1))),"")</f>
        <v>0.218242889235946</v>
      </c>
      <c r="AU284" s="560">
        <f>IFERROR(LN(INDEX(Data!$K$2:$K$497,MATCH(N284,Data!$A$2:$A$497,1))/INDEX(Data!$K$2:$K$497,MATCH(N272,Data!$A$2:$A$497,1))),"")</f>
        <v>0.181556967224934</v>
      </c>
      <c r="AV284" s="561">
        <f>IFERROR(LN(INDEX(Data!$L$2:$L$497,MATCH(N284,Data!$A$2:$A$497,1))/INDEX(Data!$L$2:$L$497,MATCH(N272,Data!$A$2:$A$497,1))),"")</f>
        <v>0.132890270202362</v>
      </c>
    </row>
    <row r="285">
      <c r="N285" s="337" t="n">
        <v>33389</v>
      </c>
      <c r="O285" s="116">
        <f>INDEX('Additional data'!$B$2:$B$965,MATCH(DATE(YEAR(N285),MONTH(N285),1),'Additional data'!$A$2:$A$965,0))</f>
        <v>21.24</v>
      </c>
      <c r="P285" s="489">
        <f>LN(O285)</f>
        <v>3.05588619637374</v>
      </c>
      <c r="Q285" s="489">
        <f>Q284+LN(1+INDEX('Additional data'!$H$2:$H$1196,MATCH(N285,'Additional data'!$G$2:$G$1196,1))+INDEX('Additional data'!$I$2:$I$1196,MATCH(N285,'Additional data'!$G$2:$G$1196,1)))</f>
        <v>2.29977639831966</v>
      </c>
      <c r="R285" s="489">
        <f>LN(INDEX(Data!$B$2:$B$497,MATCH(N285,Data!$A$2:$A$497,1)))</f>
        <v>8.52482400257914</v>
      </c>
      <c r="S285" s="116">
        <f>IF(INDEX('Additional data'!$E$2:$E$699,MATCH(DATE(YEAR(N285),MONTH(N285),1),'Additional data'!$D$2:$D$699,0))=0,(INDEX('Additional data'!$E$2:$E$699,MATCH(DATE(YEAR(N285),MONTH(N285),1),'Additional data'!$D$2:$D$699,0)-1)+INDEX('Additional data'!$E$2:$E$699,MATCH(DATE(YEAR(N285),MONTH(N285),1),'Additional data'!$D$2:$D$699,0)+1))/2,INDEX('Additional data'!$E$2:$E$699,MATCH(DATE(YEAR(N285),MONTH(N285),1),'Additional data'!$D$2:$D$699,0)))</f>
        <v>10.72</v>
      </c>
      <c r="T285" s="425">
        <f>P285-P284</f>
        <v>0.0198280513481817</v>
      </c>
      <c r="U285" s="425">
        <f>Q285-Q284</f>
        <v>0.0404699325537132</v>
      </c>
      <c r="V285" s="425">
        <f>R285-R284</f>
        <v>-0.010739418191978</v>
      </c>
      <c r="W285" s="116">
        <f>S285-S284</f>
        <v>-0.639999999999999</v>
      </c>
      <c r="X285" s="425">
        <f>P285-P273</f>
        <v>0.152433698939043</v>
      </c>
      <c r="Y285" s="425">
        <f>Q285-Q273</f>
        <v>0.109819068535133</v>
      </c>
      <c r="Z285" s="425">
        <f>R285-R273</f>
        <v>0.054135588818653</v>
      </c>
      <c r="AA285" s="116">
        <f>S285-S273</f>
        <v>-4.33</v>
      </c>
      <c r="AB285" s="425">
        <f>P285-P225</f>
        <v>0.318665617971748</v>
      </c>
      <c r="AC285" s="425">
        <f>Q285-Q225</f>
        <v>0.541598123373983</v>
      </c>
      <c r="AD285" s="425">
        <f>R285-R225</f>
        <v>0.423873792442944</v>
      </c>
      <c r="AE285" s="235">
        <f>S285-S225</f>
        <v>-4.01</v>
      </c>
      <c r="AG285" s="554">
        <f>N285</f>
        <v>33389.0</v>
      </c>
      <c r="AH285" s="435">
        <f>IFERROR(INDEX('RBA 5Y yield'!$B$5:$B$661,MATCH(N285,'RBA 5Y yield'!$A$5:$A$661,1))*100,"")</f>
        <v>10.59</v>
      </c>
      <c r="AI285" s="435">
        <f>IF(AND(ISNUMBER(AH285),ISNUMBER(AH284)),AH285-AH284,"")</f>
        <v>-0.300000000000001</v>
      </c>
      <c r="AJ285" s="435">
        <f>IF(AND(ISNUMBER(AH285),ISNUMBER(AH273)),AH285-AH273,"")</f>
        <v>-3.43</v>
      </c>
      <c r="AK285" s="435">
        <f>IF(AND(ISNUMBER(AH285),ISNUMBER(AH225)),AH285-AH225,"")</f>
        <v>-2.06</v>
      </c>
      <c r="AL285" s="560">
        <f>IFERROR(LN(INDEX(Data!$B$2:$B$497,MATCH(N285,Data!$A$2:$A$497,1))/INDEX(Data!$B$2:$B$497,MATCH(N273,Data!$A$2:$A$497,1))),"")</f>
        <v>0.0541355888186531</v>
      </c>
      <c r="AM285" s="560">
        <f>IFERROR(LN(INDEX(Data!$C$2:$C$497,MATCH(N285,Data!$A$2:$A$497,1))/INDEX(Data!$C$2:$C$497,MATCH(N273,Data!$A$2:$A$497,1))),"")</f>
        <v>-0.00703772553322448</v>
      </c>
      <c r="AN285" s="560">
        <f>IFERROR(LN(INDEX(Data!$D$2:$D$497,MATCH(N285,Data!$A$2:$A$497,1))/INDEX(Data!$D$2:$D$497,MATCH(N273,Data!$A$2:$A$497,1))),"")</f>
        <v>0.410616904874462</v>
      </c>
      <c r="AO285" s="560">
        <f>IFERROR(LN(INDEX(Data!$E$2:$E$497,MATCH(N285,Data!$A$2:$A$497,1))/INDEX(Data!$E$2:$E$497,MATCH(N273,Data!$A$2:$A$497,1))),"")</f>
        <v>0.024578166578321</v>
      </c>
      <c r="AP285" s="560">
        <f>IFERROR(LN(INDEX(Data!$F$2:$F$497,MATCH(N285,Data!$A$2:$A$497,1))/INDEX(Data!$F$2:$F$497,MATCH(N273,Data!$A$2:$A$497,1))),"")</f>
        <v>0.25723875997928</v>
      </c>
      <c r="AQ285" s="560">
        <f>IFERROR(LN(INDEX(Data!$G$2:$G$497,MATCH(N285,Data!$A$2:$A$497,1))/INDEX(Data!$G$2:$G$497,MATCH(N273,Data!$A$2:$A$497,1))),"")</f>
        <v>0.0169213450148668</v>
      </c>
      <c r="AR285" s="560">
        <f>IFERROR(LN(INDEX(Data!$H$2:$H$497,MATCH(N285,Data!$A$2:$A$497,1))/INDEX(Data!$H$2:$H$497,MATCH(N273,Data!$A$2:$A$497,1))),"")</f>
      </c>
      <c r="AS285" s="560">
        <f>IFERROR(LN(INDEX(Data!$I$2:$I$497,MATCH(N285,Data!$A$2:$A$497,1))/INDEX(Data!$I$2:$I$497,MATCH(N273,Data!$A$2:$A$497,1))),"")</f>
      </c>
      <c r="AT285" s="560">
        <f>IFERROR(LN(INDEX(Data!$J$2:$J$497,MATCH(N285,Data!$A$2:$A$497,1))/INDEX(Data!$J$2:$J$497,MATCH(N273,Data!$A$2:$A$497,1))),"")</f>
        <v>0.223684421060312</v>
      </c>
      <c r="AU285" s="560">
        <f>IFERROR(LN(INDEX(Data!$K$2:$K$497,MATCH(N285,Data!$A$2:$A$497,1))/INDEX(Data!$K$2:$K$497,MATCH(N273,Data!$A$2:$A$497,1))),"")</f>
        <v>0.15959533937549</v>
      </c>
      <c r="AV285" s="561">
        <f>IFERROR(LN(INDEX(Data!$L$2:$L$497,MATCH(N285,Data!$A$2:$A$497,1))/INDEX(Data!$L$2:$L$497,MATCH(N273,Data!$A$2:$A$497,1))),"")</f>
        <v>0.13051757526108</v>
      </c>
    </row>
    <row r="286">
      <c r="N286" s="337" t="n">
        <v>33419</v>
      </c>
      <c r="O286" s="116">
        <f>INDEX('Additional data'!$B$2:$B$965,MATCH(DATE(YEAR(N286),MONTH(N286),1),'Additional data'!$A$2:$A$965,0))</f>
        <v>20.195</v>
      </c>
      <c r="P286" s="489">
        <f>LN(O286)</f>
        <v>3.00543504901538</v>
      </c>
      <c r="Q286" s="489">
        <f>Q285+LN(1+INDEX('Additional data'!$H$2:$H$1196,MATCH(N286,'Additional data'!$G$2:$G$1196,1))+INDEX('Additional data'!$I$2:$I$1196,MATCH(N286,'Additional data'!$G$2:$G$1196,1)))</f>
        <v>2.2535230138022</v>
      </c>
      <c r="R286" s="489">
        <f>LN(INDEX(Data!$B$2:$B$497,MATCH(N286,Data!$A$2:$A$497,1)))</f>
        <v>8.52647002819645</v>
      </c>
      <c r="S286" s="116">
        <f>IF(INDEX('Additional data'!$E$2:$E$699,MATCH(DATE(YEAR(N286),MONTH(N286),1),'Additional data'!$D$2:$D$699,0))=0,(INDEX('Additional data'!$E$2:$E$699,MATCH(DATE(YEAR(N286),MONTH(N286),1),'Additional data'!$D$2:$D$699,0)-1)+INDEX('Additional data'!$E$2:$E$699,MATCH(DATE(YEAR(N286),MONTH(N286),1),'Additional data'!$D$2:$D$699,0)+1))/2,INDEX('Additional data'!$E$2:$E$699,MATCH(DATE(YEAR(N286),MONTH(N286),1),'Additional data'!$D$2:$D$699,0)))</f>
        <v>10.39</v>
      </c>
      <c r="T286" s="425">
        <f>P286-P285</f>
        <v>-0.0504511473583618</v>
      </c>
      <c r="U286" s="425">
        <f>Q286-Q285</f>
        <v>-0.046253384517462</v>
      </c>
      <c r="V286" s="425">
        <f>R286-R285</f>
        <v>0.00164602561730831</v>
      </c>
      <c r="W286" s="116">
        <f>S286-S285</f>
        <v>-0.33</v>
      </c>
      <c r="X286" s="425">
        <f>P286-P274</f>
        <v>0.179838877391538</v>
      </c>
      <c r="Y286" s="425">
        <f>Q286-Q274</f>
        <v>0.0681762965753543</v>
      </c>
      <c r="Z286" s="425">
        <f>R286-R274</f>
        <v>0.0569765956576287</v>
      </c>
      <c r="AA286" s="116">
        <f>S286-S274</f>
        <v>-4.63</v>
      </c>
      <c r="AB286" s="425">
        <f>P286-P226</f>
        <v>0.405044300398698</v>
      </c>
      <c r="AC286" s="425">
        <f>Q286-Q226</f>
        <v>0.479668259471514</v>
      </c>
      <c r="AD286" s="425">
        <f>R286-R226</f>
        <v>0.473505175169416</v>
      </c>
      <c r="AE286" s="235">
        <f>S286-S226</f>
        <v>-4.29</v>
      </c>
      <c r="AG286" s="554">
        <f>N286</f>
        <v>33419.0</v>
      </c>
      <c r="AH286" s="435">
        <f>IFERROR(INDEX('RBA 5Y yield'!$B$5:$B$661,MATCH(N286,'RBA 5Y yield'!$A$5:$A$661,1))*100,"")</f>
        <v>11.07</v>
      </c>
      <c r="AI286" s="435">
        <f>IF(AND(ISNUMBER(AH286),ISNUMBER(AH285)),AH286-AH285,"")</f>
        <v>0.48</v>
      </c>
      <c r="AJ286" s="435">
        <f>IF(AND(ISNUMBER(AH286),ISNUMBER(AH274)),AH286-AH274,"")</f>
        <v>-2.73</v>
      </c>
      <c r="AK286" s="435">
        <f>IF(AND(ISNUMBER(AH286),ISNUMBER(AH226)),AH286-AH226,"")</f>
        <v>-1.73</v>
      </c>
      <c r="AL286" s="560">
        <f>IFERROR(LN(INDEX(Data!$B$2:$B$497,MATCH(N286,Data!$A$2:$A$497,1))/INDEX(Data!$B$2:$B$497,MATCH(N274,Data!$A$2:$A$497,1))),"")</f>
        <v>0.0569765956576295</v>
      </c>
      <c r="AM286" s="560">
        <f>IFERROR(LN(INDEX(Data!$C$2:$C$497,MATCH(N286,Data!$A$2:$A$497,1))/INDEX(Data!$C$2:$C$497,MATCH(N274,Data!$A$2:$A$497,1))),"")</f>
        <v>-0.021486503446239</v>
      </c>
      <c r="AN286" s="560">
        <f>IFERROR(LN(INDEX(Data!$D$2:$D$497,MATCH(N286,Data!$A$2:$A$497,1))/INDEX(Data!$D$2:$D$497,MATCH(N274,Data!$A$2:$A$497,1))),"")</f>
        <v>0.382014953376836</v>
      </c>
      <c r="AO286" s="560">
        <f>IFERROR(LN(INDEX(Data!$E$2:$E$497,MATCH(N286,Data!$A$2:$A$497,1))/INDEX(Data!$E$2:$E$497,MATCH(N274,Data!$A$2:$A$497,1))),"")</f>
        <v>0.0202404473303722</v>
      </c>
      <c r="AP286" s="560">
        <f>IFERROR(LN(INDEX(Data!$F$2:$F$497,MATCH(N286,Data!$A$2:$A$497,1))/INDEX(Data!$F$2:$F$497,MATCH(N274,Data!$A$2:$A$497,1))),"")</f>
        <v>0.269437212833402</v>
      </c>
      <c r="AQ286" s="560">
        <f>IFERROR(LN(INDEX(Data!$G$2:$G$497,MATCH(N286,Data!$A$2:$A$497,1))/INDEX(Data!$G$2:$G$497,MATCH(N274,Data!$A$2:$A$497,1))),"")</f>
        <v>0.0198697973313986</v>
      </c>
      <c r="AR286" s="560">
        <f>IFERROR(LN(INDEX(Data!$H$2:$H$497,MATCH(N286,Data!$A$2:$A$497,1))/INDEX(Data!$H$2:$H$497,MATCH(N274,Data!$A$2:$A$497,1))),"")</f>
      </c>
      <c r="AS286" s="560">
        <f>IFERROR(LN(INDEX(Data!$I$2:$I$497,MATCH(N286,Data!$A$2:$A$497,1))/INDEX(Data!$I$2:$I$497,MATCH(N274,Data!$A$2:$A$497,1))),"")</f>
      </c>
      <c r="AT286" s="560">
        <f>IFERROR(LN(INDEX(Data!$J$2:$J$497,MATCH(N286,Data!$A$2:$A$497,1))/INDEX(Data!$J$2:$J$497,MATCH(N274,Data!$A$2:$A$497,1))),"")</f>
        <v>0.202190977069113</v>
      </c>
      <c r="AU286" s="560">
        <f>IFERROR(LN(INDEX(Data!$K$2:$K$497,MATCH(N286,Data!$A$2:$A$497,1))/INDEX(Data!$K$2:$K$497,MATCH(N274,Data!$A$2:$A$497,1))),"")</f>
        <v>0.143132447704958</v>
      </c>
      <c r="AV286" s="561">
        <f>IFERROR(LN(INDEX(Data!$L$2:$L$497,MATCH(N286,Data!$A$2:$A$497,1))/INDEX(Data!$L$2:$L$497,MATCH(N274,Data!$A$2:$A$497,1))),"")</f>
        <v>0.126720847739653</v>
      </c>
    </row>
    <row r="287">
      <c r="N287" s="337" t="n">
        <v>33450</v>
      </c>
      <c r="O287" s="116">
        <f>INDEX('Additional data'!$B$2:$B$965,MATCH(DATE(YEAR(N287),MONTH(N287),1),'Additional data'!$A$2:$A$965,0))</f>
        <v>21.42</v>
      </c>
      <c r="P287" s="489">
        <f>LN(O287)</f>
        <v>3.0643250650196</v>
      </c>
      <c r="Q287" s="489">
        <f>Q286+LN(1+INDEX('Additional data'!$H$2:$H$1196,MATCH(N287,'Additional data'!$G$2:$G$1196,1))+INDEX('Additional data'!$I$2:$I$1196,MATCH(N287,'Additional data'!$G$2:$G$1196,1)))</f>
        <v>2.29973843759916</v>
      </c>
      <c r="R287" s="489">
        <f>LN(INDEX(Data!$B$2:$B$497,MATCH(N287,Data!$A$2:$A$497,1)))</f>
        <v>8.57052540579301</v>
      </c>
      <c r="S287" s="116">
        <f>IF(INDEX('Additional data'!$E$2:$E$699,MATCH(DATE(YEAR(N287),MONTH(N287),1),'Additional data'!$D$2:$D$699,0))=0,(INDEX('Additional data'!$E$2:$E$699,MATCH(DATE(YEAR(N287),MONTH(N287),1),'Additional data'!$D$2:$D$699,0)-1)+INDEX('Additional data'!$E$2:$E$699,MATCH(DATE(YEAR(N287),MONTH(N287),1),'Additional data'!$D$2:$D$699,0)+1))/2,INDEX('Additional data'!$E$2:$E$699,MATCH(DATE(YEAR(N287),MONTH(N287),1),'Additional data'!$D$2:$D$699,0)))</f>
        <v>10.34</v>
      </c>
      <c r="T287" s="425">
        <f>P287-P286</f>
        <v>0.0588900160042267</v>
      </c>
      <c r="U287" s="425">
        <f>Q287-Q286</f>
        <v>0.046215423796963</v>
      </c>
      <c r="V287" s="425">
        <f>R287-R286</f>
        <v>0.0440553775965622</v>
      </c>
      <c r="W287" s="116">
        <f>S287-S286</f>
        <v>-0.0500000000000007</v>
      </c>
      <c r="X287" s="425">
        <f>P287-P275</f>
        <v>0.139122557656139</v>
      </c>
      <c r="Y287" s="425">
        <f>Q287-Q275</f>
        <v>0.12666675124793</v>
      </c>
      <c r="Z287" s="425">
        <f>R287-R275</f>
        <v>0.0516536239982148</v>
      </c>
      <c r="AA287" s="116">
        <f>S287-S275</f>
        <v>-4.49</v>
      </c>
      <c r="AB287" s="425">
        <f>P287-P227</f>
        <v>0.615477465047305</v>
      </c>
      <c r="AC287" s="425">
        <f>Q287-Q227</f>
        <v>0.586802098237894</v>
      </c>
      <c r="AD287" s="425">
        <f>R287-R227</f>
        <v>0.564724665425663</v>
      </c>
      <c r="AE287" s="235">
        <f>S287-S227</f>
        <v>-4.51</v>
      </c>
      <c r="AG287" s="554">
        <f>N287</f>
        <v>33450.0</v>
      </c>
      <c r="AH287" s="435">
        <f>IFERROR(INDEX('RBA 5Y yield'!$B$5:$B$661,MATCH(N287,'RBA 5Y yield'!$A$5:$A$661,1))*100,"")</f>
        <v>10.85</v>
      </c>
      <c r="AI287" s="435">
        <f>IF(AND(ISNUMBER(AH287),ISNUMBER(AH286)),AH287-AH286,"")</f>
        <v>-0.220000000000001</v>
      </c>
      <c r="AJ287" s="435">
        <f>IF(AND(ISNUMBER(AH287),ISNUMBER(AH275)),AH287-AH275,"")</f>
        <v>-2.66</v>
      </c>
      <c r="AK287" s="435">
        <f>IF(AND(ISNUMBER(AH287),ISNUMBER(AH227)),AH287-AH227,"")</f>
        <v>-3.5</v>
      </c>
      <c r="AL287" s="560">
        <f>IFERROR(LN(INDEX(Data!$B$2:$B$497,MATCH(N287,Data!$A$2:$A$497,1))/INDEX(Data!$B$2:$B$497,MATCH(N275,Data!$A$2:$A$497,1))),"")</f>
        <v>0.0516536239982159</v>
      </c>
      <c r="AM287" s="560">
        <f>IFERROR(LN(INDEX(Data!$C$2:$C$497,MATCH(N287,Data!$A$2:$A$497,1))/INDEX(Data!$C$2:$C$497,MATCH(N275,Data!$A$2:$A$497,1))),"")</f>
        <v>0.0226483034518936</v>
      </c>
      <c r="AN287" s="560">
        <f>IFERROR(LN(INDEX(Data!$D$2:$D$497,MATCH(N287,Data!$A$2:$A$497,1))/INDEX(Data!$D$2:$D$497,MATCH(N275,Data!$A$2:$A$497,1))),"")</f>
        <v>0.340604805992561</v>
      </c>
      <c r="AO287" s="560">
        <f>IFERROR(LN(INDEX(Data!$E$2:$E$497,MATCH(N287,Data!$A$2:$A$497,1))/INDEX(Data!$E$2:$E$497,MATCH(N275,Data!$A$2:$A$497,1))),"")</f>
        <v>0.041474571941586</v>
      </c>
      <c r="AP287" s="560">
        <f>IFERROR(LN(INDEX(Data!$F$2:$F$497,MATCH(N287,Data!$A$2:$A$497,1))/INDEX(Data!$F$2:$F$497,MATCH(N275,Data!$A$2:$A$497,1))),"")</f>
        <v>0.230427943649654</v>
      </c>
      <c r="AQ287" s="560">
        <f>IFERROR(LN(INDEX(Data!$G$2:$G$497,MATCH(N287,Data!$A$2:$A$497,1))/INDEX(Data!$G$2:$G$497,MATCH(N275,Data!$A$2:$A$497,1))),"")</f>
        <v>0.0198697973313986</v>
      </c>
      <c r="AR287" s="560">
        <f>IFERROR(LN(INDEX(Data!$H$2:$H$497,MATCH(N287,Data!$A$2:$A$497,1))/INDEX(Data!$H$2:$H$497,MATCH(N275,Data!$A$2:$A$497,1))),"")</f>
      </c>
      <c r="AS287" s="560">
        <f>IFERROR(LN(INDEX(Data!$I$2:$I$497,MATCH(N287,Data!$A$2:$A$497,1))/INDEX(Data!$I$2:$I$497,MATCH(N275,Data!$A$2:$A$497,1))),"")</f>
      </c>
      <c r="AT287" s="560">
        <f>IFERROR(LN(INDEX(Data!$J$2:$J$497,MATCH(N287,Data!$A$2:$A$497,1))/INDEX(Data!$J$2:$J$497,MATCH(N275,Data!$A$2:$A$497,1))),"")</f>
        <v>0.196551957111234</v>
      </c>
      <c r="AU287" s="560">
        <f>IFERROR(LN(INDEX(Data!$K$2:$K$497,MATCH(N287,Data!$A$2:$A$497,1))/INDEX(Data!$K$2:$K$497,MATCH(N275,Data!$A$2:$A$497,1))),"")</f>
        <v>0.142080041600058</v>
      </c>
      <c r="AV287" s="561">
        <f>IFERROR(LN(INDEX(Data!$L$2:$L$497,MATCH(N287,Data!$A$2:$A$497,1))/INDEX(Data!$L$2:$L$497,MATCH(N275,Data!$A$2:$A$497,1))),"")</f>
        <v>0.123231573900864</v>
      </c>
    </row>
    <row r="288">
      <c r="N288" s="337" t="n">
        <v>33481</v>
      </c>
      <c r="O288" s="116">
        <f>INDEX('Additional data'!$B$2:$B$965,MATCH(DATE(YEAR(N288),MONTH(N288),1),'Additional data'!$A$2:$A$965,0))</f>
        <v>21.688</v>
      </c>
      <c r="P288" s="489">
        <f>LN(O288)</f>
        <v>3.07675911219636</v>
      </c>
      <c r="Q288" s="489">
        <f>Q287+LN(1+INDEX('Additional data'!$H$2:$H$1196,MATCH(N288,'Additional data'!$G$2:$G$1196,1))+INDEX('Additional data'!$I$2:$I$1196,MATCH(N288,'Additional data'!$G$2:$G$1196,1)))</f>
        <v>2.32715903317516</v>
      </c>
      <c r="R288" s="489">
        <f>LN(INDEX(Data!$B$2:$B$497,MATCH(N288,Data!$A$2:$A$497,1)))</f>
        <v>8.55130472104501</v>
      </c>
      <c r="S288" s="116">
        <f>IF(INDEX('Additional data'!$E$2:$E$699,MATCH(DATE(YEAR(N288),MONTH(N288),1),'Additional data'!$D$2:$D$699,0))=0,(INDEX('Additional data'!$E$2:$E$699,MATCH(DATE(YEAR(N288),MONTH(N288),1),'Additional data'!$D$2:$D$699,0)-1)+INDEX('Additional data'!$E$2:$E$699,MATCH(DATE(YEAR(N288),MONTH(N288),1),'Additional data'!$D$2:$D$699,0)+1))/2,INDEX('Additional data'!$E$2:$E$699,MATCH(DATE(YEAR(N288),MONTH(N288),1),'Additional data'!$D$2:$D$699,0)))</f>
        <v>10.13</v>
      </c>
      <c r="T288" s="425">
        <f>P288-P287</f>
        <v>0.0124340471767614</v>
      </c>
      <c r="U288" s="425">
        <f>Q288-Q287</f>
        <v>0.0274205955759923</v>
      </c>
      <c r="V288" s="425">
        <f>R288-R287</f>
        <v>-0.019220684748003</v>
      </c>
      <c r="W288" s="116">
        <f>S288-S287</f>
        <v>-0.209999999999999</v>
      </c>
      <c r="X288" s="425">
        <f>P288-P276</f>
        <v>-0.225501521605767</v>
      </c>
      <c r="Y288" s="425">
        <f>Q288-Q276</f>
        <v>0.253465790804201</v>
      </c>
      <c r="Z288" s="425">
        <f>R288-R276</f>
        <v>0.0739340238159389</v>
      </c>
      <c r="AA288" s="116">
        <f>S288-S276</f>
        <v>-3.79</v>
      </c>
      <c r="AB288" s="425">
        <f>P288-P228</f>
        <v>0.3625943100943</v>
      </c>
      <c r="AC288" s="425">
        <f>Q288-Q228</f>
        <v>0.550966244178871</v>
      </c>
      <c r="AD288" s="425">
        <f>R288-R228</f>
        <v>0.484406653654727</v>
      </c>
      <c r="AE288" s="235">
        <f>S288-S228</f>
        <v>-7.24</v>
      </c>
      <c r="AG288" s="554">
        <f>N288</f>
        <v>33481.0</v>
      </c>
      <c r="AH288" s="435">
        <f>IFERROR(INDEX('RBA 5Y yield'!$B$5:$B$661,MATCH(N288,'RBA 5Y yield'!$A$5:$A$661,1))*100,"")</f>
        <v>10.64</v>
      </c>
      <c r="AI288" s="435">
        <f>IF(AND(ISNUMBER(AH288),ISNUMBER(AH287)),AH288-AH287,"")</f>
        <v>-0.210000000000001</v>
      </c>
      <c r="AJ288" s="435">
        <f>IF(AND(ISNUMBER(AH288),ISNUMBER(AH276)),AH288-AH276,"")</f>
        <v>-2.77</v>
      </c>
      <c r="AK288" s="435">
        <f>IF(AND(ISNUMBER(AH288),ISNUMBER(AH228)),AH288-AH228,"")</f>
        <v>-3.91</v>
      </c>
      <c r="AL288" s="560">
        <f>IFERROR(LN(INDEX(Data!$B$2:$B$497,MATCH(N288,Data!$A$2:$A$497,1))/INDEX(Data!$B$2:$B$497,MATCH(N276,Data!$A$2:$A$497,1))),"")</f>
        <v>0.0739340238159394</v>
      </c>
      <c r="AM288" s="560">
        <f>IFERROR(LN(INDEX(Data!$C$2:$C$497,MATCH(N288,Data!$A$2:$A$497,1))/INDEX(Data!$C$2:$C$497,MATCH(N276,Data!$A$2:$A$497,1))),"")</f>
        <v>0.147478147764307</v>
      </c>
      <c r="AN288" s="560">
        <f>IFERROR(LN(INDEX(Data!$D$2:$D$497,MATCH(N288,Data!$A$2:$A$497,1))/INDEX(Data!$D$2:$D$497,MATCH(N276,Data!$A$2:$A$497,1))),"")</f>
        <v>0.534258368966543</v>
      </c>
      <c r="AO288" s="560">
        <f>IFERROR(LN(INDEX(Data!$E$2:$E$497,MATCH(N288,Data!$A$2:$A$497,1))/INDEX(Data!$E$2:$E$497,MATCH(N276,Data!$A$2:$A$497,1))),"")</f>
        <v>0.109593172861831</v>
      </c>
      <c r="AP288" s="560">
        <f>IFERROR(LN(INDEX(Data!$F$2:$F$497,MATCH(N288,Data!$A$2:$A$497,1))/INDEX(Data!$F$2:$F$497,MATCH(N276,Data!$A$2:$A$497,1))),"")</f>
        <v>0.1136823430728</v>
      </c>
      <c r="AQ288" s="560">
        <f>IFERROR(LN(INDEX(Data!$G$2:$G$497,MATCH(N288,Data!$A$2:$A$497,1))/INDEX(Data!$G$2:$G$497,MATCH(N276,Data!$A$2:$A$497,1))),"")</f>
        <v>0.0198697973313986</v>
      </c>
      <c r="AR288" s="560">
        <f>IFERROR(LN(INDEX(Data!$H$2:$H$497,MATCH(N288,Data!$A$2:$A$497,1))/INDEX(Data!$H$2:$H$497,MATCH(N276,Data!$A$2:$A$497,1))),"")</f>
      </c>
      <c r="AS288" s="560">
        <f>IFERROR(LN(INDEX(Data!$I$2:$I$497,MATCH(N288,Data!$A$2:$A$497,1))/INDEX(Data!$I$2:$I$497,MATCH(N276,Data!$A$2:$A$497,1))),"")</f>
      </c>
      <c r="AT288" s="560">
        <f>IFERROR(LN(INDEX(Data!$J$2:$J$497,MATCH(N288,Data!$A$2:$A$497,1))/INDEX(Data!$J$2:$J$497,MATCH(N276,Data!$A$2:$A$497,1))),"")</f>
        <v>0.202876959659737</v>
      </c>
      <c r="AU288" s="560">
        <f>IFERROR(LN(INDEX(Data!$K$2:$K$497,MATCH(N288,Data!$A$2:$A$497,1))/INDEX(Data!$K$2:$K$497,MATCH(N276,Data!$A$2:$A$497,1))),"")</f>
        <v>0.172003661139638</v>
      </c>
      <c r="AV288" s="561">
        <f>IFERROR(LN(INDEX(Data!$L$2:$L$497,MATCH(N288,Data!$A$2:$A$497,1))/INDEX(Data!$L$2:$L$497,MATCH(N276,Data!$A$2:$A$497,1))),"")</f>
        <v>0.118720408119534</v>
      </c>
    </row>
    <row r="289">
      <c r="N289" s="337" t="n">
        <v>33511</v>
      </c>
      <c r="O289" s="116">
        <f>INDEX('Additional data'!$B$2:$B$965,MATCH(DATE(YEAR(N289),MONTH(N289),1),'Additional data'!$A$2:$A$965,0))</f>
        <v>21.857</v>
      </c>
      <c r="P289" s="489">
        <f>LN(O289)</f>
        <v>3.08452123636805</v>
      </c>
      <c r="Q289" s="489">
        <f>Q288+LN(1+INDEX('Additional data'!$H$2:$H$1196,MATCH(N289,'Additional data'!$G$2:$G$1196,1))+INDEX('Additional data'!$I$2:$I$1196,MATCH(N289,'Additional data'!$G$2:$G$1196,1)))</f>
        <v>2.31579470309611</v>
      </c>
      <c r="R289" s="489">
        <f>LN(INDEX(Data!$B$2:$B$497,MATCH(N289,Data!$A$2:$A$497,1)))</f>
        <v>8.56739188694898</v>
      </c>
      <c r="S289" s="116">
        <f>IF(INDEX('Additional data'!$E$2:$E$699,MATCH(DATE(YEAR(N289),MONTH(N289),1),'Additional data'!$D$2:$D$699,0))=0,(INDEX('Additional data'!$E$2:$E$699,MATCH(DATE(YEAR(N289),MONTH(N289),1),'Additional data'!$D$2:$D$699,0)-1)+INDEX('Additional data'!$E$2:$E$699,MATCH(DATE(YEAR(N289),MONTH(N289),1),'Additional data'!$D$2:$D$699,0)+1))/2,INDEX('Additional data'!$E$2:$E$699,MATCH(DATE(YEAR(N289),MONTH(N289),1),'Additional data'!$D$2:$D$699,0)))</f>
        <v>9.58</v>
      </c>
      <c r="T289" s="425">
        <f>P289-P288</f>
        <v>0.00776212417168587</v>
      </c>
      <c r="U289" s="425">
        <f>Q289-Q288</f>
        <v>-0.0113643300790498</v>
      </c>
      <c r="V289" s="425">
        <f>R289-R288</f>
        <v>0.0160871659039774</v>
      </c>
      <c r="W289" s="116">
        <f>S289-S288</f>
        <v>-0.550000000000001</v>
      </c>
      <c r="X289" s="425">
        <f>P289-P277</f>
        <v>-0.432590769890461</v>
      </c>
      <c r="Y289" s="425">
        <f>Q289-Q277</f>
        <v>0.298777637918708</v>
      </c>
      <c r="Z289" s="425">
        <f>R289-R277</f>
        <v>0.16354658102407</v>
      </c>
      <c r="AA289" s="116">
        <f>S289-S277</f>
        <v>-3.94</v>
      </c>
      <c r="AB289" s="425">
        <f>P289-P229</f>
        <v>0.382287920587405</v>
      </c>
      <c r="AC289" s="425">
        <f>Q289-Q229</f>
        <v>0.624506421190265</v>
      </c>
      <c r="AD289" s="425">
        <f>R289-R229</f>
        <v>0.453097100443596</v>
      </c>
      <c r="AE289" s="235">
        <f>S289-S229</f>
        <v>-8.5</v>
      </c>
      <c r="AG289" s="554">
        <f>N289</f>
        <v>33511.0</v>
      </c>
      <c r="AH289" s="435">
        <f>IFERROR(INDEX('RBA 5Y yield'!$B$5:$B$661,MATCH(N289,'RBA 5Y yield'!$A$5:$A$661,1))*100,"")</f>
        <v>10.03</v>
      </c>
      <c r="AI289" s="435">
        <f>IF(AND(ISNUMBER(AH289),ISNUMBER(AH288)),AH289-AH288,"")</f>
        <v>-0.609999999999999</v>
      </c>
      <c r="AJ289" s="435">
        <f>IF(AND(ISNUMBER(AH289),ISNUMBER(AH277)),AH289-AH277,"")</f>
        <v>-3.14</v>
      </c>
      <c r="AK289" s="435">
        <f>IF(AND(ISNUMBER(AH289),ISNUMBER(AH229)),AH289-AH229,"")</f>
        <v>-4.37</v>
      </c>
      <c r="AL289" s="560">
        <f>IFERROR(LN(INDEX(Data!$B$2:$B$497,MATCH(N289,Data!$A$2:$A$497,1))/INDEX(Data!$B$2:$B$497,MATCH(N277,Data!$A$2:$A$497,1))),"")</f>
        <v>0.163546581024071</v>
      </c>
      <c r="AM289" s="560">
        <f>IFERROR(LN(INDEX(Data!$C$2:$C$497,MATCH(N289,Data!$A$2:$A$497,1))/INDEX(Data!$C$2:$C$497,MATCH(N277,Data!$A$2:$A$497,1))),"")</f>
        <v>0.265126508488403</v>
      </c>
      <c r="AN289" s="560">
        <f>IFERROR(LN(INDEX(Data!$D$2:$D$497,MATCH(N289,Data!$A$2:$A$497,1))/INDEX(Data!$D$2:$D$497,MATCH(N277,Data!$A$2:$A$497,1))),"")</f>
        <v>0.647708612246349</v>
      </c>
      <c r="AO289" s="560">
        <f>IFERROR(LN(INDEX(Data!$E$2:$E$497,MATCH(N289,Data!$A$2:$A$497,1))/INDEX(Data!$E$2:$E$497,MATCH(N277,Data!$A$2:$A$497,1))),"")</f>
        <v>0.172410540912856</v>
      </c>
      <c r="AP289" s="560">
        <f>IFERROR(LN(INDEX(Data!$F$2:$F$497,MATCH(N289,Data!$A$2:$A$497,1))/INDEX(Data!$F$2:$F$497,MATCH(N277,Data!$A$2:$A$497,1))),"")</f>
        <v>-0.0958929073868014</v>
      </c>
      <c r="AQ289" s="560">
        <f>IFERROR(LN(INDEX(Data!$G$2:$G$497,MATCH(N289,Data!$A$2:$A$497,1))/INDEX(Data!$G$2:$G$497,MATCH(N277,Data!$A$2:$A$497,1))),"")</f>
        <v>0.0588087195531939</v>
      </c>
      <c r="AR289" s="560">
        <f>IFERROR(LN(INDEX(Data!$H$2:$H$497,MATCH(N289,Data!$A$2:$A$497,1))/INDEX(Data!$H$2:$H$497,MATCH(N277,Data!$A$2:$A$497,1))),"")</f>
      </c>
      <c r="AS289" s="560">
        <f>IFERROR(LN(INDEX(Data!$I$2:$I$497,MATCH(N289,Data!$A$2:$A$497,1))/INDEX(Data!$I$2:$I$497,MATCH(N277,Data!$A$2:$A$497,1))),"")</f>
      </c>
      <c r="AT289" s="560">
        <f>IFERROR(LN(INDEX(Data!$J$2:$J$497,MATCH(N289,Data!$A$2:$A$497,1))/INDEX(Data!$J$2:$J$497,MATCH(N277,Data!$A$2:$A$497,1))),"")</f>
        <v>0.216275648974757</v>
      </c>
      <c r="AU289" s="560">
        <f>IFERROR(LN(INDEX(Data!$K$2:$K$497,MATCH(N289,Data!$A$2:$A$497,1))/INDEX(Data!$K$2:$K$497,MATCH(N277,Data!$A$2:$A$497,1))),"")</f>
        <v>0.185533775286563</v>
      </c>
      <c r="AV289" s="561">
        <f>IFERROR(LN(INDEX(Data!$L$2:$L$497,MATCH(N289,Data!$A$2:$A$497,1))/INDEX(Data!$L$2:$L$497,MATCH(N277,Data!$A$2:$A$497,1))),"")</f>
        <v>0.116212196756445</v>
      </c>
    </row>
    <row r="290">
      <c r="N290" s="337" t="n">
        <v>33542</v>
      </c>
      <c r="O290" s="116">
        <f>INDEX('Additional data'!$B$2:$B$965,MATCH(DATE(YEAR(N290),MONTH(N290),1),'Additional data'!$A$2:$A$965,0))</f>
        <v>23.228</v>
      </c>
      <c r="P290" s="489">
        <f>LN(O290)</f>
        <v>3.1453584475098</v>
      </c>
      <c r="Q290" s="489">
        <f>Q289+LN(1+INDEX('Additional data'!$H$2:$H$1196,MATCH(N290,'Additional data'!$G$2:$G$1196,1))+INDEX('Additional data'!$I$2:$I$1196,MATCH(N290,'Additional data'!$G$2:$G$1196,1)))</f>
        <v>2.33275014374552</v>
      </c>
      <c r="R290" s="489">
        <f>LN(INDEX(Data!$B$2:$B$497,MATCH(N290,Data!$A$2:$A$497,1)))</f>
        <v>8.6482389975284</v>
      </c>
      <c r="S290" s="116">
        <f>IF(INDEX('Additional data'!$E$2:$E$699,MATCH(DATE(YEAR(N290),MONTH(N290),1),'Additional data'!$D$2:$D$699,0))=0,(INDEX('Additional data'!$E$2:$E$699,MATCH(DATE(YEAR(N290),MONTH(N290),1),'Additional data'!$D$2:$D$699,0)-1)+INDEX('Additional data'!$E$2:$E$699,MATCH(DATE(YEAR(N290),MONTH(N290),1),'Additional data'!$D$2:$D$699,0)+1))/2,INDEX('Additional data'!$E$2:$E$699,MATCH(DATE(YEAR(N290),MONTH(N290),1),'Additional data'!$D$2:$D$699,0)))</f>
        <v>8.97</v>
      </c>
      <c r="T290" s="425">
        <f>P290-P289</f>
        <v>0.0608372111417532</v>
      </c>
      <c r="U290" s="425">
        <f>Q290-Q289</f>
        <v>0.0169554406494132</v>
      </c>
      <c r="V290" s="425">
        <f>R290-R289</f>
        <v>0.0808471105794162</v>
      </c>
      <c r="W290" s="116">
        <f>S290-S289</f>
        <v>-0.609999999999999</v>
      </c>
      <c r="X290" s="425">
        <f>P290-P278</f>
        <v>-0.435991473661467</v>
      </c>
      <c r="Y290" s="425">
        <f>Q290-Q278</f>
        <v>0.328210600079233</v>
      </c>
      <c r="Z290" s="425">
        <f>R290-R278</f>
        <v>0.285083159027824</v>
      </c>
      <c r="AA290" s="116">
        <f>S290-S278</f>
        <v>-4.1</v>
      </c>
      <c r="AB290" s="425">
        <f>P290-P230</f>
        <v>0.44722391119497</v>
      </c>
      <c r="AC290" s="425">
        <f>Q290-Q230</f>
        <v>0.591719769944865</v>
      </c>
      <c r="AD290" s="425">
        <f>R290-R230</f>
        <v>0.427889720356328</v>
      </c>
      <c r="AE290" s="235">
        <f>S290-S230</f>
        <v>-7.85</v>
      </c>
      <c r="AG290" s="554">
        <f>N290</f>
        <v>33542.0</v>
      </c>
      <c r="AH290" s="435">
        <f>IFERROR(INDEX('RBA 5Y yield'!$B$5:$B$661,MATCH(N290,'RBA 5Y yield'!$A$5:$A$661,1))*100,"")</f>
        <v>8.96</v>
      </c>
      <c r="AI290" s="435">
        <f>IF(AND(ISNUMBER(AH290),ISNUMBER(AH289)),AH290-AH289,"")</f>
        <v>-1.07</v>
      </c>
      <c r="AJ290" s="435">
        <f>IF(AND(ISNUMBER(AH290),ISNUMBER(AH278)),AH290-AH278,"")</f>
        <v>-3.81</v>
      </c>
      <c r="AK290" s="435">
        <f>IF(AND(ISNUMBER(AH290),ISNUMBER(AH230)),AH290-AH230,"")</f>
        <v>-4.89</v>
      </c>
      <c r="AL290" s="560">
        <f>IFERROR(LN(INDEX(Data!$B$2:$B$497,MATCH(N290,Data!$A$2:$A$497,1))/INDEX(Data!$B$2:$B$497,MATCH(N278,Data!$A$2:$A$497,1))),"")</f>
        <v>0.285083159027824</v>
      </c>
      <c r="AM290" s="560">
        <f>IFERROR(LN(INDEX(Data!$C$2:$C$497,MATCH(N290,Data!$A$2:$A$497,1))/INDEX(Data!$C$2:$C$497,MATCH(N278,Data!$A$2:$A$497,1))),"")</f>
        <v>0.196632500493356</v>
      </c>
      <c r="AN290" s="560">
        <f>IFERROR(LN(INDEX(Data!$D$2:$D$497,MATCH(N290,Data!$A$2:$A$497,1))/INDEX(Data!$D$2:$D$497,MATCH(N278,Data!$A$2:$A$497,1))),"")</f>
        <v>0.691337142113467</v>
      </c>
      <c r="AO290" s="560">
        <f>IFERROR(LN(INDEX(Data!$E$2:$E$497,MATCH(N290,Data!$A$2:$A$497,1))/INDEX(Data!$E$2:$E$497,MATCH(N278,Data!$A$2:$A$497,1))),"")</f>
        <v>0.196088228561393</v>
      </c>
      <c r="AP290" s="560">
        <f>IFERROR(LN(INDEX(Data!$F$2:$F$497,MATCH(N290,Data!$A$2:$A$497,1))/INDEX(Data!$F$2:$F$497,MATCH(N278,Data!$A$2:$A$497,1))),"")</f>
        <v>-0.0263027931318725</v>
      </c>
      <c r="AQ290" s="560">
        <f>IFERROR(LN(INDEX(Data!$G$2:$G$497,MATCH(N290,Data!$A$2:$A$497,1))/INDEX(Data!$G$2:$G$497,MATCH(N278,Data!$A$2:$A$497,1))),"")</f>
        <v>0.0588087195531939</v>
      </c>
      <c r="AR290" s="560">
        <f>IFERROR(LN(INDEX(Data!$H$2:$H$497,MATCH(N290,Data!$A$2:$A$497,1))/INDEX(Data!$H$2:$H$497,MATCH(N278,Data!$A$2:$A$497,1))),"")</f>
      </c>
      <c r="AS290" s="560">
        <f>IFERROR(LN(INDEX(Data!$I$2:$I$497,MATCH(N290,Data!$A$2:$A$497,1))/INDEX(Data!$I$2:$I$497,MATCH(N278,Data!$A$2:$A$497,1))),"")</f>
      </c>
      <c r="AT290" s="560">
        <f>IFERROR(LN(INDEX(Data!$J$2:$J$497,MATCH(N290,Data!$A$2:$A$497,1))/INDEX(Data!$J$2:$J$497,MATCH(N278,Data!$A$2:$A$497,1))),"")</f>
        <v>0.22845209839791</v>
      </c>
      <c r="AU290" s="560">
        <f>IFERROR(LN(INDEX(Data!$K$2:$K$497,MATCH(N290,Data!$A$2:$A$497,1))/INDEX(Data!$K$2:$K$497,MATCH(N278,Data!$A$2:$A$497,1))),"")</f>
        <v>0.176117126728943</v>
      </c>
      <c r="AV290" s="561">
        <f>IFERROR(LN(INDEX(Data!$L$2:$L$497,MATCH(N290,Data!$A$2:$A$497,1))/INDEX(Data!$L$2:$L$497,MATCH(N278,Data!$A$2:$A$497,1))),"")</f>
        <v>0.113129180544342</v>
      </c>
    </row>
    <row r="291">
      <c r="N291" s="337" t="n">
        <v>33572</v>
      </c>
      <c r="O291" s="116">
        <f>INDEX('Additional data'!$B$2:$B$965,MATCH(DATE(YEAR(N291),MONTH(N291),1),'Additional data'!$A$2:$A$965,0))</f>
        <v>22.465</v>
      </c>
      <c r="P291" s="489">
        <f>LN(O291)</f>
        <v>3.11195854252212</v>
      </c>
      <c r="Q291" s="489">
        <f>Q290+LN(1+INDEX('Additional data'!$H$2:$H$1196,MATCH(N291,'Additional data'!$G$2:$G$1196,1))+INDEX('Additional data'!$I$2:$I$1196,MATCH(N291,'Additional data'!$G$2:$G$1196,1)))</f>
        <v>2.29390535992195</v>
      </c>
      <c r="R291" s="489">
        <f>LN(INDEX(Data!$B$2:$B$497,MATCH(N291,Data!$A$2:$A$497,1)))</f>
        <v>8.60686934805801</v>
      </c>
      <c r="S291" s="116">
        <f>IF(INDEX('Additional data'!$E$2:$E$699,MATCH(DATE(YEAR(N291),MONTH(N291),1),'Additional data'!$D$2:$D$699,0))=0,(INDEX('Additional data'!$E$2:$E$699,MATCH(DATE(YEAR(N291),MONTH(N291),1),'Additional data'!$D$2:$D$699,0)-1)+INDEX('Additional data'!$E$2:$E$699,MATCH(DATE(YEAR(N291),MONTH(N291),1),'Additional data'!$D$2:$D$699,0)+1))/2,INDEX('Additional data'!$E$2:$E$699,MATCH(DATE(YEAR(N291),MONTH(N291),1),'Additional data'!$D$2:$D$699,0)))</f>
        <v>8.34</v>
      </c>
      <c r="T291" s="425">
        <f>P291-P290</f>
        <v>-0.0333999049876801</v>
      </c>
      <c r="U291" s="425">
        <f>Q291-Q290</f>
        <v>-0.038844783823567</v>
      </c>
      <c r="V291" s="425">
        <f>R291-R290</f>
        <v>-0.0413696494703864</v>
      </c>
      <c r="W291" s="116">
        <f>S291-S290</f>
        <v>-0.630000000000001</v>
      </c>
      <c r="X291" s="425">
        <f>P291-P279</f>
        <v>-0.363108687706488</v>
      </c>
      <c r="Y291" s="425">
        <f>Q291-Q279</f>
        <v>0.222455110973039</v>
      </c>
      <c r="Z291" s="425">
        <f>R291-R279</f>
        <v>0.240266515274277</v>
      </c>
      <c r="AA291" s="116">
        <f>S291-S279</f>
        <v>-4.07</v>
      </c>
      <c r="AB291" s="425">
        <f>P291-P231</f>
        <v>0.390202694363801</v>
      </c>
      <c r="AC291" s="425">
        <f>Q291-Q231</f>
        <v>0.537395415272911</v>
      </c>
      <c r="AD291" s="425">
        <f>R291-R231</f>
        <v>0.382089403469458</v>
      </c>
      <c r="AE291" s="235">
        <f>S291-S231</f>
        <v>-7.56</v>
      </c>
      <c r="AG291" s="554">
        <f>N291</f>
        <v>33572.0</v>
      </c>
      <c r="AH291" s="435">
        <f>IFERROR(INDEX('RBA 5Y yield'!$B$5:$B$661,MATCH(N291,'RBA 5Y yield'!$A$5:$A$661,1))*100,"")</f>
        <v>8.98</v>
      </c>
      <c r="AI291" s="435">
        <f>IF(AND(ISNUMBER(AH291),ISNUMBER(AH290)),AH291-AH290,"")</f>
        <v>0.0200000000000014</v>
      </c>
      <c r="AJ291" s="435">
        <f>IF(AND(ISNUMBER(AH291),ISNUMBER(AH279)),AH291-AH279,"")</f>
        <v>-3.38</v>
      </c>
      <c r="AK291" s="435">
        <f>IF(AND(ISNUMBER(AH291),ISNUMBER(AH231)),AH291-AH231,"")</f>
        <v>-4.97</v>
      </c>
      <c r="AL291" s="560">
        <f>IFERROR(LN(INDEX(Data!$B$2:$B$497,MATCH(N291,Data!$A$2:$A$497,1))/INDEX(Data!$B$2:$B$497,MATCH(N279,Data!$A$2:$A$497,1))),"")</f>
        <v>0.240266515274276</v>
      </c>
      <c r="AM291" s="560">
        <f>IFERROR(LN(INDEX(Data!$C$2:$C$497,MATCH(N291,Data!$A$2:$A$497,1))/INDEX(Data!$C$2:$C$497,MATCH(N279,Data!$A$2:$A$497,1))),"")</f>
        <v>0.127768227408543</v>
      </c>
      <c r="AN291" s="560">
        <f>IFERROR(LN(INDEX(Data!$D$2:$D$497,MATCH(N291,Data!$A$2:$A$497,1))/INDEX(Data!$D$2:$D$497,MATCH(N279,Data!$A$2:$A$497,1))),"")</f>
        <v>0.692457994537047</v>
      </c>
      <c r="AO291" s="560">
        <f>IFERROR(LN(INDEX(Data!$E$2:$E$497,MATCH(N291,Data!$A$2:$A$497,1))/INDEX(Data!$E$2:$E$497,MATCH(N279,Data!$A$2:$A$497,1))),"")</f>
        <v>0.146272837511337</v>
      </c>
      <c r="AP291" s="560">
        <f>IFERROR(LN(INDEX(Data!$F$2:$F$497,MATCH(N291,Data!$A$2:$A$497,1))/INDEX(Data!$F$2:$F$497,MATCH(N279,Data!$A$2:$A$497,1))),"")</f>
        <v>-0.0242264074282495</v>
      </c>
      <c r="AQ291" s="560">
        <f>IFERROR(LN(INDEX(Data!$G$2:$G$497,MATCH(N291,Data!$A$2:$A$497,1))/INDEX(Data!$G$2:$G$497,MATCH(N279,Data!$A$2:$A$497,1))),"")</f>
        <v>0.0588087195531939</v>
      </c>
      <c r="AR291" s="560">
        <f>IFERROR(LN(INDEX(Data!$H$2:$H$497,MATCH(N291,Data!$A$2:$A$497,1))/INDEX(Data!$H$2:$H$497,MATCH(N279,Data!$A$2:$A$497,1))),"")</f>
      </c>
      <c r="AS291" s="560">
        <f>IFERROR(LN(INDEX(Data!$I$2:$I$497,MATCH(N291,Data!$A$2:$A$497,1))/INDEX(Data!$I$2:$I$497,MATCH(N279,Data!$A$2:$A$497,1))),"")</f>
      </c>
      <c r="AT291" s="560">
        <f>IFERROR(LN(INDEX(Data!$J$2:$J$497,MATCH(N291,Data!$A$2:$A$497,1))/INDEX(Data!$J$2:$J$497,MATCH(N279,Data!$A$2:$A$497,1))),"")</f>
        <v>0.208868216787613</v>
      </c>
      <c r="AU291" s="560">
        <f>IFERROR(LN(INDEX(Data!$K$2:$K$497,MATCH(N291,Data!$A$2:$A$497,1))/INDEX(Data!$K$2:$K$497,MATCH(N279,Data!$A$2:$A$497,1))),"")</f>
        <v>0.162501115141184</v>
      </c>
      <c r="AV291" s="561">
        <f>IFERROR(LN(INDEX(Data!$L$2:$L$497,MATCH(N291,Data!$A$2:$A$497,1))/INDEX(Data!$L$2:$L$497,MATCH(N279,Data!$A$2:$A$497,1))),"")</f>
        <v>0.109671543584134</v>
      </c>
    </row>
    <row r="292">
      <c r="N292" s="337" t="n">
        <v>33603</v>
      </c>
      <c r="O292" s="116">
        <f>INDEX('Additional data'!$B$2:$B$965,MATCH(DATE(YEAR(N292),MONTH(N292),1),'Additional data'!$A$2:$A$965,0))</f>
        <v>19.517</v>
      </c>
      <c r="P292" s="489">
        <f>LN(O292)</f>
        <v>2.97128588064906</v>
      </c>
      <c r="Q292" s="489">
        <f>Q291+LN(1+INDEX('Additional data'!$H$2:$H$1196,MATCH(N292,'Additional data'!$G$2:$G$1196,1))+INDEX('Additional data'!$I$2:$I$1196,MATCH(N292,'Additional data'!$G$2:$G$1196,1)))</f>
        <v>2.4003353035378</v>
      </c>
      <c r="R292" s="489">
        <f>LN(INDEX(Data!$B$2:$B$497,MATCH(N292,Data!$A$2:$A$497,1)))</f>
        <v>8.63673468008748</v>
      </c>
      <c r="S292" s="116">
        <f>IF(INDEX('Additional data'!$E$2:$E$699,MATCH(DATE(YEAR(N292),MONTH(N292),1),'Additional data'!$D$2:$D$699,0))=0,(INDEX('Additional data'!$E$2:$E$699,MATCH(DATE(YEAR(N292),MONTH(N292),1),'Additional data'!$D$2:$D$699,0)-1)+INDEX('Additional data'!$E$2:$E$699,MATCH(DATE(YEAR(N292),MONTH(N292),1),'Additional data'!$D$2:$D$699,0)+1))/2,INDEX('Additional data'!$E$2:$E$699,MATCH(DATE(YEAR(N292),MONTH(N292),1),'Additional data'!$D$2:$D$699,0)))</f>
        <v>7.84</v>
      </c>
      <c r="T292" s="425">
        <f>P292-P291</f>
        <v>-0.140672661873059</v>
      </c>
      <c r="U292" s="425">
        <f>Q292-Q291</f>
        <v>0.106429943615847</v>
      </c>
      <c r="V292" s="425">
        <f>R292-R291</f>
        <v>0.0298653320294715</v>
      </c>
      <c r="W292" s="116">
        <f>S292-S291</f>
        <v>-0.5</v>
      </c>
      <c r="X292" s="425">
        <f>P292-P280</f>
        <v>-0.336955215291726</v>
      </c>
      <c r="Y292" s="425">
        <f>Q292-Q280</f>
        <v>0.298743897676899</v>
      </c>
      <c r="Z292" s="425">
        <f>R292-R280</f>
        <v>0.294442644861718</v>
      </c>
      <c r="AA292" s="116">
        <f>S292-S280</f>
        <v>-4.35</v>
      </c>
      <c r="AB292" s="425">
        <f>P292-P232</f>
        <v>0.19395840406211</v>
      </c>
      <c r="AC292" s="425">
        <f>Q292-Q232</f>
        <v>0.671916239055284</v>
      </c>
      <c r="AD292" s="425">
        <f>R292-R232</f>
        <v>0.344937575038751</v>
      </c>
      <c r="AE292" s="235">
        <f>S292-S232</f>
        <v>-7.69</v>
      </c>
      <c r="AG292" s="554">
        <f>N292</f>
        <v>33603.0</v>
      </c>
      <c r="AH292" s="435">
        <f>IFERROR(INDEX('RBA 5Y yield'!$B$5:$B$661,MATCH(N292,'RBA 5Y yield'!$A$5:$A$661,1))*100,"")</f>
        <v>8.22</v>
      </c>
      <c r="AI292" s="435">
        <f>IF(AND(ISNUMBER(AH292),ISNUMBER(AH291)),AH292-AH291,"")</f>
        <v>-0.760000000000002</v>
      </c>
      <c r="AJ292" s="435">
        <f>IF(AND(ISNUMBER(AH292),ISNUMBER(AH280)),AH292-AH280,"")</f>
        <v>-3.77</v>
      </c>
      <c r="AK292" s="435">
        <f>IF(AND(ISNUMBER(AH292),ISNUMBER(AH232)),AH292-AH232,"")</f>
        <v>-5.63</v>
      </c>
      <c r="AL292" s="560">
        <f>IFERROR(LN(INDEX(Data!$B$2:$B$497,MATCH(N292,Data!$A$2:$A$497,1))/INDEX(Data!$B$2:$B$497,MATCH(N280,Data!$A$2:$A$497,1))),"")</f>
        <v>0.294442644861718</v>
      </c>
      <c r="AM292" s="560">
        <f>IFERROR(LN(INDEX(Data!$C$2:$C$497,MATCH(N292,Data!$A$2:$A$497,1))/INDEX(Data!$C$2:$C$497,MATCH(N280,Data!$A$2:$A$497,1))),"")</f>
        <v>0.167937825200356</v>
      </c>
      <c r="AN292" s="560">
        <f>IFERROR(LN(INDEX(Data!$D$2:$D$497,MATCH(N292,Data!$A$2:$A$497,1))/INDEX(Data!$D$2:$D$497,MATCH(N280,Data!$A$2:$A$497,1))),"")</f>
        <v>0.791473997113976</v>
      </c>
      <c r="AO292" s="560">
        <f>IFERROR(LN(INDEX(Data!$E$2:$E$497,MATCH(N292,Data!$A$2:$A$497,1))/INDEX(Data!$E$2:$E$497,MATCH(N280,Data!$A$2:$A$497,1))),"")</f>
        <v>0.22891236429676</v>
      </c>
      <c r="AP292" s="560">
        <f>IFERROR(LN(INDEX(Data!$F$2:$F$497,MATCH(N292,Data!$A$2:$A$497,1))/INDEX(Data!$F$2:$F$497,MATCH(N280,Data!$A$2:$A$497,1))),"")</f>
        <v>-0.0518040133821848</v>
      </c>
      <c r="AQ292" s="560">
        <f>IFERROR(LN(INDEX(Data!$G$2:$G$497,MATCH(N292,Data!$A$2:$A$497,1))/INDEX(Data!$G$2:$G$497,MATCH(N280,Data!$A$2:$A$497,1))),"")</f>
        <v>0.0528613415041736</v>
      </c>
      <c r="AR292" s="560">
        <f>IFERROR(LN(INDEX(Data!$H$2:$H$497,MATCH(N292,Data!$A$2:$A$497,1))/INDEX(Data!$H$2:$H$497,MATCH(N280,Data!$A$2:$A$497,1))),"")</f>
      </c>
      <c r="AS292" s="560">
        <f>IFERROR(LN(INDEX(Data!$I$2:$I$497,MATCH(N292,Data!$A$2:$A$497,1))/INDEX(Data!$I$2:$I$497,MATCH(N280,Data!$A$2:$A$497,1))),"")</f>
      </c>
      <c r="AT292" s="560">
        <f>IFERROR(LN(INDEX(Data!$J$2:$J$497,MATCH(N292,Data!$A$2:$A$497,1))/INDEX(Data!$J$2:$J$497,MATCH(N280,Data!$A$2:$A$497,1))),"")</f>
        <v>0.19432257171669</v>
      </c>
      <c r="AU292" s="560">
        <f>IFERROR(LN(INDEX(Data!$K$2:$K$497,MATCH(N292,Data!$A$2:$A$497,1))/INDEX(Data!$K$2:$K$497,MATCH(N280,Data!$A$2:$A$497,1))),"")</f>
        <v>0.158596852334269</v>
      </c>
      <c r="AV292" s="561">
        <f>IFERROR(LN(INDEX(Data!$L$2:$L$497,MATCH(N292,Data!$A$2:$A$497,1))/INDEX(Data!$L$2:$L$497,MATCH(N280,Data!$A$2:$A$497,1))),"")</f>
        <v>0.0912726494406113</v>
      </c>
    </row>
    <row r="293">
      <c r="N293" s="337" t="n">
        <v>33634</v>
      </c>
      <c r="O293" s="116">
        <f>INDEX('Additional data'!$B$2:$B$965,MATCH(DATE(YEAR(N293),MONTH(N293),1),'Additional data'!$A$2:$A$965,0))</f>
        <v>18.82</v>
      </c>
      <c r="P293" s="489">
        <f>LN(O293)</f>
        <v>2.93492013415723</v>
      </c>
      <c r="Q293" s="489">
        <f>Q292+LN(1+INDEX('Additional data'!$H$2:$H$1196,MATCH(N293,'Additional data'!$G$2:$G$1196,1))+INDEX('Additional data'!$I$2:$I$1196,MATCH(N293,'Additional data'!$G$2:$G$1196,1)))</f>
        <v>2.39783217331968</v>
      </c>
      <c r="R293" s="489">
        <f>LN(INDEX(Data!$B$2:$B$497,MATCH(N293,Data!$A$2:$A$497,1)))</f>
        <v>8.62050761525513</v>
      </c>
      <c r="S293" s="116">
        <f>IF(INDEX('Additional data'!$E$2:$E$699,MATCH(DATE(YEAR(N293),MONTH(N293),1),'Additional data'!$D$2:$D$699,0))=0,(INDEX('Additional data'!$E$2:$E$699,MATCH(DATE(YEAR(N293),MONTH(N293),1),'Additional data'!$D$2:$D$699,0)-1)+INDEX('Additional data'!$E$2:$E$699,MATCH(DATE(YEAR(N293),MONTH(N293),1),'Additional data'!$D$2:$D$699,0)+1))/2,INDEX('Additional data'!$E$2:$E$699,MATCH(DATE(YEAR(N293),MONTH(N293),1),'Additional data'!$D$2:$D$699,0)))</f>
        <v>7.45</v>
      </c>
      <c r="T293" s="425">
        <f>P293-P292</f>
        <v>-0.036365746491831</v>
      </c>
      <c r="U293" s="425">
        <f>Q293-Q292</f>
        <v>-0.00250313021811843</v>
      </c>
      <c r="V293" s="425">
        <f>R293-R292</f>
        <v>-0.0162270648323588</v>
      </c>
      <c r="W293" s="116">
        <f>S293-S292</f>
        <v>-0.39</v>
      </c>
      <c r="X293" s="425">
        <f>P293-P281</f>
        <v>-0.282314344438841</v>
      </c>
      <c r="Y293" s="425">
        <f>Q293-Q281</f>
        <v>0.245452600626675</v>
      </c>
      <c r="Z293" s="425">
        <f>R293-R281</f>
        <v>0.245892327313531</v>
      </c>
      <c r="AA293" s="116">
        <f>S293-S281</f>
        <v>-4.48</v>
      </c>
      <c r="AB293" s="425">
        <f>P293-P233</f>
        <v>0.00875232398915182</v>
      </c>
      <c r="AC293" s="425">
        <f>Q293-Q233</f>
        <v>0.548346580857722</v>
      </c>
      <c r="AD293" s="425">
        <f>R293-R233</f>
        <v>0.31152010278889</v>
      </c>
      <c r="AE293" s="235">
        <f>S293-S233</f>
        <v>-8.41</v>
      </c>
      <c r="AG293" s="554">
        <f>N293</f>
        <v>33634.0</v>
      </c>
      <c r="AH293" s="435">
        <f>IFERROR(INDEX('RBA 5Y yield'!$B$5:$B$661,MATCH(N293,'RBA 5Y yield'!$A$5:$A$661,1))*100,"")</f>
        <v>9.42</v>
      </c>
      <c r="AI293" s="435">
        <f>IF(AND(ISNUMBER(AH293),ISNUMBER(AH292)),AH293-AH292,"")</f>
        <v>1.2</v>
      </c>
      <c r="AJ293" s="435">
        <f>IF(AND(ISNUMBER(AH293),ISNUMBER(AH281)),AH293-AH281,"")</f>
        <v>-2.18</v>
      </c>
      <c r="AK293" s="435">
        <f>IF(AND(ISNUMBER(AH293),ISNUMBER(AH233)),AH293-AH233,"")</f>
        <v>-5.28</v>
      </c>
      <c r="AL293" s="560">
        <f>IFERROR(LN(INDEX(Data!$B$2:$B$497,MATCH(N293,Data!$A$2:$A$497,1))/INDEX(Data!$B$2:$B$497,MATCH(N281,Data!$A$2:$A$497,1))),"")</f>
        <v>0.245892327313531</v>
      </c>
      <c r="AM293" s="560">
        <f>IFERROR(LN(INDEX(Data!$C$2:$C$497,MATCH(N293,Data!$A$2:$A$497,1))/INDEX(Data!$C$2:$C$497,MATCH(N281,Data!$A$2:$A$497,1))),"")</f>
        <v>0.168338351172379</v>
      </c>
      <c r="AN293" s="560">
        <f>IFERROR(LN(INDEX(Data!$D$2:$D$497,MATCH(N293,Data!$A$2:$A$497,1))/INDEX(Data!$D$2:$D$497,MATCH(N281,Data!$A$2:$A$497,1))),"")</f>
        <v>0.845959800194049</v>
      </c>
      <c r="AO293" s="560">
        <f>IFERROR(LN(INDEX(Data!$E$2:$E$497,MATCH(N293,Data!$A$2:$A$497,1))/INDEX(Data!$E$2:$E$497,MATCH(N281,Data!$A$2:$A$497,1))),"")</f>
        <v>0.199103456296795</v>
      </c>
      <c r="AP293" s="560">
        <f>IFERROR(LN(INDEX(Data!$F$2:$F$497,MATCH(N293,Data!$A$2:$A$497,1))/INDEX(Data!$F$2:$F$497,MATCH(N281,Data!$A$2:$A$497,1))),"")</f>
        <v>0.0999587612661291</v>
      </c>
      <c r="AQ293" s="560">
        <f>IFERROR(LN(INDEX(Data!$G$2:$G$497,MATCH(N293,Data!$A$2:$A$497,1))/INDEX(Data!$G$2:$G$497,MATCH(N281,Data!$A$2:$A$497,1))),"")</f>
        <v>0.0528613415041736</v>
      </c>
      <c r="AR293" s="560">
        <f>IFERROR(LN(INDEX(Data!$H$2:$H$497,MATCH(N293,Data!$A$2:$A$497,1))/INDEX(Data!$H$2:$H$497,MATCH(N281,Data!$A$2:$A$497,1))),"")</f>
      </c>
      <c r="AS293" s="560">
        <f>IFERROR(LN(INDEX(Data!$I$2:$I$497,MATCH(N293,Data!$A$2:$A$497,1))/INDEX(Data!$I$2:$I$497,MATCH(N281,Data!$A$2:$A$497,1))),"")</f>
      </c>
      <c r="AT293" s="560">
        <f>IFERROR(LN(INDEX(Data!$J$2:$J$497,MATCH(N293,Data!$A$2:$A$497,1))/INDEX(Data!$J$2:$J$497,MATCH(N281,Data!$A$2:$A$497,1))),"")</f>
        <v>0.17364117072152</v>
      </c>
      <c r="AU293" s="560">
        <f>IFERROR(LN(INDEX(Data!$K$2:$K$497,MATCH(N293,Data!$A$2:$A$497,1))/INDEX(Data!$K$2:$K$497,MATCH(N281,Data!$A$2:$A$497,1))),"")</f>
        <v>0.153941460644788</v>
      </c>
      <c r="AV293" s="561">
        <f>IFERROR(LN(INDEX(Data!$L$2:$L$497,MATCH(N293,Data!$A$2:$A$497,1))/INDEX(Data!$L$2:$L$497,MATCH(N281,Data!$A$2:$A$497,1))),"")</f>
        <v>0.102667526218029</v>
      </c>
    </row>
    <row r="294">
      <c r="N294" s="337" t="n">
        <v>33663</v>
      </c>
      <c r="O294" s="116">
        <f>INDEX('Additional data'!$B$2:$B$965,MATCH(DATE(YEAR(N294),MONTH(N294),1),'Additional data'!$A$2:$A$965,0))</f>
        <v>18.995</v>
      </c>
      <c r="P294" s="489">
        <f>LN(O294)</f>
        <v>2.94417578663959</v>
      </c>
      <c r="Q294" s="489">
        <f>Q293+LN(1+INDEX('Additional data'!$H$2:$H$1196,MATCH(N294,'Additional data'!$G$2:$G$1196,1))+INDEX('Additional data'!$I$2:$I$1196,MATCH(N294,'Additional data'!$G$2:$G$1196,1)))</f>
        <v>2.41134052334447</v>
      </c>
      <c r="R294" s="489">
        <f>LN(INDEX(Data!$B$2:$B$497,MATCH(N294,Data!$A$2:$A$497,1)))</f>
        <v>8.61716521519317</v>
      </c>
      <c r="S294" s="116">
        <f>IF(INDEX('Additional data'!$E$2:$E$699,MATCH(DATE(YEAR(N294),MONTH(N294),1),'Additional data'!$D$2:$D$699,0))=0,(INDEX('Additional data'!$E$2:$E$699,MATCH(DATE(YEAR(N294),MONTH(N294),1),'Additional data'!$D$2:$D$699,0)-1)+INDEX('Additional data'!$E$2:$E$699,MATCH(DATE(YEAR(N294),MONTH(N294),1),'Additional data'!$D$2:$D$699,0)+1))/2,INDEX('Additional data'!$E$2:$E$699,MATCH(DATE(YEAR(N294),MONTH(N294),1),'Additional data'!$D$2:$D$699,0)))</f>
        <v>7.52</v>
      </c>
      <c r="T294" s="425">
        <f>P294-P293</f>
        <v>0.00925565248235527</v>
      </c>
      <c r="U294" s="425">
        <f>Q294-Q293</f>
        <v>0.0135083500247921</v>
      </c>
      <c r="V294" s="425">
        <f>R294-R293</f>
        <v>-0.00334240006195863</v>
      </c>
      <c r="W294" s="116">
        <f>S294-S293</f>
        <v>0.0699999999999994</v>
      </c>
      <c r="X294" s="425">
        <f>P294-P282</f>
        <v>-0.0773704218073816</v>
      </c>
      <c r="Y294" s="425">
        <f>Q294-Q282</f>
        <v>0.185060142811933</v>
      </c>
      <c r="Z294" s="425">
        <f>R294-R282</f>
        <v>0.178560788937327</v>
      </c>
      <c r="AA294" s="116">
        <f>S294-S282</f>
        <v>-4.1</v>
      </c>
      <c r="AB294" s="425">
        <f>P294-P234</f>
        <v>0.0691432983233828</v>
      </c>
      <c r="AC294" s="425">
        <f>Q294-Q234</f>
        <v>0.514875929688519</v>
      </c>
      <c r="AD294" s="425">
        <f>R294-R234</f>
        <v>0.23119750562981</v>
      </c>
      <c r="AE294" s="235">
        <f>S294-S234</f>
        <v>-9.18</v>
      </c>
      <c r="AG294" s="554">
        <f>N294</f>
        <v>33663.0</v>
      </c>
      <c r="AH294" s="435">
        <f>IFERROR(INDEX('RBA 5Y yield'!$B$5:$B$661,MATCH(N294,'RBA 5Y yield'!$A$5:$A$661,1))*100,"")</f>
        <v>9.42</v>
      </c>
      <c r="AI294" s="435">
        <f>IF(AND(ISNUMBER(AH294),ISNUMBER(AH293)),AH294-AH293,"")</f>
        <v>0</v>
      </c>
      <c r="AJ294" s="435">
        <f>IF(AND(ISNUMBER(AH294),ISNUMBER(AH282)),AH294-AH282,"")</f>
        <v>-1.9</v>
      </c>
      <c r="AK294" s="435">
        <f>IF(AND(ISNUMBER(AH294),ISNUMBER(AH234)),AH294-AH234,"")</f>
        <v>-5.13</v>
      </c>
      <c r="AL294" s="560">
        <f>IFERROR(LN(INDEX(Data!$B$2:$B$497,MATCH(N294,Data!$A$2:$A$497,1))/INDEX(Data!$B$2:$B$497,MATCH(N282,Data!$A$2:$A$497,1))),"")</f>
        <v>0.178560788937328</v>
      </c>
      <c r="AM294" s="560">
        <f>IFERROR(LN(INDEX(Data!$C$2:$C$497,MATCH(N294,Data!$A$2:$A$497,1))/INDEX(Data!$C$2:$C$497,MATCH(N282,Data!$A$2:$A$497,1))),"")</f>
        <v>0.0692151342068472</v>
      </c>
      <c r="AN294" s="560">
        <f>IFERROR(LN(INDEX(Data!$D$2:$D$497,MATCH(N294,Data!$A$2:$A$497,1))/INDEX(Data!$D$2:$D$497,MATCH(N282,Data!$A$2:$A$497,1))),"")</f>
        <v>0.769519547784886</v>
      </c>
      <c r="AO294" s="560">
        <f>IFERROR(LN(INDEX(Data!$E$2:$E$497,MATCH(N294,Data!$A$2:$A$497,1))/INDEX(Data!$E$2:$E$497,MATCH(N282,Data!$A$2:$A$497,1))),"")</f>
        <v>0.142162097622471</v>
      </c>
      <c r="AP294" s="560">
        <f>IFERROR(LN(INDEX(Data!$F$2:$F$497,MATCH(N294,Data!$A$2:$A$497,1))/INDEX(Data!$F$2:$F$497,MATCH(N282,Data!$A$2:$A$497,1))),"")</f>
        <v>0.0768871366228888</v>
      </c>
      <c r="AQ294" s="560">
        <f>IFERROR(LN(INDEX(Data!$G$2:$G$497,MATCH(N294,Data!$A$2:$A$497,1))/INDEX(Data!$G$2:$G$497,MATCH(N282,Data!$A$2:$A$497,1))),"")</f>
        <v>0.0528613415041736</v>
      </c>
      <c r="AR294" s="560">
        <f>IFERROR(LN(INDEX(Data!$H$2:$H$497,MATCH(N294,Data!$A$2:$A$497,1))/INDEX(Data!$H$2:$H$497,MATCH(N282,Data!$A$2:$A$497,1))),"")</f>
      </c>
      <c r="AS294" s="560">
        <f>IFERROR(LN(INDEX(Data!$I$2:$I$497,MATCH(N294,Data!$A$2:$A$497,1))/INDEX(Data!$I$2:$I$497,MATCH(N282,Data!$A$2:$A$497,1))),"")</f>
      </c>
      <c r="AT294" s="560">
        <f>IFERROR(LN(INDEX(Data!$J$2:$J$497,MATCH(N294,Data!$A$2:$A$497,1))/INDEX(Data!$J$2:$J$497,MATCH(N282,Data!$A$2:$A$497,1))),"")</f>
        <v>0.169659785084275</v>
      </c>
      <c r="AU294" s="560">
        <f>IFERROR(LN(INDEX(Data!$K$2:$K$497,MATCH(N294,Data!$A$2:$A$497,1))/INDEX(Data!$K$2:$K$497,MATCH(N282,Data!$A$2:$A$497,1))),"")</f>
        <v>0.147336343407528</v>
      </c>
      <c r="AV294" s="561">
        <f>IFERROR(LN(INDEX(Data!$L$2:$L$497,MATCH(N294,Data!$A$2:$A$497,1))/INDEX(Data!$L$2:$L$497,MATCH(N282,Data!$A$2:$A$497,1))),"")</f>
        <v>0.0997867240789319</v>
      </c>
    </row>
    <row r="295">
      <c r="N295" s="337" t="n">
        <v>33694</v>
      </c>
      <c r="O295" s="116">
        <f>INDEX('Additional data'!$B$2:$B$965,MATCH(DATE(YEAR(N295),MONTH(N295),1),'Additional data'!$A$2:$A$965,0))</f>
        <v>18.916</v>
      </c>
      <c r="P295" s="489">
        <f>LN(O295)</f>
        <v>2.94000812478163</v>
      </c>
      <c r="Q295" s="489">
        <f>Q294+LN(1+INDEX('Additional data'!$H$2:$H$1196,MATCH(N295,'Additional data'!$G$2:$G$1196,1))+INDEX('Additional data'!$I$2:$I$1196,MATCH(N295,'Additional data'!$G$2:$G$1196,1)))</f>
        <v>2.38796953702123</v>
      </c>
      <c r="R295" s="489">
        <f>LN(INDEX(Data!$B$2:$B$497,MATCH(N295,Data!$A$2:$A$497,1)))</f>
        <v>8.6007803792225</v>
      </c>
      <c r="S295" s="116">
        <f>IF(INDEX('Additional data'!$E$2:$E$699,MATCH(DATE(YEAR(N295),MONTH(N295),1),'Additional data'!$D$2:$D$699,0))=0,(INDEX('Additional data'!$E$2:$E$699,MATCH(DATE(YEAR(N295),MONTH(N295),1),'Additional data'!$D$2:$D$699,0)-1)+INDEX('Additional data'!$E$2:$E$699,MATCH(DATE(YEAR(N295),MONTH(N295),1),'Additional data'!$D$2:$D$699,0)+1))/2,INDEX('Additional data'!$E$2:$E$699,MATCH(DATE(YEAR(N295),MONTH(N295),1),'Additional data'!$D$2:$D$699,0)))</f>
        <v>7.51</v>
      </c>
      <c r="T295" s="425">
        <f>P295-P294</f>
        <v>-0.0041676618579598</v>
      </c>
      <c r="U295" s="425">
        <f>Q295-Q294</f>
        <v>-0.0233709863232403</v>
      </c>
      <c r="V295" s="425">
        <f>R295-R294</f>
        <v>-0.016384835970662</v>
      </c>
      <c r="W295" s="116">
        <f>S295-S294</f>
        <v>-0.00999999999999979</v>
      </c>
      <c r="X295" s="425">
        <f>P295-P283</f>
        <v>-0.0486995338353973</v>
      </c>
      <c r="Y295" s="425">
        <f>Q295-Q283</f>
        <v>0.13115995145387</v>
      </c>
      <c r="Z295" s="425">
        <f>R295-R283</f>
        <v>0.129463601073793</v>
      </c>
      <c r="AA295" s="116">
        <f>S295-S283</f>
        <v>-3.98</v>
      </c>
      <c r="AB295" s="425">
        <f>P295-P235</f>
        <v>0.0328338782094297</v>
      </c>
      <c r="AC295" s="425">
        <f>Q295-Q235</f>
        <v>0.47072240418275</v>
      </c>
      <c r="AD295" s="425">
        <f>R295-R235</f>
        <v>0.166621031135831</v>
      </c>
      <c r="AE295" s="235">
        <f>S295-S235</f>
        <v>-8.9</v>
      </c>
      <c r="AG295" s="554">
        <f>N295</f>
        <v>33694.0</v>
      </c>
      <c r="AH295" s="435">
        <f>IFERROR(INDEX('RBA 5Y yield'!$B$5:$B$661,MATCH(N295,'RBA 5Y yield'!$A$5:$A$661,1))*100,"")</f>
        <v>9.42</v>
      </c>
      <c r="AI295" s="435">
        <f>IF(AND(ISNUMBER(AH295),ISNUMBER(AH294)),AH295-AH294,"")</f>
        <v>0</v>
      </c>
      <c r="AJ295" s="435">
        <f>IF(AND(ISNUMBER(AH295),ISNUMBER(AH283)),AH295-AH283,"")</f>
        <v>-1.89</v>
      </c>
      <c r="AK295" s="435">
        <f>IF(AND(ISNUMBER(AH295),ISNUMBER(AH235)),AH295-AH235,"")</f>
        <v>-4.43</v>
      </c>
      <c r="AL295" s="560">
        <f>IFERROR(LN(INDEX(Data!$B$2:$B$497,MATCH(N295,Data!$A$2:$A$497,1))/INDEX(Data!$B$2:$B$497,MATCH(N283,Data!$A$2:$A$497,1))),"")</f>
        <v>0.129463601073794</v>
      </c>
      <c r="AM295" s="560">
        <f>IFERROR(LN(INDEX(Data!$C$2:$C$497,MATCH(N295,Data!$A$2:$A$497,1))/INDEX(Data!$C$2:$C$497,MATCH(N283,Data!$A$2:$A$497,1))),"")</f>
        <v>-0.0256151922042594</v>
      </c>
      <c r="AN295" s="560">
        <f>IFERROR(LN(INDEX(Data!$D$2:$D$497,MATCH(N295,Data!$A$2:$A$497,1))/INDEX(Data!$D$2:$D$497,MATCH(N283,Data!$A$2:$A$497,1))),"")</f>
        <v>0.724926403165347</v>
      </c>
      <c r="AO295" s="560">
        <f>IFERROR(LN(INDEX(Data!$E$2:$E$497,MATCH(N295,Data!$A$2:$A$497,1))/INDEX(Data!$E$2:$E$497,MATCH(N283,Data!$A$2:$A$497,1))),"")</f>
        <v>0.0324291875307248</v>
      </c>
      <c r="AP295" s="560">
        <f>IFERROR(LN(INDEX(Data!$F$2:$F$497,MATCH(N295,Data!$A$2:$A$497,1))/INDEX(Data!$F$2:$F$497,MATCH(N283,Data!$A$2:$A$497,1))),"")</f>
        <v>0.0107599636456158</v>
      </c>
      <c r="AQ295" s="560">
        <f>IFERROR(LN(INDEX(Data!$G$2:$G$497,MATCH(N295,Data!$A$2:$A$497,1))/INDEX(Data!$G$2:$G$497,MATCH(N283,Data!$A$2:$A$497,1))),"")</f>
        <v>0.0471890475095841</v>
      </c>
      <c r="AR295" s="560">
        <f>IFERROR(LN(INDEX(Data!$H$2:$H$497,MATCH(N295,Data!$A$2:$A$497,1))/INDEX(Data!$H$2:$H$497,MATCH(N283,Data!$A$2:$A$497,1))),"")</f>
      </c>
      <c r="AS295" s="560">
        <f>IFERROR(LN(INDEX(Data!$I$2:$I$497,MATCH(N295,Data!$A$2:$A$497,1))/INDEX(Data!$I$2:$I$497,MATCH(N283,Data!$A$2:$A$497,1))),"")</f>
      </c>
      <c r="AT295" s="560">
        <f>IFERROR(LN(INDEX(Data!$J$2:$J$497,MATCH(N295,Data!$A$2:$A$497,1))/INDEX(Data!$J$2:$J$497,MATCH(N283,Data!$A$2:$A$497,1))),"")</f>
        <v>0.170174757412253</v>
      </c>
      <c r="AU295" s="560">
        <f>IFERROR(LN(INDEX(Data!$K$2:$K$497,MATCH(N295,Data!$A$2:$A$497,1))/INDEX(Data!$K$2:$K$497,MATCH(N283,Data!$A$2:$A$497,1))),"")</f>
        <v>0.136369466742669</v>
      </c>
      <c r="AV295" s="561">
        <f>IFERROR(LN(INDEX(Data!$L$2:$L$497,MATCH(N295,Data!$A$2:$A$497,1))/INDEX(Data!$L$2:$L$497,MATCH(N283,Data!$A$2:$A$497,1))),"")</f>
        <v>0.0963843858813759</v>
      </c>
    </row>
    <row r="296">
      <c r="N296" s="337" t="n">
        <v>33724</v>
      </c>
      <c r="O296" s="116">
        <f>INDEX('Additional data'!$B$2:$B$965,MATCH(DATE(YEAR(N296),MONTH(N296),1),'Additional data'!$A$2:$A$965,0))</f>
        <v>20.243</v>
      </c>
      <c r="P296" s="489">
        <f>LN(O296)</f>
        <v>3.00780905477944</v>
      </c>
      <c r="Q296" s="489">
        <f>Q295+LN(1+INDEX('Additional data'!$H$2:$H$1196,MATCH(N296,'Additional data'!$G$2:$G$1196,1))+INDEX('Additional data'!$I$2:$I$1196,MATCH(N296,'Additional data'!$G$2:$G$1196,1)))</f>
        <v>2.40197105665705</v>
      </c>
      <c r="R296" s="489">
        <f>LN(INDEX(Data!$B$2:$B$497,MATCH(N296,Data!$A$2:$A$497,1)))</f>
        <v>8.65100704414515</v>
      </c>
      <c r="S296" s="116">
        <f>IF(INDEX('Additional data'!$E$2:$E$699,MATCH(DATE(YEAR(N296),MONTH(N296),1),'Additional data'!$D$2:$D$699,0))=0,(INDEX('Additional data'!$E$2:$E$699,MATCH(DATE(YEAR(N296),MONTH(N296),1),'Additional data'!$D$2:$D$699,0)-1)+INDEX('Additional data'!$E$2:$E$699,MATCH(DATE(YEAR(N296),MONTH(N296),1),'Additional data'!$D$2:$D$699,0)+1))/2,INDEX('Additional data'!$E$2:$E$699,MATCH(DATE(YEAR(N296),MONTH(N296),1),'Additional data'!$D$2:$D$699,0)))</f>
        <v>7.18</v>
      </c>
      <c r="T296" s="425">
        <f>P296-P295</f>
        <v>0.0678009299978108</v>
      </c>
      <c r="U296" s="425">
        <f>Q296-Q295</f>
        <v>0.0140015196358134</v>
      </c>
      <c r="V296" s="425">
        <f>R296-R295</f>
        <v>0.0502266649226435</v>
      </c>
      <c r="W296" s="116">
        <f>S296-S295</f>
        <v>-0.33</v>
      </c>
      <c r="X296" s="425">
        <f>P296-P284</f>
        <v>-0.0282490902461161</v>
      </c>
      <c r="Y296" s="425">
        <f>Q296-Q284</f>
        <v>0.142664590891096</v>
      </c>
      <c r="Z296" s="425">
        <f>R296-R284</f>
        <v>0.115443623374032</v>
      </c>
      <c r="AA296" s="116">
        <f>S296-S284</f>
        <v>-4.18</v>
      </c>
      <c r="AB296" s="425">
        <f>P296-P236</f>
        <v>0.0823383142661154</v>
      </c>
      <c r="AC296" s="425">
        <f>Q296-Q236</f>
        <v>0.501361564971587</v>
      </c>
      <c r="AD296" s="425">
        <f>R296-R236</f>
        <v>0.177891139969839</v>
      </c>
      <c r="AE296" s="235">
        <f>S296-S236</f>
        <v>-7.9</v>
      </c>
      <c r="AG296" s="554">
        <f>N296</f>
        <v>33724.0</v>
      </c>
      <c r="AH296" s="435">
        <f>IFERROR(INDEX('RBA 5Y yield'!$B$5:$B$661,MATCH(N296,'RBA 5Y yield'!$A$5:$A$661,1))*100,"")</f>
        <v>8.68</v>
      </c>
      <c r="AI296" s="435">
        <f>IF(AND(ISNUMBER(AH296),ISNUMBER(AH295)),AH296-AH295,"")</f>
        <v>-0.74</v>
      </c>
      <c r="AJ296" s="435">
        <f>IF(AND(ISNUMBER(AH296),ISNUMBER(AH284)),AH296-AH284,"")</f>
        <v>-2.21</v>
      </c>
      <c r="AK296" s="435">
        <f>IF(AND(ISNUMBER(AH296),ISNUMBER(AH236)),AH296-AH236,"")</f>
        <v>-4.82</v>
      </c>
      <c r="AL296" s="560">
        <f>IFERROR(LN(INDEX(Data!$B$2:$B$497,MATCH(N296,Data!$A$2:$A$497,1))/INDEX(Data!$B$2:$B$497,MATCH(N284,Data!$A$2:$A$497,1))),"")</f>
        <v>0.115443623374034</v>
      </c>
      <c r="AM296" s="560">
        <f>IFERROR(LN(INDEX(Data!$C$2:$C$497,MATCH(N296,Data!$A$2:$A$497,1))/INDEX(Data!$C$2:$C$497,MATCH(N284,Data!$A$2:$A$497,1))),"")</f>
        <v>0.0173703933498982</v>
      </c>
      <c r="AN296" s="560">
        <f>IFERROR(LN(INDEX(Data!$D$2:$D$497,MATCH(N296,Data!$A$2:$A$497,1))/INDEX(Data!$D$2:$D$497,MATCH(N284,Data!$A$2:$A$497,1))),"")</f>
        <v>0.764649439919288</v>
      </c>
      <c r="AO296" s="560">
        <f>IFERROR(LN(INDEX(Data!$E$2:$E$497,MATCH(N296,Data!$A$2:$A$497,1))/INDEX(Data!$E$2:$E$497,MATCH(N284,Data!$A$2:$A$497,1))),"")</f>
        <v>0.055939240398402</v>
      </c>
      <c r="AP296" s="560">
        <f>IFERROR(LN(INDEX(Data!$F$2:$F$497,MATCH(N296,Data!$A$2:$A$497,1))/INDEX(Data!$F$2:$F$497,MATCH(N284,Data!$A$2:$A$497,1))),"")</f>
        <v>0.0516432689073153</v>
      </c>
      <c r="AQ296" s="560">
        <f>IFERROR(LN(INDEX(Data!$G$2:$G$497,MATCH(N296,Data!$A$2:$A$497,1))/INDEX(Data!$G$2:$G$497,MATCH(N284,Data!$A$2:$A$497,1))),"")</f>
        <v>0.0471890475095841</v>
      </c>
      <c r="AR296" s="560">
        <f>IFERROR(LN(INDEX(Data!$H$2:$H$497,MATCH(N296,Data!$A$2:$A$497,1))/INDEX(Data!$H$2:$H$497,MATCH(N284,Data!$A$2:$A$497,1))),"")</f>
      </c>
      <c r="AS296" s="560">
        <f>IFERROR(LN(INDEX(Data!$I$2:$I$497,MATCH(N296,Data!$A$2:$A$497,1))/INDEX(Data!$I$2:$I$497,MATCH(N284,Data!$A$2:$A$497,1))),"")</f>
      </c>
      <c r="AT296" s="560">
        <f>IFERROR(LN(INDEX(Data!$J$2:$J$497,MATCH(N296,Data!$A$2:$A$497,1))/INDEX(Data!$J$2:$J$497,MATCH(N284,Data!$A$2:$A$497,1))),"")</f>
        <v>0.176510145020945</v>
      </c>
      <c r="AU296" s="560">
        <f>IFERROR(LN(INDEX(Data!$K$2:$K$497,MATCH(N296,Data!$A$2:$A$497,1))/INDEX(Data!$K$2:$K$497,MATCH(N284,Data!$A$2:$A$497,1))),"")</f>
        <v>0.131981722269311</v>
      </c>
      <c r="AV296" s="561">
        <f>IFERROR(LN(INDEX(Data!$L$2:$L$497,MATCH(N296,Data!$A$2:$A$497,1))/INDEX(Data!$L$2:$L$497,MATCH(N284,Data!$A$2:$A$497,1))),"")</f>
        <v>0.0935542594822294</v>
      </c>
    </row>
    <row r="297">
      <c r="N297" s="337" t="n">
        <v>33755</v>
      </c>
      <c r="O297" s="116">
        <f>INDEX('Additional data'!$B$2:$B$965,MATCH(DATE(YEAR(N297),MONTH(N297),1),'Additional data'!$A$2:$A$965,0))</f>
        <v>20.94</v>
      </c>
      <c r="P297" s="489">
        <f>LN(O297)</f>
        <v>3.04166120544239</v>
      </c>
      <c r="Q297" s="489">
        <f>Q296+LN(1+INDEX('Additional data'!$H$2:$H$1196,MATCH(N297,'Additional data'!$G$2:$G$1196,1))+INDEX('Additional data'!$I$2:$I$1196,MATCH(N297,'Additional data'!$G$2:$G$1196,1)))</f>
        <v>2.40775430141277</v>
      </c>
      <c r="R297" s="489">
        <f>LN(INDEX(Data!$B$2:$B$497,MATCH(N297,Data!$A$2:$A$497,1)))</f>
        <v>8.70229421524378</v>
      </c>
      <c r="S297" s="116">
        <f>IF(INDEX('Additional data'!$E$2:$E$699,MATCH(DATE(YEAR(N297),MONTH(N297),1),'Additional data'!$D$2:$D$699,0))=0,(INDEX('Additional data'!$E$2:$E$699,MATCH(DATE(YEAR(N297),MONTH(N297),1),'Additional data'!$D$2:$D$699,0)-1)+INDEX('Additional data'!$E$2:$E$699,MATCH(DATE(YEAR(N297),MONTH(N297),1),'Additional data'!$D$2:$D$699,0)+1))/2,INDEX('Additional data'!$E$2:$E$699,MATCH(DATE(YEAR(N297),MONTH(N297),1),'Additional data'!$D$2:$D$699,0)))</f>
        <v>6.56</v>
      </c>
      <c r="T297" s="425">
        <f>P297-P296</f>
        <v>0.033852150662951</v>
      </c>
      <c r="U297" s="425">
        <f>Q297-Q296</f>
        <v>0.00578324475572734</v>
      </c>
      <c r="V297" s="425">
        <f>R297-R296</f>
        <v>0.0512871710986271</v>
      </c>
      <c r="W297" s="116">
        <f>S297-S296</f>
        <v>-0.62</v>
      </c>
      <c r="X297" s="425">
        <f>P297-P285</f>
        <v>-0.0142249909313468</v>
      </c>
      <c r="Y297" s="425">
        <f>Q297-Q285</f>
        <v>0.107977903093111</v>
      </c>
      <c r="Z297" s="425">
        <f>R297-R285</f>
        <v>0.177470212664637</v>
      </c>
      <c r="AA297" s="116">
        <f>S297-S285</f>
        <v>-4.16</v>
      </c>
      <c r="AB297" s="425">
        <f>P297-P237</f>
        <v>0.0756152422587606</v>
      </c>
      <c r="AC297" s="425">
        <f>Q297-Q237</f>
        <v>0.502256775654538</v>
      </c>
      <c r="AD297" s="425">
        <f>R297-R237</f>
        <v>0.21551899504907</v>
      </c>
      <c r="AE297" s="235">
        <f>S297-S237</f>
        <v>-7.58</v>
      </c>
      <c r="AG297" s="554">
        <f>N297</f>
        <v>33755.0</v>
      </c>
      <c r="AH297" s="435">
        <f>IFERROR(INDEX('RBA 5Y yield'!$B$5:$B$661,MATCH(N297,'RBA 5Y yield'!$A$5:$A$661,1))*100,"")</f>
        <v>8.37</v>
      </c>
      <c r="AI297" s="435">
        <f>IF(AND(ISNUMBER(AH297),ISNUMBER(AH296)),AH297-AH296,"")</f>
        <v>-0.310000000000001</v>
      </c>
      <c r="AJ297" s="435">
        <f>IF(AND(ISNUMBER(AH297),ISNUMBER(AH285)),AH297-AH285,"")</f>
        <v>-2.22</v>
      </c>
      <c r="AK297" s="435">
        <f>IF(AND(ISNUMBER(AH297),ISNUMBER(AH237)),AH297-AH237,"")</f>
        <v>-5.08</v>
      </c>
      <c r="AL297" s="560">
        <f>IFERROR(LN(INDEX(Data!$B$2:$B$497,MATCH(N297,Data!$A$2:$A$497,1))/INDEX(Data!$B$2:$B$497,MATCH(N285,Data!$A$2:$A$497,1))),"")</f>
        <v>0.177470212664638</v>
      </c>
      <c r="AM297" s="560">
        <f>IFERROR(LN(INDEX(Data!$C$2:$C$497,MATCH(N297,Data!$A$2:$A$497,1))/INDEX(Data!$C$2:$C$497,MATCH(N285,Data!$A$2:$A$497,1))),"")</f>
        <v>-0.0156574526504129</v>
      </c>
      <c r="AN297" s="560">
        <f>IFERROR(LN(INDEX(Data!$D$2:$D$497,MATCH(N297,Data!$A$2:$A$497,1))/INDEX(Data!$D$2:$D$497,MATCH(N285,Data!$A$2:$A$497,1))),"")</f>
        <v>0.679759244028471</v>
      </c>
      <c r="AO297" s="560">
        <f>IFERROR(LN(INDEX(Data!$E$2:$E$497,MATCH(N297,Data!$A$2:$A$497,1))/INDEX(Data!$E$2:$E$497,MATCH(N285,Data!$A$2:$A$497,1))),"")</f>
        <v>0.0532236384816763</v>
      </c>
      <c r="AP297" s="560">
        <f>IFERROR(LN(INDEX(Data!$F$2:$F$497,MATCH(N297,Data!$A$2:$A$497,1))/INDEX(Data!$F$2:$F$497,MATCH(N285,Data!$A$2:$A$497,1))),"")</f>
        <v>0.0517808476107118</v>
      </c>
      <c r="AQ297" s="560">
        <f>IFERROR(LN(INDEX(Data!$G$2:$G$497,MATCH(N297,Data!$A$2:$A$497,1))/INDEX(Data!$G$2:$G$497,MATCH(N285,Data!$A$2:$A$497,1))),"")</f>
        <v>0.0471890475095841</v>
      </c>
      <c r="AR297" s="560">
        <f>IFERROR(LN(INDEX(Data!$H$2:$H$497,MATCH(N297,Data!$A$2:$A$497,1))/INDEX(Data!$H$2:$H$497,MATCH(N285,Data!$A$2:$A$497,1))),"")</f>
      </c>
      <c r="AS297" s="560">
        <f>IFERROR(LN(INDEX(Data!$I$2:$I$497,MATCH(N297,Data!$A$2:$A$497,1))/INDEX(Data!$I$2:$I$497,MATCH(N285,Data!$A$2:$A$497,1))),"")</f>
      </c>
      <c r="AT297" s="560">
        <f>IFERROR(LN(INDEX(Data!$J$2:$J$497,MATCH(N297,Data!$A$2:$A$497,1))/INDEX(Data!$J$2:$J$497,MATCH(N285,Data!$A$2:$A$497,1))),"")</f>
        <v>0.169166874685245</v>
      </c>
      <c r="AU297" s="560">
        <f>IFERROR(LN(INDEX(Data!$K$2:$K$497,MATCH(N297,Data!$A$2:$A$497,1))/INDEX(Data!$K$2:$K$497,MATCH(N285,Data!$A$2:$A$497,1))),"")</f>
        <v>0.139386288330224</v>
      </c>
      <c r="AV297" s="561">
        <f>IFERROR(LN(INDEX(Data!$L$2:$L$497,MATCH(N297,Data!$A$2:$A$497,1))/INDEX(Data!$L$2:$L$497,MATCH(N285,Data!$A$2:$A$497,1))),"")</f>
        <v>0.0890423838847113</v>
      </c>
    </row>
    <row r="298">
      <c r="N298" s="337" t="n">
        <v>33785</v>
      </c>
      <c r="O298" s="116">
        <f>INDEX('Additional data'!$B$2:$B$965,MATCH(DATE(YEAR(N298),MONTH(N298),1),'Additional data'!$A$2:$A$965,0))</f>
        <v>22.375</v>
      </c>
      <c r="P298" s="489">
        <f>LN(O298)</f>
        <v>3.10794426416092</v>
      </c>
      <c r="Q298" s="489">
        <f>Q297+LN(1+INDEX('Additional data'!$H$2:$H$1196,MATCH(N298,'Additional data'!$G$2:$G$1196,1))+INDEX('Additional data'!$I$2:$I$1196,MATCH(N298,'Additional data'!$G$2:$G$1196,1)))</f>
        <v>2.38744954807241</v>
      </c>
      <c r="R298" s="489">
        <f>LN(INDEX(Data!$B$2:$B$497,MATCH(N298,Data!$A$2:$A$497,1)))</f>
        <v>8.68292794460579</v>
      </c>
      <c r="S298" s="116">
        <f>IF(INDEX('Additional data'!$E$2:$E$699,MATCH(DATE(YEAR(N298),MONTH(N298),1),'Additional data'!$D$2:$D$699,0))=0,(INDEX('Additional data'!$E$2:$E$699,MATCH(DATE(YEAR(N298),MONTH(N298),1),'Additional data'!$D$2:$D$699,0)-1)+INDEX('Additional data'!$E$2:$E$699,MATCH(DATE(YEAR(N298),MONTH(N298),1),'Additional data'!$D$2:$D$699,0)+1))/2,INDEX('Additional data'!$E$2:$E$699,MATCH(DATE(YEAR(N298),MONTH(N298),1),'Additional data'!$D$2:$D$699,0)))</f>
        <v>6.42</v>
      </c>
      <c r="T298" s="425">
        <f>P298-P297</f>
        <v>0.0662830587185281</v>
      </c>
      <c r="U298" s="425">
        <f>Q298-Q297</f>
        <v>-0.0203047533403642</v>
      </c>
      <c r="V298" s="425">
        <f>R298-R297</f>
        <v>-0.0193662706379811</v>
      </c>
      <c r="W298" s="116">
        <f>S298-S297</f>
        <v>-0.14</v>
      </c>
      <c r="X298" s="425">
        <f>P298-P286</f>
        <v>0.102509215145543</v>
      </c>
      <c r="Y298" s="425">
        <f>Q298-Q286</f>
        <v>0.133926534270208</v>
      </c>
      <c r="Z298" s="425">
        <f>R298-R286</f>
        <v>0.156457916409348</v>
      </c>
      <c r="AA298" s="116">
        <f>S298-S286</f>
        <v>-3.97</v>
      </c>
      <c r="AB298" s="425">
        <f>P298-P238</f>
        <v>0.110513433971347</v>
      </c>
      <c r="AC298" s="425">
        <f>Q298-Q238</f>
        <v>0.438988322882059</v>
      </c>
      <c r="AD298" s="425">
        <f>R298-R238</f>
        <v>0.198092669297683</v>
      </c>
      <c r="AE298" s="235">
        <f>S298-S238</f>
        <v>-7.26</v>
      </c>
      <c r="AG298" s="554">
        <f>N298</f>
        <v>33785.0</v>
      </c>
      <c r="AH298" s="435">
        <f>IFERROR(INDEX('RBA 5Y yield'!$B$5:$B$661,MATCH(N298,'RBA 5Y yield'!$A$5:$A$661,1))*100,"")</f>
        <v>7.83</v>
      </c>
      <c r="AI298" s="435">
        <f>IF(AND(ISNUMBER(AH298),ISNUMBER(AH297)),AH298-AH297,"")</f>
        <v>-0.54</v>
      </c>
      <c r="AJ298" s="435">
        <f>IF(AND(ISNUMBER(AH298),ISNUMBER(AH286)),AH298-AH286,"")</f>
        <v>-3.24</v>
      </c>
      <c r="AK298" s="435">
        <f>IF(AND(ISNUMBER(AH298),ISNUMBER(AH238)),AH298-AH238,"")</f>
        <v>-5.27</v>
      </c>
      <c r="AL298" s="560">
        <f>IFERROR(LN(INDEX(Data!$B$2:$B$497,MATCH(N298,Data!$A$2:$A$497,1))/INDEX(Data!$B$2:$B$497,MATCH(N286,Data!$A$2:$A$497,1))),"")</f>
        <v>0.156457916409346</v>
      </c>
      <c r="AM298" s="560">
        <f>IFERROR(LN(INDEX(Data!$C$2:$C$497,MATCH(N298,Data!$A$2:$A$497,1))/INDEX(Data!$C$2:$C$497,MATCH(N286,Data!$A$2:$A$497,1))),"")</f>
        <v>0.00574037566231268</v>
      </c>
      <c r="AN298" s="560">
        <f>IFERROR(LN(INDEX(Data!$D$2:$D$497,MATCH(N298,Data!$A$2:$A$497,1))/INDEX(Data!$D$2:$D$497,MATCH(N286,Data!$A$2:$A$497,1))),"")</f>
        <v>0.637071461394317</v>
      </c>
      <c r="AO298" s="560">
        <f>IFERROR(LN(INDEX(Data!$E$2:$E$497,MATCH(N298,Data!$A$2:$A$497,1))/INDEX(Data!$E$2:$E$497,MATCH(N286,Data!$A$2:$A$497,1))),"")</f>
        <v>0.0848943503240555</v>
      </c>
      <c r="AP298" s="560">
        <f>IFERROR(LN(INDEX(Data!$F$2:$F$497,MATCH(N298,Data!$A$2:$A$497,1))/INDEX(Data!$F$2:$F$497,MATCH(N286,Data!$A$2:$A$497,1))),"")</f>
        <v>0.0918147657313059</v>
      </c>
      <c r="AQ298" s="560">
        <f>IFERROR(LN(INDEX(Data!$G$2:$G$497,MATCH(N298,Data!$A$2:$A$497,1))/INDEX(Data!$G$2:$G$497,MATCH(N286,Data!$A$2:$A$497,1))),"")</f>
        <v>0.0381925574119633</v>
      </c>
      <c r="AR298" s="560">
        <f>IFERROR(LN(INDEX(Data!$H$2:$H$497,MATCH(N298,Data!$A$2:$A$497,1))/INDEX(Data!$H$2:$H$497,MATCH(N286,Data!$A$2:$A$497,1))),"")</f>
      </c>
      <c r="AS298" s="560">
        <f>IFERROR(LN(INDEX(Data!$I$2:$I$497,MATCH(N298,Data!$A$2:$A$497,1))/INDEX(Data!$I$2:$I$497,MATCH(N286,Data!$A$2:$A$497,1))),"")</f>
      </c>
      <c r="AT298" s="560">
        <f>IFERROR(LN(INDEX(Data!$J$2:$J$497,MATCH(N298,Data!$A$2:$A$497,1))/INDEX(Data!$J$2:$J$497,MATCH(N286,Data!$A$2:$A$497,1))),"")</f>
        <v>0.199232017402253</v>
      </c>
      <c r="AU298" s="560">
        <f>IFERROR(LN(INDEX(Data!$K$2:$K$497,MATCH(N298,Data!$A$2:$A$497,1))/INDEX(Data!$K$2:$K$497,MATCH(N286,Data!$A$2:$A$497,1))),"")</f>
        <v>0.149184736862168</v>
      </c>
      <c r="AV298" s="561">
        <f>IFERROR(LN(INDEX(Data!$L$2:$L$497,MATCH(N298,Data!$A$2:$A$497,1))/INDEX(Data!$L$2:$L$497,MATCH(N286,Data!$A$2:$A$497,1))),"")</f>
        <v>0.08615601734497</v>
      </c>
    </row>
    <row r="299">
      <c r="N299" s="337" t="n">
        <v>33816</v>
      </c>
      <c r="O299" s="116">
        <f>INDEX('Additional data'!$B$2:$B$965,MATCH(DATE(YEAR(N299),MONTH(N299),1),'Additional data'!$A$2:$A$965,0))</f>
        <v>21.759</v>
      </c>
      <c r="P299" s="489">
        <f>LN(O299)</f>
        <v>3.08002746504939</v>
      </c>
      <c r="Q299" s="489">
        <f>Q298+LN(1+INDEX('Additional data'!$H$2:$H$1196,MATCH(N299,'Additional data'!$G$2:$G$1196,1))+INDEX('Additional data'!$I$2:$I$1196,MATCH(N299,'Additional data'!$G$2:$G$1196,1)))</f>
        <v>2.42753527161169</v>
      </c>
      <c r="R299" s="489">
        <f>LN(INDEX(Data!$B$2:$B$497,MATCH(N299,Data!$A$2:$A$497,1)))</f>
        <v>8.66431925630653</v>
      </c>
      <c r="S299" s="116">
        <f>IF(INDEX('Additional data'!$E$2:$E$699,MATCH(DATE(YEAR(N299),MONTH(N299),1),'Additional data'!$D$2:$D$699,0))=0,(INDEX('Additional data'!$E$2:$E$699,MATCH(DATE(YEAR(N299),MONTH(N299),1),'Additional data'!$D$2:$D$699,0)-1)+INDEX('Additional data'!$E$2:$E$699,MATCH(DATE(YEAR(N299),MONTH(N299),1),'Additional data'!$D$2:$D$699,0)+1))/2,INDEX('Additional data'!$E$2:$E$699,MATCH(DATE(YEAR(N299),MONTH(N299),1),'Additional data'!$D$2:$D$699,0)))</f>
        <v>5.64</v>
      </c>
      <c r="T299" s="425">
        <f>P299-P298</f>
        <v>-0.0279167991115341</v>
      </c>
      <c r="U299" s="425">
        <f>Q299-Q298</f>
        <v>0.0400857235392857</v>
      </c>
      <c r="V299" s="425">
        <f>R299-R298</f>
        <v>-0.0186086882992633</v>
      </c>
      <c r="W299" s="116">
        <f>S299-S298</f>
        <v>-0.78</v>
      </c>
      <c r="X299" s="425">
        <f>P299-P287</f>
        <v>0.0157024000297823</v>
      </c>
      <c r="Y299" s="425">
        <f>Q299-Q287</f>
        <v>0.127796834012531</v>
      </c>
      <c r="Z299" s="425">
        <f>R299-R287</f>
        <v>0.0937938505135225</v>
      </c>
      <c r="AA299" s="116">
        <f>S299-S287</f>
        <v>-4.7</v>
      </c>
      <c r="AB299" s="425">
        <f>P299-P239</f>
        <v>0.0187415607559553</v>
      </c>
      <c r="AC299" s="425">
        <f>Q299-Q239</f>
        <v>0.436972870402709</v>
      </c>
      <c r="AD299" s="425">
        <f>R299-R239</f>
        <v>0.0372676798300535</v>
      </c>
      <c r="AE299" s="235">
        <f>S299-S239</f>
        <v>-7.35</v>
      </c>
      <c r="AG299" s="554">
        <f>N299</f>
        <v>33816.0</v>
      </c>
      <c r="AH299" s="435">
        <f>IFERROR(INDEX('RBA 5Y yield'!$B$5:$B$661,MATCH(N299,'RBA 5Y yield'!$A$5:$A$661,1))*100,"")</f>
        <v>7.05</v>
      </c>
      <c r="AI299" s="435">
        <f>IF(AND(ISNUMBER(AH299),ISNUMBER(AH298)),AH299-AH298,"")</f>
        <v>-0.78</v>
      </c>
      <c r="AJ299" s="435">
        <f>IF(AND(ISNUMBER(AH299),ISNUMBER(AH287)),AH299-AH287,"")</f>
        <v>-3.8</v>
      </c>
      <c r="AK299" s="435">
        <f>IF(AND(ISNUMBER(AH299),ISNUMBER(AH239)),AH299-AH239,"")</f>
        <v>-5.95</v>
      </c>
      <c r="AL299" s="560">
        <f>IFERROR(LN(INDEX(Data!$B$2:$B$497,MATCH(N299,Data!$A$2:$A$497,1))/INDEX(Data!$B$2:$B$497,MATCH(N287,Data!$A$2:$A$497,1))),"")</f>
        <v>0.0937938505135229</v>
      </c>
      <c r="AM299" s="560">
        <f>IFERROR(LN(INDEX(Data!$C$2:$C$497,MATCH(N299,Data!$A$2:$A$497,1))/INDEX(Data!$C$2:$C$497,MATCH(N287,Data!$A$2:$A$497,1))),"")</f>
        <v>-0.0183336507471425</v>
      </c>
      <c r="AN299" s="560">
        <f>IFERROR(LN(INDEX(Data!$D$2:$D$497,MATCH(N299,Data!$A$2:$A$497,1))/INDEX(Data!$D$2:$D$497,MATCH(N287,Data!$A$2:$A$497,1))),"")</f>
        <v>0.632459868180158</v>
      </c>
      <c r="AO299" s="560">
        <f>IFERROR(LN(INDEX(Data!$E$2:$E$497,MATCH(N299,Data!$A$2:$A$497,1))/INDEX(Data!$E$2:$E$497,MATCH(N287,Data!$A$2:$A$497,1))),"")</f>
        <v>0.104554878439805</v>
      </c>
      <c r="AP299" s="560">
        <f>IFERROR(LN(INDEX(Data!$F$2:$F$497,MATCH(N299,Data!$A$2:$A$497,1))/INDEX(Data!$F$2:$F$497,MATCH(N287,Data!$A$2:$A$497,1))),"")</f>
        <v>0.0434589884969044</v>
      </c>
      <c r="AQ299" s="560">
        <f>IFERROR(LN(INDEX(Data!$G$2:$G$497,MATCH(N299,Data!$A$2:$A$497,1))/INDEX(Data!$G$2:$G$497,MATCH(N287,Data!$A$2:$A$497,1))),"")</f>
        <v>0.0381925574119633</v>
      </c>
      <c r="AR299" s="560">
        <f>IFERROR(LN(INDEX(Data!$H$2:$H$497,MATCH(N299,Data!$A$2:$A$497,1))/INDEX(Data!$H$2:$H$497,MATCH(N287,Data!$A$2:$A$497,1))),"")</f>
      </c>
      <c r="AS299" s="560">
        <f>IFERROR(LN(INDEX(Data!$I$2:$I$497,MATCH(N299,Data!$A$2:$A$497,1))/INDEX(Data!$I$2:$I$497,MATCH(N287,Data!$A$2:$A$497,1))),"")</f>
      </c>
      <c r="AT299" s="560">
        <f>IFERROR(LN(INDEX(Data!$J$2:$J$497,MATCH(N299,Data!$A$2:$A$497,1))/INDEX(Data!$J$2:$J$497,MATCH(N287,Data!$A$2:$A$497,1))),"")</f>
        <v>0.217267989142737</v>
      </c>
      <c r="AU299" s="560">
        <f>IFERROR(LN(INDEX(Data!$K$2:$K$497,MATCH(N299,Data!$A$2:$A$497,1))/INDEX(Data!$K$2:$K$497,MATCH(N287,Data!$A$2:$A$497,1))),"")</f>
        <v>0.149931948923209</v>
      </c>
      <c r="AV299" s="561">
        <f>IFERROR(LN(INDEX(Data!$L$2:$L$497,MATCH(N299,Data!$A$2:$A$497,1))/INDEX(Data!$L$2:$L$497,MATCH(N287,Data!$A$2:$A$497,1))),"")</f>
        <v>0.0829578844130676</v>
      </c>
    </row>
    <row r="300">
      <c r="N300" s="337" t="n">
        <v>33847</v>
      </c>
      <c r="O300" s="116">
        <f>INDEX('Additional data'!$B$2:$B$965,MATCH(DATE(YEAR(N300),MONTH(N300),1),'Additional data'!$A$2:$A$965,0))</f>
        <v>21.35</v>
      </c>
      <c r="P300" s="489">
        <f>LN(O300)</f>
        <v>3.06105173967463</v>
      </c>
      <c r="Q300" s="489">
        <f>Q299+LN(1+INDEX('Additional data'!$H$2:$H$1196,MATCH(N300,'Additional data'!$G$2:$G$1196,1))+INDEX('Additional data'!$I$2:$I$1196,MATCH(N300,'Additional data'!$G$2:$G$1196,1)))</f>
        <v>2.40610732419807</v>
      </c>
      <c r="R300" s="489">
        <f>LN(INDEX(Data!$B$2:$B$497,MATCH(N300,Data!$A$2:$A$497,1)))</f>
        <v>8.61828661597629</v>
      </c>
      <c r="S300" s="116">
        <f>IF(INDEX('Additional data'!$E$2:$E$699,MATCH(DATE(YEAR(N300),MONTH(N300),1),'Additional data'!$D$2:$D$699,0))=0,(INDEX('Additional data'!$E$2:$E$699,MATCH(DATE(YEAR(N300),MONTH(N300),1),'Additional data'!$D$2:$D$699,0)-1)+INDEX('Additional data'!$E$2:$E$699,MATCH(DATE(YEAR(N300),MONTH(N300),1),'Additional data'!$D$2:$D$699,0)+1))/2,INDEX('Additional data'!$E$2:$E$699,MATCH(DATE(YEAR(N300),MONTH(N300),1),'Additional data'!$D$2:$D$699,0)))</f>
        <v>5.73</v>
      </c>
      <c r="T300" s="425">
        <f>P300-P299</f>
        <v>-0.0189757253747516</v>
      </c>
      <c r="U300" s="425">
        <f>Q300-Q299</f>
        <v>-0.0214279474136205</v>
      </c>
      <c r="V300" s="425">
        <f>R300-R299</f>
        <v>-0.0460326403302407</v>
      </c>
      <c r="W300" s="116">
        <f>S300-S299</f>
        <v>0.0900000000000008</v>
      </c>
      <c r="X300" s="425">
        <f>P300-P288</f>
        <v>-0.0157073725217307</v>
      </c>
      <c r="Y300" s="425">
        <f>Q300-Q288</f>
        <v>0.0789482910229182</v>
      </c>
      <c r="Z300" s="425">
        <f>R300-R288</f>
        <v>0.0669818949312848</v>
      </c>
      <c r="AA300" s="116">
        <f>S300-S288</f>
        <v>-4.4</v>
      </c>
      <c r="AB300" s="425">
        <f>P300-P240</f>
        <v>0.0517124627144256</v>
      </c>
      <c r="AC300" s="425">
        <f>Q300-Q240</f>
        <v>0.376420368305038</v>
      </c>
      <c r="AD300" s="425">
        <f>R300-R240</f>
        <v>-0.0669094406377138</v>
      </c>
      <c r="AE300" s="235">
        <f>S300-S240</f>
        <v>-6.81</v>
      </c>
      <c r="AG300" s="554">
        <f>N300</f>
        <v>33847.0</v>
      </c>
      <c r="AH300" s="435">
        <f>IFERROR(INDEX('RBA 5Y yield'!$B$5:$B$661,MATCH(N300,'RBA 5Y yield'!$A$5:$A$661,1))*100,"")</f>
        <v>8.41</v>
      </c>
      <c r="AI300" s="435">
        <f>IF(AND(ISNUMBER(AH300),ISNUMBER(AH299)),AH300-AH299,"")</f>
        <v>1.36</v>
      </c>
      <c r="AJ300" s="435">
        <f>IF(AND(ISNUMBER(AH300),ISNUMBER(AH288)),AH300-AH288,"")</f>
        <v>-2.23</v>
      </c>
      <c r="AK300" s="435">
        <f>IF(AND(ISNUMBER(AH300),ISNUMBER(AH240)),AH300-AH240,"")</f>
        <v>-4.39</v>
      </c>
      <c r="AL300" s="560">
        <f>IFERROR(LN(INDEX(Data!$B$2:$B$497,MATCH(N300,Data!$A$2:$A$497,1))/INDEX(Data!$B$2:$B$497,MATCH(N288,Data!$A$2:$A$497,1))),"")</f>
        <v>0.0669818949312843</v>
      </c>
      <c r="AM300" s="560">
        <f>IFERROR(LN(INDEX(Data!$C$2:$C$497,MATCH(N300,Data!$A$2:$A$497,1))/INDEX(Data!$C$2:$C$497,MATCH(N288,Data!$A$2:$A$497,1))),"")</f>
        <v>0.040940727189518</v>
      </c>
      <c r="AN300" s="560">
        <f>IFERROR(LN(INDEX(Data!$D$2:$D$497,MATCH(N300,Data!$A$2:$A$497,1))/INDEX(Data!$D$2:$D$497,MATCH(N288,Data!$A$2:$A$497,1))),"")</f>
        <v>0.607289294257797</v>
      </c>
      <c r="AO300" s="560">
        <f>IFERROR(LN(INDEX(Data!$E$2:$E$497,MATCH(N300,Data!$A$2:$A$497,1))/INDEX(Data!$E$2:$E$497,MATCH(N288,Data!$A$2:$A$497,1))),"")</f>
        <v>0.129864725198039</v>
      </c>
      <c r="AP300" s="560">
        <f>IFERROR(LN(INDEX(Data!$F$2:$F$497,MATCH(N300,Data!$A$2:$A$497,1))/INDEX(Data!$F$2:$F$497,MATCH(N288,Data!$A$2:$A$497,1))),"")</f>
        <v>0.0780722714689102</v>
      </c>
      <c r="AQ300" s="560">
        <f>IFERROR(LN(INDEX(Data!$G$2:$G$497,MATCH(N300,Data!$A$2:$A$497,1))/INDEX(Data!$G$2:$G$497,MATCH(N288,Data!$A$2:$A$497,1))),"")</f>
        <v>0.0381925574119633</v>
      </c>
      <c r="AR300" s="560">
        <f>IFERROR(LN(INDEX(Data!$H$2:$H$497,MATCH(N300,Data!$A$2:$A$497,1))/INDEX(Data!$H$2:$H$497,MATCH(N288,Data!$A$2:$A$497,1))),"")</f>
      </c>
      <c r="AS300" s="560">
        <f>IFERROR(LN(INDEX(Data!$I$2:$I$497,MATCH(N300,Data!$A$2:$A$497,1))/INDEX(Data!$I$2:$I$497,MATCH(N288,Data!$A$2:$A$497,1))),"")</f>
      </c>
      <c r="AT300" s="560">
        <f>IFERROR(LN(INDEX(Data!$J$2:$J$497,MATCH(N300,Data!$A$2:$A$497,1))/INDEX(Data!$J$2:$J$497,MATCH(N288,Data!$A$2:$A$497,1))),"")</f>
        <v>0.165799565907005</v>
      </c>
      <c r="AU300" s="560">
        <f>IFERROR(LN(INDEX(Data!$K$2:$K$497,MATCH(N300,Data!$A$2:$A$497,1))/INDEX(Data!$K$2:$K$497,MATCH(N288,Data!$A$2:$A$497,1))),"")</f>
        <v>0.136890482111557</v>
      </c>
      <c r="AV300" s="561">
        <f>IFERROR(LN(INDEX(Data!$L$2:$L$497,MATCH(N300,Data!$A$2:$A$497,1))/INDEX(Data!$L$2:$L$497,MATCH(N288,Data!$A$2:$A$497,1))),"")</f>
        <v>0.0790212125830122</v>
      </c>
    </row>
    <row r="301">
      <c r="N301" s="337" t="n">
        <v>33877</v>
      </c>
      <c r="O301" s="116">
        <f>INDEX('Additional data'!$B$2:$B$965,MATCH(DATE(YEAR(N301),MONTH(N301),1),'Additional data'!$A$2:$A$965,0))</f>
        <v>21.902</v>
      </c>
      <c r="P301" s="489">
        <f>LN(O301)</f>
        <v>3.08657795685357</v>
      </c>
      <c r="Q301" s="489">
        <f>Q300+LN(1+INDEX('Additional data'!$H$2:$H$1196,MATCH(N301,'Additional data'!$G$2:$G$1196,1))+INDEX('Additional data'!$I$2:$I$1196,MATCH(N301,'Additional data'!$G$2:$G$1196,1)))</f>
        <v>2.42050320448181</v>
      </c>
      <c r="R301" s="489">
        <f>LN(INDEX(Data!$B$2:$B$497,MATCH(N301,Data!$A$2:$A$497,1)))</f>
        <v>8.57629194380344</v>
      </c>
      <c r="S301" s="116">
        <f>IF(INDEX('Additional data'!$E$2:$E$699,MATCH(DATE(YEAR(N301),MONTH(N301),1),'Additional data'!$D$2:$D$699,0))=0,(INDEX('Additional data'!$E$2:$E$699,MATCH(DATE(YEAR(N301),MONTH(N301),1),'Additional data'!$D$2:$D$699,0)-1)+INDEX('Additional data'!$E$2:$E$699,MATCH(DATE(YEAR(N301),MONTH(N301),1),'Additional data'!$D$2:$D$699,0)+1))/2,INDEX('Additional data'!$E$2:$E$699,MATCH(DATE(YEAR(N301),MONTH(N301),1),'Additional data'!$D$2:$D$699,0)))</f>
        <v>5.94</v>
      </c>
      <c r="T301" s="425">
        <f>P301-P300</f>
        <v>0.0255262171789341</v>
      </c>
      <c r="U301" s="425">
        <f>Q301-Q300</f>
        <v>0.0143958802837325</v>
      </c>
      <c r="V301" s="425">
        <f>R301-R300</f>
        <v>-0.0419946721728461</v>
      </c>
      <c r="W301" s="116">
        <f>S301-S300</f>
        <v>0.21</v>
      </c>
      <c r="X301" s="425">
        <f>P301-P289</f>
        <v>0.00205672048551753</v>
      </c>
      <c r="Y301" s="425">
        <f>Q301-Q289</f>
        <v>0.104708501385701</v>
      </c>
      <c r="Z301" s="425">
        <f>R301-R289</f>
        <v>0.00890005685446127</v>
      </c>
      <c r="AA301" s="116">
        <f>S301-S289</f>
        <v>-3.64</v>
      </c>
      <c r="AB301" s="425">
        <f>P301-P241</f>
        <v>0.114831046050088</v>
      </c>
      <c r="AC301" s="425">
        <f>Q301-Q241</f>
        <v>0.412346367139134</v>
      </c>
      <c r="AD301" s="425">
        <f>R301-R241</f>
        <v>-0.155560912318693</v>
      </c>
      <c r="AE301" s="235">
        <f>S301-S241</f>
        <v>-5.76</v>
      </c>
      <c r="AG301" s="554">
        <f>N301</f>
        <v>33877.0</v>
      </c>
      <c r="AH301" s="435">
        <f>IFERROR(INDEX('RBA 5Y yield'!$B$5:$B$661,MATCH(N301,'RBA 5Y yield'!$A$5:$A$661,1))*100,"")</f>
        <v>8.32</v>
      </c>
      <c r="AI301" s="435">
        <f>IF(AND(ISNUMBER(AH301),ISNUMBER(AH300)),AH301-AH300,"")</f>
        <v>-0.0899999999999999</v>
      </c>
      <c r="AJ301" s="435">
        <f>IF(AND(ISNUMBER(AH301),ISNUMBER(AH289)),AH301-AH289,"")</f>
        <v>-1.71</v>
      </c>
      <c r="AK301" s="435">
        <f>IF(AND(ISNUMBER(AH301),ISNUMBER(AH241)),AH301-AH241,"")</f>
        <v>-3.63</v>
      </c>
      <c r="AL301" s="560">
        <f>IFERROR(LN(INDEX(Data!$B$2:$B$497,MATCH(N301,Data!$A$2:$A$497,1))/INDEX(Data!$B$2:$B$497,MATCH(N289,Data!$A$2:$A$497,1))),"")</f>
        <v>0.00890005685446051</v>
      </c>
      <c r="AM301" s="560">
        <f>IFERROR(LN(INDEX(Data!$C$2:$C$497,MATCH(N301,Data!$A$2:$A$497,1))/INDEX(Data!$C$2:$C$497,MATCH(N289,Data!$A$2:$A$497,1))),"")</f>
        <v>0.0618748820480809</v>
      </c>
      <c r="AN301" s="560">
        <f>IFERROR(LN(INDEX(Data!$D$2:$D$497,MATCH(N301,Data!$A$2:$A$497,1))/INDEX(Data!$D$2:$D$497,MATCH(N289,Data!$A$2:$A$497,1))),"")</f>
        <v>0.672132399019466</v>
      </c>
      <c r="AO301" s="560">
        <f>IFERROR(LN(INDEX(Data!$E$2:$E$497,MATCH(N301,Data!$A$2:$A$497,1))/INDEX(Data!$E$2:$E$497,MATCH(N289,Data!$A$2:$A$497,1))),"")</f>
        <v>0.160140446270783</v>
      </c>
      <c r="AP301" s="560">
        <f>IFERROR(LN(INDEX(Data!$F$2:$F$497,MATCH(N301,Data!$A$2:$A$497,1))/INDEX(Data!$F$2:$F$497,MATCH(N289,Data!$A$2:$A$497,1))),"")</f>
        <v>0.10698650521943</v>
      </c>
      <c r="AQ301" s="560">
        <f>IFERROR(LN(INDEX(Data!$G$2:$G$497,MATCH(N301,Data!$A$2:$A$497,1))/INDEX(Data!$G$2:$G$497,MATCH(N289,Data!$A$2:$A$497,1))),"")</f>
        <v>0.00907888300386703</v>
      </c>
      <c r="AR301" s="560">
        <f>IFERROR(LN(INDEX(Data!$H$2:$H$497,MATCH(N301,Data!$A$2:$A$497,1))/INDEX(Data!$H$2:$H$497,MATCH(N289,Data!$A$2:$A$497,1))),"")</f>
      </c>
      <c r="AS301" s="560">
        <f>IFERROR(LN(INDEX(Data!$I$2:$I$497,MATCH(N301,Data!$A$2:$A$497,1))/INDEX(Data!$I$2:$I$497,MATCH(N289,Data!$A$2:$A$497,1))),"")</f>
      </c>
      <c r="AT301" s="560">
        <f>IFERROR(LN(INDEX(Data!$J$2:$J$497,MATCH(N301,Data!$A$2:$A$497,1))/INDEX(Data!$J$2:$J$497,MATCH(N289,Data!$A$2:$A$497,1))),"")</f>
        <v>0.147385737845025</v>
      </c>
      <c r="AU301" s="560">
        <f>IFERROR(LN(INDEX(Data!$K$2:$K$497,MATCH(N301,Data!$A$2:$A$497,1))/INDEX(Data!$K$2:$K$497,MATCH(N289,Data!$A$2:$A$497,1))),"")</f>
        <v>0.129174171824705</v>
      </c>
      <c r="AV301" s="561">
        <f>IFERROR(LN(INDEX(Data!$L$2:$L$497,MATCH(N301,Data!$A$2:$A$497,1))/INDEX(Data!$L$2:$L$497,MATCH(N289,Data!$A$2:$A$497,1))),"")</f>
        <v>0.0750817676388976</v>
      </c>
    </row>
    <row r="302">
      <c r="N302" s="337" t="n">
        <v>33908</v>
      </c>
      <c r="O302" s="116">
        <f>INDEX('Additional data'!$B$2:$B$965,MATCH(DATE(YEAR(N302),MONTH(N302),1),'Additional data'!$A$2:$A$965,0))</f>
        <v>21.688</v>
      </c>
      <c r="P302" s="489">
        <f>LN(O302)</f>
        <v>3.07675911219636</v>
      </c>
      <c r="Q302" s="489">
        <f>Q301+LN(1+INDEX('Additional data'!$H$2:$H$1196,MATCH(N302,'Additional data'!$G$2:$G$1196,1))+INDEX('Additional data'!$I$2:$I$1196,MATCH(N302,'Additional data'!$G$2:$G$1196,1)))</f>
        <v>2.43292572448036</v>
      </c>
      <c r="R302" s="489">
        <f>LN(INDEX(Data!$B$2:$B$497,MATCH(N302,Data!$A$2:$A$497,1)))</f>
        <v>8.54424399689255</v>
      </c>
      <c r="S302" s="116">
        <f>IF(INDEX('Additional data'!$E$2:$E$699,MATCH(DATE(YEAR(N302),MONTH(N302),1),'Additional data'!$D$2:$D$699,0))=0,(INDEX('Additional data'!$E$2:$E$699,MATCH(DATE(YEAR(N302),MONTH(N302),1),'Additional data'!$D$2:$D$699,0)-1)+INDEX('Additional data'!$E$2:$E$699,MATCH(DATE(YEAR(N302),MONTH(N302),1),'Additional data'!$D$2:$D$699,0)+1))/2,INDEX('Additional data'!$E$2:$E$699,MATCH(DATE(YEAR(N302),MONTH(N302),1),'Additional data'!$D$2:$D$699,0)))</f>
        <v>5.86</v>
      </c>
      <c r="T302" s="425">
        <f>P302-P301</f>
        <v>-0.0098188446572034</v>
      </c>
      <c r="U302" s="425">
        <f>Q302-Q301</f>
        <v>0.012422519998557</v>
      </c>
      <c r="V302" s="425">
        <f>R302-R301</f>
        <v>-0.0320479469108914</v>
      </c>
      <c r="W302" s="116">
        <f>S302-S301</f>
        <v>-0.0800000000000001</v>
      </c>
      <c r="X302" s="425">
        <f>P302-P290</f>
        <v>-0.0685993353134391</v>
      </c>
      <c r="Y302" s="425">
        <f>Q302-Q290</f>
        <v>0.100175580734844</v>
      </c>
      <c r="Z302" s="425">
        <f>R302-R290</f>
        <v>-0.103995000635846</v>
      </c>
      <c r="AA302" s="116">
        <f>S302-S290</f>
        <v>-3.11</v>
      </c>
      <c r="AB302" s="425">
        <f>P302-P242</f>
        <v>0.0886558658068646</v>
      </c>
      <c r="AC302" s="425">
        <f>Q302-Q242</f>
        <v>0.68082310190916</v>
      </c>
      <c r="AD302" s="425">
        <f>R302-R242</f>
        <v>0.359423456892083</v>
      </c>
      <c r="AE302" s="235">
        <f>S302-S242</f>
        <v>-6.13</v>
      </c>
      <c r="AG302" s="554">
        <f>N302</f>
        <v>33908.0</v>
      </c>
      <c r="AH302" s="435">
        <f>IFERROR(INDEX('RBA 5Y yield'!$B$5:$B$661,MATCH(N302,'RBA 5Y yield'!$A$5:$A$661,1))*100,"")</f>
        <v>8.29</v>
      </c>
      <c r="AI302" s="435">
        <f>IF(AND(ISNUMBER(AH302),ISNUMBER(AH301)),AH302-AH301,"")</f>
        <v>-0.0299999999999994</v>
      </c>
      <c r="AJ302" s="435">
        <f>IF(AND(ISNUMBER(AH302),ISNUMBER(AH290)),AH302-AH290,"")</f>
        <v>-0.669999999999998</v>
      </c>
      <c r="AK302" s="435">
        <f>IF(AND(ISNUMBER(AH302),ISNUMBER(AH242)),AH302-AH242,"")</f>
        <v>-5.11</v>
      </c>
      <c r="AL302" s="560">
        <f>IFERROR(LN(INDEX(Data!$B$2:$B$497,MATCH(N302,Data!$A$2:$A$497,1))/INDEX(Data!$B$2:$B$497,MATCH(N290,Data!$A$2:$A$497,1))),"")</f>
        <v>-0.103995000635848</v>
      </c>
      <c r="AM302" s="560">
        <f>IFERROR(LN(INDEX(Data!$C$2:$C$497,MATCH(N302,Data!$A$2:$A$497,1))/INDEX(Data!$C$2:$C$497,MATCH(N290,Data!$A$2:$A$497,1))),"")</f>
        <v>0.0517744782935935</v>
      </c>
      <c r="AN302" s="560">
        <f>IFERROR(LN(INDEX(Data!$D$2:$D$497,MATCH(N302,Data!$A$2:$A$497,1))/INDEX(Data!$D$2:$D$497,MATCH(N290,Data!$A$2:$A$497,1))),"")</f>
        <v>0.684479044235308</v>
      </c>
      <c r="AO302" s="560">
        <f>IFERROR(LN(INDEX(Data!$E$2:$E$497,MATCH(N302,Data!$A$2:$A$497,1))/INDEX(Data!$E$2:$E$497,MATCH(N290,Data!$A$2:$A$497,1))),"")</f>
        <v>0.149828389903069</v>
      </c>
      <c r="AP302" s="560">
        <f>IFERROR(LN(INDEX(Data!$F$2:$F$497,MATCH(N302,Data!$A$2:$A$497,1))/INDEX(Data!$F$2:$F$497,MATCH(N290,Data!$A$2:$A$497,1))),"")</f>
        <v>0.0524171554759489</v>
      </c>
      <c r="AQ302" s="560">
        <f>IFERROR(LN(INDEX(Data!$G$2:$G$497,MATCH(N302,Data!$A$2:$A$497,1))/INDEX(Data!$G$2:$G$497,MATCH(N290,Data!$A$2:$A$497,1))),"")</f>
        <v>0.00907888300386703</v>
      </c>
      <c r="AR302" s="560">
        <f>IFERROR(LN(INDEX(Data!$H$2:$H$497,MATCH(N302,Data!$A$2:$A$497,1))/INDEX(Data!$H$2:$H$497,MATCH(N290,Data!$A$2:$A$497,1))),"")</f>
      </c>
      <c r="AS302" s="560">
        <f>IFERROR(LN(INDEX(Data!$I$2:$I$497,MATCH(N302,Data!$A$2:$A$497,1))/INDEX(Data!$I$2:$I$497,MATCH(N290,Data!$A$2:$A$497,1))),"")</f>
      </c>
      <c r="AT302" s="560">
        <f>IFERROR(LN(INDEX(Data!$J$2:$J$497,MATCH(N302,Data!$A$2:$A$497,1))/INDEX(Data!$J$2:$J$497,MATCH(N290,Data!$A$2:$A$497,1))),"")</f>
        <v>0.122160904760498</v>
      </c>
      <c r="AU302" s="560">
        <f>IFERROR(LN(INDEX(Data!$K$2:$K$497,MATCH(N302,Data!$A$2:$A$497,1))/INDEX(Data!$K$2:$K$497,MATCH(N290,Data!$A$2:$A$497,1))),"")</f>
        <v>0.116499409363865</v>
      </c>
      <c r="AV302" s="561">
        <f>IFERROR(LN(INDEX(Data!$L$2:$L$497,MATCH(N302,Data!$A$2:$A$497,1))/INDEX(Data!$L$2:$L$497,MATCH(N290,Data!$A$2:$A$497,1))),"")</f>
        <v>0.0713262386863533</v>
      </c>
    </row>
    <row r="303">
      <c r="N303" s="337" t="n">
        <v>33938</v>
      </c>
      <c r="O303" s="116">
        <f>INDEX('Additional data'!$B$2:$B$965,MATCH(DATE(YEAR(N303),MONTH(N303),1),'Additional data'!$A$2:$A$965,0))</f>
        <v>20.342</v>
      </c>
      <c r="P303" s="489">
        <f>LN(O303)</f>
        <v>3.0126877142034</v>
      </c>
      <c r="Q303" s="489">
        <f>Q302+LN(1+INDEX('Additional data'!$H$2:$H$1196,MATCH(N303,'Additional data'!$G$2:$G$1196,1))+INDEX('Additional data'!$I$2:$I$1196,MATCH(N303,'Additional data'!$G$2:$G$1196,1)))</f>
        <v>2.47569781632423</v>
      </c>
      <c r="R303" s="489">
        <f>LN(INDEX(Data!$B$2:$B$497,MATCH(N303,Data!$A$2:$A$497,1)))</f>
        <v>8.56562138532043</v>
      </c>
      <c r="S303" s="116">
        <f>IF(INDEX('Additional data'!$E$2:$E$699,MATCH(DATE(YEAR(N303),MONTH(N303),1),'Additional data'!$D$2:$D$699,0))=0,(INDEX('Additional data'!$E$2:$E$699,MATCH(DATE(YEAR(N303),MONTH(N303),1),'Additional data'!$D$2:$D$699,0)-1)+INDEX('Additional data'!$E$2:$E$699,MATCH(DATE(YEAR(N303),MONTH(N303),1),'Additional data'!$D$2:$D$699,0)+1))/2,INDEX('Additional data'!$E$2:$E$699,MATCH(DATE(YEAR(N303),MONTH(N303),1),'Additional data'!$D$2:$D$699,0)))</f>
        <v>5.88</v>
      </c>
      <c r="T303" s="425">
        <f>P303-P302</f>
        <v>-0.0640713979929597</v>
      </c>
      <c r="U303" s="425">
        <f>Q303-Q302</f>
        <v>0.0427720918438692</v>
      </c>
      <c r="V303" s="425">
        <f>R303-R302</f>
        <v>0.0213773884278794</v>
      </c>
      <c r="W303" s="116">
        <f>S303-S302</f>
        <v>0.0199999999999996</v>
      </c>
      <c r="X303" s="425">
        <f>P303-P291</f>
        <v>-0.0992708283187187</v>
      </c>
      <c r="Y303" s="425">
        <f>Q303-Q291</f>
        <v>0.181792456402281</v>
      </c>
      <c r="Z303" s="425">
        <f>R303-R291</f>
        <v>-0.0412479627375806</v>
      </c>
      <c r="AA303" s="116">
        <f>S303-S291</f>
        <v>-2.46</v>
      </c>
      <c r="AB303" s="425">
        <f>P303-P243</f>
        <v>0.072468150579672</v>
      </c>
      <c r="AC303" s="425">
        <f>Q303-Q243</f>
        <v>0.800584235281165</v>
      </c>
      <c r="AD303" s="425">
        <f>R303-R243</f>
        <v>0.350506733306545</v>
      </c>
      <c r="AE303" s="235">
        <f>S303-S243</f>
        <v>-6.57</v>
      </c>
      <c r="AG303" s="554">
        <f>N303</f>
        <v>33938.0</v>
      </c>
      <c r="AH303" s="435">
        <f>IFERROR(INDEX('RBA 5Y yield'!$B$5:$B$661,MATCH(N303,'RBA 5Y yield'!$A$5:$A$661,1))*100,"")</f>
        <v>8.48</v>
      </c>
      <c r="AI303" s="435">
        <f>IF(AND(ISNUMBER(AH303),ISNUMBER(AH302)),AH303-AH302,"")</f>
        <v>0.19</v>
      </c>
      <c r="AJ303" s="435">
        <f>IF(AND(ISNUMBER(AH303),ISNUMBER(AH291)),AH303-AH291,"")</f>
        <v>-0.5</v>
      </c>
      <c r="AK303" s="435">
        <f>IF(AND(ISNUMBER(AH303),ISNUMBER(AH243)),AH303-AH243,"")</f>
        <v>-4.32</v>
      </c>
      <c r="AL303" s="560">
        <f>IFERROR(LN(INDEX(Data!$B$2:$B$497,MATCH(N303,Data!$A$2:$A$497,1))/INDEX(Data!$B$2:$B$497,MATCH(N291,Data!$A$2:$A$497,1))),"")</f>
        <v>-0.04124796273758</v>
      </c>
      <c r="AM303" s="560">
        <f>IFERROR(LN(INDEX(Data!$C$2:$C$497,MATCH(N303,Data!$A$2:$A$497,1))/INDEX(Data!$C$2:$C$497,MATCH(N291,Data!$A$2:$A$497,1))),"")</f>
        <v>0.161704812927334</v>
      </c>
      <c r="AN303" s="560">
        <f>IFERROR(LN(INDEX(Data!$D$2:$D$497,MATCH(N303,Data!$A$2:$A$497,1))/INDEX(Data!$D$2:$D$497,MATCH(N291,Data!$A$2:$A$497,1))),"")</f>
        <v>0.711740972198496</v>
      </c>
      <c r="AO303" s="560">
        <f>IFERROR(LN(INDEX(Data!$E$2:$E$497,MATCH(N303,Data!$A$2:$A$497,1))/INDEX(Data!$E$2:$E$497,MATCH(N291,Data!$A$2:$A$497,1))),"")</f>
        <v>0.202166199440425</v>
      </c>
      <c r="AP303" s="560">
        <f>IFERROR(LN(INDEX(Data!$F$2:$F$497,MATCH(N303,Data!$A$2:$A$497,1))/INDEX(Data!$F$2:$F$497,MATCH(N291,Data!$A$2:$A$497,1))),"")</f>
        <v>0.10453718054828</v>
      </c>
      <c r="AQ303" s="560">
        <f>IFERROR(LN(INDEX(Data!$G$2:$G$497,MATCH(N303,Data!$A$2:$A$497,1))/INDEX(Data!$G$2:$G$497,MATCH(N291,Data!$A$2:$A$497,1))),"")</f>
        <v>0.00907888300386703</v>
      </c>
      <c r="AR303" s="560">
        <f>IFERROR(LN(INDEX(Data!$H$2:$H$497,MATCH(N303,Data!$A$2:$A$497,1))/INDEX(Data!$H$2:$H$497,MATCH(N291,Data!$A$2:$A$497,1))),"")</f>
      </c>
      <c r="AS303" s="560">
        <f>IFERROR(LN(INDEX(Data!$I$2:$I$497,MATCH(N303,Data!$A$2:$A$497,1))/INDEX(Data!$I$2:$I$497,MATCH(N291,Data!$A$2:$A$497,1))),"")</f>
      </c>
      <c r="AT303" s="560">
        <f>IFERROR(LN(INDEX(Data!$J$2:$J$497,MATCH(N303,Data!$A$2:$A$497,1))/INDEX(Data!$J$2:$J$497,MATCH(N291,Data!$A$2:$A$497,1))),"")</f>
        <v>0.112209510912981</v>
      </c>
      <c r="AU303" s="560">
        <f>IFERROR(LN(INDEX(Data!$K$2:$K$497,MATCH(N303,Data!$A$2:$A$497,1))/INDEX(Data!$K$2:$K$497,MATCH(N291,Data!$A$2:$A$497,1))),"")</f>
        <v>0.108791932328699</v>
      </c>
      <c r="AV303" s="561">
        <f>IFERROR(LN(INDEX(Data!$L$2:$L$497,MATCH(N303,Data!$A$2:$A$497,1))/INDEX(Data!$L$2:$L$497,MATCH(N291,Data!$A$2:$A$497,1))),"")</f>
        <v>0.0691606258200972</v>
      </c>
    </row>
    <row r="304">
      <c r="N304" s="337" t="n">
        <v>33969</v>
      </c>
      <c r="O304" s="116">
        <f>INDEX('Additional data'!$B$2:$B$965,MATCH(DATE(YEAR(N304),MONTH(N304),1),'Additional data'!$A$2:$A$965,0))</f>
        <v>19.407</v>
      </c>
      <c r="P304" s="489">
        <f>LN(O304)</f>
        <v>2.96563382572996</v>
      </c>
      <c r="Q304" s="489">
        <f>Q303+LN(1+INDEX('Additional data'!$H$2:$H$1196,MATCH(N304,'Additional data'!$G$2:$G$1196,1))+INDEX('Additional data'!$I$2:$I$1196,MATCH(N304,'Additional data'!$G$2:$G$1196,1)))</f>
        <v>2.49363596145525</v>
      </c>
      <c r="R304" s="489">
        <f>LN(INDEX(Data!$B$2:$B$497,MATCH(N304,Data!$A$2:$A$497,1)))</f>
        <v>8.64204452105564</v>
      </c>
      <c r="S304" s="116">
        <f>IF(INDEX('Additional data'!$E$2:$E$699,MATCH(DATE(YEAR(N304),MONTH(N304),1),'Additional data'!$D$2:$D$699,0))=0,(INDEX('Additional data'!$E$2:$E$699,MATCH(DATE(YEAR(N304),MONTH(N304),1),'Additional data'!$D$2:$D$699,0)-1)+INDEX('Additional data'!$E$2:$E$699,MATCH(DATE(YEAR(N304),MONTH(N304),1),'Additional data'!$D$2:$D$699,0)+1))/2,INDEX('Additional data'!$E$2:$E$699,MATCH(DATE(YEAR(N304),MONTH(N304),1),'Additional data'!$D$2:$D$699,0)))</f>
        <v>5.9</v>
      </c>
      <c r="T304" s="425">
        <f>P304-P303</f>
        <v>-0.0470538884734464</v>
      </c>
      <c r="U304" s="425">
        <f>Q304-Q303</f>
        <v>0.017938145131013</v>
      </c>
      <c r="V304" s="425">
        <f>R304-R303</f>
        <v>0.0764231357352099</v>
      </c>
      <c r="W304" s="116">
        <f>S304-S303</f>
        <v>0.0200000000000005</v>
      </c>
      <c r="X304" s="425">
        <f>P304-P292</f>
        <v>-0.00565205491910659</v>
      </c>
      <c r="Y304" s="425">
        <f>Q304-Q292</f>
        <v>0.0933006579174469</v>
      </c>
      <c r="Z304" s="425">
        <f>R304-R292</f>
        <v>0.00530984096815779</v>
      </c>
      <c r="AA304" s="116">
        <f>S304-S292</f>
        <v>-1.94</v>
      </c>
      <c r="AB304" s="425">
        <f>P304-P244</f>
        <v>0.118343557536244</v>
      </c>
      <c r="AC304" s="425">
        <f>Q304-Q244</f>
        <v>0.748903038532121</v>
      </c>
      <c r="AD304" s="425">
        <f>R304-R244</f>
        <v>0.432056068580049</v>
      </c>
      <c r="AE304" s="235">
        <f>S304-S244</f>
        <v>-5.56</v>
      </c>
      <c r="AG304" s="554">
        <f>N304</f>
        <v>33969.0</v>
      </c>
      <c r="AH304" s="435">
        <f>IFERROR(INDEX('RBA 5Y yield'!$B$5:$B$661,MATCH(N304,'RBA 5Y yield'!$A$5:$A$661,1))*100,"")</f>
        <v>8.24</v>
      </c>
      <c r="AI304" s="435">
        <f>IF(AND(ISNUMBER(AH304),ISNUMBER(AH303)),AH304-AH303,"")</f>
        <v>-0.24</v>
      </c>
      <c r="AJ304" s="435">
        <f>IF(AND(ISNUMBER(AH304),ISNUMBER(AH292)),AH304-AH292,"")</f>
        <v>0.0200000000000014</v>
      </c>
      <c r="AK304" s="435">
        <f>IF(AND(ISNUMBER(AH304),ISNUMBER(AH244)),AH304-AH244,"")</f>
        <v>-3.91</v>
      </c>
      <c r="AL304" s="560">
        <f>IFERROR(LN(INDEX(Data!$B$2:$B$497,MATCH(N304,Data!$A$2:$A$497,1))/INDEX(Data!$B$2:$B$497,MATCH(N292,Data!$A$2:$A$497,1))),"")</f>
        <v>0.0053098409681578</v>
      </c>
      <c r="AM304" s="560">
        <f>IFERROR(LN(INDEX(Data!$C$2:$C$497,MATCH(N304,Data!$A$2:$A$497,1))/INDEX(Data!$C$2:$C$497,MATCH(N292,Data!$A$2:$A$497,1))),"")</f>
        <v>0.0920423911741815</v>
      </c>
      <c r="AN304" s="560">
        <f>IFERROR(LN(INDEX(Data!$D$2:$D$497,MATCH(N304,Data!$A$2:$A$497,1))/INDEX(Data!$D$2:$D$497,MATCH(N292,Data!$A$2:$A$497,1))),"")</f>
        <v>0.598914454042539</v>
      </c>
      <c r="AO304" s="560">
        <f>IFERROR(LN(INDEX(Data!$E$2:$E$497,MATCH(N304,Data!$A$2:$A$497,1))/INDEX(Data!$E$2:$E$497,MATCH(N292,Data!$A$2:$A$497,1))),"")</f>
        <v>0.126616495263467</v>
      </c>
      <c r="AP304" s="560">
        <f>IFERROR(LN(INDEX(Data!$F$2:$F$497,MATCH(N304,Data!$A$2:$A$497,1))/INDEX(Data!$F$2:$F$497,MATCH(N292,Data!$A$2:$A$497,1))),"")</f>
        <v>0.142636242655507</v>
      </c>
      <c r="AQ304" s="560">
        <f>IFERROR(LN(INDEX(Data!$G$2:$G$497,MATCH(N304,Data!$A$2:$A$497,1))/INDEX(Data!$G$2:$G$497,MATCH(N292,Data!$A$2:$A$497,1))),"")</f>
        <v>0.0186185400516635</v>
      </c>
      <c r="AR304" s="560">
        <f>IFERROR(LN(INDEX(Data!$H$2:$H$497,MATCH(N304,Data!$A$2:$A$497,1))/INDEX(Data!$H$2:$H$497,MATCH(N292,Data!$A$2:$A$497,1))),"")</f>
      </c>
      <c r="AS304" s="560">
        <f>IFERROR(LN(INDEX(Data!$I$2:$I$497,MATCH(N304,Data!$A$2:$A$497,1))/INDEX(Data!$I$2:$I$497,MATCH(N292,Data!$A$2:$A$497,1))),"")</f>
      </c>
      <c r="AT304" s="560">
        <f>IFERROR(LN(INDEX(Data!$J$2:$J$497,MATCH(N304,Data!$A$2:$A$497,1))/INDEX(Data!$J$2:$J$497,MATCH(N292,Data!$A$2:$A$497,1))),"")</f>
        <v>0.125854759326137</v>
      </c>
      <c r="AU304" s="560">
        <f>IFERROR(LN(INDEX(Data!$K$2:$K$497,MATCH(N304,Data!$A$2:$A$497,1))/INDEX(Data!$K$2:$K$497,MATCH(N292,Data!$A$2:$A$497,1))),"")</f>
        <v>0.11149516124753</v>
      </c>
      <c r="AV304" s="561">
        <f>IFERROR(LN(INDEX(Data!$L$2:$L$497,MATCH(N304,Data!$A$2:$A$497,1))/INDEX(Data!$L$2:$L$497,MATCH(N292,Data!$A$2:$A$497,1))),"")</f>
        <v>0.0817886280394512</v>
      </c>
    </row>
    <row r="305">
      <c r="N305" s="337" t="n">
        <v>34000</v>
      </c>
      <c r="O305" s="116">
        <f>INDEX('Additional data'!$B$2:$B$965,MATCH(DATE(YEAR(N305),MONTH(N305),1),'Additional data'!$A$2:$A$965,0))</f>
        <v>19.075</v>
      </c>
      <c r="P305" s="489">
        <f>LN(O305)</f>
        <v>2.94837857717052</v>
      </c>
      <c r="Q305" s="489">
        <f>Q304+LN(1+INDEX('Additional data'!$H$2:$H$1196,MATCH(N305,'Additional data'!$G$2:$G$1196,1))+INDEX('Additional data'!$I$2:$I$1196,MATCH(N305,'Additional data'!$G$2:$G$1196,1)))</f>
        <v>2.50516919726892</v>
      </c>
      <c r="R305" s="489">
        <f>LN(INDEX(Data!$B$2:$B$497,MATCH(N305,Data!$A$2:$A$497,1)))</f>
        <v>8.62410849776036</v>
      </c>
      <c r="S305" s="116">
        <f>IF(INDEX('Additional data'!$E$2:$E$699,MATCH(DATE(YEAR(N305),MONTH(N305),1),'Additional data'!$D$2:$D$699,0))=0,(INDEX('Additional data'!$E$2:$E$699,MATCH(DATE(YEAR(N305),MONTH(N305),1),'Additional data'!$D$2:$D$699,0)-1)+INDEX('Additional data'!$E$2:$E$699,MATCH(DATE(YEAR(N305),MONTH(N305),1),'Additional data'!$D$2:$D$699,0)+1))/2,INDEX('Additional data'!$E$2:$E$699,MATCH(DATE(YEAR(N305),MONTH(N305),1),'Additional data'!$D$2:$D$699,0)))</f>
        <v>5.88</v>
      </c>
      <c r="T305" s="425">
        <f>P305-P304</f>
        <v>-0.0172552485594375</v>
      </c>
      <c r="U305" s="425">
        <f>Q305-Q304</f>
        <v>0.011533235813673</v>
      </c>
      <c r="V305" s="425">
        <f>R305-R304</f>
        <v>-0.0179360232952792</v>
      </c>
      <c r="W305" s="116">
        <f>S305-S304</f>
        <v>-0.0200000000000005</v>
      </c>
      <c r="X305" s="425">
        <f>P305-P293</f>
        <v>0.0134584430132869</v>
      </c>
      <c r="Y305" s="425">
        <f>Q305-Q293</f>
        <v>0.107337023949238</v>
      </c>
      <c r="Z305" s="425">
        <f>R305-R293</f>
        <v>0.00360088250523738</v>
      </c>
      <c r="AA305" s="116">
        <f>S305-S293</f>
        <v>-1.57</v>
      </c>
      <c r="AB305" s="425">
        <f>P305-P245</f>
        <v>0.105797483110704</v>
      </c>
      <c r="AC305" s="425">
        <f>Q305-Q245</f>
        <v>0.71641938892902</v>
      </c>
      <c r="AD305" s="425">
        <f>R305-R245</f>
        <v>0.460594741303058</v>
      </c>
      <c r="AE305" s="235">
        <f>S305-S245</f>
        <v>-5.17</v>
      </c>
      <c r="AG305" s="554">
        <f>N305</f>
        <v>34000.0</v>
      </c>
      <c r="AH305" s="435">
        <f>IFERROR(INDEX('RBA 5Y yield'!$B$5:$B$661,MATCH(N305,'RBA 5Y yield'!$A$5:$A$661,1))*100,"")</f>
        <v>8</v>
      </c>
      <c r="AI305" s="435">
        <f>IF(AND(ISNUMBER(AH305),ISNUMBER(AH304)),AH305-AH304,"")</f>
        <v>-0.24</v>
      </c>
      <c r="AJ305" s="435">
        <f>IF(AND(ISNUMBER(AH305),ISNUMBER(AH293)),AH305-AH293,"")</f>
        <v>-1.42</v>
      </c>
      <c r="AK305" s="435">
        <f>IF(AND(ISNUMBER(AH305),ISNUMBER(AH245)),AH305-AH245,"")</f>
        <v>-3.9</v>
      </c>
      <c r="AL305" s="560">
        <f>IFERROR(LN(INDEX(Data!$B$2:$B$497,MATCH(N305,Data!$A$2:$A$497,1))/INDEX(Data!$B$2:$B$497,MATCH(N293,Data!$A$2:$A$497,1))),"")</f>
        <v>0.00360088250523691</v>
      </c>
      <c r="AM305" s="560">
        <f>IFERROR(LN(INDEX(Data!$C$2:$C$497,MATCH(N305,Data!$A$2:$A$497,1))/INDEX(Data!$C$2:$C$497,MATCH(N293,Data!$A$2:$A$497,1))),"")</f>
        <v>0.104519744068266</v>
      </c>
      <c r="AN305" s="560">
        <f>IFERROR(LN(INDEX(Data!$D$2:$D$497,MATCH(N305,Data!$A$2:$A$497,1))/INDEX(Data!$D$2:$D$497,MATCH(N293,Data!$A$2:$A$497,1))),"")</f>
        <v>0.498039534363968</v>
      </c>
      <c r="AO305" s="560">
        <f>IFERROR(LN(INDEX(Data!$E$2:$E$497,MATCH(N305,Data!$A$2:$A$497,1))/INDEX(Data!$E$2:$E$497,MATCH(N293,Data!$A$2:$A$497,1))),"")</f>
        <v>0.155849402663059</v>
      </c>
      <c r="AP305" s="560">
        <f>IFERROR(LN(INDEX(Data!$F$2:$F$497,MATCH(N305,Data!$A$2:$A$497,1))/INDEX(Data!$F$2:$F$497,MATCH(N293,Data!$A$2:$A$497,1))),"")</f>
        <v>0.131688390429492</v>
      </c>
      <c r="AQ305" s="560">
        <f>IFERROR(LN(INDEX(Data!$G$2:$G$497,MATCH(N305,Data!$A$2:$A$497,1))/INDEX(Data!$G$2:$G$497,MATCH(N293,Data!$A$2:$A$497,1))),"")</f>
        <v>0.0186185400516635</v>
      </c>
      <c r="AR305" s="560">
        <f>IFERROR(LN(INDEX(Data!$H$2:$H$497,MATCH(N305,Data!$A$2:$A$497,1))/INDEX(Data!$H$2:$H$497,MATCH(N293,Data!$A$2:$A$497,1))),"")</f>
      </c>
      <c r="AS305" s="560">
        <f>IFERROR(LN(INDEX(Data!$I$2:$I$497,MATCH(N305,Data!$A$2:$A$497,1))/INDEX(Data!$I$2:$I$497,MATCH(N293,Data!$A$2:$A$497,1))),"")</f>
      </c>
      <c r="AT305" s="560">
        <f>IFERROR(LN(INDEX(Data!$J$2:$J$497,MATCH(N305,Data!$A$2:$A$497,1))/INDEX(Data!$J$2:$J$497,MATCH(N293,Data!$A$2:$A$497,1))),"")</f>
        <v>0.141424362034776</v>
      </c>
      <c r="AU305" s="560">
        <f>IFERROR(LN(INDEX(Data!$K$2:$K$497,MATCH(N305,Data!$A$2:$A$497,1))/INDEX(Data!$K$2:$K$497,MATCH(N293,Data!$A$2:$A$497,1))),"")</f>
        <v>0.117348047857909</v>
      </c>
      <c r="AV305" s="561">
        <f>IFERROR(LN(INDEX(Data!$L$2:$L$497,MATCH(N305,Data!$A$2:$A$497,1))/INDEX(Data!$L$2:$L$497,MATCH(N293,Data!$A$2:$A$497,1))),"")</f>
        <v>0.0651847598864904</v>
      </c>
    </row>
    <row r="306">
      <c r="N306" s="337" t="n">
        <v>34028</v>
      </c>
      <c r="O306" s="116">
        <f>INDEX('Additional data'!$B$2:$B$965,MATCH(DATE(YEAR(N306),MONTH(N306),1),'Additional data'!$A$2:$A$965,0))</f>
        <v>20.053</v>
      </c>
      <c r="P306" s="489">
        <f>LN(O306)</f>
        <v>2.9983787684949</v>
      </c>
      <c r="Q306" s="489">
        <f>Q305+LN(1+INDEX('Additional data'!$H$2:$H$1196,MATCH(N306,'Additional data'!$G$2:$G$1196,1))+INDEX('Additional data'!$I$2:$I$1196,MATCH(N306,'Additional data'!$G$2:$G$1196,1)))</f>
        <v>2.50856343033693</v>
      </c>
      <c r="R306" s="489">
        <f>LN(INDEX(Data!$B$2:$B$497,MATCH(N306,Data!$A$2:$A$497,1)))</f>
        <v>8.67888678041422</v>
      </c>
      <c r="S306" s="116">
        <f>IF(INDEX('Additional data'!$E$2:$E$699,MATCH(DATE(YEAR(N306),MONTH(N306),1),'Additional data'!$D$2:$D$699,0))=0,(INDEX('Additional data'!$E$2:$E$699,MATCH(DATE(YEAR(N306),MONTH(N306),1),'Additional data'!$D$2:$D$699,0)-1)+INDEX('Additional data'!$E$2:$E$699,MATCH(DATE(YEAR(N306),MONTH(N306),1),'Additional data'!$D$2:$D$699,0)+1))/2,INDEX('Additional data'!$E$2:$E$699,MATCH(DATE(YEAR(N306),MONTH(N306),1),'Additional data'!$D$2:$D$699,0)))</f>
        <v>5.82</v>
      </c>
      <c r="T306" s="425">
        <f>P306-P305</f>
        <v>0.0500001913243757</v>
      </c>
      <c r="U306" s="425">
        <f>Q306-Q305</f>
        <v>0.00339423306801567</v>
      </c>
      <c r="V306" s="425">
        <f>R306-R305</f>
        <v>0.0547782826538619</v>
      </c>
      <c r="W306" s="116">
        <f>S306-S305</f>
        <v>-0.0599999999999996</v>
      </c>
      <c r="X306" s="425">
        <f>P306-P294</f>
        <v>0.0542029818553074</v>
      </c>
      <c r="Y306" s="425">
        <f>Q306-Q294</f>
        <v>0.0972229069924619</v>
      </c>
      <c r="Z306" s="425">
        <f>R306-R294</f>
        <v>0.0617215652210579</v>
      </c>
      <c r="AA306" s="116">
        <f>S306-S294</f>
        <v>-1.7</v>
      </c>
      <c r="AB306" s="425">
        <f>P306-P246</f>
        <v>0.179085388576704</v>
      </c>
      <c r="AC306" s="425">
        <f>Q306-Q246</f>
        <v>0.668835377232407</v>
      </c>
      <c r="AD306" s="425">
        <f>R306-R246</f>
        <v>0.518397104773461</v>
      </c>
      <c r="AE306" s="235">
        <f>S306-S246</f>
        <v>-5.13</v>
      </c>
      <c r="AG306" s="554">
        <f>N306</f>
        <v>34028.0</v>
      </c>
      <c r="AH306" s="435">
        <f>IFERROR(INDEX('RBA 5Y yield'!$B$5:$B$661,MATCH(N306,'RBA 5Y yield'!$A$5:$A$661,1))*100,"")</f>
        <v>7.26</v>
      </c>
      <c r="AI306" s="435">
        <f>IF(AND(ISNUMBER(AH306),ISNUMBER(AH305)),AH306-AH305,"")</f>
        <v>-0.74</v>
      </c>
      <c r="AJ306" s="435">
        <f>IF(AND(ISNUMBER(AH306),ISNUMBER(AH294)),AH306-AH294,"")</f>
        <v>-2.16</v>
      </c>
      <c r="AK306" s="435">
        <f>IF(AND(ISNUMBER(AH306),ISNUMBER(AH246)),AH306-AH246,"")</f>
        <v>-4.64</v>
      </c>
      <c r="AL306" s="560">
        <f>IFERROR(LN(INDEX(Data!$B$2:$B$497,MATCH(N306,Data!$A$2:$A$497,1))/INDEX(Data!$B$2:$B$497,MATCH(N294,Data!$A$2:$A$497,1))),"")</f>
        <v>0.0617215652210578</v>
      </c>
      <c r="AM306" s="560">
        <f>IFERROR(LN(INDEX(Data!$C$2:$C$497,MATCH(N306,Data!$A$2:$A$497,1))/INDEX(Data!$C$2:$C$497,MATCH(N294,Data!$A$2:$A$497,1))),"")</f>
        <v>0.105468567128711</v>
      </c>
      <c r="AN306" s="560">
        <f>IFERROR(LN(INDEX(Data!$D$2:$D$497,MATCH(N306,Data!$A$2:$A$497,1))/INDEX(Data!$D$2:$D$497,MATCH(N294,Data!$A$2:$A$497,1))),"")</f>
        <v>0.447307286821124</v>
      </c>
      <c r="AO306" s="560">
        <f>IFERROR(LN(INDEX(Data!$E$2:$E$497,MATCH(N306,Data!$A$2:$A$497,1))/INDEX(Data!$E$2:$E$497,MATCH(N294,Data!$A$2:$A$497,1))),"")</f>
        <v>0.208841204126866</v>
      </c>
      <c r="AP306" s="560">
        <f>IFERROR(LN(INDEX(Data!$F$2:$F$497,MATCH(N306,Data!$A$2:$A$497,1))/INDEX(Data!$F$2:$F$497,MATCH(N294,Data!$A$2:$A$497,1))),"")</f>
        <v>0.131789989935634</v>
      </c>
      <c r="AQ306" s="560">
        <f>IFERROR(LN(INDEX(Data!$G$2:$G$497,MATCH(N306,Data!$A$2:$A$497,1))/INDEX(Data!$G$2:$G$497,MATCH(N294,Data!$A$2:$A$497,1))),"")</f>
        <v>0.0186185400516635</v>
      </c>
      <c r="AR306" s="560">
        <f>IFERROR(LN(INDEX(Data!$H$2:$H$497,MATCH(N306,Data!$A$2:$A$497,1))/INDEX(Data!$H$2:$H$497,MATCH(N294,Data!$A$2:$A$497,1))),"")</f>
      </c>
      <c r="AS306" s="560">
        <f>IFERROR(LN(INDEX(Data!$I$2:$I$497,MATCH(N306,Data!$A$2:$A$497,1))/INDEX(Data!$I$2:$I$497,MATCH(N294,Data!$A$2:$A$497,1))),"")</f>
      </c>
      <c r="AT306" s="560">
        <f>IFERROR(LN(INDEX(Data!$J$2:$J$497,MATCH(N306,Data!$A$2:$A$497,1))/INDEX(Data!$J$2:$J$497,MATCH(N294,Data!$A$2:$A$497,1))),"")</f>
        <v>0.163521041283375</v>
      </c>
      <c r="AU306" s="560">
        <f>IFERROR(LN(INDEX(Data!$K$2:$K$497,MATCH(N306,Data!$A$2:$A$497,1))/INDEX(Data!$K$2:$K$497,MATCH(N294,Data!$A$2:$A$497,1))),"")</f>
        <v>0.12877651635252</v>
      </c>
      <c r="AV306" s="561">
        <f>IFERROR(LN(INDEX(Data!$L$2:$L$497,MATCH(N306,Data!$A$2:$A$497,1))/INDEX(Data!$L$2:$L$497,MATCH(N294,Data!$A$2:$A$497,1))),"")</f>
        <v>0.0638880998688842</v>
      </c>
    </row>
    <row r="307">
      <c r="N307" s="337" t="n">
        <v>34059</v>
      </c>
      <c r="O307" s="116">
        <f>INDEX('Additional data'!$B$2:$B$965,MATCH(DATE(YEAR(N307),MONTH(N307),1),'Additional data'!$A$2:$A$965,0))</f>
        <v>20.347</v>
      </c>
      <c r="P307" s="489">
        <f>LN(O307)</f>
        <v>3.01293348087377</v>
      </c>
      <c r="Q307" s="489">
        <f>Q306+LN(1+INDEX('Additional data'!$H$2:$H$1196,MATCH(N307,'Additional data'!$G$2:$G$1196,1))+INDEX('Additional data'!$I$2:$I$1196,MATCH(N307,'Additional data'!$G$2:$G$1196,1)))</f>
        <v>2.53393873666816</v>
      </c>
      <c r="R307" s="489">
        <f>LN(INDEX(Data!$B$2:$B$497,MATCH(N307,Data!$A$2:$A$497,1)))</f>
        <v>8.71802569196906</v>
      </c>
      <c r="S307" s="116">
        <f>IF(INDEX('Additional data'!$E$2:$E$699,MATCH(DATE(YEAR(N307),MONTH(N307),1),'Additional data'!$D$2:$D$699,0))=0,(INDEX('Additional data'!$E$2:$E$699,MATCH(DATE(YEAR(N307),MONTH(N307),1),'Additional data'!$D$2:$D$699,0)-1)+INDEX('Additional data'!$E$2:$E$699,MATCH(DATE(YEAR(N307),MONTH(N307),1),'Additional data'!$D$2:$D$699,0)+1))/2,INDEX('Additional data'!$E$2:$E$699,MATCH(DATE(YEAR(N307),MONTH(N307),1),'Additional data'!$D$2:$D$699,0)))</f>
        <v>5.38</v>
      </c>
      <c r="T307" s="425">
        <f>P307-P306</f>
        <v>0.0145547123788696</v>
      </c>
      <c r="U307" s="425">
        <f>Q307-Q306</f>
        <v>0.0253753063312283</v>
      </c>
      <c r="V307" s="425">
        <f>R307-R306</f>
        <v>0.0391389115548328</v>
      </c>
      <c r="W307" s="116">
        <f>S307-S306</f>
        <v>-0.44</v>
      </c>
      <c r="X307" s="425">
        <f>P307-P295</f>
        <v>0.0729253560921368</v>
      </c>
      <c r="Y307" s="425">
        <f>Q307-Q295</f>
        <v>0.145969199646931</v>
      </c>
      <c r="Z307" s="425">
        <f>R307-R295</f>
        <v>0.117245312746553</v>
      </c>
      <c r="AA307" s="116">
        <f>S307-S295</f>
        <v>-2.13</v>
      </c>
      <c r="AB307" s="425">
        <f>P307-P247</f>
        <v>0.226873406136529</v>
      </c>
      <c r="AC307" s="425">
        <f>Q307-Q247</f>
        <v>0.71257834092182</v>
      </c>
      <c r="AD307" s="425">
        <f>R307-R247</f>
        <v>0.430170196030357</v>
      </c>
      <c r="AE307" s="235">
        <f>S307-S247</f>
        <v>-5.57</v>
      </c>
      <c r="AG307" s="554">
        <f>N307</f>
        <v>34059.0</v>
      </c>
      <c r="AH307" s="435">
        <f>IFERROR(INDEX('RBA 5Y yield'!$B$5:$B$661,MATCH(N307,'RBA 5Y yield'!$A$5:$A$661,1))*100,"")</f>
        <v>7.05</v>
      </c>
      <c r="AI307" s="435">
        <f>IF(AND(ISNUMBER(AH307),ISNUMBER(AH306)),AH307-AH306,"")</f>
        <v>-0.210000000000001</v>
      </c>
      <c r="AJ307" s="435">
        <f>IF(AND(ISNUMBER(AH307),ISNUMBER(AH295)),AH307-AH295,"")</f>
        <v>-2.37</v>
      </c>
      <c r="AK307" s="435">
        <f>IF(AND(ISNUMBER(AH307),ISNUMBER(AH247)),AH307-AH247,"")</f>
        <v>-4.45</v>
      </c>
      <c r="AL307" s="560">
        <f>IFERROR(LN(INDEX(Data!$B$2:$B$497,MATCH(N307,Data!$A$2:$A$497,1))/INDEX(Data!$B$2:$B$497,MATCH(N295,Data!$A$2:$A$497,1))),"")</f>
        <v>0.117245312746552</v>
      </c>
      <c r="AM307" s="560">
        <f>IFERROR(LN(INDEX(Data!$C$2:$C$497,MATCH(N307,Data!$A$2:$A$497,1))/INDEX(Data!$C$2:$C$497,MATCH(N295,Data!$A$2:$A$497,1))),"")</f>
        <v>0.191880091228156</v>
      </c>
      <c r="AN307" s="560">
        <f>IFERROR(LN(INDEX(Data!$D$2:$D$497,MATCH(N307,Data!$A$2:$A$497,1))/INDEX(Data!$D$2:$D$497,MATCH(N295,Data!$A$2:$A$497,1))),"")</f>
        <v>0.447534652829583</v>
      </c>
      <c r="AO307" s="560">
        <f>IFERROR(LN(INDEX(Data!$E$2:$E$497,MATCH(N307,Data!$A$2:$A$497,1))/INDEX(Data!$E$2:$E$497,MATCH(N295,Data!$A$2:$A$497,1))),"")</f>
        <v>0.308193222580007</v>
      </c>
      <c r="AP307" s="560">
        <f>IFERROR(LN(INDEX(Data!$F$2:$F$497,MATCH(N307,Data!$A$2:$A$497,1))/INDEX(Data!$F$2:$F$497,MATCH(N295,Data!$A$2:$A$497,1))),"")</f>
        <v>0.149043461904576</v>
      </c>
      <c r="AQ307" s="560">
        <f>IFERROR(LN(INDEX(Data!$G$2:$G$497,MATCH(N307,Data!$A$2:$A$497,1))/INDEX(Data!$G$2:$G$497,MATCH(N295,Data!$A$2:$A$497,1))),"")</f>
        <v>0.0347474574480455</v>
      </c>
      <c r="AR307" s="560">
        <f>IFERROR(LN(INDEX(Data!$H$2:$H$497,MATCH(N307,Data!$A$2:$A$497,1))/INDEX(Data!$H$2:$H$497,MATCH(N295,Data!$A$2:$A$497,1))),"")</f>
      </c>
      <c r="AS307" s="560">
        <f>IFERROR(LN(INDEX(Data!$I$2:$I$497,MATCH(N307,Data!$A$2:$A$497,1))/INDEX(Data!$I$2:$I$497,MATCH(N295,Data!$A$2:$A$497,1))),"")</f>
      </c>
      <c r="AT307" s="560">
        <f>IFERROR(LN(INDEX(Data!$J$2:$J$497,MATCH(N307,Data!$A$2:$A$497,1))/INDEX(Data!$J$2:$J$497,MATCH(N295,Data!$A$2:$A$497,1))),"")</f>
        <v>0.16606253077212</v>
      </c>
      <c r="AU307" s="560">
        <f>IFERROR(LN(INDEX(Data!$K$2:$K$497,MATCH(N307,Data!$A$2:$A$497,1))/INDEX(Data!$K$2:$K$497,MATCH(N295,Data!$A$2:$A$497,1))),"")</f>
        <v>0.136658386795671</v>
      </c>
      <c r="AV307" s="561">
        <f>IFERROR(LN(INDEX(Data!$L$2:$L$497,MATCH(N307,Data!$A$2:$A$497,1))/INDEX(Data!$L$2:$L$497,MATCH(N295,Data!$A$2:$A$497,1))),"")</f>
        <v>0.0624796376669297</v>
      </c>
    </row>
    <row r="308">
      <c r="N308" s="337" t="n">
        <v>34089</v>
      </c>
      <c r="O308" s="116">
        <f>INDEX('Additional data'!$B$2:$B$965,MATCH(DATE(YEAR(N308),MONTH(N308),1),'Additional data'!$A$2:$A$965,0))</f>
        <v>20.27</v>
      </c>
      <c r="P308" s="489">
        <f>LN(O308)</f>
        <v>3.00914196046391</v>
      </c>
      <c r="Q308" s="489">
        <f>Q307+LN(1+INDEX('Additional data'!$H$2:$H$1196,MATCH(N308,'Additional data'!$G$2:$G$1196,1))+INDEX('Additional data'!$I$2:$I$1196,MATCH(N308,'Additional data'!$G$2:$G$1196,1)))</f>
        <v>2.50543637619545</v>
      </c>
      <c r="R308" s="489">
        <f>LN(INDEX(Data!$B$2:$B$497,MATCH(N308,Data!$A$2:$A$497,1)))</f>
        <v>8.72797262102668</v>
      </c>
      <c r="S308" s="116">
        <f>IF(INDEX('Additional data'!$E$2:$E$699,MATCH(DATE(YEAR(N308),MONTH(N308),1),'Additional data'!$D$2:$D$699,0))=0,(INDEX('Additional data'!$E$2:$E$699,MATCH(DATE(YEAR(N308),MONTH(N308),1),'Additional data'!$D$2:$D$699,0)-1)+INDEX('Additional data'!$E$2:$E$699,MATCH(DATE(YEAR(N308),MONTH(N308),1),'Additional data'!$D$2:$D$699,0)+1))/2,INDEX('Additional data'!$E$2:$E$699,MATCH(DATE(YEAR(N308),MONTH(N308),1),'Additional data'!$D$2:$D$699,0)))</f>
        <v>5.27</v>
      </c>
      <c r="T308" s="425">
        <f>P308-P307</f>
        <v>-0.00379152040985753</v>
      </c>
      <c r="U308" s="425">
        <f>Q308-Q307</f>
        <v>-0.0285023604727122</v>
      </c>
      <c r="V308" s="425">
        <f>R308-R307</f>
        <v>0.00994692905761951</v>
      </c>
      <c r="W308" s="116">
        <f>S308-S307</f>
        <v>-0.11</v>
      </c>
      <c r="X308" s="425">
        <f>P308-P296</f>
        <v>0.00133290568446842</v>
      </c>
      <c r="Y308" s="425">
        <f>Q308-Q296</f>
        <v>0.103465319538405</v>
      </c>
      <c r="Z308" s="425">
        <f>R308-R296</f>
        <v>0.0769655768815287</v>
      </c>
      <c r="AA308" s="116">
        <f>S308-S296</f>
        <v>-1.91</v>
      </c>
      <c r="AB308" s="425">
        <f>P308-P248</f>
        <v>0.125738871883837</v>
      </c>
      <c r="AC308" s="425">
        <f>Q308-Q248</f>
        <v>0.673828663997558</v>
      </c>
      <c r="AD308" s="425">
        <f>R308-R248</f>
        <v>0.404242826823239</v>
      </c>
      <c r="AE308" s="235">
        <f>S308-S248</f>
        <v>-6.12</v>
      </c>
      <c r="AG308" s="554">
        <f>N308</f>
        <v>34089.0</v>
      </c>
      <c r="AH308" s="435">
        <f>IFERROR(INDEX('RBA 5Y yield'!$B$5:$B$661,MATCH(N308,'RBA 5Y yield'!$A$5:$A$661,1))*100,"")</f>
        <v>6.69</v>
      </c>
      <c r="AI308" s="435">
        <f>IF(AND(ISNUMBER(AH308),ISNUMBER(AH307)),AH308-AH307,"")</f>
        <v>-0.359999999999999</v>
      </c>
      <c r="AJ308" s="435">
        <f>IF(AND(ISNUMBER(AH308),ISNUMBER(AH296)),AH308-AH296,"")</f>
        <v>-1.99</v>
      </c>
      <c r="AK308" s="435">
        <f>IF(AND(ISNUMBER(AH308),ISNUMBER(AH248)),AH308-AH248,"")</f>
        <v>-4.56</v>
      </c>
      <c r="AL308" s="560">
        <f>IFERROR(LN(INDEX(Data!$B$2:$B$497,MATCH(N308,Data!$A$2:$A$497,1))/INDEX(Data!$B$2:$B$497,MATCH(N296,Data!$A$2:$A$497,1))),"")</f>
        <v>0.0769655768815279</v>
      </c>
      <c r="AM308" s="560">
        <f>IFERROR(LN(INDEX(Data!$C$2:$C$497,MATCH(N308,Data!$A$2:$A$497,1))/INDEX(Data!$C$2:$C$497,MATCH(N296,Data!$A$2:$A$497,1))),"")</f>
        <v>0.18411951860556</v>
      </c>
      <c r="AN308" s="560">
        <f>IFERROR(LN(INDEX(Data!$D$2:$D$497,MATCH(N308,Data!$A$2:$A$497,1))/INDEX(Data!$D$2:$D$497,MATCH(N296,Data!$A$2:$A$497,1))),"")</f>
        <v>0.452230498820958</v>
      </c>
      <c r="AO308" s="560">
        <f>IFERROR(LN(INDEX(Data!$E$2:$E$497,MATCH(N308,Data!$A$2:$A$497,1))/INDEX(Data!$E$2:$E$497,MATCH(N296,Data!$A$2:$A$497,1))),"")</f>
        <v>0.24777830681931</v>
      </c>
      <c r="AP308" s="560">
        <f>IFERROR(LN(INDEX(Data!$F$2:$F$497,MATCH(N308,Data!$A$2:$A$497,1))/INDEX(Data!$F$2:$F$497,MATCH(N296,Data!$A$2:$A$497,1))),"")</f>
        <v>0.087527278732115</v>
      </c>
      <c r="AQ308" s="560">
        <f>IFERROR(LN(INDEX(Data!$G$2:$G$497,MATCH(N308,Data!$A$2:$A$497,1))/INDEX(Data!$G$2:$G$497,MATCH(N296,Data!$A$2:$A$497,1))),"")</f>
        <v>0.0347474574480455</v>
      </c>
      <c r="AR308" s="560">
        <f>IFERROR(LN(INDEX(Data!$H$2:$H$497,MATCH(N308,Data!$A$2:$A$497,1))/INDEX(Data!$H$2:$H$497,MATCH(N296,Data!$A$2:$A$497,1))),"")</f>
      </c>
      <c r="AS308" s="560">
        <f>IFERROR(LN(INDEX(Data!$I$2:$I$497,MATCH(N308,Data!$A$2:$A$497,1))/INDEX(Data!$I$2:$I$497,MATCH(N296,Data!$A$2:$A$497,1))),"")</f>
      </c>
      <c r="AT308" s="560">
        <f>IFERROR(LN(INDEX(Data!$J$2:$J$497,MATCH(N308,Data!$A$2:$A$497,1))/INDEX(Data!$J$2:$J$497,MATCH(N296,Data!$A$2:$A$497,1))),"")</f>
        <v>0.15455829435441</v>
      </c>
      <c r="AU308" s="560">
        <f>IFERROR(LN(INDEX(Data!$K$2:$K$497,MATCH(N308,Data!$A$2:$A$497,1))/INDEX(Data!$K$2:$K$497,MATCH(N296,Data!$A$2:$A$497,1))),"")</f>
        <v>0.13450541719779</v>
      </c>
      <c r="AV308" s="561">
        <f>IFERROR(LN(INDEX(Data!$L$2:$L$497,MATCH(N308,Data!$A$2:$A$497,1))/INDEX(Data!$L$2:$L$497,MATCH(N296,Data!$A$2:$A$497,1))),"")</f>
        <v>0.0600579095146068</v>
      </c>
    </row>
    <row r="309">
      <c r="N309" s="337" t="n">
        <v>34120</v>
      </c>
      <c r="O309" s="116">
        <f>INDEX('Additional data'!$B$2:$B$965,MATCH(DATE(YEAR(N309),MONTH(N309),1),'Additional data'!$A$2:$A$965,0))</f>
        <v>19.94</v>
      </c>
      <c r="P309" s="489">
        <f>LN(O309)</f>
        <v>2.99272776453369</v>
      </c>
      <c r="Q309" s="489">
        <f>Q308+LN(1+INDEX('Additional data'!$H$2:$H$1196,MATCH(N309,'Additional data'!$G$2:$G$1196,1))+INDEX('Additional data'!$I$2:$I$1196,MATCH(N309,'Additional data'!$G$2:$G$1196,1)))</f>
        <v>2.53606256973721</v>
      </c>
      <c r="R309" s="489">
        <f>LN(INDEX(Data!$B$2:$B$497,MATCH(N309,Data!$A$2:$A$497,1)))</f>
        <v>8.76216085486046</v>
      </c>
      <c r="S309" s="116">
        <f>IF(INDEX('Additional data'!$E$2:$E$699,MATCH(DATE(YEAR(N309),MONTH(N309),1),'Additional data'!$D$2:$D$699,0))=0,(INDEX('Additional data'!$E$2:$E$699,MATCH(DATE(YEAR(N309),MONTH(N309),1),'Additional data'!$D$2:$D$699,0)-1)+INDEX('Additional data'!$E$2:$E$699,MATCH(DATE(YEAR(N309),MONTH(N309),1),'Additional data'!$D$2:$D$699,0)+1))/2,INDEX('Additional data'!$E$2:$E$699,MATCH(DATE(YEAR(N309),MONTH(N309),1),'Additional data'!$D$2:$D$699,0)))</f>
        <v>5.15</v>
      </c>
      <c r="T309" s="425">
        <f>P309-P308</f>
        <v>-0.0164141959302162</v>
      </c>
      <c r="U309" s="425">
        <f>Q309-Q308</f>
        <v>0.0306261935417607</v>
      </c>
      <c r="V309" s="425">
        <f>R309-R308</f>
        <v>0.0341882338337864</v>
      </c>
      <c r="W309" s="116">
        <f>S309-S308</f>
        <v>-0.119999999999999</v>
      </c>
      <c r="X309" s="425">
        <f>P309-P297</f>
        <v>-0.0489334409086988</v>
      </c>
      <c r="Y309" s="425">
        <f>Q309-Q297</f>
        <v>0.128308268324438</v>
      </c>
      <c r="Z309" s="425">
        <f>R309-R297</f>
        <v>0.059866639616688</v>
      </c>
      <c r="AA309" s="116">
        <f>S309-S297</f>
        <v>-1.41</v>
      </c>
      <c r="AB309" s="425">
        <f>P309-P249</f>
        <v>0.134076031528069</v>
      </c>
      <c r="AC309" s="425">
        <f>Q309-Q249</f>
        <v>0.702057732939597</v>
      </c>
      <c r="AD309" s="425">
        <f>R309-R249</f>
        <v>0.362265816675095</v>
      </c>
      <c r="AE309" s="235">
        <f>S309-S249</f>
        <v>-7.13</v>
      </c>
      <c r="AG309" s="554">
        <f>N309</f>
        <v>34120.0</v>
      </c>
      <c r="AH309" s="435">
        <f>IFERROR(INDEX('RBA 5Y yield'!$B$5:$B$661,MATCH(N309,'RBA 5Y yield'!$A$5:$A$661,1))*100,"")</f>
        <v>7.09</v>
      </c>
      <c r="AI309" s="435">
        <f>IF(AND(ISNUMBER(AH309),ISNUMBER(AH308)),AH309-AH308,"")</f>
        <v>0.4</v>
      </c>
      <c r="AJ309" s="435">
        <f>IF(AND(ISNUMBER(AH309),ISNUMBER(AH297)),AH309-AH297,"")</f>
        <v>-1.28</v>
      </c>
      <c r="AK309" s="435">
        <f>IF(AND(ISNUMBER(AH309),ISNUMBER(AH249)),AH309-AH249,"")</f>
        <v>-5.36</v>
      </c>
      <c r="AL309" s="560">
        <f>IFERROR(LN(INDEX(Data!$B$2:$B$497,MATCH(N309,Data!$A$2:$A$497,1))/INDEX(Data!$B$2:$B$497,MATCH(N297,Data!$A$2:$A$497,1))),"")</f>
        <v>0.059866639616687</v>
      </c>
      <c r="AM309" s="560">
        <f>IFERROR(LN(INDEX(Data!$C$2:$C$497,MATCH(N309,Data!$A$2:$A$497,1))/INDEX(Data!$C$2:$C$497,MATCH(N297,Data!$A$2:$A$497,1))),"")</f>
        <v>0.221432340794006</v>
      </c>
      <c r="AN309" s="560">
        <f>IFERROR(LN(INDEX(Data!$D$2:$D$497,MATCH(N309,Data!$A$2:$A$497,1))/INDEX(Data!$D$2:$D$497,MATCH(N297,Data!$A$2:$A$497,1))),"")</f>
        <v>0.527020858358315</v>
      </c>
      <c r="AO309" s="560">
        <f>IFERROR(LN(INDEX(Data!$E$2:$E$497,MATCH(N309,Data!$A$2:$A$497,1))/INDEX(Data!$E$2:$E$497,MATCH(N297,Data!$A$2:$A$497,1))),"")</f>
        <v>0.257517094382356</v>
      </c>
      <c r="AP309" s="560">
        <f>IFERROR(LN(INDEX(Data!$F$2:$F$497,MATCH(N309,Data!$A$2:$A$497,1))/INDEX(Data!$F$2:$F$497,MATCH(N297,Data!$A$2:$A$497,1))),"")</f>
        <v>0.0749067221082183</v>
      </c>
      <c r="AQ309" s="560">
        <f>IFERROR(LN(INDEX(Data!$G$2:$G$497,MATCH(N309,Data!$A$2:$A$497,1))/INDEX(Data!$G$2:$G$497,MATCH(N297,Data!$A$2:$A$497,1))),"")</f>
        <v>0.0347474574480455</v>
      </c>
      <c r="AR309" s="560">
        <f>IFERROR(LN(INDEX(Data!$H$2:$H$497,MATCH(N309,Data!$A$2:$A$497,1))/INDEX(Data!$H$2:$H$497,MATCH(N297,Data!$A$2:$A$497,1))),"")</f>
      </c>
      <c r="AS309" s="560">
        <f>IFERROR(LN(INDEX(Data!$I$2:$I$497,MATCH(N309,Data!$A$2:$A$497,1))/INDEX(Data!$I$2:$I$497,MATCH(N297,Data!$A$2:$A$497,1))),"")</f>
      </c>
      <c r="AT309" s="560">
        <f>IFERROR(LN(INDEX(Data!$J$2:$J$497,MATCH(N309,Data!$A$2:$A$497,1))/INDEX(Data!$J$2:$J$497,MATCH(N297,Data!$A$2:$A$497,1))),"")</f>
        <v>0.136091529878746</v>
      </c>
      <c r="AU309" s="560">
        <f>IFERROR(LN(INDEX(Data!$K$2:$K$497,MATCH(N309,Data!$A$2:$A$497,1))/INDEX(Data!$K$2:$K$497,MATCH(N297,Data!$A$2:$A$497,1))),"")</f>
        <v>0.121172721407026</v>
      </c>
      <c r="AV309" s="561">
        <f>IFERROR(LN(INDEX(Data!$L$2:$L$497,MATCH(N309,Data!$A$2:$A$497,1))/INDEX(Data!$L$2:$L$497,MATCH(N297,Data!$A$2:$A$497,1))),"")</f>
        <v>0.058610881168738</v>
      </c>
    </row>
    <row r="310">
      <c r="N310" s="337" t="n">
        <v>34150</v>
      </c>
      <c r="O310" s="116">
        <f>INDEX('Additional data'!$B$2:$B$965,MATCH(DATE(YEAR(N310),MONTH(N310),1),'Additional data'!$A$2:$A$965,0))</f>
        <v>19.07</v>
      </c>
      <c r="P310" s="489">
        <f>LN(O310)</f>
        <v>2.94811641961233</v>
      </c>
      <c r="Q310" s="489">
        <f>Q309+LN(1+INDEX('Additional data'!$H$2:$H$1196,MATCH(N310,'Additional data'!$G$2:$G$1196,1))+INDEX('Additional data'!$I$2:$I$1196,MATCH(N310,'Additional data'!$G$2:$G$1196,1)))</f>
        <v>2.54154749996778</v>
      </c>
      <c r="R310" s="489">
        <f>LN(INDEX(Data!$B$2:$B$497,MATCH(N310,Data!$A$2:$A$497,1)))</f>
        <v>8.76600448947903</v>
      </c>
      <c r="S310" s="116">
        <f>IF(INDEX('Additional data'!$E$2:$E$699,MATCH(DATE(YEAR(N310),MONTH(N310),1),'Additional data'!$D$2:$D$699,0))=0,(INDEX('Additional data'!$E$2:$E$699,MATCH(DATE(YEAR(N310),MONTH(N310),1),'Additional data'!$D$2:$D$699,0)-1)+INDEX('Additional data'!$E$2:$E$699,MATCH(DATE(YEAR(N310),MONTH(N310),1),'Additional data'!$D$2:$D$699,0)+1))/2,INDEX('Additional data'!$E$2:$E$699,MATCH(DATE(YEAR(N310),MONTH(N310),1),'Additional data'!$D$2:$D$699,0)))</f>
        <v>5.22</v>
      </c>
      <c r="T310" s="425">
        <f>P310-P309</f>
        <v>-0.0446113449213645</v>
      </c>
      <c r="U310" s="425">
        <f>Q310-Q309</f>
        <v>0.00548493023056951</v>
      </c>
      <c r="V310" s="425">
        <f>R310-R309</f>
        <v>0.00384363461856196</v>
      </c>
      <c r="W310" s="116">
        <f>S310-S309</f>
        <v>0.0699999999999994</v>
      </c>
      <c r="X310" s="425">
        <f>P310-P298</f>
        <v>-0.159827844548591</v>
      </c>
      <c r="Y310" s="425">
        <f>Q310-Q298</f>
        <v>0.154097951895372</v>
      </c>
      <c r="Z310" s="425">
        <f>R310-R298</f>
        <v>0.0830765448732311</v>
      </c>
      <c r="AA310" s="116">
        <f>S310-S298</f>
        <v>-1.2</v>
      </c>
      <c r="AB310" s="425">
        <f>P310-P250</f>
        <v>0.142939507779395</v>
      </c>
      <c r="AC310" s="425">
        <f>Q310-Q250</f>
        <v>0.656184370895025</v>
      </c>
      <c r="AD310" s="425">
        <f>R310-R250</f>
        <v>0.371250155255366</v>
      </c>
      <c r="AE310" s="235">
        <f>S310-S250</f>
        <v>-7.88</v>
      </c>
      <c r="AG310" s="554">
        <f>N310</f>
        <v>34150.0</v>
      </c>
      <c r="AH310" s="435">
        <f>IFERROR(INDEX('RBA 5Y yield'!$B$5:$B$661,MATCH(N310,'RBA 5Y yield'!$A$5:$A$661,1))*100,"")</f>
        <v>6.83</v>
      </c>
      <c r="AI310" s="435">
        <f>IF(AND(ISNUMBER(AH310),ISNUMBER(AH309)),AH310-AH309,"")</f>
        <v>-0.260000000000001</v>
      </c>
      <c r="AJ310" s="435">
        <f>IF(AND(ISNUMBER(AH310),ISNUMBER(AH298)),AH310-AH298,"")</f>
        <v>-0.999999999999999</v>
      </c>
      <c r="AK310" s="435">
        <f>IF(AND(ISNUMBER(AH310),ISNUMBER(AH250)),AH310-AH250,"")</f>
        <v>-5.12</v>
      </c>
      <c r="AL310" s="560">
        <f>IFERROR(LN(INDEX(Data!$B$2:$B$497,MATCH(N310,Data!$A$2:$A$497,1))/INDEX(Data!$B$2:$B$497,MATCH(N298,Data!$A$2:$A$497,1))),"")</f>
        <v>0.0830765448732319</v>
      </c>
      <c r="AM310" s="560">
        <f>IFERROR(LN(INDEX(Data!$C$2:$C$497,MATCH(N310,Data!$A$2:$A$497,1))/INDEX(Data!$C$2:$C$497,MATCH(N298,Data!$A$2:$A$497,1))),"")</f>
        <v>0.276531108877699</v>
      </c>
      <c r="AN310" s="560">
        <f>IFERROR(LN(INDEX(Data!$D$2:$D$497,MATCH(N310,Data!$A$2:$A$497,1))/INDEX(Data!$D$2:$D$497,MATCH(N298,Data!$A$2:$A$497,1))),"")</f>
        <v>0.678265849774695</v>
      </c>
      <c r="AO310" s="560">
        <f>IFERROR(LN(INDEX(Data!$E$2:$E$497,MATCH(N310,Data!$A$2:$A$497,1))/INDEX(Data!$E$2:$E$497,MATCH(N298,Data!$A$2:$A$497,1))),"")</f>
        <v>0.297516235930422</v>
      </c>
      <c r="AP310" s="560">
        <f>IFERROR(LN(INDEX(Data!$F$2:$F$497,MATCH(N310,Data!$A$2:$A$497,1))/INDEX(Data!$F$2:$F$497,MATCH(N298,Data!$A$2:$A$497,1))),"")</f>
        <v>0.0521606275120144</v>
      </c>
      <c r="AQ310" s="560">
        <f>IFERROR(LN(INDEX(Data!$G$2:$G$497,MATCH(N310,Data!$A$2:$A$497,1))/INDEX(Data!$G$2:$G$497,MATCH(N298,Data!$A$2:$A$497,1))),"")</f>
        <v>0.0383648295185151</v>
      </c>
      <c r="AR310" s="560">
        <f>IFERROR(LN(INDEX(Data!$H$2:$H$497,MATCH(N310,Data!$A$2:$A$497,1))/INDEX(Data!$H$2:$H$497,MATCH(N298,Data!$A$2:$A$497,1))),"")</f>
      </c>
      <c r="AS310" s="560">
        <f>IFERROR(LN(INDEX(Data!$I$2:$I$497,MATCH(N310,Data!$A$2:$A$497,1))/INDEX(Data!$I$2:$I$497,MATCH(N298,Data!$A$2:$A$497,1))),"")</f>
      </c>
      <c r="AT310" s="560">
        <f>IFERROR(LN(INDEX(Data!$J$2:$J$497,MATCH(N310,Data!$A$2:$A$497,1))/INDEX(Data!$J$2:$J$497,MATCH(N298,Data!$A$2:$A$497,1))),"")</f>
        <v>0.130449104675633</v>
      </c>
      <c r="AU310" s="560">
        <f>IFERROR(LN(INDEX(Data!$K$2:$K$497,MATCH(N310,Data!$A$2:$A$497,1))/INDEX(Data!$K$2:$K$497,MATCH(N298,Data!$A$2:$A$497,1))),"")</f>
        <v>0.130971138921559</v>
      </c>
      <c r="AV310" s="561">
        <f>IFERROR(LN(INDEX(Data!$L$2:$L$497,MATCH(N310,Data!$A$2:$A$497,1))/INDEX(Data!$L$2:$L$497,MATCH(N298,Data!$A$2:$A$497,1))),"")</f>
        <v>0.0574663135194353</v>
      </c>
    </row>
    <row r="311">
      <c r="N311" s="337" t="n">
        <v>34181</v>
      </c>
      <c r="O311" s="116">
        <f>INDEX('Additional data'!$B$2:$B$965,MATCH(DATE(YEAR(N311),MONTH(N311),1),'Additional data'!$A$2:$A$965,0))</f>
        <v>17.866</v>
      </c>
      <c r="P311" s="489">
        <f>LN(O311)</f>
        <v>2.88289946527965</v>
      </c>
      <c r="Q311" s="489">
        <f>Q310+LN(1+INDEX('Additional data'!$H$2:$H$1196,MATCH(N311,'Additional data'!$G$2:$G$1196,1))+INDEX('Additional data'!$I$2:$I$1196,MATCH(N311,'Additional data'!$G$2:$G$1196,1)))</f>
        <v>2.5405469996342</v>
      </c>
      <c r="R311" s="489">
        <f>LN(INDEX(Data!$B$2:$B$497,MATCH(N311,Data!$A$2:$A$497,1)))</f>
        <v>8.82428075349194</v>
      </c>
      <c r="S311" s="116">
        <f>IF(INDEX('Additional data'!$E$2:$E$699,MATCH(DATE(YEAR(N311),MONTH(N311),1),'Additional data'!$D$2:$D$699,0))=0,(INDEX('Additional data'!$E$2:$E$699,MATCH(DATE(YEAR(N311),MONTH(N311),1),'Additional data'!$D$2:$D$699,0)-1)+INDEX('Additional data'!$E$2:$E$699,MATCH(DATE(YEAR(N311),MONTH(N311),1),'Additional data'!$D$2:$D$699,0)+1))/2,INDEX('Additional data'!$E$2:$E$699,MATCH(DATE(YEAR(N311),MONTH(N311),1),'Additional data'!$D$2:$D$699,0)))</f>
        <v>5.05</v>
      </c>
      <c r="T311" s="425">
        <f>P311-P310</f>
        <v>-0.0652169543326804</v>
      </c>
      <c r="U311" s="425">
        <f>Q311-Q310</f>
        <v>-0.00100050033358334</v>
      </c>
      <c r="V311" s="425">
        <f>R311-R310</f>
        <v>0.0582762640129157</v>
      </c>
      <c r="W311" s="116">
        <f>S311-S310</f>
        <v>-0.17</v>
      </c>
      <c r="X311" s="425">
        <f>P311-P299</f>
        <v>-0.197127999769738</v>
      </c>
      <c r="Y311" s="425">
        <f>Q311-Q299</f>
        <v>0.113011728022503</v>
      </c>
      <c r="Z311" s="425">
        <f>R311-R299</f>
        <v>0.15996149718541</v>
      </c>
      <c r="AA311" s="116">
        <f>S311-S299</f>
        <v>-0.59</v>
      </c>
      <c r="AB311" s="425">
        <f>P311-P251</f>
        <v>0.142188481937889</v>
      </c>
      <c r="AC311" s="425">
        <f>Q311-Q251</f>
        <v>0.662611386390238</v>
      </c>
      <c r="AD311" s="425">
        <f>R311-R251</f>
        <v>0.392405827733041</v>
      </c>
      <c r="AE311" s="235">
        <f>S311-S251</f>
        <v>-8.03</v>
      </c>
      <c r="AG311" s="554">
        <f>N311</f>
        <v>34181.0</v>
      </c>
      <c r="AH311" s="435">
        <f>IFERROR(INDEX('RBA 5Y yield'!$B$5:$B$661,MATCH(N311,'RBA 5Y yield'!$A$5:$A$661,1))*100,"")</f>
        <v>6.43</v>
      </c>
      <c r="AI311" s="435">
        <f>IF(AND(ISNUMBER(AH311),ISNUMBER(AH310)),AH311-AH310,"")</f>
        <v>-0.4</v>
      </c>
      <c r="AJ311" s="435">
        <f>IF(AND(ISNUMBER(AH311),ISNUMBER(AH299)),AH311-AH299,"")</f>
        <v>-0.619999999999999</v>
      </c>
      <c r="AK311" s="435">
        <f>IF(AND(ISNUMBER(AH311),ISNUMBER(AH251)),AH311-AH251,"")</f>
        <v>-5.62</v>
      </c>
      <c r="AL311" s="560">
        <f>IFERROR(LN(INDEX(Data!$B$2:$B$497,MATCH(N311,Data!$A$2:$A$497,1))/INDEX(Data!$B$2:$B$497,MATCH(N299,Data!$A$2:$A$497,1))),"")</f>
        <v>0.15996149718541</v>
      </c>
      <c r="AM311" s="560">
        <f>IFERROR(LN(INDEX(Data!$C$2:$C$497,MATCH(N311,Data!$A$2:$A$497,1))/INDEX(Data!$C$2:$C$497,MATCH(N299,Data!$A$2:$A$497,1))),"")</f>
        <v>0.266935463889484</v>
      </c>
      <c r="AN311" s="560">
        <f>IFERROR(LN(INDEX(Data!$D$2:$D$497,MATCH(N311,Data!$A$2:$A$497,1))/INDEX(Data!$D$2:$D$497,MATCH(N299,Data!$A$2:$A$497,1))),"")</f>
        <v>0.669978661118146</v>
      </c>
      <c r="AO311" s="560">
        <f>IFERROR(LN(INDEX(Data!$E$2:$E$497,MATCH(N311,Data!$A$2:$A$497,1))/INDEX(Data!$E$2:$E$497,MATCH(N299,Data!$A$2:$A$497,1))),"")</f>
        <v>0.270645755259843</v>
      </c>
      <c r="AP311" s="560">
        <f>IFERROR(LN(INDEX(Data!$F$2:$F$497,MATCH(N311,Data!$A$2:$A$497,1))/INDEX(Data!$F$2:$F$497,MATCH(N299,Data!$A$2:$A$497,1))),"")</f>
        <v>0.0194742343312621</v>
      </c>
      <c r="AQ311" s="560">
        <f>IFERROR(LN(INDEX(Data!$G$2:$G$497,MATCH(N311,Data!$A$2:$A$497,1))/INDEX(Data!$G$2:$G$497,MATCH(N299,Data!$A$2:$A$497,1))),"")</f>
        <v>0.0383648295185151</v>
      </c>
      <c r="AR311" s="560">
        <f>IFERROR(LN(INDEX(Data!$H$2:$H$497,MATCH(N311,Data!$A$2:$A$497,1))/INDEX(Data!$H$2:$H$497,MATCH(N299,Data!$A$2:$A$497,1))),"")</f>
      </c>
      <c r="AS311" s="560">
        <f>IFERROR(LN(INDEX(Data!$I$2:$I$497,MATCH(N311,Data!$A$2:$A$497,1))/INDEX(Data!$I$2:$I$497,MATCH(N299,Data!$A$2:$A$497,1))),"")</f>
      </c>
      <c r="AT311" s="560">
        <f>IFERROR(LN(INDEX(Data!$J$2:$J$497,MATCH(N311,Data!$A$2:$A$497,1))/INDEX(Data!$J$2:$J$497,MATCH(N299,Data!$A$2:$A$497,1))),"")</f>
        <v>0.117061483237338</v>
      </c>
      <c r="AU311" s="560">
        <f>IFERROR(LN(INDEX(Data!$K$2:$K$497,MATCH(N311,Data!$A$2:$A$497,1))/INDEX(Data!$K$2:$K$497,MATCH(N299,Data!$A$2:$A$497,1))),"")</f>
        <v>0.124650611550239</v>
      </c>
      <c r="AV311" s="561">
        <f>IFERROR(LN(INDEX(Data!$L$2:$L$497,MATCH(N311,Data!$A$2:$A$497,1))/INDEX(Data!$L$2:$L$497,MATCH(N299,Data!$A$2:$A$497,1))),"")</f>
        <v>0.0564371481293649</v>
      </c>
    </row>
    <row r="312">
      <c r="N312" s="337" t="n">
        <v>34212</v>
      </c>
      <c r="O312" s="116">
        <f>INDEX('Additional data'!$B$2:$B$965,MATCH(DATE(YEAR(N312),MONTH(N312),1),'Additional data'!$A$2:$A$965,0))</f>
        <v>18.009</v>
      </c>
      <c r="P312" s="489">
        <f>LN(O312)</f>
        <v>2.89087163293782</v>
      </c>
      <c r="Q312" s="489">
        <f>Q311+LN(1+INDEX('Additional data'!$H$2:$H$1196,MATCH(N312,'Additional data'!$G$2:$G$1196,1))+INDEX('Additional data'!$I$2:$I$1196,MATCH(N312,'Additional data'!$G$2:$G$1196,1)))</f>
        <v>2.57947920963598</v>
      </c>
      <c r="R312" s="489">
        <f>LN(INDEX(Data!$B$2:$B$497,MATCH(N312,Data!$A$2:$A$497,1)))</f>
        <v>8.89151157052756</v>
      </c>
      <c r="S312" s="116">
        <f>IF(INDEX('Additional data'!$E$2:$E$699,MATCH(DATE(YEAR(N312),MONTH(N312),1),'Additional data'!$D$2:$D$699,0))=0,(INDEX('Additional data'!$E$2:$E$699,MATCH(DATE(YEAR(N312),MONTH(N312),1),'Additional data'!$D$2:$D$699,0)-1)+INDEX('Additional data'!$E$2:$E$699,MATCH(DATE(YEAR(N312),MONTH(N312),1),'Additional data'!$D$2:$D$699,0)+1))/2,INDEX('Additional data'!$E$2:$E$699,MATCH(DATE(YEAR(N312),MONTH(N312),1),'Additional data'!$D$2:$D$699,0)))</f>
        <v>4.78</v>
      </c>
      <c r="T312" s="425">
        <f>P312-P311</f>
        <v>0.00797216765816833</v>
      </c>
      <c r="U312" s="425">
        <f>Q312-Q311</f>
        <v>0.0389322100017875</v>
      </c>
      <c r="V312" s="425">
        <f>R312-R311</f>
        <v>0.0672308170356235</v>
      </c>
      <c r="W312" s="116">
        <f>S312-S311</f>
        <v>-0.27</v>
      </c>
      <c r="X312" s="425">
        <f>P312-P300</f>
        <v>-0.170180106736818</v>
      </c>
      <c r="Y312" s="425">
        <f>Q312-Q300</f>
        <v>0.173371885437911</v>
      </c>
      <c r="Z312" s="425">
        <f>R312-R300</f>
        <v>0.273224954551274</v>
      </c>
      <c r="AA312" s="116">
        <f>S312-S300</f>
        <v>-0.95</v>
      </c>
      <c r="AB312" s="425">
        <f>P312-P252</f>
        <v>0.148484419431156</v>
      </c>
      <c r="AC312" s="425">
        <f>Q312-Q252</f>
        <v>0.72912036416226</v>
      </c>
      <c r="AD312" s="425">
        <f>R312-R252</f>
        <v>0.483686916166691</v>
      </c>
      <c r="AE312" s="235">
        <f>S312-S252</f>
        <v>-8.54</v>
      </c>
      <c r="AG312" s="554">
        <f>N312</f>
        <v>34212.0</v>
      </c>
      <c r="AH312" s="435">
        <f>IFERROR(INDEX('RBA 5Y yield'!$B$5:$B$661,MATCH(N312,'RBA 5Y yield'!$A$5:$A$661,1))*100,"")</f>
        <v>6.16</v>
      </c>
      <c r="AI312" s="435">
        <f>IF(AND(ISNUMBER(AH312),ISNUMBER(AH311)),AH312-AH311,"")</f>
        <v>-0.27</v>
      </c>
      <c r="AJ312" s="435">
        <f>IF(AND(ISNUMBER(AH312),ISNUMBER(AH300)),AH312-AH300,"")</f>
        <v>-2.25</v>
      </c>
      <c r="AK312" s="435">
        <f>IF(AND(ISNUMBER(AH312),ISNUMBER(AH252)),AH312-AH252,"")</f>
        <v>-6.14</v>
      </c>
      <c r="AL312" s="560">
        <f>IFERROR(LN(INDEX(Data!$B$2:$B$497,MATCH(N312,Data!$A$2:$A$497,1))/INDEX(Data!$B$2:$B$497,MATCH(N300,Data!$A$2:$A$497,1))),"")</f>
        <v>0.273224954551276</v>
      </c>
      <c r="AM312" s="560">
        <f>IFERROR(LN(INDEX(Data!$C$2:$C$497,MATCH(N312,Data!$A$2:$A$497,1))/INDEX(Data!$C$2:$C$497,MATCH(N300,Data!$A$2:$A$497,1))),"")</f>
        <v>0.28759121404579</v>
      </c>
      <c r="AN312" s="560">
        <f>IFERROR(LN(INDEX(Data!$D$2:$D$497,MATCH(N312,Data!$A$2:$A$497,1))/INDEX(Data!$D$2:$D$497,MATCH(N300,Data!$A$2:$A$497,1))),"")</f>
        <v>0.803338921822781</v>
      </c>
      <c r="AO312" s="560">
        <f>IFERROR(LN(INDEX(Data!$E$2:$E$497,MATCH(N312,Data!$A$2:$A$497,1))/INDEX(Data!$E$2:$E$497,MATCH(N300,Data!$A$2:$A$497,1))),"")</f>
        <v>0.310212349725223</v>
      </c>
      <c r="AP312" s="560">
        <f>IFERROR(LN(INDEX(Data!$F$2:$F$497,MATCH(N312,Data!$A$2:$A$497,1))/INDEX(Data!$F$2:$F$497,MATCH(N300,Data!$A$2:$A$497,1))),"")</f>
        <v>0.0122378405320056</v>
      </c>
      <c r="AQ312" s="560">
        <f>IFERROR(LN(INDEX(Data!$G$2:$G$497,MATCH(N312,Data!$A$2:$A$497,1))/INDEX(Data!$G$2:$G$497,MATCH(N300,Data!$A$2:$A$497,1))),"")</f>
        <v>0.0383648295185151</v>
      </c>
      <c r="AR312" s="560">
        <f>IFERROR(LN(INDEX(Data!$H$2:$H$497,MATCH(N312,Data!$A$2:$A$497,1))/INDEX(Data!$H$2:$H$497,MATCH(N300,Data!$A$2:$A$497,1))),"")</f>
      </c>
      <c r="AS312" s="560">
        <f>IFERROR(LN(INDEX(Data!$I$2:$I$497,MATCH(N312,Data!$A$2:$A$497,1))/INDEX(Data!$I$2:$I$497,MATCH(N300,Data!$A$2:$A$497,1))),"")</f>
      </c>
      <c r="AT312" s="560">
        <f>IFERROR(LN(INDEX(Data!$J$2:$J$497,MATCH(N312,Data!$A$2:$A$497,1))/INDEX(Data!$J$2:$J$497,MATCH(N300,Data!$A$2:$A$497,1))),"")</f>
        <v>0.165414148537036</v>
      </c>
      <c r="AU312" s="560">
        <f>IFERROR(LN(INDEX(Data!$K$2:$K$497,MATCH(N312,Data!$A$2:$A$497,1))/INDEX(Data!$K$2:$K$497,MATCH(N300,Data!$A$2:$A$497,1))),"")</f>
        <v>0.136056853268543</v>
      </c>
      <c r="AV312" s="561">
        <f>IFERROR(LN(INDEX(Data!$L$2:$L$497,MATCH(N312,Data!$A$2:$A$497,1))/INDEX(Data!$L$2:$L$497,MATCH(N300,Data!$A$2:$A$497,1))),"")</f>
        <v>0.0560523762281641</v>
      </c>
    </row>
    <row r="313">
      <c r="N313" s="337" t="n">
        <v>34242</v>
      </c>
      <c r="O313" s="116">
        <f>INDEX('Additional data'!$B$2:$B$965,MATCH(DATE(YEAR(N313),MONTH(N313),1),'Additional data'!$A$2:$A$965,0))</f>
        <v>17.514</v>
      </c>
      <c r="P313" s="489">
        <f>LN(O313)</f>
        <v>2.86300056110003</v>
      </c>
      <c r="Q313" s="489">
        <f>Q312+LN(1+INDEX('Additional data'!$H$2:$H$1196,MATCH(N313,'Additional data'!$G$2:$G$1196,1))+INDEX('Additional data'!$I$2:$I$1196,MATCH(N313,'Additional data'!$G$2:$G$1196,1)))</f>
        <v>2.58087823054969</v>
      </c>
      <c r="R313" s="489">
        <f>LN(INDEX(Data!$B$2:$B$497,MATCH(N313,Data!$A$2:$A$497,1)))</f>
        <v>8.87358009387501</v>
      </c>
      <c r="S313" s="116">
        <f>IF(INDEX('Additional data'!$E$2:$E$699,MATCH(DATE(YEAR(N313),MONTH(N313),1),'Additional data'!$D$2:$D$699,0))=0,(INDEX('Additional data'!$E$2:$E$699,MATCH(DATE(YEAR(N313),MONTH(N313),1),'Additional data'!$D$2:$D$699,0)-1)+INDEX('Additional data'!$E$2:$E$699,MATCH(DATE(YEAR(N313),MONTH(N313),1),'Additional data'!$D$2:$D$699,0)+1))/2,INDEX('Additional data'!$E$2:$E$699,MATCH(DATE(YEAR(N313),MONTH(N313),1),'Additional data'!$D$2:$D$699,0)))</f>
        <v>4.86</v>
      </c>
      <c r="T313" s="425">
        <f>P313-P312</f>
        <v>-0.027871071837783</v>
      </c>
      <c r="U313" s="425">
        <f>Q313-Q312</f>
        <v>0.00139902091370736</v>
      </c>
      <c r="V313" s="425">
        <f>R313-R312</f>
        <v>-0.0179314766525582</v>
      </c>
      <c r="W313" s="116">
        <f>S313-S312</f>
        <v>0.0800000000000001</v>
      </c>
      <c r="X313" s="425">
        <f>P313-P301</f>
        <v>-0.223577395753535</v>
      </c>
      <c r="Y313" s="425">
        <f>Q313-Q301</f>
        <v>0.160375026067886</v>
      </c>
      <c r="Z313" s="425">
        <f>R313-R301</f>
        <v>0.297288150071562</v>
      </c>
      <c r="AA313" s="116">
        <f>S313-S301</f>
        <v>-1.08</v>
      </c>
      <c r="AB313" s="425">
        <f>P313-P253</f>
        <v>0.191130367452579</v>
      </c>
      <c r="AC313" s="425">
        <f>Q313-Q253</f>
        <v>0.691971975463729</v>
      </c>
      <c r="AD313" s="425">
        <f>R313-R253</f>
        <v>0.475260532597181</v>
      </c>
      <c r="AE313" s="235">
        <f>S313-S253</f>
        <v>-8.78</v>
      </c>
      <c r="AG313" s="554">
        <f>N313</f>
        <v>34242.0</v>
      </c>
      <c r="AH313" s="435">
        <f>IFERROR(INDEX('RBA 5Y yield'!$B$5:$B$661,MATCH(N313,'RBA 5Y yield'!$A$5:$A$661,1))*100,"")</f>
        <v>6.35</v>
      </c>
      <c r="AI313" s="435">
        <f>IF(AND(ISNUMBER(AH313),ISNUMBER(AH312)),AH313-AH312,"")</f>
        <v>0.19</v>
      </c>
      <c r="AJ313" s="435">
        <f>IF(AND(ISNUMBER(AH313),ISNUMBER(AH301)),AH313-AH301,"")</f>
        <v>-1.97</v>
      </c>
      <c r="AK313" s="435">
        <f>IF(AND(ISNUMBER(AH313),ISNUMBER(AH253)),AH313-AH253,"")</f>
        <v>-6.25</v>
      </c>
      <c r="AL313" s="560">
        <f>IFERROR(LN(INDEX(Data!$B$2:$B$497,MATCH(N313,Data!$A$2:$A$497,1))/INDEX(Data!$B$2:$B$497,MATCH(N301,Data!$A$2:$A$497,1))),"")</f>
        <v>0.297288150071562</v>
      </c>
      <c r="AM313" s="560">
        <f>IFERROR(LN(INDEX(Data!$C$2:$C$497,MATCH(N313,Data!$A$2:$A$497,1))/INDEX(Data!$C$2:$C$497,MATCH(N301,Data!$A$2:$A$497,1))),"")</f>
        <v>0.300535888723996</v>
      </c>
      <c r="AN313" s="560">
        <f>IFERROR(LN(INDEX(Data!$D$2:$D$497,MATCH(N313,Data!$A$2:$A$497,1))/INDEX(Data!$D$2:$D$497,MATCH(N301,Data!$A$2:$A$497,1))),"")</f>
        <v>0.880285817530608</v>
      </c>
      <c r="AO313" s="560">
        <f>IFERROR(LN(INDEX(Data!$E$2:$E$497,MATCH(N313,Data!$A$2:$A$497,1))/INDEX(Data!$E$2:$E$497,MATCH(N301,Data!$A$2:$A$497,1))),"")</f>
        <v>0.354852572821144</v>
      </c>
      <c r="AP313" s="560">
        <f>IFERROR(LN(INDEX(Data!$F$2:$F$497,MATCH(N313,Data!$A$2:$A$497,1))/INDEX(Data!$F$2:$F$497,MATCH(N301,Data!$A$2:$A$497,1))),"")</f>
        <v>0.0367011428226229</v>
      </c>
      <c r="AQ313" s="560">
        <f>IFERROR(LN(INDEX(Data!$G$2:$G$497,MATCH(N313,Data!$A$2:$A$497,1))/INDEX(Data!$G$2:$G$497,MATCH(N301,Data!$A$2:$A$497,1))),"")</f>
        <v>0.0384460511007623</v>
      </c>
      <c r="AR313" s="560">
        <f>IFERROR(LN(INDEX(Data!$H$2:$H$497,MATCH(N313,Data!$A$2:$A$497,1))/INDEX(Data!$H$2:$H$497,MATCH(N301,Data!$A$2:$A$497,1))),"")</f>
      </c>
      <c r="AS313" s="560">
        <f>IFERROR(LN(INDEX(Data!$I$2:$I$497,MATCH(N313,Data!$A$2:$A$497,1))/INDEX(Data!$I$2:$I$497,MATCH(N301,Data!$A$2:$A$497,1))),"")</f>
      </c>
      <c r="AT313" s="560">
        <f>IFERROR(LN(INDEX(Data!$J$2:$J$497,MATCH(N313,Data!$A$2:$A$497,1))/INDEX(Data!$J$2:$J$497,MATCH(N301,Data!$A$2:$A$497,1))),"")</f>
        <v>0.152929978617598</v>
      </c>
      <c r="AU313" s="560">
        <f>IFERROR(LN(INDEX(Data!$K$2:$K$497,MATCH(N313,Data!$A$2:$A$497,1))/INDEX(Data!$K$2:$K$497,MATCH(N301,Data!$A$2:$A$497,1))),"")</f>
        <v>0.126631751221679</v>
      </c>
      <c r="AV313" s="561">
        <f>IFERROR(LN(INDEX(Data!$L$2:$L$497,MATCH(N313,Data!$A$2:$A$497,1))/INDEX(Data!$L$2:$L$497,MATCH(N301,Data!$A$2:$A$497,1))),"")</f>
        <v>0.0551645848675013</v>
      </c>
    </row>
    <row r="314">
      <c r="N314" s="337" t="n">
        <v>34273</v>
      </c>
      <c r="O314" s="116">
        <f>INDEX('Additional data'!$B$2:$B$965,MATCH(DATE(YEAR(N314),MONTH(N314),1),'Additional data'!$A$2:$A$965,0))</f>
        <v>18.145</v>
      </c>
      <c r="P314" s="489">
        <f>LN(O314)</f>
        <v>2.89839504066503</v>
      </c>
      <c r="Q314" s="489">
        <f>Q313+LN(1+INDEX('Additional data'!$H$2:$H$1196,MATCH(N314,'Additional data'!$G$2:$G$1196,1))+INDEX('Additional data'!$I$2:$I$1196,MATCH(N314,'Additional data'!$G$2:$G$1196,1)))</f>
        <v>2.59714520301356</v>
      </c>
      <c r="R314" s="489">
        <f>LN(INDEX(Data!$B$2:$B$497,MATCH(N314,Data!$A$2:$A$497,1)))</f>
        <v>8.95530617678973</v>
      </c>
      <c r="S314" s="116">
        <f>IF(INDEX('Additional data'!$E$2:$E$699,MATCH(DATE(YEAR(N314),MONTH(N314),1),'Additional data'!$D$2:$D$699,0))=0,(INDEX('Additional data'!$E$2:$E$699,MATCH(DATE(YEAR(N314),MONTH(N314),1),'Additional data'!$D$2:$D$699,0)-1)+INDEX('Additional data'!$E$2:$E$699,MATCH(DATE(YEAR(N314),MONTH(N314),1),'Additional data'!$D$2:$D$699,0)+1))/2,INDEX('Additional data'!$E$2:$E$699,MATCH(DATE(YEAR(N314),MONTH(N314),1),'Additional data'!$D$2:$D$699,0)))</f>
        <v>4.81</v>
      </c>
      <c r="T314" s="425">
        <f>P314-P313</f>
        <v>0.0353944795650012</v>
      </c>
      <c r="U314" s="425">
        <f>Q314-Q313</f>
        <v>0.016266972463872</v>
      </c>
      <c r="V314" s="425">
        <f>R314-R313</f>
        <v>0.0817260829147219</v>
      </c>
      <c r="W314" s="116">
        <f>S314-S313</f>
        <v>-0.0500000000000007</v>
      </c>
      <c r="X314" s="425">
        <f>P314-P302</f>
        <v>-0.17836407153133</v>
      </c>
      <c r="Y314" s="425">
        <f>Q314-Q302</f>
        <v>0.164219478533201</v>
      </c>
      <c r="Z314" s="425">
        <f>R314-R302</f>
        <v>0.411062179897176</v>
      </c>
      <c r="AA314" s="116">
        <f>S314-S302</f>
        <v>-1.05</v>
      </c>
      <c r="AB314" s="425">
        <f>P314-P254</f>
        <v>0.273871386541117</v>
      </c>
      <c r="AC314" s="425">
        <f>Q314-Q254</f>
        <v>0.690693768711852</v>
      </c>
      <c r="AD314" s="425">
        <f>R314-R254</f>
        <v>0.525982912630131</v>
      </c>
      <c r="AE314" s="235">
        <f>S314-S254</f>
        <v>-9.19</v>
      </c>
      <c r="AG314" s="554">
        <f>N314</f>
        <v>34273.0</v>
      </c>
      <c r="AH314" s="435">
        <f>IFERROR(INDEX('RBA 5Y yield'!$B$5:$B$661,MATCH(N314,'RBA 5Y yield'!$A$5:$A$661,1))*100,"")</f>
        <v>6.01</v>
      </c>
      <c r="AI314" s="435">
        <f>IF(AND(ISNUMBER(AH314),ISNUMBER(AH313)),AH314-AH313,"")</f>
        <v>-0.34</v>
      </c>
      <c r="AJ314" s="435">
        <f>IF(AND(ISNUMBER(AH314),ISNUMBER(AH302)),AH314-AH302,"")</f>
        <v>-2.28</v>
      </c>
      <c r="AK314" s="435">
        <f>IF(AND(ISNUMBER(AH314),ISNUMBER(AH254)),AH314-AH254,"")</f>
        <v>-6.69</v>
      </c>
      <c r="AL314" s="560">
        <f>IFERROR(LN(INDEX(Data!$B$2:$B$497,MATCH(N314,Data!$A$2:$A$497,1))/INDEX(Data!$B$2:$B$497,MATCH(N302,Data!$A$2:$A$497,1))),"")</f>
        <v>0.411062179897176</v>
      </c>
      <c r="AM314" s="560">
        <f>IFERROR(LN(INDEX(Data!$C$2:$C$497,MATCH(N314,Data!$A$2:$A$497,1))/INDEX(Data!$C$2:$C$497,MATCH(N302,Data!$A$2:$A$497,1))),"")</f>
        <v>0.277314418632964</v>
      </c>
      <c r="AN314" s="560">
        <f>IFERROR(LN(INDEX(Data!$D$2:$D$497,MATCH(N314,Data!$A$2:$A$497,1))/INDEX(Data!$D$2:$D$497,MATCH(N302,Data!$A$2:$A$497,1))),"")</f>
        <v>0.87426747680465</v>
      </c>
      <c r="AO314" s="560">
        <f>IFERROR(LN(INDEX(Data!$E$2:$E$497,MATCH(N314,Data!$A$2:$A$497,1))/INDEX(Data!$E$2:$E$497,MATCH(N302,Data!$A$2:$A$497,1))),"")</f>
        <v>0.287699564877328</v>
      </c>
      <c r="AP314" s="560">
        <f>IFERROR(LN(INDEX(Data!$F$2:$F$497,MATCH(N314,Data!$A$2:$A$497,1))/INDEX(Data!$F$2:$F$497,MATCH(N302,Data!$A$2:$A$497,1))),"")</f>
        <v>-0.030483083858317</v>
      </c>
      <c r="AQ314" s="560">
        <f>IFERROR(LN(INDEX(Data!$G$2:$G$497,MATCH(N314,Data!$A$2:$A$497,1))/INDEX(Data!$G$2:$G$497,MATCH(N302,Data!$A$2:$A$497,1))),"")</f>
        <v>0.0384460511007623</v>
      </c>
      <c r="AR314" s="560">
        <f>IFERROR(LN(INDEX(Data!$H$2:$H$497,MATCH(N314,Data!$A$2:$A$497,1))/INDEX(Data!$H$2:$H$497,MATCH(N302,Data!$A$2:$A$497,1))),"")</f>
      </c>
      <c r="AS314" s="560">
        <f>IFERROR(LN(INDEX(Data!$I$2:$I$497,MATCH(N314,Data!$A$2:$A$497,1))/INDEX(Data!$I$2:$I$497,MATCH(N302,Data!$A$2:$A$497,1))),"")</f>
      </c>
      <c r="AT314" s="560">
        <f>IFERROR(LN(INDEX(Data!$J$2:$J$497,MATCH(N314,Data!$A$2:$A$497,1))/INDEX(Data!$J$2:$J$497,MATCH(N302,Data!$A$2:$A$497,1))),"")</f>
        <v>0.161963856707847</v>
      </c>
      <c r="AU314" s="560">
        <f>IFERROR(LN(INDEX(Data!$K$2:$K$497,MATCH(N314,Data!$A$2:$A$497,1))/INDEX(Data!$K$2:$K$497,MATCH(N302,Data!$A$2:$A$497,1))),"")</f>
        <v>0.134645096825911</v>
      </c>
      <c r="AV314" s="561">
        <f>IFERROR(LN(INDEX(Data!$L$2:$L$497,MATCH(N314,Data!$A$2:$A$497,1))/INDEX(Data!$L$2:$L$497,MATCH(N302,Data!$A$2:$A$497,1))),"")</f>
        <v>0.054406285666724</v>
      </c>
    </row>
    <row r="315">
      <c r="N315" s="337" t="n">
        <v>34303</v>
      </c>
      <c r="O315" s="116">
        <f>INDEX('Additional data'!$B$2:$B$965,MATCH(DATE(YEAR(N315),MONTH(N315),1),'Additional data'!$A$2:$A$965,0))</f>
        <v>16.699</v>
      </c>
      <c r="P315" s="489">
        <f>LN(O315)</f>
        <v>2.8153488373903</v>
      </c>
      <c r="Q315" s="489">
        <f>Q314+LN(1+INDEX('Additional data'!$H$2:$H$1196,MATCH(N315,'Additional data'!$G$2:$G$1196,1))+INDEX('Additional data'!$I$2:$I$1196,MATCH(N315,'Additional data'!$G$2:$G$1196,1)))</f>
        <v>2.58081254839267</v>
      </c>
      <c r="R315" s="489">
        <f>LN(INDEX(Data!$B$2:$B$497,MATCH(N315,Data!$A$2:$A$497,1)))</f>
        <v>8.89910303990287</v>
      </c>
      <c r="S315" s="116">
        <f>IF(INDEX('Additional data'!$E$2:$E$699,MATCH(DATE(YEAR(N315),MONTH(N315),1),'Additional data'!$D$2:$D$699,0))=0,(INDEX('Additional data'!$E$2:$E$699,MATCH(DATE(YEAR(N315),MONTH(N315),1),'Additional data'!$D$2:$D$699,0)-1)+INDEX('Additional data'!$E$2:$E$699,MATCH(DATE(YEAR(N315),MONTH(N315),1),'Additional data'!$D$2:$D$699,0)+1))/2,INDEX('Additional data'!$E$2:$E$699,MATCH(DATE(YEAR(N315),MONTH(N315),1),'Additional data'!$D$2:$D$699,0)))</f>
        <v>4.78</v>
      </c>
      <c r="T315" s="425">
        <f>P315-P314</f>
        <v>-0.0830462032747383</v>
      </c>
      <c r="U315" s="425">
        <f>Q315-Q314</f>
        <v>-0.0163326546208977</v>
      </c>
      <c r="V315" s="425">
        <f>R315-R314</f>
        <v>-0.0562031368868627</v>
      </c>
      <c r="W315" s="116">
        <f>S315-S314</f>
        <v>-0.0299999999999994</v>
      </c>
      <c r="X315" s="425">
        <f>P315-P303</f>
        <v>-0.197338876813109</v>
      </c>
      <c r="Y315" s="425">
        <f>Q315-Q303</f>
        <v>0.105114732068434</v>
      </c>
      <c r="Z315" s="425">
        <f>R315-R303</f>
        <v>0.333481654582434</v>
      </c>
      <c r="AA315" s="116">
        <f>S315-S303</f>
        <v>-1.1</v>
      </c>
      <c r="AB315" s="425">
        <f>P315-P255</f>
        <v>0.177935715887526</v>
      </c>
      <c r="AC315" s="425">
        <f>Q315-Q255</f>
        <v>0.691507272925925</v>
      </c>
      <c r="AD315" s="425">
        <f>R315-R255</f>
        <v>0.541444998590727</v>
      </c>
      <c r="AE315" s="235">
        <f>S315-S255</f>
        <v>-9.95</v>
      </c>
      <c r="AG315" s="554">
        <f>N315</f>
        <v>34303.0</v>
      </c>
      <c r="AH315" s="435">
        <f>IFERROR(INDEX('RBA 5Y yield'!$B$5:$B$661,MATCH(N315,'RBA 5Y yield'!$A$5:$A$661,1))*100,"")</f>
        <v>6.36</v>
      </c>
      <c r="AI315" s="435">
        <f>IF(AND(ISNUMBER(AH315),ISNUMBER(AH314)),AH315-AH314,"")</f>
        <v>0.350000000000001</v>
      </c>
      <c r="AJ315" s="435">
        <f>IF(AND(ISNUMBER(AH315),ISNUMBER(AH303)),AH315-AH303,"")</f>
        <v>-2.12</v>
      </c>
      <c r="AK315" s="435">
        <f>IF(AND(ISNUMBER(AH315),ISNUMBER(AH255)),AH315-AH255,"")</f>
        <v>-6.69</v>
      </c>
      <c r="AL315" s="560">
        <f>IFERROR(LN(INDEX(Data!$B$2:$B$497,MATCH(N315,Data!$A$2:$A$497,1))/INDEX(Data!$B$2:$B$497,MATCH(N303,Data!$A$2:$A$497,1))),"")</f>
        <v>0.333481654582433</v>
      </c>
      <c r="AM315" s="560">
        <f>IFERROR(LN(INDEX(Data!$C$2:$C$497,MATCH(N315,Data!$A$2:$A$497,1))/INDEX(Data!$C$2:$C$497,MATCH(N303,Data!$A$2:$A$497,1))),"")</f>
        <v>0.186932577059953</v>
      </c>
      <c r="AN315" s="560">
        <f>IFERROR(LN(INDEX(Data!$D$2:$D$497,MATCH(N315,Data!$A$2:$A$497,1))/INDEX(Data!$D$2:$D$497,MATCH(N303,Data!$A$2:$A$497,1))),"")</f>
        <v>0.936916228187884</v>
      </c>
      <c r="AO315" s="560">
        <f>IFERROR(LN(INDEX(Data!$E$2:$E$497,MATCH(N315,Data!$A$2:$A$497,1))/INDEX(Data!$E$2:$E$497,MATCH(N303,Data!$A$2:$A$497,1))),"")</f>
        <v>0.225907951167328</v>
      </c>
      <c r="AP315" s="560">
        <f>IFERROR(LN(INDEX(Data!$F$2:$F$497,MATCH(N315,Data!$A$2:$A$497,1))/INDEX(Data!$F$2:$F$497,MATCH(N303,Data!$A$2:$A$497,1))),"")</f>
        <v>-0.0734291942058208</v>
      </c>
      <c r="AQ315" s="560">
        <f>IFERROR(LN(INDEX(Data!$G$2:$G$497,MATCH(N315,Data!$A$2:$A$497,1))/INDEX(Data!$G$2:$G$497,MATCH(N303,Data!$A$2:$A$497,1))),"")</f>
        <v>0.0384460511007623</v>
      </c>
      <c r="AR315" s="560">
        <f>IFERROR(LN(INDEX(Data!$H$2:$H$497,MATCH(N315,Data!$A$2:$A$497,1))/INDEX(Data!$H$2:$H$497,MATCH(N303,Data!$A$2:$A$497,1))),"")</f>
      </c>
      <c r="AS315" s="560">
        <f>IFERROR(LN(INDEX(Data!$I$2:$I$497,MATCH(N315,Data!$A$2:$A$497,1))/INDEX(Data!$I$2:$I$497,MATCH(N303,Data!$A$2:$A$497,1))),"")</f>
      </c>
      <c r="AT315" s="560">
        <f>IFERROR(LN(INDEX(Data!$J$2:$J$497,MATCH(N315,Data!$A$2:$A$497,1))/INDEX(Data!$J$2:$J$497,MATCH(N303,Data!$A$2:$A$497,1))),"")</f>
        <v>0.155528644110946</v>
      </c>
      <c r="AU315" s="560">
        <f>IFERROR(LN(INDEX(Data!$K$2:$K$497,MATCH(N315,Data!$A$2:$A$497,1))/INDEX(Data!$K$2:$K$497,MATCH(N303,Data!$A$2:$A$497,1))),"")</f>
        <v>0.130453865477578</v>
      </c>
      <c r="AV315" s="561">
        <f>IFERROR(LN(INDEX(Data!$L$2:$L$497,MATCH(N315,Data!$A$2:$A$497,1))/INDEX(Data!$L$2:$L$497,MATCH(N303,Data!$A$2:$A$497,1))),"")</f>
        <v>0.0533837390638857</v>
      </c>
    </row>
    <row r="316">
      <c r="N316" s="337" t="n">
        <v>34334</v>
      </c>
      <c r="O316" s="116">
        <f>INDEX('Additional data'!$B$2:$B$965,MATCH(DATE(YEAR(N316),MONTH(N316),1),'Additional data'!$A$2:$A$965,0))</f>
        <v>14.51</v>
      </c>
      <c r="P316" s="489">
        <f>LN(O316)</f>
        <v>2.6748380668961</v>
      </c>
      <c r="Q316" s="489">
        <f>Q315+LN(1+INDEX('Additional data'!$H$2:$H$1196,MATCH(N316,'Additional data'!$G$2:$G$1196,1))+INDEX('Additional data'!$I$2:$I$1196,MATCH(N316,'Additional data'!$G$2:$G$1196,1)))</f>
        <v>2.59943801251583</v>
      </c>
      <c r="R316" s="489">
        <f>LN(INDEX(Data!$B$2:$B$497,MATCH(N316,Data!$A$2:$A$497,1)))</f>
        <v>8.98176962001502</v>
      </c>
      <c r="S316" s="116">
        <f>IF(INDEX('Additional data'!$E$2:$E$699,MATCH(DATE(YEAR(N316),MONTH(N316),1),'Additional data'!$D$2:$D$699,0))=0,(INDEX('Additional data'!$E$2:$E$699,MATCH(DATE(YEAR(N316),MONTH(N316),1),'Additional data'!$D$2:$D$699,0)-1)+INDEX('Additional data'!$E$2:$E$699,MATCH(DATE(YEAR(N316),MONTH(N316),1),'Additional data'!$D$2:$D$699,0)+1))/2,INDEX('Additional data'!$E$2:$E$699,MATCH(DATE(YEAR(N316),MONTH(N316),1),'Additional data'!$D$2:$D$699,0)))</f>
        <v>4.82</v>
      </c>
      <c r="T316" s="425">
        <f>P316-P315</f>
        <v>-0.140510770494199</v>
      </c>
      <c r="U316" s="425">
        <f>Q316-Q315</f>
        <v>0.0186254641231649</v>
      </c>
      <c r="V316" s="425">
        <f>R316-R315</f>
        <v>0.0826665801121536</v>
      </c>
      <c r="W316" s="116">
        <f>S316-S315</f>
        <v>0.04</v>
      </c>
      <c r="X316" s="425">
        <f>P316-P304</f>
        <v>-0.290795758833862</v>
      </c>
      <c r="Y316" s="425">
        <f>Q316-Q304</f>
        <v>0.105802051060586</v>
      </c>
      <c r="Z316" s="425">
        <f>R316-R304</f>
        <v>0.339725098959377</v>
      </c>
      <c r="AA316" s="116">
        <f>S316-S304</f>
        <v>-1.08</v>
      </c>
      <c r="AB316" s="425">
        <f>P316-P256</f>
        <v>-0.114238972848487</v>
      </c>
      <c r="AC316" s="425">
        <f>Q316-Q256</f>
        <v>0.689252259469734</v>
      </c>
      <c r="AD316" s="425">
        <f>R316-R256</f>
        <v>0.607315799117197</v>
      </c>
      <c r="AE316" s="235">
        <f>S316-S256</f>
        <v>-10.29</v>
      </c>
      <c r="AG316" s="554">
        <f>N316</f>
        <v>34334.0</v>
      </c>
      <c r="AH316" s="435">
        <f>IFERROR(INDEX('RBA 5Y yield'!$B$5:$B$661,MATCH(N316,'RBA 5Y yield'!$A$5:$A$661,1))*100,"")</f>
        <v>6.17</v>
      </c>
      <c r="AI316" s="435">
        <f>IF(AND(ISNUMBER(AH316),ISNUMBER(AH315)),AH316-AH315,"")</f>
        <v>-0.19</v>
      </c>
      <c r="AJ316" s="435">
        <f>IF(AND(ISNUMBER(AH316),ISNUMBER(AH304)),AH316-AH304,"")</f>
        <v>-2.07</v>
      </c>
      <c r="AK316" s="435">
        <f>IF(AND(ISNUMBER(AH316),ISNUMBER(AH256)),AH316-AH256,"")</f>
        <v>-7.33</v>
      </c>
      <c r="AL316" s="560">
        <f>IFERROR(LN(INDEX(Data!$B$2:$B$497,MATCH(N316,Data!$A$2:$A$497,1))/INDEX(Data!$B$2:$B$497,MATCH(N304,Data!$A$2:$A$497,1))),"")</f>
        <v>0.339725098959377</v>
      </c>
      <c r="AM316" s="560">
        <f>IFERROR(LN(INDEX(Data!$C$2:$C$497,MATCH(N316,Data!$A$2:$A$497,1))/INDEX(Data!$C$2:$C$497,MATCH(N304,Data!$A$2:$A$497,1))),"")</f>
        <v>0.209397620023782</v>
      </c>
      <c r="AN316" s="560">
        <f>IFERROR(LN(INDEX(Data!$D$2:$D$497,MATCH(N316,Data!$A$2:$A$497,1))/INDEX(Data!$D$2:$D$497,MATCH(N304,Data!$A$2:$A$497,1))),"")</f>
        <v>1.06095897428226</v>
      </c>
      <c r="AO316" s="560">
        <f>IFERROR(LN(INDEX(Data!$E$2:$E$497,MATCH(N316,Data!$A$2:$A$497,1))/INDEX(Data!$E$2:$E$497,MATCH(N304,Data!$A$2:$A$497,1))),"")</f>
        <v>0.206427197426966</v>
      </c>
      <c r="AP316" s="560">
        <f>IFERROR(LN(INDEX(Data!$F$2:$F$497,MATCH(N316,Data!$A$2:$A$497,1))/INDEX(Data!$F$2:$F$497,MATCH(N304,Data!$A$2:$A$497,1))),"")</f>
        <v>-0.117438544690613</v>
      </c>
      <c r="AQ316" s="560">
        <f>IFERROR(LN(INDEX(Data!$G$2:$G$497,MATCH(N316,Data!$A$2:$A$497,1))/INDEX(Data!$G$2:$G$497,MATCH(N304,Data!$A$2:$A$497,1))),"")</f>
        <v>0.0381976680088352</v>
      </c>
      <c r="AR316" s="560">
        <f>IFERROR(LN(INDEX(Data!$H$2:$H$497,MATCH(N316,Data!$A$2:$A$497,1))/INDEX(Data!$H$2:$H$497,MATCH(N304,Data!$A$2:$A$497,1))),"")</f>
      </c>
      <c r="AS316" s="560">
        <f>IFERROR(LN(INDEX(Data!$I$2:$I$497,MATCH(N316,Data!$A$2:$A$497,1))/INDEX(Data!$I$2:$I$497,MATCH(N304,Data!$A$2:$A$497,1))),"")</f>
      </c>
      <c r="AT316" s="560">
        <f>IFERROR(LN(INDEX(Data!$J$2:$J$497,MATCH(N316,Data!$A$2:$A$497,1))/INDEX(Data!$J$2:$J$497,MATCH(N304,Data!$A$2:$A$497,1))),"")</f>
        <v>0.151188798152651</v>
      </c>
      <c r="AU316" s="560">
        <f>IFERROR(LN(INDEX(Data!$K$2:$K$497,MATCH(N316,Data!$A$2:$A$497,1))/INDEX(Data!$K$2:$K$497,MATCH(N304,Data!$A$2:$A$497,1))),"")</f>
        <v>0.127014416675235</v>
      </c>
      <c r="AV316" s="561">
        <f>IFERROR(LN(INDEX(Data!$L$2:$L$497,MATCH(N316,Data!$A$2:$A$497,1))/INDEX(Data!$L$2:$L$497,MATCH(N304,Data!$A$2:$A$497,1))),"")</f>
        <v>0.0524940169908724</v>
      </c>
    </row>
    <row r="317">
      <c r="N317" s="337" t="n">
        <v>34365</v>
      </c>
      <c r="O317" s="116">
        <f>INDEX('Additional data'!$B$2:$B$965,MATCH(DATE(YEAR(N317),MONTH(N317),1),'Additional data'!$A$2:$A$965,0))</f>
        <v>15</v>
      </c>
      <c r="P317" s="489">
        <f>LN(O317)</f>
        <v>2.70805020110221</v>
      </c>
      <c r="Q317" s="489">
        <f>Q316+LN(1+INDEX('Additional data'!$H$2:$H$1196,MATCH(N317,'Additional data'!$G$2:$G$1196,1))+INDEX('Additional data'!$I$2:$I$1196,MATCH(N317,'Additional data'!$G$2:$G$1196,1)))</f>
        <v>2.63016118515867</v>
      </c>
      <c r="R317" s="489">
        <f>LN(INDEX(Data!$B$2:$B$497,MATCH(N317,Data!$A$2:$A$497,1)))</f>
        <v>9.04276160423638</v>
      </c>
      <c r="S317" s="116">
        <f>IF(INDEX('Additional data'!$E$2:$E$699,MATCH(DATE(YEAR(N317),MONTH(N317),1),'Additional data'!$D$2:$D$699,0))=0,(INDEX('Additional data'!$E$2:$E$699,MATCH(DATE(YEAR(N317),MONTH(N317),1),'Additional data'!$D$2:$D$699,0)-1)+INDEX('Additional data'!$E$2:$E$699,MATCH(DATE(YEAR(N317),MONTH(N317),1),'Additional data'!$D$2:$D$699,0)+1))/2,INDEX('Additional data'!$E$2:$E$699,MATCH(DATE(YEAR(N317),MONTH(N317),1),'Additional data'!$D$2:$D$699,0)))</f>
        <v>4.81</v>
      </c>
      <c r="T317" s="425">
        <f>P317-P316</f>
        <v>0.0332121342061136</v>
      </c>
      <c r="U317" s="425">
        <f>Q317-Q316</f>
        <v>0.0307231726428405</v>
      </c>
      <c r="V317" s="425">
        <f>R317-R316</f>
        <v>0.0609919842213564</v>
      </c>
      <c r="W317" s="116">
        <f>S317-S316</f>
        <v>-0.0100000000000007</v>
      </c>
      <c r="X317" s="425">
        <f>P317-P305</f>
        <v>-0.240328376068311</v>
      </c>
      <c r="Y317" s="425">
        <f>Q317-Q305</f>
        <v>0.124991987889753</v>
      </c>
      <c r="Z317" s="425">
        <f>R317-R305</f>
        <v>0.418653106476013</v>
      </c>
      <c r="AA317" s="116">
        <f>S317-S305</f>
        <v>-1.07</v>
      </c>
      <c r="AB317" s="425">
        <f>P317-P257</f>
        <v>-0.18137666608085</v>
      </c>
      <c r="AC317" s="425">
        <f>Q317-Q257</f>
        <v>0.655874506706051</v>
      </c>
      <c r="AD317" s="425">
        <f>R317-R257</f>
        <v>0.624681815717498</v>
      </c>
      <c r="AE317" s="235">
        <f>S317-S257</f>
        <v>-10.75</v>
      </c>
      <c r="AG317" s="554">
        <f>N317</f>
        <v>34365.0</v>
      </c>
      <c r="AH317" s="435">
        <f>IFERROR(INDEX('RBA 5Y yield'!$B$5:$B$661,MATCH(N317,'RBA 5Y yield'!$A$5:$A$661,1))*100,"")</f>
        <v>6.05</v>
      </c>
      <c r="AI317" s="435">
        <f>IF(AND(ISNUMBER(AH317),ISNUMBER(AH316)),AH317-AH316,"")</f>
        <v>-0.12</v>
      </c>
      <c r="AJ317" s="435">
        <f>IF(AND(ISNUMBER(AH317),ISNUMBER(AH305)),AH317-AH305,"")</f>
        <v>-1.95</v>
      </c>
      <c r="AK317" s="435">
        <f>IF(AND(ISNUMBER(AH317),ISNUMBER(AH257)),AH317-AH257,"")</f>
        <v>-8</v>
      </c>
      <c r="AL317" s="560">
        <f>IFERROR(LN(INDEX(Data!$B$2:$B$497,MATCH(N317,Data!$A$2:$A$497,1))/INDEX(Data!$B$2:$B$497,MATCH(N305,Data!$A$2:$A$497,1))),"")</f>
        <v>0.418653106476013</v>
      </c>
      <c r="AM317" s="560">
        <f>IFERROR(LN(INDEX(Data!$C$2:$C$497,MATCH(N317,Data!$A$2:$A$497,1))/INDEX(Data!$C$2:$C$497,MATCH(N305,Data!$A$2:$A$497,1))),"")</f>
        <v>0.201988443252446</v>
      </c>
      <c r="AN317" s="560">
        <f>IFERROR(LN(INDEX(Data!$D$2:$D$497,MATCH(N317,Data!$A$2:$A$497,1))/INDEX(Data!$D$2:$D$497,MATCH(N305,Data!$A$2:$A$497,1))),"")</f>
        <v>1.04389360723525</v>
      </c>
      <c r="AO317" s="560">
        <f>IFERROR(LN(INDEX(Data!$E$2:$E$497,MATCH(N317,Data!$A$2:$A$497,1))/INDEX(Data!$E$2:$E$497,MATCH(N305,Data!$A$2:$A$497,1))),"")</f>
        <v>0.14418020671974</v>
      </c>
      <c r="AP317" s="560">
        <f>IFERROR(LN(INDEX(Data!$F$2:$F$497,MATCH(N317,Data!$A$2:$A$497,1))/INDEX(Data!$F$2:$F$497,MATCH(N305,Data!$A$2:$A$497,1))),"")</f>
        <v>-0.108540535278358</v>
      </c>
      <c r="AQ317" s="560">
        <f>IFERROR(LN(INDEX(Data!$G$2:$G$497,MATCH(N317,Data!$A$2:$A$497,1))/INDEX(Data!$G$2:$G$497,MATCH(N305,Data!$A$2:$A$497,1))),"")</f>
        <v>0.0381976680088352</v>
      </c>
      <c r="AR317" s="560">
        <f>IFERROR(LN(INDEX(Data!$H$2:$H$497,MATCH(N317,Data!$A$2:$A$497,1))/INDEX(Data!$H$2:$H$497,MATCH(N305,Data!$A$2:$A$497,1))),"")</f>
      </c>
      <c r="AS317" s="560">
        <f>IFERROR(LN(INDEX(Data!$I$2:$I$497,MATCH(N317,Data!$A$2:$A$497,1))/INDEX(Data!$I$2:$I$497,MATCH(N305,Data!$A$2:$A$497,1))),"")</f>
      </c>
      <c r="AT317" s="560">
        <f>IFERROR(LN(INDEX(Data!$J$2:$J$497,MATCH(N317,Data!$A$2:$A$497,1))/INDEX(Data!$J$2:$J$497,MATCH(N305,Data!$A$2:$A$497,1))),"")</f>
        <v>0.148919216190656</v>
      </c>
      <c r="AU317" s="560">
        <f>IFERROR(LN(INDEX(Data!$K$2:$K$497,MATCH(N317,Data!$A$2:$A$497,1))/INDEX(Data!$K$2:$K$497,MATCH(N305,Data!$A$2:$A$497,1))),"")</f>
        <v>0.117001953854931</v>
      </c>
      <c r="AV317" s="561">
        <f>IFERROR(LN(INDEX(Data!$L$2:$L$497,MATCH(N317,Data!$A$2:$A$497,1))/INDEX(Data!$L$2:$L$497,MATCH(N305,Data!$A$2:$A$497,1))),"")</f>
        <v>0.0516054819617065</v>
      </c>
    </row>
    <row r="318">
      <c r="N318" s="337" t="n">
        <v>34393</v>
      </c>
      <c r="O318" s="116">
        <f>INDEX('Additional data'!$B$2:$B$965,MATCH(DATE(YEAR(N318),MONTH(N318),1),'Additional data'!$A$2:$A$965,0))</f>
        <v>14.78</v>
      </c>
      <c r="P318" s="489">
        <f>LN(O318)</f>
        <v>2.69327491552006</v>
      </c>
      <c r="Q318" s="489">
        <f>Q317+LN(1+INDEX('Additional data'!$H$2:$H$1196,MATCH(N318,'Additional data'!$G$2:$G$1196,1))+INDEX('Additional data'!$I$2:$I$1196,MATCH(N318,'Additional data'!$G$2:$G$1196,1)))</f>
        <v>2.60648305780409</v>
      </c>
      <c r="R318" s="489">
        <f>LN(INDEX(Data!$B$2:$B$497,MATCH(N318,Data!$A$2:$A$497,1)))</f>
        <v>8.98390390496118</v>
      </c>
      <c r="S318" s="116">
        <f>IF(INDEX('Additional data'!$E$2:$E$699,MATCH(DATE(YEAR(N318),MONTH(N318),1),'Additional data'!$D$2:$D$699,0))=0,(INDEX('Additional data'!$E$2:$E$699,MATCH(DATE(YEAR(N318),MONTH(N318),1),'Additional data'!$D$2:$D$699,0)-1)+INDEX('Additional data'!$E$2:$E$699,MATCH(DATE(YEAR(N318),MONTH(N318),1),'Additional data'!$D$2:$D$699,0)+1))/2,INDEX('Additional data'!$E$2:$E$699,MATCH(DATE(YEAR(N318),MONTH(N318),1),'Additional data'!$D$2:$D$699,0)))</f>
        <v>4.8</v>
      </c>
      <c r="T318" s="425">
        <f>P318-P317</f>
        <v>-0.0147752855821546</v>
      </c>
      <c r="U318" s="425">
        <f>Q318-Q317</f>
        <v>-0.023678127354577</v>
      </c>
      <c r="V318" s="425">
        <f>R318-R317</f>
        <v>-0.0588576992751957</v>
      </c>
      <c r="W318" s="116">
        <f>S318-S317</f>
        <v>-0.00999999999999979</v>
      </c>
      <c r="X318" s="425">
        <f>P318-P306</f>
        <v>-0.305103852974841</v>
      </c>
      <c r="Y318" s="425">
        <f>Q318-Q306</f>
        <v>0.0979196274671605</v>
      </c>
      <c r="Z318" s="425">
        <f>R318-R306</f>
        <v>0.305017124546955</v>
      </c>
      <c r="AA318" s="116">
        <f>S318-S306</f>
        <v>-1.02</v>
      </c>
      <c r="AB318" s="425">
        <f>P318-P258</f>
        <v>-0.18738315018847</v>
      </c>
      <c r="AC318" s="425">
        <f>Q318-Q258</f>
        <v>0.648529033972372</v>
      </c>
      <c r="AD318" s="425">
        <f>R318-R258</f>
        <v>0.606340664631334</v>
      </c>
      <c r="AE318" s="235">
        <f>S318-S258</f>
        <v>-11.74</v>
      </c>
      <c r="AG318" s="554">
        <f>N318</f>
        <v>34393.0</v>
      </c>
      <c r="AH318" s="435">
        <f>IFERROR(INDEX('RBA 5Y yield'!$B$5:$B$661,MATCH(N318,'RBA 5Y yield'!$A$5:$A$661,1))*100,"")</f>
        <v>6.72</v>
      </c>
      <c r="AI318" s="435">
        <f>IF(AND(ISNUMBER(AH318),ISNUMBER(AH317)),AH318-AH317,"")</f>
        <v>0.67</v>
      </c>
      <c r="AJ318" s="435">
        <f>IF(AND(ISNUMBER(AH318),ISNUMBER(AH306)),AH318-AH306,"")</f>
        <v>-0.54</v>
      </c>
      <c r="AK318" s="435">
        <f>IF(AND(ISNUMBER(AH318),ISNUMBER(AH258)),AH318-AH258,"")</f>
        <v>-7.63</v>
      </c>
      <c r="AL318" s="560">
        <f>IFERROR(LN(INDEX(Data!$B$2:$B$497,MATCH(N318,Data!$A$2:$A$497,1))/INDEX(Data!$B$2:$B$497,MATCH(N306,Data!$A$2:$A$497,1))),"")</f>
        <v>0.305017124546955</v>
      </c>
      <c r="AM318" s="560">
        <f>IFERROR(LN(INDEX(Data!$C$2:$C$497,MATCH(N318,Data!$A$2:$A$497,1))/INDEX(Data!$C$2:$C$497,MATCH(N306,Data!$A$2:$A$497,1))),"")</f>
        <v>0.17491708521442</v>
      </c>
      <c r="AN318" s="560">
        <f>IFERROR(LN(INDEX(Data!$D$2:$D$497,MATCH(N318,Data!$A$2:$A$497,1))/INDEX(Data!$D$2:$D$497,MATCH(N306,Data!$A$2:$A$497,1))),"")</f>
        <v>1.0478563281271</v>
      </c>
      <c r="AO318" s="560">
        <f>IFERROR(LN(INDEX(Data!$E$2:$E$497,MATCH(N318,Data!$A$2:$A$497,1))/INDEX(Data!$E$2:$E$497,MATCH(N306,Data!$A$2:$A$497,1))),"")</f>
        <v>0.120778031621954</v>
      </c>
      <c r="AP318" s="560">
        <f>IFERROR(LN(INDEX(Data!$F$2:$F$497,MATCH(N318,Data!$A$2:$A$497,1))/INDEX(Data!$F$2:$F$497,MATCH(N306,Data!$A$2:$A$497,1))),"")</f>
        <v>-0.122551927118623</v>
      </c>
      <c r="AQ318" s="560">
        <f>IFERROR(LN(INDEX(Data!$G$2:$G$497,MATCH(N318,Data!$A$2:$A$497,1))/INDEX(Data!$G$2:$G$497,MATCH(N306,Data!$A$2:$A$497,1))),"")</f>
        <v>0.0381976680088352</v>
      </c>
      <c r="AR318" s="560">
        <f>IFERROR(LN(INDEX(Data!$H$2:$H$497,MATCH(N318,Data!$A$2:$A$497,1))/INDEX(Data!$H$2:$H$497,MATCH(N306,Data!$A$2:$A$497,1))),"")</f>
      </c>
      <c r="AS318" s="560">
        <f>IFERROR(LN(INDEX(Data!$I$2:$I$497,MATCH(N318,Data!$A$2:$A$497,1))/INDEX(Data!$I$2:$I$497,MATCH(N306,Data!$A$2:$A$497,1))),"")</f>
      </c>
      <c r="AT318" s="560">
        <f>IFERROR(LN(INDEX(Data!$J$2:$J$497,MATCH(N318,Data!$A$2:$A$497,1))/INDEX(Data!$J$2:$J$497,MATCH(N306,Data!$A$2:$A$497,1))),"")</f>
        <v>0.0977309990566123</v>
      </c>
      <c r="AU318" s="560">
        <f>IFERROR(LN(INDEX(Data!$K$2:$K$497,MATCH(N318,Data!$A$2:$A$497,1))/INDEX(Data!$K$2:$K$497,MATCH(N306,Data!$A$2:$A$497,1))),"")</f>
        <v>0.0796363587133023</v>
      </c>
      <c r="AV318" s="561">
        <f>IFERROR(LN(INDEX(Data!$L$2:$L$497,MATCH(N318,Data!$A$2:$A$497,1))/INDEX(Data!$L$2:$L$497,MATCH(N306,Data!$A$2:$A$497,1))),"")</f>
        <v>0.0504453979424869</v>
      </c>
    </row>
    <row r="319">
      <c r="N319" s="337" t="n">
        <v>34424</v>
      </c>
      <c r="O319" s="116">
        <f>INDEX('Additional data'!$B$2:$B$965,MATCH(DATE(YEAR(N319),MONTH(N319),1),'Additional data'!$A$2:$A$965,0))</f>
        <v>14.66</v>
      </c>
      <c r="P319" s="489">
        <f>LN(O319)</f>
        <v>2.68512269645851</v>
      </c>
      <c r="Q319" s="489">
        <f>Q318+LN(1+INDEX('Additional data'!$H$2:$H$1196,MATCH(N319,'Additional data'!$G$2:$G$1196,1))+INDEX('Additional data'!$I$2:$I$1196,MATCH(N319,'Additional data'!$G$2:$G$1196,1)))</f>
        <v>2.56022967328663</v>
      </c>
      <c r="R319" s="489">
        <f>LN(INDEX(Data!$B$2:$B$497,MATCH(N319,Data!$A$2:$A$497,1)))</f>
        <v>8.92472283357328</v>
      </c>
      <c r="S319" s="116">
        <f>IF(INDEX('Additional data'!$E$2:$E$699,MATCH(DATE(YEAR(N319),MONTH(N319),1),'Additional data'!$D$2:$D$699,0))=0,(INDEX('Additional data'!$E$2:$E$699,MATCH(DATE(YEAR(N319),MONTH(N319),1),'Additional data'!$D$2:$D$699,0)-1)+INDEX('Additional data'!$E$2:$E$699,MATCH(DATE(YEAR(N319),MONTH(N319),1),'Additional data'!$D$2:$D$699,0)+1))/2,INDEX('Additional data'!$E$2:$E$699,MATCH(DATE(YEAR(N319),MONTH(N319),1),'Additional data'!$D$2:$D$699,0)))</f>
        <v>4.88</v>
      </c>
      <c r="T319" s="425">
        <f>P319-P318</f>
        <v>-0.00815221906155017</v>
      </c>
      <c r="U319" s="425">
        <f>Q319-Q318</f>
        <v>-0.046253384517462</v>
      </c>
      <c r="V319" s="425">
        <f>R319-R318</f>
        <v>-0.0591810713878989</v>
      </c>
      <c r="W319" s="116">
        <f>S319-S318</f>
        <v>0.0800000000000001</v>
      </c>
      <c r="X319" s="425">
        <f>P319-P307</f>
        <v>-0.327810784415261</v>
      </c>
      <c r="Y319" s="425">
        <f>Q319-Q307</f>
        <v>0.0262909366184703</v>
      </c>
      <c r="Z319" s="425">
        <f>R319-R307</f>
        <v>0.206697141604224</v>
      </c>
      <c r="AA319" s="116">
        <f>S319-S307</f>
        <v>-0.5</v>
      </c>
      <c r="AB319" s="425">
        <f>P319-P259</f>
        <v>-0.282467271149205</v>
      </c>
      <c r="AC319" s="425">
        <f>Q319-Q259</f>
        <v>0.580122844813777</v>
      </c>
      <c r="AD319" s="425">
        <f>R319-R259</f>
        <v>0.559003906780893</v>
      </c>
      <c r="AE319" s="235">
        <f>S319-S259</f>
        <v>-12.37</v>
      </c>
      <c r="AG319" s="554">
        <f>N319</f>
        <v>34424.0</v>
      </c>
      <c r="AH319" s="435">
        <f>IFERROR(INDEX('RBA 5Y yield'!$B$5:$B$661,MATCH(N319,'RBA 5Y yield'!$A$5:$A$661,1))*100,"")</f>
        <v>7.57</v>
      </c>
      <c r="AI319" s="435">
        <f>IF(AND(ISNUMBER(AH319),ISNUMBER(AH318)),AH319-AH318,"")</f>
        <v>0.850000000000001</v>
      </c>
      <c r="AJ319" s="435">
        <f>IF(AND(ISNUMBER(AH319),ISNUMBER(AH307)),AH319-AH307,"")</f>
        <v>0.520000000000001</v>
      </c>
      <c r="AK319" s="435">
        <f>IF(AND(ISNUMBER(AH319),ISNUMBER(AH259)),AH319-AH259,"")</f>
        <v>-6.73</v>
      </c>
      <c r="AL319" s="560">
        <f>IFERROR(LN(INDEX(Data!$B$2:$B$497,MATCH(N319,Data!$A$2:$A$497,1))/INDEX(Data!$B$2:$B$497,MATCH(N307,Data!$A$2:$A$497,1))),"")</f>
        <v>0.206697141604224</v>
      </c>
      <c r="AM319" s="560">
        <f>IFERROR(LN(INDEX(Data!$C$2:$C$497,MATCH(N319,Data!$A$2:$A$497,1))/INDEX(Data!$C$2:$C$497,MATCH(N307,Data!$A$2:$A$497,1))),"")</f>
        <v>0.112895057184445</v>
      </c>
      <c r="AN319" s="560">
        <f>IFERROR(LN(INDEX(Data!$D$2:$D$497,MATCH(N319,Data!$A$2:$A$497,1))/INDEX(Data!$D$2:$D$497,MATCH(N307,Data!$A$2:$A$497,1))),"")</f>
        <v>0.981618261469677</v>
      </c>
      <c r="AO319" s="560">
        <f>IFERROR(LN(INDEX(Data!$E$2:$E$497,MATCH(N319,Data!$A$2:$A$497,1))/INDEX(Data!$E$2:$E$497,MATCH(N307,Data!$A$2:$A$497,1))),"")</f>
        <v>0.0678434537184498</v>
      </c>
      <c r="AP319" s="560">
        <f>IFERROR(LN(INDEX(Data!$F$2:$F$497,MATCH(N319,Data!$A$2:$A$497,1))/INDEX(Data!$F$2:$F$497,MATCH(N307,Data!$A$2:$A$497,1))),"")</f>
        <v>-0.12574142673823</v>
      </c>
      <c r="AQ319" s="560">
        <f>IFERROR(LN(INDEX(Data!$G$2:$G$497,MATCH(N319,Data!$A$2:$A$497,1))/INDEX(Data!$G$2:$G$497,MATCH(N307,Data!$A$2:$A$497,1))),"")</f>
        <v>0.0397041139121932</v>
      </c>
      <c r="AR319" s="560">
        <f>IFERROR(LN(INDEX(Data!$H$2:$H$497,MATCH(N319,Data!$A$2:$A$497,1))/INDEX(Data!$H$2:$H$497,MATCH(N307,Data!$A$2:$A$497,1))),"")</f>
      </c>
      <c r="AS319" s="560">
        <f>IFERROR(LN(INDEX(Data!$I$2:$I$497,MATCH(N319,Data!$A$2:$A$497,1))/INDEX(Data!$I$2:$I$497,MATCH(N307,Data!$A$2:$A$497,1))),"")</f>
      </c>
      <c r="AT319" s="560">
        <f>IFERROR(LN(INDEX(Data!$J$2:$J$497,MATCH(N319,Data!$A$2:$A$497,1))/INDEX(Data!$J$2:$J$497,MATCH(N307,Data!$A$2:$A$497,1))),"")</f>
        <v>0.0582344007824489</v>
      </c>
      <c r="AU319" s="560">
        <f>IFERROR(LN(INDEX(Data!$K$2:$K$497,MATCH(N319,Data!$A$2:$A$497,1))/INDEX(Data!$K$2:$K$497,MATCH(N307,Data!$A$2:$A$497,1))),"")</f>
        <v>0.0566241858401073</v>
      </c>
      <c r="AV319" s="561">
        <f>IFERROR(LN(INDEX(Data!$L$2:$L$497,MATCH(N319,Data!$A$2:$A$497,1))/INDEX(Data!$L$2:$L$497,MATCH(N307,Data!$A$2:$A$497,1))),"")</f>
        <v>0.0496018331525505</v>
      </c>
    </row>
    <row r="320">
      <c r="N320" s="337" t="n">
        <v>34454</v>
      </c>
      <c r="O320" s="116">
        <f>INDEX('Additional data'!$B$2:$B$965,MATCH(DATE(YEAR(N320),MONTH(N320),1),'Additional data'!$A$2:$A$965,0))</f>
        <v>16.38</v>
      </c>
      <c r="P320" s="489">
        <f>LN(O320)</f>
        <v>2.79606107842492</v>
      </c>
      <c r="Q320" s="489">
        <f>Q319+LN(1+INDEX('Additional data'!$H$2:$H$1196,MATCH(N320,'Additional data'!$G$2:$G$1196,1))+INDEX('Additional data'!$I$2:$I$1196,MATCH(N320,'Additional data'!$G$2:$G$1196,1)))</f>
        <v>2.56968483205739</v>
      </c>
      <c r="R320" s="489">
        <f>LN(INDEX(Data!$B$2:$B$497,MATCH(N320,Data!$A$2:$A$497,1)))</f>
        <v>8.93805909610042</v>
      </c>
      <c r="S320" s="116">
        <f>IF(INDEX('Additional data'!$E$2:$E$699,MATCH(DATE(YEAR(N320),MONTH(N320),1),'Additional data'!$D$2:$D$699,0))=0,(INDEX('Additional data'!$E$2:$E$699,MATCH(DATE(YEAR(N320),MONTH(N320),1),'Additional data'!$D$2:$D$699,0)-1)+INDEX('Additional data'!$E$2:$E$699,MATCH(DATE(YEAR(N320),MONTH(N320),1),'Additional data'!$D$2:$D$699,0)+1))/2,INDEX('Additional data'!$E$2:$E$699,MATCH(DATE(YEAR(N320),MONTH(N320),1),'Additional data'!$D$2:$D$699,0)))</f>
        <v>4.92</v>
      </c>
      <c r="T320" s="425">
        <f>P320-P319</f>
        <v>0.110938381966418</v>
      </c>
      <c r="U320" s="425">
        <f>Q320-Q319</f>
        <v>0.00945515877075476</v>
      </c>
      <c r="V320" s="425">
        <f>R320-R319</f>
        <v>0.0133362625271438</v>
      </c>
      <c r="W320" s="116">
        <f>S320-S319</f>
        <v>0.04</v>
      </c>
      <c r="X320" s="425">
        <f>P320-P308</f>
        <v>-0.213080882038985</v>
      </c>
      <c r="Y320" s="425">
        <f>Q320-Q308</f>
        <v>0.0642484558619372</v>
      </c>
      <c r="Z320" s="425">
        <f>R320-R308</f>
        <v>0.210086475073748</v>
      </c>
      <c r="AA320" s="116">
        <f>S320-S308</f>
        <v>-0.35</v>
      </c>
      <c r="AB320" s="425">
        <f>P320-P260</f>
        <v>-0.250364309444586</v>
      </c>
      <c r="AC320" s="425">
        <f>Q320-Q260</f>
        <v>0.540597381362909</v>
      </c>
      <c r="AD320" s="425">
        <f>R320-R260</f>
        <v>0.535177472862344</v>
      </c>
      <c r="AE320" s="235">
        <f>S320-S260</f>
        <v>-12.54</v>
      </c>
      <c r="AG320" s="554">
        <f>N320</f>
        <v>34454.0</v>
      </c>
      <c r="AH320" s="435">
        <f>IFERROR(INDEX('RBA 5Y yield'!$B$5:$B$661,MATCH(N320,'RBA 5Y yield'!$A$5:$A$661,1))*100,"")</f>
        <v>7.94</v>
      </c>
      <c r="AI320" s="435">
        <f>IF(AND(ISNUMBER(AH320),ISNUMBER(AH319)),AH320-AH319,"")</f>
        <v>0.369999999999999</v>
      </c>
      <c r="AJ320" s="435">
        <f>IF(AND(ISNUMBER(AH320),ISNUMBER(AH308)),AH320-AH308,"")</f>
        <v>1.25</v>
      </c>
      <c r="AK320" s="435">
        <f>IF(AND(ISNUMBER(AH320),ISNUMBER(AH260)),AH320-AH260,"")</f>
        <v>-6.31</v>
      </c>
      <c r="AL320" s="560">
        <f>IFERROR(LN(INDEX(Data!$B$2:$B$497,MATCH(N320,Data!$A$2:$A$497,1))/INDEX(Data!$B$2:$B$497,MATCH(N308,Data!$A$2:$A$497,1))),"")</f>
        <v>0.210086475073748</v>
      </c>
      <c r="AM320" s="560">
        <f>IFERROR(LN(INDEX(Data!$C$2:$C$497,MATCH(N320,Data!$A$2:$A$497,1))/INDEX(Data!$C$2:$C$497,MATCH(N308,Data!$A$2:$A$497,1))),"")</f>
        <v>0.0937211164390848</v>
      </c>
      <c r="AN320" s="560">
        <f>IFERROR(LN(INDEX(Data!$D$2:$D$497,MATCH(N320,Data!$A$2:$A$497,1))/INDEX(Data!$D$2:$D$497,MATCH(N308,Data!$A$2:$A$497,1))),"")</f>
        <v>0.934028899190111</v>
      </c>
      <c r="AO320" s="560">
        <f>IFERROR(LN(INDEX(Data!$E$2:$E$497,MATCH(N320,Data!$A$2:$A$497,1))/INDEX(Data!$E$2:$E$497,MATCH(N308,Data!$A$2:$A$497,1))),"")</f>
        <v>0.0682068890624643</v>
      </c>
      <c r="AP320" s="560">
        <f>IFERROR(LN(INDEX(Data!$F$2:$F$497,MATCH(N320,Data!$A$2:$A$497,1))/INDEX(Data!$F$2:$F$497,MATCH(N308,Data!$A$2:$A$497,1))),"")</f>
        <v>-0.104537754582539</v>
      </c>
      <c r="AQ320" s="560">
        <f>IFERROR(LN(INDEX(Data!$G$2:$G$497,MATCH(N320,Data!$A$2:$A$497,1))/INDEX(Data!$G$2:$G$497,MATCH(N308,Data!$A$2:$A$497,1))),"")</f>
        <v>0.0397041139121932</v>
      </c>
      <c r="AR320" s="560">
        <f>IFERROR(LN(INDEX(Data!$H$2:$H$497,MATCH(N320,Data!$A$2:$A$497,1))/INDEX(Data!$H$2:$H$497,MATCH(N308,Data!$A$2:$A$497,1))),"")</f>
      </c>
      <c r="AS320" s="560">
        <f>IFERROR(LN(INDEX(Data!$I$2:$I$497,MATCH(N320,Data!$A$2:$A$497,1))/INDEX(Data!$I$2:$I$497,MATCH(N308,Data!$A$2:$A$497,1))),"")</f>
      </c>
      <c r="AT320" s="560">
        <f>IFERROR(LN(INDEX(Data!$J$2:$J$497,MATCH(N320,Data!$A$2:$A$497,1))/INDEX(Data!$J$2:$J$497,MATCH(N308,Data!$A$2:$A$497,1))),"")</f>
        <v>0.0320686047967705</v>
      </c>
      <c r="AU320" s="560">
        <f>IFERROR(LN(INDEX(Data!$K$2:$K$497,MATCH(N320,Data!$A$2:$A$497,1))/INDEX(Data!$K$2:$K$497,MATCH(N308,Data!$A$2:$A$497,1))),"")</f>
        <v>0.0444711463601715</v>
      </c>
      <c r="AV320" s="561">
        <f>IFERROR(LN(INDEX(Data!$L$2:$L$497,MATCH(N320,Data!$A$2:$A$497,1))/INDEX(Data!$L$2:$L$497,MATCH(N308,Data!$A$2:$A$497,1))),"")</f>
        <v>0.0492801524992523</v>
      </c>
    </row>
    <row r="321">
      <c r="N321" s="337" t="n">
        <v>34485</v>
      </c>
      <c r="O321" s="116">
        <f>INDEX('Additional data'!$B$2:$B$965,MATCH(DATE(YEAR(N321),MONTH(N321),1),'Additional data'!$A$2:$A$965,0))</f>
        <v>17.88</v>
      </c>
      <c r="P321" s="489">
        <f>LN(O321)</f>
        <v>2.88368276974537</v>
      </c>
      <c r="Q321" s="489">
        <f>Q320+LN(1+INDEX('Additional data'!$H$2:$H$1196,MATCH(N321,'Additional data'!$G$2:$G$1196,1))+INDEX('Additional data'!$I$2:$I$1196,MATCH(N321,'Additional data'!$G$2:$G$1196,1)))</f>
        <v>2.57864457342886</v>
      </c>
      <c r="R321" s="489">
        <f>LN(INDEX(Data!$B$2:$B$497,MATCH(N321,Data!$A$2:$A$497,1)))</f>
        <v>8.9504420645359</v>
      </c>
      <c r="S321" s="116">
        <f>IF(INDEX('Additional data'!$E$2:$E$699,MATCH(DATE(YEAR(N321),MONTH(N321),1),'Additional data'!$D$2:$D$699,0))=0,(INDEX('Additional data'!$E$2:$E$699,MATCH(DATE(YEAR(N321),MONTH(N321),1),'Additional data'!$D$2:$D$699,0)-1)+INDEX('Additional data'!$E$2:$E$699,MATCH(DATE(YEAR(N321),MONTH(N321),1),'Additional data'!$D$2:$D$699,0)+1))/2,INDEX('Additional data'!$E$2:$E$699,MATCH(DATE(YEAR(N321),MONTH(N321),1),'Additional data'!$D$2:$D$699,0)))</f>
        <v>4.85</v>
      </c>
      <c r="T321" s="425">
        <f>P321-P320</f>
        <v>0.0876216913204448</v>
      </c>
      <c r="U321" s="425">
        <f>Q321-Q320</f>
        <v>0.00895974137147215</v>
      </c>
      <c r="V321" s="425">
        <f>R321-R320</f>
        <v>0.012382968435471</v>
      </c>
      <c r="W321" s="116">
        <f>S321-S320</f>
        <v>-0.0700000000000003</v>
      </c>
      <c r="X321" s="425">
        <f>P321-P309</f>
        <v>-0.109044994788324</v>
      </c>
      <c r="Y321" s="425">
        <f>Q321-Q309</f>
        <v>0.0425820036916487</v>
      </c>
      <c r="Z321" s="425">
        <f>R321-R309</f>
        <v>0.188281209675433</v>
      </c>
      <c r="AA321" s="116">
        <f>S321-S309</f>
        <v>-0.300000000000001</v>
      </c>
      <c r="AB321" s="425">
        <f>P321-P261</f>
        <v>-0.11364822517232</v>
      </c>
      <c r="AC321" s="425">
        <f>Q321-Q261</f>
        <v>0.509663559072705</v>
      </c>
      <c r="AD321" s="425">
        <f>R321-R261</f>
        <v>0.523348650676104</v>
      </c>
      <c r="AE321" s="235">
        <f>S321-S261</f>
        <v>-12.67</v>
      </c>
      <c r="AG321" s="554">
        <f>N321</f>
        <v>34485.0</v>
      </c>
      <c r="AH321" s="435">
        <f>IFERROR(INDEX('RBA 5Y yield'!$B$5:$B$661,MATCH(N321,'RBA 5Y yield'!$A$5:$A$661,1))*100,"")</f>
        <v>8.14</v>
      </c>
      <c r="AI321" s="435">
        <f>IF(AND(ISNUMBER(AH321),ISNUMBER(AH320)),AH321-AH320,"")</f>
        <v>0.200000000000001</v>
      </c>
      <c r="AJ321" s="435">
        <f>IF(AND(ISNUMBER(AH321),ISNUMBER(AH309)),AH321-AH309,"")</f>
        <v>1.05</v>
      </c>
      <c r="AK321" s="435">
        <f>IF(AND(ISNUMBER(AH321),ISNUMBER(AH261)),AH321-AH261,"")</f>
        <v>-6.51</v>
      </c>
      <c r="AL321" s="560">
        <f>IFERROR(LN(INDEX(Data!$B$2:$B$497,MATCH(N321,Data!$A$2:$A$497,1))/INDEX(Data!$B$2:$B$497,MATCH(N309,Data!$A$2:$A$497,1))),"")</f>
        <v>0.188281209675433</v>
      </c>
      <c r="AM321" s="560">
        <f>IFERROR(LN(INDEX(Data!$C$2:$C$497,MATCH(N321,Data!$A$2:$A$497,1))/INDEX(Data!$C$2:$C$497,MATCH(N309,Data!$A$2:$A$497,1))),"")</f>
        <v>0.0139356080179503</v>
      </c>
      <c r="AN321" s="560">
        <f>IFERROR(LN(INDEX(Data!$D$2:$D$497,MATCH(N321,Data!$A$2:$A$497,1))/INDEX(Data!$D$2:$D$497,MATCH(N309,Data!$A$2:$A$497,1))),"")</f>
        <v>0.862116195821419</v>
      </c>
      <c r="AO321" s="560">
        <f>IFERROR(LN(INDEX(Data!$E$2:$E$497,MATCH(N321,Data!$A$2:$A$497,1))/INDEX(Data!$E$2:$E$497,MATCH(N309,Data!$A$2:$A$497,1))),"")</f>
        <v>0.0155162646852496</v>
      </c>
      <c r="AP321" s="560">
        <f>IFERROR(LN(INDEX(Data!$F$2:$F$497,MATCH(N321,Data!$A$2:$A$497,1))/INDEX(Data!$F$2:$F$497,MATCH(N309,Data!$A$2:$A$497,1))),"")</f>
        <v>-0.136350719368178</v>
      </c>
      <c r="AQ321" s="560">
        <f>IFERROR(LN(INDEX(Data!$G$2:$G$497,MATCH(N321,Data!$A$2:$A$497,1))/INDEX(Data!$G$2:$G$497,MATCH(N309,Data!$A$2:$A$497,1))),"")</f>
        <v>0.0397041139121932</v>
      </c>
      <c r="AR321" s="560">
        <f>IFERROR(LN(INDEX(Data!$H$2:$H$497,MATCH(N321,Data!$A$2:$A$497,1))/INDEX(Data!$H$2:$H$497,MATCH(N309,Data!$A$2:$A$497,1))),"")</f>
      </c>
      <c r="AS321" s="560">
        <f>IFERROR(LN(INDEX(Data!$I$2:$I$497,MATCH(N321,Data!$A$2:$A$497,1))/INDEX(Data!$I$2:$I$497,MATCH(N309,Data!$A$2:$A$497,1))),"")</f>
      </c>
      <c r="AT321" s="560">
        <f>IFERROR(LN(INDEX(Data!$J$2:$J$497,MATCH(N321,Data!$A$2:$A$497,1))/INDEX(Data!$J$2:$J$497,MATCH(N309,Data!$A$2:$A$497,1))),"")</f>
        <v>0.0317038487191406</v>
      </c>
      <c r="AU321" s="560">
        <f>IFERROR(LN(INDEX(Data!$K$2:$K$497,MATCH(N321,Data!$A$2:$A$497,1))/INDEX(Data!$K$2:$K$497,MATCH(N309,Data!$A$2:$A$497,1))),"")</f>
        <v>0.0358671158879392</v>
      </c>
      <c r="AV321" s="561">
        <f>IFERROR(LN(INDEX(Data!$L$2:$L$497,MATCH(N321,Data!$A$2:$A$497,1))/INDEX(Data!$L$2:$L$497,MATCH(N309,Data!$A$2:$A$497,1))),"")</f>
        <v>0.0490897721173283</v>
      </c>
    </row>
    <row r="322">
      <c r="N322" s="337" t="n">
        <v>34515</v>
      </c>
      <c r="O322" s="116">
        <f>INDEX('Additional data'!$B$2:$B$965,MATCH(DATE(YEAR(N322),MONTH(N322),1),'Additional data'!$A$2:$A$965,0))</f>
        <v>19.07</v>
      </c>
      <c r="P322" s="489">
        <f>LN(O322)</f>
        <v>2.94811641961233</v>
      </c>
      <c r="Q322" s="489">
        <f>Q321+LN(1+INDEX('Additional data'!$H$2:$H$1196,MATCH(N322,'Additional data'!$G$2:$G$1196,1))+INDEX('Additional data'!$I$2:$I$1196,MATCH(N322,'Additional data'!$G$2:$G$1196,1)))</f>
        <v>2.55096500432212</v>
      </c>
      <c r="R322" s="489">
        <f>LN(INDEX(Data!$B$2:$B$497,MATCH(N322,Data!$A$2:$A$497,1)))</f>
        <v>8.91026177918785</v>
      </c>
      <c r="S322" s="116">
        <f>IF(INDEX('Additional data'!$E$2:$E$699,MATCH(DATE(YEAR(N322),MONTH(N322),1),'Additional data'!$D$2:$D$699,0))=0,(INDEX('Additional data'!$E$2:$E$699,MATCH(DATE(YEAR(N322),MONTH(N322),1),'Additional data'!$D$2:$D$699,0)-1)+INDEX('Additional data'!$E$2:$E$699,MATCH(DATE(YEAR(N322),MONTH(N322),1),'Additional data'!$D$2:$D$699,0)+1))/2,INDEX('Additional data'!$E$2:$E$699,MATCH(DATE(YEAR(N322),MONTH(N322),1),'Additional data'!$D$2:$D$699,0)))</f>
        <v>5.12</v>
      </c>
      <c r="T322" s="425">
        <f>P322-P321</f>
        <v>0.0644336498669595</v>
      </c>
      <c r="U322" s="425">
        <f>Q322-Q321</f>
        <v>-0.0276795691067422</v>
      </c>
      <c r="V322" s="425">
        <f>R322-R321</f>
        <v>-0.0401802853480451</v>
      </c>
      <c r="W322" s="116">
        <f>S322-S321</f>
        <v>0.27</v>
      </c>
      <c r="X322" s="425">
        <f>P322-P310</f>
        <v>0</v>
      </c>
      <c r="Y322" s="425">
        <f>Q322-Q310</f>
        <v>0.00941750435433697</v>
      </c>
      <c r="Z322" s="425">
        <f>R322-R310</f>
        <v>0.144257289708825</v>
      </c>
      <c r="AA322" s="116">
        <f>S322-S310</f>
        <v>-0.0999999999999996</v>
      </c>
      <c r="AB322" s="425">
        <f>P322-P262</f>
        <v>-0.0478658226968705</v>
      </c>
      <c r="AC322" s="425">
        <f>Q322-Q262</f>
        <v>0.48820328977988</v>
      </c>
      <c r="AD322" s="425">
        <f>R322-R262</f>
        <v>0.48085117115537</v>
      </c>
      <c r="AE322" s="235">
        <f>S322-S262</f>
        <v>-13.25</v>
      </c>
      <c r="AG322" s="554">
        <f>N322</f>
        <v>34515.0</v>
      </c>
      <c r="AH322" s="435">
        <f>IFERROR(INDEX('RBA 5Y yield'!$B$5:$B$661,MATCH(N322,'RBA 5Y yield'!$A$5:$A$661,1))*100,"")</f>
        <v>9.04</v>
      </c>
      <c r="AI322" s="435">
        <f>IF(AND(ISNUMBER(AH322),ISNUMBER(AH321)),AH322-AH321,"")</f>
        <v>0.899999999999999</v>
      </c>
      <c r="AJ322" s="435">
        <f>IF(AND(ISNUMBER(AH322),ISNUMBER(AH310)),AH322-AH310,"")</f>
        <v>2.21</v>
      </c>
      <c r="AK322" s="435">
        <f>IF(AND(ISNUMBER(AH322),ISNUMBER(AH262)),AH322-AH262,"")</f>
        <v>-5.16</v>
      </c>
      <c r="AL322" s="560">
        <f>IFERROR(LN(INDEX(Data!$B$2:$B$497,MATCH(N322,Data!$A$2:$A$497,1))/INDEX(Data!$B$2:$B$497,MATCH(N310,Data!$A$2:$A$497,1))),"")</f>
        <v>0.144257289708826</v>
      </c>
      <c r="AM322" s="560">
        <f>IFERROR(LN(INDEX(Data!$C$2:$C$497,MATCH(N322,Data!$A$2:$A$497,1))/INDEX(Data!$C$2:$C$497,MATCH(N310,Data!$A$2:$A$497,1))),"")</f>
        <v>-0.0200082336092336</v>
      </c>
      <c r="AN322" s="560">
        <f>IFERROR(LN(INDEX(Data!$D$2:$D$497,MATCH(N322,Data!$A$2:$A$497,1))/INDEX(Data!$D$2:$D$497,MATCH(N310,Data!$A$2:$A$497,1))),"")</f>
        <v>0.798693935973873</v>
      </c>
      <c r="AO322" s="560">
        <f>IFERROR(LN(INDEX(Data!$E$2:$E$497,MATCH(N322,Data!$A$2:$A$497,1))/INDEX(Data!$E$2:$E$497,MATCH(N310,Data!$A$2:$A$497,1))),"")</f>
        <v>-0.0347224573638211</v>
      </c>
      <c r="AP322" s="560">
        <f>IFERROR(LN(INDEX(Data!$F$2:$F$497,MATCH(N322,Data!$A$2:$A$497,1))/INDEX(Data!$F$2:$F$497,MATCH(N310,Data!$A$2:$A$497,1))),"")</f>
        <v>-0.0868726399479154</v>
      </c>
      <c r="AQ322" s="560">
        <f>IFERROR(LN(INDEX(Data!$G$2:$G$497,MATCH(N322,Data!$A$2:$A$497,1))/INDEX(Data!$G$2:$G$497,MATCH(N310,Data!$A$2:$A$497,1))),"")</f>
        <v>0.0450246955599629</v>
      </c>
      <c r="AR322" s="560">
        <f>IFERROR(LN(INDEX(Data!$H$2:$H$497,MATCH(N322,Data!$A$2:$A$497,1))/INDEX(Data!$H$2:$H$497,MATCH(N310,Data!$A$2:$A$497,1))),"")</f>
      </c>
      <c r="AS322" s="560">
        <f>IFERROR(LN(INDEX(Data!$I$2:$I$497,MATCH(N322,Data!$A$2:$A$497,1))/INDEX(Data!$I$2:$I$497,MATCH(N310,Data!$A$2:$A$497,1))),"")</f>
      </c>
      <c r="AT322" s="560">
        <f>IFERROR(LN(INDEX(Data!$J$2:$J$497,MATCH(N322,Data!$A$2:$A$497,1))/INDEX(Data!$J$2:$J$497,MATCH(N310,Data!$A$2:$A$497,1))),"")</f>
        <v>-0.0113854024427873</v>
      </c>
      <c r="AU322" s="560">
        <f>IFERROR(LN(INDEX(Data!$K$2:$K$497,MATCH(N322,Data!$A$2:$A$497,1))/INDEX(Data!$K$2:$K$497,MATCH(N310,Data!$A$2:$A$497,1))),"")</f>
        <v>0.0100087330011538</v>
      </c>
      <c r="AV322" s="561">
        <f>IFERROR(LN(INDEX(Data!$L$2:$L$497,MATCH(N322,Data!$A$2:$A$497,1))/INDEX(Data!$L$2:$L$497,MATCH(N310,Data!$A$2:$A$497,1))),"")</f>
        <v>0.0481444514803758</v>
      </c>
    </row>
    <row r="323">
      <c r="N323" s="337" t="n">
        <v>34546</v>
      </c>
      <c r="O323" s="116">
        <f>INDEX('Additional data'!$B$2:$B$965,MATCH(DATE(YEAR(N323),MONTH(N323),1),'Additional data'!$A$2:$A$965,0))</f>
        <v>19.65</v>
      </c>
      <c r="P323" s="489">
        <f>LN(O323)</f>
        <v>2.97807733831527</v>
      </c>
      <c r="Q323" s="489">
        <f>Q322+LN(1+INDEX('Additional data'!$H$2:$H$1196,MATCH(N323,'Additional data'!$G$2:$G$1196,1))+INDEX('Additional data'!$I$2:$I$1196,MATCH(N323,'Additional data'!$G$2:$G$1196,1)))</f>
        <v>2.58149420935694</v>
      </c>
      <c r="R323" s="489">
        <f>LN(INDEX(Data!$B$2:$B$497,MATCH(N323,Data!$A$2:$A$497,1)))</f>
        <v>8.94711673835678</v>
      </c>
      <c r="S323" s="116">
        <f>IF(INDEX('Additional data'!$E$2:$E$699,MATCH(DATE(YEAR(N323),MONTH(N323),1),'Additional data'!$D$2:$D$699,0))=0,(INDEX('Additional data'!$E$2:$E$699,MATCH(DATE(YEAR(N323),MONTH(N323),1),'Additional data'!$D$2:$D$699,0)-1)+INDEX('Additional data'!$E$2:$E$699,MATCH(DATE(YEAR(N323),MONTH(N323),1),'Additional data'!$D$2:$D$699,0)+1))/2,INDEX('Additional data'!$E$2:$E$699,MATCH(DATE(YEAR(N323),MONTH(N323),1),'Additional data'!$D$2:$D$699,0)))</f>
        <v>5.41</v>
      </c>
      <c r="T323" s="425">
        <f>P323-P322</f>
        <v>0.0299609187029426</v>
      </c>
      <c r="U323" s="425">
        <f>Q323-Q322</f>
        <v>0.0305292050348229</v>
      </c>
      <c r="V323" s="425">
        <f>R323-R322</f>
        <v>0.0368549591689256</v>
      </c>
      <c r="W323" s="116">
        <f>S323-S322</f>
        <v>0.29</v>
      </c>
      <c r="X323" s="425">
        <f>P323-P311</f>
        <v>0.095177873035623</v>
      </c>
      <c r="Y323" s="425">
        <f>Q323-Q311</f>
        <v>0.0409472097227432</v>
      </c>
      <c r="Z323" s="425">
        <f>R323-R311</f>
        <v>0.122835984864835</v>
      </c>
      <c r="AA323" s="116">
        <f>S323-S311</f>
        <v>0.36</v>
      </c>
      <c r="AB323" s="425">
        <f>P323-P263</f>
        <v>0.000305390138272355</v>
      </c>
      <c r="AC323" s="425">
        <f>Q323-Q263</f>
        <v>0.442883182531264</v>
      </c>
      <c r="AD323" s="425">
        <f>R323-R263</f>
        <v>0.444367358372951</v>
      </c>
      <c r="AE323" s="235">
        <f>S323-S263</f>
        <v>-12.65</v>
      </c>
      <c r="AG323" s="554">
        <f>N323</f>
        <v>34546.0</v>
      </c>
      <c r="AH323" s="435">
        <f>IFERROR(INDEX('RBA 5Y yield'!$B$5:$B$661,MATCH(N323,'RBA 5Y yield'!$A$5:$A$661,1))*100,"")</f>
        <v>8.96</v>
      </c>
      <c r="AI323" s="435">
        <f>IF(AND(ISNUMBER(AH323),ISNUMBER(AH322)),AH323-AH322,"")</f>
        <v>-0.0800000000000001</v>
      </c>
      <c r="AJ323" s="435">
        <f>IF(AND(ISNUMBER(AH323),ISNUMBER(AH311)),AH323-AH311,"")</f>
        <v>2.53</v>
      </c>
      <c r="AK323" s="435">
        <f>IF(AND(ISNUMBER(AH323),ISNUMBER(AH263)),AH323-AH263,"")</f>
        <v>-5.04</v>
      </c>
      <c r="AL323" s="560">
        <f>IFERROR(LN(INDEX(Data!$B$2:$B$497,MATCH(N323,Data!$A$2:$A$497,1))/INDEX(Data!$B$2:$B$497,MATCH(N311,Data!$A$2:$A$497,1))),"")</f>
        <v>0.122835984864834</v>
      </c>
      <c r="AM323" s="560">
        <f>IFERROR(LN(INDEX(Data!$C$2:$C$497,MATCH(N323,Data!$A$2:$A$497,1))/INDEX(Data!$C$2:$C$497,MATCH(N311,Data!$A$2:$A$497,1))),"")</f>
        <v>0.000679696953165311</v>
      </c>
      <c r="AN323" s="560">
        <f>IFERROR(LN(INDEX(Data!$D$2:$D$497,MATCH(N323,Data!$A$2:$A$497,1))/INDEX(Data!$D$2:$D$497,MATCH(N311,Data!$A$2:$A$497,1))),"")</f>
        <v>0.805608945258076</v>
      </c>
      <c r="AO323" s="560">
        <f>IFERROR(LN(INDEX(Data!$E$2:$E$497,MATCH(N323,Data!$A$2:$A$497,1))/INDEX(Data!$E$2:$E$497,MATCH(N311,Data!$A$2:$A$497,1))),"")</f>
        <v>-0.0495252407996722</v>
      </c>
      <c r="AP323" s="560">
        <f>IFERROR(LN(INDEX(Data!$F$2:$F$497,MATCH(N323,Data!$A$2:$A$497,1))/INDEX(Data!$F$2:$F$497,MATCH(N311,Data!$A$2:$A$497,1))),"")</f>
        <v>-0.0381997042524965</v>
      </c>
      <c r="AQ323" s="560">
        <f>IFERROR(LN(INDEX(Data!$G$2:$G$497,MATCH(N323,Data!$A$2:$A$497,1))/INDEX(Data!$G$2:$G$497,MATCH(N311,Data!$A$2:$A$497,1))),"")</f>
        <v>0.0450246955599629</v>
      </c>
      <c r="AR323" s="560">
        <f>IFERROR(LN(INDEX(Data!$H$2:$H$497,MATCH(N323,Data!$A$2:$A$497,1))/INDEX(Data!$H$2:$H$497,MATCH(N311,Data!$A$2:$A$497,1))),"")</f>
      </c>
      <c r="AS323" s="560">
        <f>IFERROR(LN(INDEX(Data!$I$2:$I$497,MATCH(N323,Data!$A$2:$A$497,1))/INDEX(Data!$I$2:$I$497,MATCH(N311,Data!$A$2:$A$497,1))),"")</f>
      </c>
      <c r="AT323" s="560">
        <f>IFERROR(LN(INDEX(Data!$J$2:$J$497,MATCH(N323,Data!$A$2:$A$497,1))/INDEX(Data!$J$2:$J$497,MATCH(N311,Data!$A$2:$A$497,1))),"")</f>
        <v>-0.020806323423629</v>
      </c>
      <c r="AU323" s="560">
        <f>IFERROR(LN(INDEX(Data!$K$2:$K$497,MATCH(N323,Data!$A$2:$A$497,1))/INDEX(Data!$K$2:$K$497,MATCH(N311,Data!$A$2:$A$497,1))),"")</f>
        <v>0.0163527959129852</v>
      </c>
      <c r="AV323" s="561">
        <f>IFERROR(LN(INDEX(Data!$L$2:$L$497,MATCH(N323,Data!$A$2:$A$497,1))/INDEX(Data!$L$2:$L$497,MATCH(N311,Data!$A$2:$A$497,1))),"")</f>
        <v>0.0482086625313235</v>
      </c>
    </row>
    <row r="324">
      <c r="N324" s="337" t="n">
        <v>34577</v>
      </c>
      <c r="O324" s="116">
        <f>INDEX('Additional data'!$B$2:$B$965,MATCH(DATE(YEAR(N324),MONTH(N324),1),'Additional data'!$A$2:$A$965,0))</f>
        <v>18.38</v>
      </c>
      <c r="P324" s="489">
        <f>LN(O324)</f>
        <v>2.91126311692754</v>
      </c>
      <c r="Q324" s="489">
        <f>Q323+LN(1+INDEX('Additional data'!$H$2:$H$1196,MATCH(N324,'Additional data'!$G$2:$G$1196,1))+INDEX('Additional data'!$I$2:$I$1196,MATCH(N324,'Additional data'!$G$2:$G$1196,1)))</f>
        <v>2.62445790878906</v>
      </c>
      <c r="R324" s="489">
        <f>LN(INDEX(Data!$B$2:$B$497,MATCH(N324,Data!$A$2:$A$497,1)))</f>
        <v>8.97738635502721</v>
      </c>
      <c r="S324" s="116">
        <f>IF(INDEX('Additional data'!$E$2:$E$699,MATCH(DATE(YEAR(N324),MONTH(N324),1),'Additional data'!$D$2:$D$699,0))=0,(INDEX('Additional data'!$E$2:$E$699,MATCH(DATE(YEAR(N324),MONTH(N324),1),'Additional data'!$D$2:$D$699,0)-1)+INDEX('Additional data'!$E$2:$E$699,MATCH(DATE(YEAR(N324),MONTH(N324),1),'Additional data'!$D$2:$D$699,0)+1))/2,INDEX('Additional data'!$E$2:$E$699,MATCH(DATE(YEAR(N324),MONTH(N324),1),'Additional data'!$D$2:$D$699,0)))</f>
        <v>5.6</v>
      </c>
      <c r="T324" s="425">
        <f>P324-P323</f>
        <v>-0.0668142213877294</v>
      </c>
      <c r="U324" s="425">
        <f>Q324-Q323</f>
        <v>0.0429636994321156</v>
      </c>
      <c r="V324" s="425">
        <f>R324-R323</f>
        <v>0.0302696166704326</v>
      </c>
      <c r="W324" s="116">
        <f>S324-S323</f>
        <v>0.19</v>
      </c>
      <c r="X324" s="425">
        <f>P324-P312</f>
        <v>0.0203914839897252</v>
      </c>
      <c r="Y324" s="425">
        <f>Q324-Q312</f>
        <v>0.0449786991530714</v>
      </c>
      <c r="Z324" s="425">
        <f>R324-R312</f>
        <v>0.0858747844996444</v>
      </c>
      <c r="AA324" s="116">
        <f>S324-S312</f>
        <v>0.819999999999999</v>
      </c>
      <c r="AB324" s="425">
        <f>P324-P264</f>
        <v>-0.00769609782053626</v>
      </c>
      <c r="AC324" s="425">
        <f>Q324-Q264</f>
        <v>0.464378975348139</v>
      </c>
      <c r="AD324" s="425">
        <f>R324-R264</f>
        <v>0.397406175512206</v>
      </c>
      <c r="AE324" s="235">
        <f>S324-S264</f>
        <v>-12.36</v>
      </c>
      <c r="AG324" s="554">
        <f>N324</f>
        <v>34577.0</v>
      </c>
      <c r="AH324" s="435">
        <f>IFERROR(INDEX('RBA 5Y yield'!$B$5:$B$661,MATCH(N324,'RBA 5Y yield'!$A$5:$A$661,1))*100,"")</f>
        <v>8.81</v>
      </c>
      <c r="AI324" s="435">
        <f>IF(AND(ISNUMBER(AH324),ISNUMBER(AH323)),AH324-AH323,"")</f>
        <v>-0.149999999999999</v>
      </c>
      <c r="AJ324" s="435">
        <f>IF(AND(ISNUMBER(AH324),ISNUMBER(AH312)),AH324-AH312,"")</f>
        <v>2.65</v>
      </c>
      <c r="AK324" s="435">
        <f>IF(AND(ISNUMBER(AH324),ISNUMBER(AH264)),AH324-AH264,"")</f>
        <v>-4.89</v>
      </c>
      <c r="AL324" s="560">
        <f>IFERROR(LN(INDEX(Data!$B$2:$B$497,MATCH(N324,Data!$A$2:$A$497,1))/INDEX(Data!$B$2:$B$497,MATCH(N312,Data!$A$2:$A$497,1))),"")</f>
        <v>0.0858747844996442</v>
      </c>
      <c r="AM324" s="560">
        <f>IFERROR(LN(INDEX(Data!$C$2:$C$497,MATCH(N324,Data!$A$2:$A$497,1))/INDEX(Data!$C$2:$C$497,MATCH(N312,Data!$A$2:$A$497,1))),"")</f>
        <v>-0.0473890304351727</v>
      </c>
      <c r="AN324" s="560">
        <f>IFERROR(LN(INDEX(Data!$D$2:$D$497,MATCH(N324,Data!$A$2:$A$497,1))/INDEX(Data!$D$2:$D$497,MATCH(N312,Data!$A$2:$A$497,1))),"")</f>
        <v>0.757243796774436</v>
      </c>
      <c r="AO324" s="560">
        <f>IFERROR(LN(INDEX(Data!$E$2:$E$497,MATCH(N324,Data!$A$2:$A$497,1))/INDEX(Data!$E$2:$E$497,MATCH(N312,Data!$A$2:$A$497,1))),"")</f>
        <v>-0.113456654808377</v>
      </c>
      <c r="AP324" s="560">
        <f>IFERROR(LN(INDEX(Data!$F$2:$F$497,MATCH(N324,Data!$A$2:$A$497,1))/INDEX(Data!$F$2:$F$497,MATCH(N312,Data!$A$2:$A$497,1))),"")</f>
        <v>-0.151937511104954</v>
      </c>
      <c r="AQ324" s="560">
        <f>IFERROR(LN(INDEX(Data!$G$2:$G$497,MATCH(N324,Data!$A$2:$A$497,1))/INDEX(Data!$G$2:$G$497,MATCH(N312,Data!$A$2:$A$497,1))),"")</f>
        <v>0.0450246955599629</v>
      </c>
      <c r="AR324" s="560">
        <f>IFERROR(LN(INDEX(Data!$H$2:$H$497,MATCH(N324,Data!$A$2:$A$497,1))/INDEX(Data!$H$2:$H$497,MATCH(N312,Data!$A$2:$A$497,1))),"")</f>
      </c>
      <c r="AS324" s="560">
        <f>IFERROR(LN(INDEX(Data!$I$2:$I$497,MATCH(N324,Data!$A$2:$A$497,1))/INDEX(Data!$I$2:$I$497,MATCH(N312,Data!$A$2:$A$497,1))),"")</f>
      </c>
      <c r="AT324" s="560">
        <f>IFERROR(LN(INDEX(Data!$J$2:$J$497,MATCH(N324,Data!$A$2:$A$497,1))/INDEX(Data!$J$2:$J$497,MATCH(N312,Data!$A$2:$A$497,1))),"")</f>
        <v>-0.0225528257317624</v>
      </c>
      <c r="AU324" s="560">
        <f>IFERROR(LN(INDEX(Data!$K$2:$K$497,MATCH(N324,Data!$A$2:$A$497,1))/INDEX(Data!$K$2:$K$497,MATCH(N312,Data!$A$2:$A$497,1))),"")</f>
        <v>-0.0066505686482432</v>
      </c>
      <c r="AV324" s="561">
        <f>IFERROR(LN(INDEX(Data!$L$2:$L$497,MATCH(N324,Data!$A$2:$A$497,1))/INDEX(Data!$L$2:$L$497,MATCH(N312,Data!$A$2:$A$497,1))),"")</f>
        <v>0.0484023459081686</v>
      </c>
    </row>
    <row r="325">
      <c r="N325" s="337" t="n">
        <v>34607</v>
      </c>
      <c r="O325" s="116">
        <f>INDEX('Additional data'!$B$2:$B$965,MATCH(DATE(YEAR(N325),MONTH(N325),1),'Additional data'!$A$2:$A$965,0))</f>
        <v>17.46</v>
      </c>
      <c r="P325" s="489">
        <f>LN(O325)</f>
        <v>2.85991255041146</v>
      </c>
      <c r="Q325" s="489">
        <f>Q324+LN(1+INDEX('Additional data'!$H$2:$H$1196,MATCH(N325,'Additional data'!$G$2:$G$1196,1))+INDEX('Additional data'!$I$2:$I$1196,MATCH(N325,'Additional data'!$G$2:$G$1196,1)))</f>
        <v>2.60517314737719</v>
      </c>
      <c r="R325" s="489">
        <f>LN(INDEX(Data!$B$2:$B$497,MATCH(N325,Data!$A$2:$A$497,1)))</f>
        <v>8.93485034028976</v>
      </c>
      <c r="S325" s="116">
        <f>IF(INDEX('Additional data'!$E$2:$E$699,MATCH(DATE(YEAR(N325),MONTH(N325),1),'Additional data'!$D$2:$D$699,0))=0,(INDEX('Additional data'!$E$2:$E$699,MATCH(DATE(YEAR(N325),MONTH(N325),1),'Additional data'!$D$2:$D$699,0)-1)+INDEX('Additional data'!$E$2:$E$699,MATCH(DATE(YEAR(N325),MONTH(N325),1),'Additional data'!$D$2:$D$699,0)+1))/2,INDEX('Additional data'!$E$2:$E$699,MATCH(DATE(YEAR(N325),MONTH(N325),1),'Additional data'!$D$2:$D$699,0)))</f>
        <v>5.93</v>
      </c>
      <c r="T325" s="425">
        <f>P325-P324</f>
        <v>-0.0513505665160849</v>
      </c>
      <c r="U325" s="425">
        <f>Q325-Q324</f>
        <v>-0.0192847614118672</v>
      </c>
      <c r="V325" s="425">
        <f>R325-R324</f>
        <v>-0.0425360147374452</v>
      </c>
      <c r="W325" s="116">
        <f>S325-S324</f>
        <v>0.33</v>
      </c>
      <c r="X325" s="425">
        <f>P325-P313</f>
        <v>-0.00308801068857667</v>
      </c>
      <c r="Y325" s="425">
        <f>Q325-Q313</f>
        <v>0.0242949168274969</v>
      </c>
      <c r="Z325" s="425">
        <f>R325-R313</f>
        <v>0.0612702464147574</v>
      </c>
      <c r="AA325" s="116">
        <f>S325-S313</f>
        <v>1.07</v>
      </c>
      <c r="AB325" s="425">
        <f>P325-P265</f>
        <v>-0.115310846510995</v>
      </c>
      <c r="AC325" s="425">
        <f>Q325-Q265</f>
        <v>0.446194819380305</v>
      </c>
      <c r="AD325" s="425">
        <f>R325-R265</f>
        <v>0.367838941892666</v>
      </c>
      <c r="AE325" s="235">
        <f>S325-S265</f>
        <v>-12.19</v>
      </c>
      <c r="AG325" s="554">
        <f>N325</f>
        <v>34607.0</v>
      </c>
      <c r="AH325" s="435">
        <f>IFERROR(INDEX('RBA 5Y yield'!$B$5:$B$661,MATCH(N325,'RBA 5Y yield'!$A$5:$A$661,1))*100,"")</f>
        <v>9.74</v>
      </c>
      <c r="AI325" s="435">
        <f>IF(AND(ISNUMBER(AH325),ISNUMBER(AH324)),AH325-AH324,"")</f>
        <v>0.93</v>
      </c>
      <c r="AJ325" s="435">
        <f>IF(AND(ISNUMBER(AH325),ISNUMBER(AH313)),AH325-AH313,"")</f>
        <v>3.39</v>
      </c>
      <c r="AK325" s="435">
        <f>IF(AND(ISNUMBER(AH325),ISNUMBER(AH265)),AH325-AH265,"")</f>
        <v>-4.81</v>
      </c>
      <c r="AL325" s="560">
        <f>IFERROR(LN(INDEX(Data!$B$2:$B$497,MATCH(N325,Data!$A$2:$A$497,1))/INDEX(Data!$B$2:$B$497,MATCH(N313,Data!$A$2:$A$497,1))),"")</f>
        <v>0.0612702464147583</v>
      </c>
      <c r="AM325" s="560">
        <f>IFERROR(LN(INDEX(Data!$C$2:$C$497,MATCH(N325,Data!$A$2:$A$497,1))/INDEX(Data!$C$2:$C$497,MATCH(N313,Data!$A$2:$A$497,1))),"")</f>
        <v>-0.0942732193315138</v>
      </c>
      <c r="AN325" s="560">
        <f>IFERROR(LN(INDEX(Data!$D$2:$D$497,MATCH(N325,Data!$A$2:$A$497,1))/INDEX(Data!$D$2:$D$497,MATCH(N313,Data!$A$2:$A$497,1))),"")</f>
        <v>0.647423912883971</v>
      </c>
      <c r="AO325" s="560">
        <f>IFERROR(LN(INDEX(Data!$E$2:$E$497,MATCH(N325,Data!$A$2:$A$497,1))/INDEX(Data!$E$2:$E$497,MATCH(N313,Data!$A$2:$A$497,1))),"")</f>
        <v>-0.181428569974296</v>
      </c>
      <c r="AP325" s="560">
        <f>IFERROR(LN(INDEX(Data!$F$2:$F$497,MATCH(N325,Data!$A$2:$A$497,1))/INDEX(Data!$F$2:$F$497,MATCH(N313,Data!$A$2:$A$497,1))),"")</f>
        <v>-0.194108149278616</v>
      </c>
      <c r="AQ325" s="560">
        <f>IFERROR(LN(INDEX(Data!$G$2:$G$497,MATCH(N325,Data!$A$2:$A$497,1))/INDEX(Data!$G$2:$G$497,MATCH(N313,Data!$A$2:$A$497,1))),"")</f>
        <v>0.0593027879610556</v>
      </c>
      <c r="AR325" s="560">
        <f>IFERROR(LN(INDEX(Data!$H$2:$H$497,MATCH(N325,Data!$A$2:$A$497,1))/INDEX(Data!$H$2:$H$497,MATCH(N313,Data!$A$2:$A$497,1))),"")</f>
      </c>
      <c r="AS325" s="560">
        <f>IFERROR(LN(INDEX(Data!$I$2:$I$497,MATCH(N325,Data!$A$2:$A$497,1))/INDEX(Data!$I$2:$I$497,MATCH(N313,Data!$A$2:$A$497,1))),"")</f>
      </c>
      <c r="AT325" s="560">
        <f>IFERROR(LN(INDEX(Data!$J$2:$J$497,MATCH(N325,Data!$A$2:$A$497,1))/INDEX(Data!$J$2:$J$497,MATCH(N313,Data!$A$2:$A$497,1))),"")</f>
        <v>-0.0432999817579128</v>
      </c>
      <c r="AU325" s="560">
        <f>IFERROR(LN(INDEX(Data!$K$2:$K$497,MATCH(N325,Data!$A$2:$A$497,1))/INDEX(Data!$K$2:$K$497,MATCH(N313,Data!$A$2:$A$497,1))),"")</f>
        <v>-0.0192581498311711</v>
      </c>
      <c r="AV325" s="561">
        <f>IFERROR(LN(INDEX(Data!$L$2:$L$497,MATCH(N325,Data!$A$2:$A$497,1))/INDEX(Data!$L$2:$L$497,MATCH(N313,Data!$A$2:$A$497,1))),"")</f>
        <v>0.048837213267922</v>
      </c>
    </row>
    <row r="326">
      <c r="N326" s="337" t="n">
        <v>34638</v>
      </c>
      <c r="O326" s="116">
        <f>INDEX('Additional data'!$B$2:$B$965,MATCH(DATE(YEAR(N326),MONTH(N326),1),'Additional data'!$A$2:$A$965,0))</f>
        <v>17.71</v>
      </c>
      <c r="P326" s="489">
        <f>LN(O326)</f>
        <v>2.87412945179474</v>
      </c>
      <c r="Q326" s="489">
        <f>Q325+LN(1+INDEX('Additional data'!$H$2:$H$1196,MATCH(N326,'Additional data'!$G$2:$G$1196,1))+INDEX('Additional data'!$I$2:$I$1196,MATCH(N326,'Additional data'!$G$2:$G$1196,1)))</f>
        <v>2.62232520619475</v>
      </c>
      <c r="R326" s="489">
        <f>LN(INDEX(Data!$B$2:$B$497,MATCH(N326,Data!$A$2:$A$497,1)))</f>
        <v>8.94528047756068</v>
      </c>
      <c r="S326" s="116">
        <f>IF(INDEX('Additional data'!$E$2:$E$699,MATCH(DATE(YEAR(N326),MONTH(N326),1),'Additional data'!$D$2:$D$699,0))=0,(INDEX('Additional data'!$E$2:$E$699,MATCH(DATE(YEAR(N326),MONTH(N326),1),'Additional data'!$D$2:$D$699,0)-1)+INDEX('Additional data'!$E$2:$E$699,MATCH(DATE(YEAR(N326),MONTH(N326),1),'Additional data'!$D$2:$D$699,0)+1))/2,INDEX('Additional data'!$E$2:$E$699,MATCH(DATE(YEAR(N326),MONTH(N326),1),'Additional data'!$D$2:$D$699,0)))</f>
        <v>6.45</v>
      </c>
      <c r="T326" s="425">
        <f>P326-P325</f>
        <v>0.0142169013832865</v>
      </c>
      <c r="U326" s="425">
        <f>Q326-Q325</f>
        <v>0.0171520588175658</v>
      </c>
      <c r="V326" s="425">
        <f>R326-R325</f>
        <v>0.0104301372709177</v>
      </c>
      <c r="W326" s="116">
        <f>S326-S325</f>
        <v>0.520000000000001</v>
      </c>
      <c r="X326" s="425">
        <f>P326-P314</f>
        <v>-0.0242655888702914</v>
      </c>
      <c r="Y326" s="425">
        <f>Q326-Q314</f>
        <v>0.0251800031811906</v>
      </c>
      <c r="Z326" s="425">
        <f>R326-R314</f>
        <v>-0.0100256992290468</v>
      </c>
      <c r="AA326" s="116">
        <f>S326-S314</f>
        <v>1.64</v>
      </c>
      <c r="AB326" s="425">
        <f>P326-P266</f>
        <v>-0.12614250180128</v>
      </c>
      <c r="AC326" s="425">
        <f>Q326-Q266</f>
        <v>0.493496855148754</v>
      </c>
      <c r="AD326" s="425">
        <f>R326-R266</f>
        <v>0.422741599819691</v>
      </c>
      <c r="AE326" s="235">
        <f>S326-S266</f>
        <v>-11.91</v>
      </c>
      <c r="AG326" s="554">
        <f>N326</f>
        <v>34638.0</v>
      </c>
      <c r="AH326" s="435">
        <f>IFERROR(INDEX('RBA 5Y yield'!$B$5:$B$661,MATCH(N326,'RBA 5Y yield'!$A$5:$A$661,1))*100,"")</f>
        <v>10.06</v>
      </c>
      <c r="AI326" s="435">
        <f>IF(AND(ISNUMBER(AH326),ISNUMBER(AH325)),AH326-AH325,"")</f>
        <v>0.319999999999999</v>
      </c>
      <c r="AJ326" s="435">
        <f>IF(AND(ISNUMBER(AH326),ISNUMBER(AH314)),AH326-AH314,"")</f>
        <v>4.05</v>
      </c>
      <c r="AK326" s="435">
        <f>IF(AND(ISNUMBER(AH326),ISNUMBER(AH266)),AH326-AH266,"")</f>
        <v>-4.44</v>
      </c>
      <c r="AL326" s="560">
        <f>IFERROR(LN(INDEX(Data!$B$2:$B$497,MATCH(N326,Data!$A$2:$A$497,1))/INDEX(Data!$B$2:$B$497,MATCH(N314,Data!$A$2:$A$497,1))),"")</f>
        <v>-0.0100256992290462</v>
      </c>
      <c r="AM326" s="560">
        <f>IFERROR(LN(INDEX(Data!$C$2:$C$497,MATCH(N326,Data!$A$2:$A$497,1))/INDEX(Data!$C$2:$C$497,MATCH(N314,Data!$A$2:$A$497,1))),"")</f>
        <v>-0.0921273033262957</v>
      </c>
      <c r="AN326" s="560">
        <f>IFERROR(LN(INDEX(Data!$D$2:$D$497,MATCH(N326,Data!$A$2:$A$497,1))/INDEX(Data!$D$2:$D$497,MATCH(N314,Data!$A$2:$A$497,1))),"")</f>
        <v>0.518356005955298</v>
      </c>
      <c r="AO326" s="560">
        <f>IFERROR(LN(INDEX(Data!$E$2:$E$497,MATCH(N326,Data!$A$2:$A$497,1))/INDEX(Data!$E$2:$E$497,MATCH(N314,Data!$A$2:$A$497,1))),"")</f>
        <v>-0.17514565735569</v>
      </c>
      <c r="AP326" s="560">
        <f>IFERROR(LN(INDEX(Data!$F$2:$F$497,MATCH(N326,Data!$A$2:$A$497,1))/INDEX(Data!$F$2:$F$497,MATCH(N314,Data!$A$2:$A$497,1))),"")</f>
        <v>-0.126605789886248</v>
      </c>
      <c r="AQ326" s="560">
        <f>IFERROR(LN(INDEX(Data!$G$2:$G$497,MATCH(N326,Data!$A$2:$A$497,1))/INDEX(Data!$G$2:$G$497,MATCH(N314,Data!$A$2:$A$497,1))),"")</f>
        <v>0.0593027879610556</v>
      </c>
      <c r="AR326" s="560">
        <f>IFERROR(LN(INDEX(Data!$H$2:$H$497,MATCH(N326,Data!$A$2:$A$497,1))/INDEX(Data!$H$2:$H$497,MATCH(N314,Data!$A$2:$A$497,1))),"")</f>
      </c>
      <c r="AS326" s="560">
        <f>IFERROR(LN(INDEX(Data!$I$2:$I$497,MATCH(N326,Data!$A$2:$A$497,1))/INDEX(Data!$I$2:$I$497,MATCH(N314,Data!$A$2:$A$497,1))),"")</f>
      </c>
      <c r="AT326" s="560">
        <f>IFERROR(LN(INDEX(Data!$J$2:$J$497,MATCH(N326,Data!$A$2:$A$497,1))/INDEX(Data!$J$2:$J$497,MATCH(N314,Data!$A$2:$A$497,1))),"")</f>
        <v>-0.0630395914550768</v>
      </c>
      <c r="AU326" s="560">
        <f>IFERROR(LN(INDEX(Data!$K$2:$K$497,MATCH(N326,Data!$A$2:$A$497,1))/INDEX(Data!$K$2:$K$497,MATCH(N314,Data!$A$2:$A$497,1))),"")</f>
        <v>-0.0257250849771679</v>
      </c>
      <c r="AV326" s="561">
        <f>IFERROR(LN(INDEX(Data!$L$2:$L$497,MATCH(N326,Data!$A$2:$A$497,1))/INDEX(Data!$L$2:$L$497,MATCH(N314,Data!$A$2:$A$497,1))),"")</f>
        <v>0.0492531483520066</v>
      </c>
    </row>
    <row r="327">
      <c r="N327" s="337" t="n">
        <v>34668</v>
      </c>
      <c r="O327" s="116">
        <f>INDEX('Additional data'!$B$2:$B$965,MATCH(DATE(YEAR(N327),MONTH(N327),1),'Additional data'!$A$2:$A$965,0))</f>
        <v>18.1</v>
      </c>
      <c r="P327" s="489">
        <f>LN(O327)</f>
        <v>2.89591193827178</v>
      </c>
      <c r="Q327" s="489">
        <f>Q326+LN(1+INDEX('Additional data'!$H$2:$H$1196,MATCH(N327,'Additional data'!$G$2:$G$1196,1))+INDEX('Additional data'!$I$2:$I$1196,MATCH(N327,'Additional data'!$G$2:$G$1196,1)))</f>
        <v>2.58503862140874</v>
      </c>
      <c r="R327" s="489">
        <f>LN(INDEX(Data!$B$2:$B$497,MATCH(N327,Data!$A$2:$A$497,1)))</f>
        <v>8.87212261281651</v>
      </c>
      <c r="S327" s="116">
        <f>IF(INDEX('Additional data'!$E$2:$E$699,MATCH(DATE(YEAR(N327),MONTH(N327),1),'Additional data'!$D$2:$D$699,0))=0,(INDEX('Additional data'!$E$2:$E$699,MATCH(DATE(YEAR(N327),MONTH(N327),1),'Additional data'!$D$2:$D$699,0)-1)+INDEX('Additional data'!$E$2:$E$699,MATCH(DATE(YEAR(N327),MONTH(N327),1),'Additional data'!$D$2:$D$699,0)+1))/2,INDEX('Additional data'!$E$2:$E$699,MATCH(DATE(YEAR(N327),MONTH(N327),1),'Additional data'!$D$2:$D$699,0)))</f>
        <v>7.16</v>
      </c>
      <c r="T327" s="425">
        <f>P327-P326</f>
        <v>0.0217824864770377</v>
      </c>
      <c r="U327" s="425">
        <f>Q327-Q326</f>
        <v>-0.0372865847860164</v>
      </c>
      <c r="V327" s="425">
        <f>R327-R326</f>
        <v>-0.0731578647441733</v>
      </c>
      <c r="W327" s="116">
        <f>S327-S326</f>
        <v>0.71</v>
      </c>
      <c r="X327" s="425">
        <f>P327-P315</f>
        <v>0.0805631008814847</v>
      </c>
      <c r="Y327" s="425">
        <f>Q327-Q315</f>
        <v>0.00422607301607192</v>
      </c>
      <c r="Z327" s="425">
        <f>R327-R315</f>
        <v>-0.0269804270863574</v>
      </c>
      <c r="AA327" s="116">
        <f>S327-S315</f>
        <v>2.38</v>
      </c>
      <c r="AB327" s="425">
        <f>P327-P267</f>
        <v>-0.0907795906300617</v>
      </c>
      <c r="AC327" s="425">
        <f>Q327-Q267</f>
        <v>0.439058211545172</v>
      </c>
      <c r="AD327" s="425">
        <f>R327-R267</f>
        <v>0.364071079317554</v>
      </c>
      <c r="AE327" s="235">
        <f>S327-S267</f>
        <v>-11.09</v>
      </c>
      <c r="AG327" s="554">
        <f>N327</f>
        <v>34668.0</v>
      </c>
      <c r="AH327" s="435">
        <f>IFERROR(INDEX('RBA 5Y yield'!$B$5:$B$661,MATCH(N327,'RBA 5Y yield'!$A$5:$A$661,1))*100,"")</f>
        <v>10.27</v>
      </c>
      <c r="AI327" s="435">
        <f>IF(AND(ISNUMBER(AH327),ISNUMBER(AH326)),AH327-AH326,"")</f>
        <v>0.210000000000001</v>
      </c>
      <c r="AJ327" s="435">
        <f>IF(AND(ISNUMBER(AH327),ISNUMBER(AH315)),AH327-AH315,"")</f>
        <v>3.91</v>
      </c>
      <c r="AK327" s="435">
        <f>IF(AND(ISNUMBER(AH327),ISNUMBER(AH267)),AH327-AH267,"")</f>
        <v>-3.58</v>
      </c>
      <c r="AL327" s="560">
        <f>IFERROR(LN(INDEX(Data!$B$2:$B$497,MATCH(N327,Data!$A$2:$A$497,1))/INDEX(Data!$B$2:$B$497,MATCH(N315,Data!$A$2:$A$497,1))),"")</f>
        <v>-0.0269804270863572</v>
      </c>
      <c r="AM327" s="560">
        <f>IFERROR(LN(INDEX(Data!$C$2:$C$497,MATCH(N327,Data!$A$2:$A$497,1))/INDEX(Data!$C$2:$C$497,MATCH(N315,Data!$A$2:$A$497,1))),"")</f>
        <v>-0.11276696907902</v>
      </c>
      <c r="AN327" s="560">
        <f>IFERROR(LN(INDEX(Data!$D$2:$D$497,MATCH(N327,Data!$A$2:$A$497,1))/INDEX(Data!$D$2:$D$497,MATCH(N315,Data!$A$2:$A$497,1))),"")</f>
        <v>0.333741240614736</v>
      </c>
      <c r="AO327" s="560">
        <f>IFERROR(LN(INDEX(Data!$E$2:$E$497,MATCH(N327,Data!$A$2:$A$497,1))/INDEX(Data!$E$2:$E$497,MATCH(N315,Data!$A$2:$A$497,1))),"")</f>
        <v>-0.220894182626376</v>
      </c>
      <c r="AP327" s="560">
        <f>IFERROR(LN(INDEX(Data!$F$2:$F$497,MATCH(N327,Data!$A$2:$A$497,1))/INDEX(Data!$F$2:$F$497,MATCH(N315,Data!$A$2:$A$497,1))),"")</f>
        <v>-0.155014760021671</v>
      </c>
      <c r="AQ327" s="560">
        <f>IFERROR(LN(INDEX(Data!$G$2:$G$497,MATCH(N327,Data!$A$2:$A$497,1))/INDEX(Data!$G$2:$G$497,MATCH(N315,Data!$A$2:$A$497,1))),"")</f>
        <v>0.0593027879610556</v>
      </c>
      <c r="AR327" s="560">
        <f>IFERROR(LN(INDEX(Data!$H$2:$H$497,MATCH(N327,Data!$A$2:$A$497,1))/INDEX(Data!$H$2:$H$497,MATCH(N315,Data!$A$2:$A$497,1))),"")</f>
      </c>
      <c r="AS327" s="560">
        <f>IFERROR(LN(INDEX(Data!$I$2:$I$497,MATCH(N327,Data!$A$2:$A$497,1))/INDEX(Data!$I$2:$I$497,MATCH(N315,Data!$A$2:$A$497,1))),"")</f>
      </c>
      <c r="AT327" s="560">
        <f>IFERROR(LN(INDEX(Data!$J$2:$J$497,MATCH(N327,Data!$A$2:$A$497,1))/INDEX(Data!$J$2:$J$497,MATCH(N315,Data!$A$2:$A$497,1))),"")</f>
        <v>-0.0535225491912012</v>
      </c>
      <c r="AU327" s="560">
        <f>IFERROR(LN(INDEX(Data!$K$2:$K$497,MATCH(N327,Data!$A$2:$A$497,1))/INDEX(Data!$K$2:$K$497,MATCH(N315,Data!$A$2:$A$497,1))),"")</f>
        <v>-0.0178603021720599</v>
      </c>
      <c r="AV327" s="561">
        <f>IFERROR(LN(INDEX(Data!$L$2:$L$497,MATCH(N327,Data!$A$2:$A$497,1))/INDEX(Data!$L$2:$L$497,MATCH(N315,Data!$A$2:$A$497,1))),"")</f>
        <v>0.0506777607353551</v>
      </c>
    </row>
    <row r="328">
      <c r="N328" s="337" t="n">
        <v>34699</v>
      </c>
      <c r="O328" s="116">
        <f>INDEX('Additional data'!$B$2:$B$965,MATCH(DATE(YEAR(N328),MONTH(N328),1),'Additional data'!$A$2:$A$965,0))</f>
        <v>17.16</v>
      </c>
      <c r="P328" s="489">
        <f>LN(O328)</f>
        <v>2.84258109405982</v>
      </c>
      <c r="Q328" s="489">
        <f>Q327+LN(1+INDEX('Additional data'!$H$2:$H$1196,MATCH(N328,'Additional data'!$G$2:$G$1196,1))+INDEX('Additional data'!$I$2:$I$1196,MATCH(N328,'Additional data'!$G$2:$G$1196,1)))</f>
        <v>2.59795484667528</v>
      </c>
      <c r="R328" s="489">
        <f>LN(INDEX(Data!$B$2:$B$497,MATCH(N328,Data!$A$2:$A$497,1)))</f>
        <v>8.88954264584653</v>
      </c>
      <c r="S328" s="116">
        <f>IF(INDEX('Additional data'!$E$2:$E$699,MATCH(DATE(YEAR(N328),MONTH(N328),1),'Additional data'!$D$2:$D$699,0))=0,(INDEX('Additional data'!$E$2:$E$699,MATCH(DATE(YEAR(N328),MONTH(N328),1),'Additional data'!$D$2:$D$699,0)-1)+INDEX('Additional data'!$E$2:$E$699,MATCH(DATE(YEAR(N328),MONTH(N328),1),'Additional data'!$D$2:$D$699,0)+1))/2,INDEX('Additional data'!$E$2:$E$699,MATCH(DATE(YEAR(N328),MONTH(N328),1),'Additional data'!$D$2:$D$699,0)))</f>
        <v>7.95</v>
      </c>
      <c r="T328" s="425">
        <f>P328-P327</f>
        <v>-0.0533308442119638</v>
      </c>
      <c r="U328" s="425">
        <f>Q328-Q327</f>
        <v>0.012916225266546</v>
      </c>
      <c r="V328" s="425">
        <f>R328-R327</f>
        <v>0.0174200330300174</v>
      </c>
      <c r="W328" s="116">
        <f>S328-S327</f>
        <v>0.79</v>
      </c>
      <c r="X328" s="425">
        <f>P328-P316</f>
        <v>0.16774302716372</v>
      </c>
      <c r="Y328" s="425">
        <f>Q328-Q316</f>
        <v>-0.00148316584054697</v>
      </c>
      <c r="Z328" s="425">
        <f>R328-R316</f>
        <v>-0.0922269741684936</v>
      </c>
      <c r="AA328" s="116">
        <f>S328-S316</f>
        <v>3.13</v>
      </c>
      <c r="AB328" s="425">
        <f>P328-P268</f>
        <v>-0.206123064260281</v>
      </c>
      <c r="AC328" s="425">
        <f>Q328-Q268</f>
        <v>0.434232755335561</v>
      </c>
      <c r="AD328" s="425">
        <f>R328-R268</f>
        <v>0.354666719577979</v>
      </c>
      <c r="AE328" s="235">
        <f>S328-S268</f>
        <v>-9.94</v>
      </c>
      <c r="AG328" s="554">
        <f>N328</f>
        <v>34699.0</v>
      </c>
      <c r="AH328" s="435">
        <f>IFERROR(INDEX('RBA 5Y yield'!$B$5:$B$661,MATCH(N328,'RBA 5Y yield'!$A$5:$A$661,1))*100,"")</f>
        <v>10.06</v>
      </c>
      <c r="AI328" s="435">
        <f>IF(AND(ISNUMBER(AH328),ISNUMBER(AH327)),AH328-AH327,"")</f>
        <v>-0.210000000000001</v>
      </c>
      <c r="AJ328" s="435">
        <f>IF(AND(ISNUMBER(AH328),ISNUMBER(AH316)),AH328-AH316,"")</f>
        <v>3.89</v>
      </c>
      <c r="AK328" s="435">
        <f>IF(AND(ISNUMBER(AH328),ISNUMBER(AH268)),AH328-AH268,"")</f>
        <v>-3.39</v>
      </c>
      <c r="AL328" s="560">
        <f>IFERROR(LN(INDEX(Data!$B$2:$B$497,MATCH(N328,Data!$A$2:$A$497,1))/INDEX(Data!$B$2:$B$497,MATCH(N316,Data!$A$2:$A$497,1))),"")</f>
        <v>-0.0922269741684938</v>
      </c>
      <c r="AM328" s="560">
        <f>IFERROR(LN(INDEX(Data!$C$2:$C$497,MATCH(N328,Data!$A$2:$A$497,1))/INDEX(Data!$C$2:$C$497,MATCH(N316,Data!$A$2:$A$497,1))),"")</f>
        <v>-0.135293293317449</v>
      </c>
      <c r="AN328" s="560">
        <f>IFERROR(LN(INDEX(Data!$D$2:$D$497,MATCH(N328,Data!$A$2:$A$497,1))/INDEX(Data!$D$2:$D$497,MATCH(N316,Data!$A$2:$A$497,1))),"")</f>
        <v>0.112517569830245</v>
      </c>
      <c r="AO328" s="560">
        <f>IFERROR(LN(INDEX(Data!$E$2:$E$497,MATCH(N328,Data!$A$2:$A$497,1))/INDEX(Data!$E$2:$E$497,MATCH(N316,Data!$A$2:$A$497,1))),"")</f>
        <v>-0.174791610043331</v>
      </c>
      <c r="AP328" s="560">
        <f>IFERROR(LN(INDEX(Data!$F$2:$F$497,MATCH(N328,Data!$A$2:$A$497,1))/INDEX(Data!$F$2:$F$497,MATCH(N316,Data!$A$2:$A$497,1))),"")</f>
        <v>-0.0802764406212302</v>
      </c>
      <c r="AQ328" s="560">
        <f>IFERROR(LN(INDEX(Data!$G$2:$G$497,MATCH(N328,Data!$A$2:$A$497,1))/INDEX(Data!$G$2:$G$497,MATCH(N316,Data!$A$2:$A$497,1))),"")</f>
        <v>0.0454997768319144</v>
      </c>
      <c r="AR328" s="560">
        <f>IFERROR(LN(INDEX(Data!$H$2:$H$497,MATCH(N328,Data!$A$2:$A$497,1))/INDEX(Data!$H$2:$H$497,MATCH(N316,Data!$A$2:$A$497,1))),"")</f>
      </c>
      <c r="AS328" s="560">
        <f>IFERROR(LN(INDEX(Data!$I$2:$I$497,MATCH(N328,Data!$A$2:$A$497,1))/INDEX(Data!$I$2:$I$497,MATCH(N316,Data!$A$2:$A$497,1))),"")</f>
      </c>
      <c r="AT328" s="560">
        <f>IFERROR(LN(INDEX(Data!$J$2:$J$497,MATCH(N328,Data!$A$2:$A$497,1))/INDEX(Data!$J$2:$J$497,MATCH(N316,Data!$A$2:$A$497,1))),"")</f>
        <v>-0.0477359040041772</v>
      </c>
      <c r="AU328" s="560">
        <f>IFERROR(LN(INDEX(Data!$K$2:$K$497,MATCH(N328,Data!$A$2:$A$497,1))/INDEX(Data!$K$2:$K$497,MATCH(N316,Data!$A$2:$A$497,1))),"")</f>
        <v>-0.024869337871383</v>
      </c>
      <c r="AV328" s="561">
        <f>IFERROR(LN(INDEX(Data!$L$2:$L$497,MATCH(N328,Data!$A$2:$A$497,1))/INDEX(Data!$L$2:$L$497,MATCH(N316,Data!$A$2:$A$497,1))),"")</f>
        <v>0.0522282837502049</v>
      </c>
    </row>
    <row r="329">
      <c r="N329" s="337" t="n">
        <v>34730</v>
      </c>
      <c r="O329" s="116">
        <f>INDEX('Additional data'!$B$2:$B$965,MATCH(DATE(YEAR(N329),MONTH(N329),1),'Additional data'!$A$2:$A$965,0))</f>
        <v>17.99</v>
      </c>
      <c r="P329" s="489">
        <f>LN(O329)</f>
        <v>2.88981604796244</v>
      </c>
      <c r="Q329" s="489">
        <f>Q328+LN(1+INDEX('Additional data'!$H$2:$H$1196,MATCH(N329,'Additional data'!$G$2:$G$1196,1))+INDEX('Additional data'!$I$2:$I$1196,MATCH(N329,'Additional data'!$G$2:$G$1196,1)))</f>
        <v>2.61991201402733</v>
      </c>
      <c r="R329" s="489">
        <f>LN(INDEX(Data!$B$2:$B$497,MATCH(N329,Data!$A$2:$A$497,1)))</f>
        <v>8.85056061308397</v>
      </c>
      <c r="S329" s="116">
        <f>IF(INDEX('Additional data'!$E$2:$E$699,MATCH(DATE(YEAR(N329),MONTH(N329),1),'Additional data'!$D$2:$D$699,0))=0,(INDEX('Additional data'!$E$2:$E$699,MATCH(DATE(YEAR(N329),MONTH(N329),1),'Additional data'!$D$2:$D$699,0)-1)+INDEX('Additional data'!$E$2:$E$699,MATCH(DATE(YEAR(N329),MONTH(N329),1),'Additional data'!$D$2:$D$699,0)+1))/2,INDEX('Additional data'!$E$2:$E$699,MATCH(DATE(YEAR(N329),MONTH(N329),1),'Additional data'!$D$2:$D$699,0)))</f>
        <v>8.37</v>
      </c>
      <c r="T329" s="425">
        <f>P329-P328</f>
        <v>0.0472349539026253</v>
      </c>
      <c r="U329" s="425">
        <f>Q329-Q328</f>
        <v>0.021957167352042</v>
      </c>
      <c r="V329" s="425">
        <f>R329-R328</f>
        <v>-0.0389820327625543</v>
      </c>
      <c r="W329" s="116">
        <f>S329-S328</f>
        <v>0.419999999999999</v>
      </c>
      <c r="X329" s="425">
        <f>P329-P317</f>
        <v>0.181765846860232</v>
      </c>
      <c r="Y329" s="425">
        <f>Q329-Q317</f>
        <v>-0.0102491711313455</v>
      </c>
      <c r="Z329" s="425">
        <f>R329-R317</f>
        <v>-0.192200991152404</v>
      </c>
      <c r="AA329" s="116">
        <f>S329-S317</f>
        <v>3.56</v>
      </c>
      <c r="AB329" s="425">
        <f>P329-P269</f>
        <v>-0.229946374008399</v>
      </c>
      <c r="AC329" s="425">
        <f>Q329-Q269</f>
        <v>0.531236797010514</v>
      </c>
      <c r="AD329" s="425">
        <f>R329-R269</f>
        <v>0.297537064666907</v>
      </c>
      <c r="AE329" s="235">
        <f>S329-S269</f>
        <v>-8.96</v>
      </c>
      <c r="AG329" s="554">
        <f>N329</f>
        <v>34730.0</v>
      </c>
      <c r="AH329" s="435">
        <f>IFERROR(INDEX('RBA 5Y yield'!$B$5:$B$661,MATCH(N329,'RBA 5Y yield'!$A$5:$A$661,1))*100,"")</f>
        <v>10.305</v>
      </c>
      <c r="AI329" s="435">
        <f>IF(AND(ISNUMBER(AH329),ISNUMBER(AH328)),AH329-AH328,"")</f>
        <v>0.245000000000001</v>
      </c>
      <c r="AJ329" s="435">
        <f>IF(AND(ISNUMBER(AH329),ISNUMBER(AH317)),AH329-AH317,"")</f>
        <v>4.255</v>
      </c>
      <c r="AK329" s="435">
        <f>IF(AND(ISNUMBER(AH329),ISNUMBER(AH269)),AH329-AH269,"")</f>
        <v>-2.945</v>
      </c>
      <c r="AL329" s="560">
        <f>IFERROR(LN(INDEX(Data!$B$2:$B$497,MATCH(N329,Data!$A$2:$A$497,1))/INDEX(Data!$B$2:$B$497,MATCH(N317,Data!$A$2:$A$497,1))),"")</f>
        <v>-0.192200991152404</v>
      </c>
      <c r="AM329" s="560">
        <f>IFERROR(LN(INDEX(Data!$C$2:$C$497,MATCH(N329,Data!$A$2:$A$497,1))/INDEX(Data!$C$2:$C$497,MATCH(N317,Data!$A$2:$A$497,1))),"")</f>
        <v>-0.145022403868757</v>
      </c>
      <c r="AN329" s="560">
        <f>IFERROR(LN(INDEX(Data!$D$2:$D$497,MATCH(N329,Data!$A$2:$A$497,1))/INDEX(Data!$D$2:$D$497,MATCH(N317,Data!$A$2:$A$497,1))),"")</f>
        <v>0.00424542101301424</v>
      </c>
      <c r="AO329" s="560">
        <f>IFERROR(LN(INDEX(Data!$E$2:$E$497,MATCH(N329,Data!$A$2:$A$497,1))/INDEX(Data!$E$2:$E$497,MATCH(N317,Data!$A$2:$A$497,1))),"")</f>
        <v>-0.159543442714145</v>
      </c>
      <c r="AP329" s="560">
        <f>IFERROR(LN(INDEX(Data!$F$2:$F$497,MATCH(N329,Data!$A$2:$A$497,1))/INDEX(Data!$F$2:$F$497,MATCH(N317,Data!$A$2:$A$497,1))),"")</f>
        <v>-0.117213797004978</v>
      </c>
      <c r="AQ329" s="560">
        <f>IFERROR(LN(INDEX(Data!$G$2:$G$497,MATCH(N329,Data!$A$2:$A$497,1))/INDEX(Data!$G$2:$G$497,MATCH(N317,Data!$A$2:$A$497,1))),"")</f>
        <v>0.0454997768319144</v>
      </c>
      <c r="AR329" s="560">
        <f>IFERROR(LN(INDEX(Data!$H$2:$H$497,MATCH(N329,Data!$A$2:$A$497,1))/INDEX(Data!$H$2:$H$497,MATCH(N317,Data!$A$2:$A$497,1))),"")</f>
      </c>
      <c r="AS329" s="560">
        <f>IFERROR(LN(INDEX(Data!$I$2:$I$497,MATCH(N329,Data!$A$2:$A$497,1))/INDEX(Data!$I$2:$I$497,MATCH(N317,Data!$A$2:$A$497,1))),"")</f>
      </c>
      <c r="AT329" s="560">
        <f>IFERROR(LN(INDEX(Data!$J$2:$J$497,MATCH(N329,Data!$A$2:$A$497,1))/INDEX(Data!$J$2:$J$497,MATCH(N317,Data!$A$2:$A$497,1))),"")</f>
        <v>-0.0639374647166701</v>
      </c>
      <c r="AU329" s="560">
        <f>IFERROR(LN(INDEX(Data!$K$2:$K$497,MATCH(N329,Data!$A$2:$A$497,1))/INDEX(Data!$K$2:$K$497,MATCH(N317,Data!$A$2:$A$497,1))),"")</f>
        <v>-0.0153654452116389</v>
      </c>
      <c r="AV329" s="561">
        <f>IFERROR(LN(INDEX(Data!$L$2:$L$497,MATCH(N329,Data!$A$2:$A$497,1))/INDEX(Data!$L$2:$L$497,MATCH(N317,Data!$A$2:$A$497,1))),"")</f>
        <v>0.0550161887174075</v>
      </c>
    </row>
    <row r="330">
      <c r="N330" s="337" t="n">
        <v>34758</v>
      </c>
      <c r="O330" s="116">
        <f>INDEX('Additional data'!$B$2:$B$965,MATCH(DATE(YEAR(N330),MONTH(N330),1),'Additional data'!$A$2:$A$965,0))</f>
        <v>18.53</v>
      </c>
      <c r="P330" s="489">
        <f>LN(O330)</f>
        <v>2.91939104029727</v>
      </c>
      <c r="Q330" s="489">
        <f>Q329+LN(1+INDEX('Additional data'!$H$2:$H$1196,MATCH(N330,'Additional data'!$G$2:$G$1196,1))+INDEX('Additional data'!$I$2:$I$1196,MATCH(N330,'Additional data'!$G$2:$G$1196,1)))</f>
        <v>2.65942114712204</v>
      </c>
      <c r="R330" s="489">
        <f>LN(INDEX(Data!$B$2:$B$497,MATCH(N330,Data!$A$2:$A$497,1)))</f>
        <v>8.90347548010763</v>
      </c>
      <c r="S330" s="116">
        <f>IF(INDEX('Additional data'!$E$2:$E$699,MATCH(DATE(YEAR(N330),MONTH(N330),1),'Additional data'!$D$2:$D$699,0))=0,(INDEX('Additional data'!$E$2:$E$699,MATCH(DATE(YEAR(N330),MONTH(N330),1),'Additional data'!$D$2:$D$699,0)-1)+INDEX('Additional data'!$E$2:$E$699,MATCH(DATE(YEAR(N330),MONTH(N330),1),'Additional data'!$D$2:$D$699,0)+1))/2,INDEX('Additional data'!$E$2:$E$699,MATCH(DATE(YEAR(N330),MONTH(N330),1),'Additional data'!$D$2:$D$699,0)))</f>
        <v>8.08</v>
      </c>
      <c r="T330" s="425">
        <f>P330-P329</f>
        <v>0.0295749923348265</v>
      </c>
      <c r="U330" s="425">
        <f>Q330-Q329</f>
        <v>0.0395091330947124</v>
      </c>
      <c r="V330" s="425">
        <f>R330-R329</f>
        <v>0.0529148670236577</v>
      </c>
      <c r="W330" s="116">
        <f>S330-S329</f>
        <v>-0.289999999999999</v>
      </c>
      <c r="X330" s="425">
        <f>P330-P318</f>
        <v>0.226116124777213</v>
      </c>
      <c r="Y330" s="425">
        <f>Q330-Q318</f>
        <v>0.0529380893179439</v>
      </c>
      <c r="Z330" s="425">
        <f>R330-R318</f>
        <v>-0.080428424853551</v>
      </c>
      <c r="AA330" s="116">
        <f>S330-S318</f>
        <v>3.28</v>
      </c>
      <c r="AB330" s="425">
        <f>P330-P270</f>
        <v>-0.176548493673748</v>
      </c>
      <c r="AC330" s="425">
        <f>Q330-Q270</f>
        <v>0.553987146290272</v>
      </c>
      <c r="AD330" s="425">
        <f>R330-R270</f>
        <v>0.413221923947344</v>
      </c>
      <c r="AE330" s="235">
        <f>S330-S270</f>
        <v>-8.12</v>
      </c>
      <c r="AG330" s="554">
        <f>N330</f>
        <v>34758.0</v>
      </c>
      <c r="AH330" s="435">
        <f>IFERROR(INDEX('RBA 5Y yield'!$B$5:$B$661,MATCH(N330,'RBA 5Y yield'!$A$5:$A$661,1))*100,"")</f>
        <v>9.9605</v>
      </c>
      <c r="AI330" s="435">
        <f>IF(AND(ISNUMBER(AH330),ISNUMBER(AH329)),AH330-AH329,"")</f>
        <v>-0.3445</v>
      </c>
      <c r="AJ330" s="435">
        <f>IF(AND(ISNUMBER(AH330),ISNUMBER(AH318)),AH330-AH318,"")</f>
        <v>3.2405</v>
      </c>
      <c r="AK330" s="435">
        <f>IF(AND(ISNUMBER(AH330),ISNUMBER(AH270)),AH330-AH270,"")</f>
        <v>-3.8395</v>
      </c>
      <c r="AL330" s="560">
        <f>IFERROR(LN(INDEX(Data!$B$2:$B$497,MATCH(N330,Data!$A$2:$A$497,1))/INDEX(Data!$B$2:$B$497,MATCH(N318,Data!$A$2:$A$497,1))),"")</f>
        <v>-0.0804284248535518</v>
      </c>
      <c r="AM330" s="560">
        <f>IFERROR(LN(INDEX(Data!$C$2:$C$497,MATCH(N330,Data!$A$2:$A$497,1))/INDEX(Data!$C$2:$C$497,MATCH(N318,Data!$A$2:$A$497,1))),"")</f>
        <v>-0.0814555229550422</v>
      </c>
      <c r="AN330" s="560">
        <f>IFERROR(LN(INDEX(Data!$D$2:$D$497,MATCH(N330,Data!$A$2:$A$497,1))/INDEX(Data!$D$2:$D$497,MATCH(N318,Data!$A$2:$A$497,1))),"")</f>
        <v>-0.0179252778828269</v>
      </c>
      <c r="AO330" s="560">
        <f>IFERROR(LN(INDEX(Data!$E$2:$E$497,MATCH(N330,Data!$A$2:$A$497,1))/INDEX(Data!$E$2:$E$497,MATCH(N318,Data!$A$2:$A$497,1))),"")</f>
        <v>-0.114350793577454</v>
      </c>
      <c r="AP330" s="560">
        <f>IFERROR(LN(INDEX(Data!$F$2:$F$497,MATCH(N330,Data!$A$2:$A$497,1))/INDEX(Data!$F$2:$F$497,MATCH(N318,Data!$A$2:$A$497,1))),"")</f>
        <v>-0.0557672791533841</v>
      </c>
      <c r="AQ330" s="560">
        <f>IFERROR(LN(INDEX(Data!$G$2:$G$497,MATCH(N330,Data!$A$2:$A$497,1))/INDEX(Data!$G$2:$G$497,MATCH(N318,Data!$A$2:$A$497,1))),"")</f>
        <v>0.0454997768319144</v>
      </c>
      <c r="AR330" s="560">
        <f>IFERROR(LN(INDEX(Data!$H$2:$H$497,MATCH(N330,Data!$A$2:$A$497,1))/INDEX(Data!$H$2:$H$497,MATCH(N318,Data!$A$2:$A$497,1))),"")</f>
      </c>
      <c r="AS330" s="560">
        <f>IFERROR(LN(INDEX(Data!$I$2:$I$497,MATCH(N330,Data!$A$2:$A$497,1))/INDEX(Data!$I$2:$I$497,MATCH(N318,Data!$A$2:$A$497,1))),"")</f>
      </c>
      <c r="AT330" s="560">
        <f>IFERROR(LN(INDEX(Data!$J$2:$J$497,MATCH(N330,Data!$A$2:$A$497,1))/INDEX(Data!$J$2:$J$497,MATCH(N318,Data!$A$2:$A$497,1))),"")</f>
        <v>-0.0132317723428908</v>
      </c>
      <c r="AU330" s="560">
        <f>IFERROR(LN(INDEX(Data!$K$2:$K$497,MATCH(N330,Data!$A$2:$A$497,1))/INDEX(Data!$K$2:$K$497,MATCH(N318,Data!$A$2:$A$497,1))),"")</f>
        <v>0.0233963175910525</v>
      </c>
      <c r="AV330" s="561">
        <f>IFERROR(LN(INDEX(Data!$L$2:$L$497,MATCH(N330,Data!$A$2:$A$497,1))/INDEX(Data!$L$2:$L$497,MATCH(N318,Data!$A$2:$A$497,1))),"")</f>
        <v>0.0580945720472491</v>
      </c>
    </row>
    <row r="331">
      <c r="N331" s="337" t="n">
        <v>34789</v>
      </c>
      <c r="O331" s="116">
        <f>INDEX('Additional data'!$B$2:$B$965,MATCH(DATE(YEAR(N331),MONTH(N331),1),'Additional data'!$A$2:$A$965,0))</f>
        <v>18.55</v>
      </c>
      <c r="P331" s="489">
        <f>LN(O331)</f>
        <v>2.92046978905344</v>
      </c>
      <c r="Q331" s="489">
        <f>Q330+LN(1+INDEX('Additional data'!$H$2:$H$1196,MATCH(N331,'Additional data'!$G$2:$G$1196,1))+INDEX('Additional data'!$I$2:$I$1196,MATCH(N331,'Additional data'!$G$2:$G$1196,1)))</f>
        <v>2.68557610459889</v>
      </c>
      <c r="R331" s="489">
        <f>LN(INDEX(Data!$B$2:$B$497,MATCH(N331,Data!$A$2:$A$497,1)))</f>
        <v>8.90276846842608</v>
      </c>
      <c r="S331" s="116">
        <f>IF(INDEX('Additional data'!$E$2:$E$699,MATCH(DATE(YEAR(N331),MONTH(N331),1),'Additional data'!$D$2:$D$699,0))=0,(INDEX('Additional data'!$E$2:$E$699,MATCH(DATE(YEAR(N331),MONTH(N331),1),'Additional data'!$D$2:$D$699,0)-1)+INDEX('Additional data'!$E$2:$E$699,MATCH(DATE(YEAR(N331),MONTH(N331),1),'Additional data'!$D$2:$D$699,0)+1))/2,INDEX('Additional data'!$E$2:$E$699,MATCH(DATE(YEAR(N331),MONTH(N331),1),'Additional data'!$D$2:$D$699,0)))</f>
        <v>8.13</v>
      </c>
      <c r="T331" s="425">
        <f>P331-P330</f>
        <v>0.00107874875617586</v>
      </c>
      <c r="U331" s="425">
        <f>Q331-Q330</f>
        <v>0.0261549574768512</v>
      </c>
      <c r="V331" s="425">
        <f>R331-R330</f>
        <v>-0.000707011681546632</v>
      </c>
      <c r="W331" s="116">
        <f>S331-S330</f>
        <v>0.0500000000000007</v>
      </c>
      <c r="X331" s="425">
        <f>P331-P319</f>
        <v>0.235347092594939</v>
      </c>
      <c r="Y331" s="425">
        <f>Q331-Q319</f>
        <v>0.125346431312257</v>
      </c>
      <c r="Z331" s="425">
        <f>R331-R319</f>
        <v>-0.0219543651471987</v>
      </c>
      <c r="AA331" s="116">
        <f>S331-S319</f>
        <v>3.25</v>
      </c>
      <c r="AB331" s="425">
        <f>P331-P271</f>
        <v>-0.0959470756933794</v>
      </c>
      <c r="AC331" s="425">
        <f>Q331-Q271</f>
        <v>0.555742216943588</v>
      </c>
      <c r="AD331" s="425">
        <f>R331-R271</f>
        <v>0.429297305901077</v>
      </c>
      <c r="AE331" s="235">
        <f>S331-S271</f>
        <v>-7.71</v>
      </c>
      <c r="AG331" s="554">
        <f>N331</f>
        <v>34789.0</v>
      </c>
      <c r="AH331" s="435">
        <f>IFERROR(INDEX('RBA 5Y yield'!$B$5:$B$661,MATCH(N331,'RBA 5Y yield'!$A$5:$A$661,1))*100,"")</f>
        <v>9.8088</v>
      </c>
      <c r="AI331" s="435">
        <f>IF(AND(ISNUMBER(AH331),ISNUMBER(AH330)),AH331-AH330,"")</f>
        <v>-0.1517</v>
      </c>
      <c r="AJ331" s="435">
        <f>IF(AND(ISNUMBER(AH331),ISNUMBER(AH319)),AH331-AH319,"")</f>
        <v>2.2388</v>
      </c>
      <c r="AK331" s="435">
        <f>IF(AND(ISNUMBER(AH331),ISNUMBER(AH271)),AH331-AH271,"")</f>
        <v>-4.0612</v>
      </c>
      <c r="AL331" s="560">
        <f>IFERROR(LN(INDEX(Data!$B$2:$B$497,MATCH(N331,Data!$A$2:$A$497,1))/INDEX(Data!$B$2:$B$497,MATCH(N319,Data!$A$2:$A$497,1))),"")</f>
        <v>-0.0219543651471998</v>
      </c>
      <c r="AM331" s="560">
        <f>IFERROR(LN(INDEX(Data!$C$2:$C$497,MATCH(N331,Data!$A$2:$A$497,1))/INDEX(Data!$C$2:$C$497,MATCH(N319,Data!$A$2:$A$497,1))),"")</f>
        <v>-0.0381805281632908</v>
      </c>
      <c r="AN331" s="560">
        <f>IFERROR(LN(INDEX(Data!$D$2:$D$497,MATCH(N331,Data!$A$2:$A$497,1))/INDEX(Data!$D$2:$D$497,MATCH(N319,Data!$A$2:$A$497,1))),"")</f>
        <v>0.00414393449202374</v>
      </c>
      <c r="AO331" s="560">
        <f>IFERROR(LN(INDEX(Data!$E$2:$E$497,MATCH(N331,Data!$A$2:$A$497,1))/INDEX(Data!$E$2:$E$497,MATCH(N319,Data!$A$2:$A$497,1))),"")</f>
        <v>-0.105541265600021</v>
      </c>
      <c r="AP331" s="560">
        <f>IFERROR(LN(INDEX(Data!$F$2:$F$497,MATCH(N331,Data!$A$2:$A$497,1))/INDEX(Data!$F$2:$F$497,MATCH(N319,Data!$A$2:$A$497,1))),"")</f>
        <v>-0.0416538558261276</v>
      </c>
      <c r="AQ331" s="560">
        <f>IFERROR(LN(INDEX(Data!$G$2:$G$497,MATCH(N331,Data!$A$2:$A$497,1))/INDEX(Data!$G$2:$G$497,MATCH(N319,Data!$A$2:$A$497,1))),"")</f>
        <v>0.0443444153984749</v>
      </c>
      <c r="AR331" s="560">
        <f>IFERROR(LN(INDEX(Data!$H$2:$H$497,MATCH(N331,Data!$A$2:$A$497,1))/INDEX(Data!$H$2:$H$497,MATCH(N319,Data!$A$2:$A$497,1))),"")</f>
      </c>
      <c r="AS331" s="560">
        <f>IFERROR(LN(INDEX(Data!$I$2:$I$497,MATCH(N331,Data!$A$2:$A$497,1))/INDEX(Data!$I$2:$I$497,MATCH(N319,Data!$A$2:$A$497,1))),"")</f>
      </c>
      <c r="AT331" s="560">
        <f>IFERROR(LN(INDEX(Data!$J$2:$J$497,MATCH(N331,Data!$A$2:$A$497,1))/INDEX(Data!$J$2:$J$497,MATCH(N319,Data!$A$2:$A$497,1))),"")</f>
        <v>0.0234111597933435</v>
      </c>
      <c r="AU331" s="560">
        <f>IFERROR(LN(INDEX(Data!$K$2:$K$497,MATCH(N331,Data!$A$2:$A$497,1))/INDEX(Data!$K$2:$K$497,MATCH(N319,Data!$A$2:$A$497,1))),"")</f>
        <v>0.0540480962403921</v>
      </c>
      <c r="AV331" s="561">
        <f>IFERROR(LN(INDEX(Data!$L$2:$L$497,MATCH(N331,Data!$A$2:$A$497,1))/INDEX(Data!$L$2:$L$497,MATCH(N319,Data!$A$2:$A$497,1))),"")</f>
        <v>0.0605559098248633</v>
      </c>
    </row>
    <row r="332">
      <c r="N332" s="337" t="n">
        <v>34819</v>
      </c>
      <c r="O332" s="116">
        <f>INDEX('Additional data'!$B$2:$B$965,MATCH(DATE(YEAR(N332),MONTH(N332),1),'Additional data'!$A$2:$A$965,0))</f>
        <v>19.87</v>
      </c>
      <c r="P332" s="489">
        <f>LN(O332)</f>
        <v>2.98921105656373</v>
      </c>
      <c r="Q332" s="489">
        <f>Q331+LN(1+INDEX('Additional data'!$H$2:$H$1196,MATCH(N332,'Additional data'!$G$2:$G$1196,1))+INDEX('Additional data'!$I$2:$I$1196,MATCH(N332,'Additional data'!$G$2:$G$1196,1)))</f>
        <v>2.71075640312919</v>
      </c>
      <c r="R332" s="489">
        <f>LN(INDEX(Data!$B$2:$B$497,MATCH(N332,Data!$A$2:$A$497,1)))</f>
        <v>8.97628753015394</v>
      </c>
      <c r="S332" s="116">
        <f>IF(INDEX('Additional data'!$E$2:$E$699,MATCH(DATE(YEAR(N332),MONTH(N332),1),'Additional data'!$D$2:$D$699,0))=0,(INDEX('Additional data'!$E$2:$E$699,MATCH(DATE(YEAR(N332),MONTH(N332),1),'Additional data'!$D$2:$D$699,0)-1)+INDEX('Additional data'!$E$2:$E$699,MATCH(DATE(YEAR(N332),MONTH(N332),1),'Additional data'!$D$2:$D$699,0)+1))/2,INDEX('Additional data'!$E$2:$E$699,MATCH(DATE(YEAR(N332),MONTH(N332),1),'Additional data'!$D$2:$D$699,0)))</f>
        <v>7.89</v>
      </c>
      <c r="T332" s="425">
        <f>P332-P331</f>
        <v>0.0687412675102812</v>
      </c>
      <c r="U332" s="425">
        <f>Q332-Q331</f>
        <v>0.025180298530298</v>
      </c>
      <c r="V332" s="425">
        <f>R332-R331</f>
        <v>0.0735190617278558</v>
      </c>
      <c r="W332" s="116">
        <f>S332-S331</f>
        <v>-0.240000000000001</v>
      </c>
      <c r="X332" s="425">
        <f>P332-P320</f>
        <v>0.193149978138802</v>
      </c>
      <c r="Y332" s="425">
        <f>Q332-Q320</f>
        <v>0.1410715710718</v>
      </c>
      <c r="Z332" s="425">
        <f>R332-R320</f>
        <v>0.0382284340535133</v>
      </c>
      <c r="AA332" s="116">
        <f>S332-S320</f>
        <v>2.97</v>
      </c>
      <c r="AB332" s="425">
        <f>P332-P272</f>
        <v>0.0670176863446046</v>
      </c>
      <c r="AC332" s="425">
        <f>Q332-Q272</f>
        <v>0.607985435023575</v>
      </c>
      <c r="AD332" s="425">
        <f>R332-R272</f>
        <v>0.562745205567184</v>
      </c>
      <c r="AE332" s="235">
        <f>S332-S272</f>
        <v>-7.25</v>
      </c>
      <c r="AG332" s="554">
        <f>N332</f>
        <v>34819.0</v>
      </c>
      <c r="AH332" s="435">
        <f>IFERROR(INDEX('RBA 5Y yield'!$B$5:$B$661,MATCH(N332,'RBA 5Y yield'!$A$5:$A$661,1))*100,"")</f>
        <v>9.4605</v>
      </c>
      <c r="AI332" s="435">
        <f>IF(AND(ISNUMBER(AH332),ISNUMBER(AH331)),AH332-AH331,"")</f>
        <v>-0.3483</v>
      </c>
      <c r="AJ332" s="435">
        <f>IF(AND(ISNUMBER(AH332),ISNUMBER(AH320)),AH332-AH320,"")</f>
        <v>1.5205</v>
      </c>
      <c r="AK332" s="435">
        <f>IF(AND(ISNUMBER(AH332),ISNUMBER(AH272)),AH332-AH272,"")</f>
        <v>-4.7795</v>
      </c>
      <c r="AL332" s="560">
        <f>IFERROR(LN(INDEX(Data!$B$2:$B$497,MATCH(N332,Data!$A$2:$A$497,1))/INDEX(Data!$B$2:$B$497,MATCH(N320,Data!$A$2:$A$497,1))),"")</f>
        <v>0.0382284340535124</v>
      </c>
      <c r="AM332" s="560">
        <f>IFERROR(LN(INDEX(Data!$C$2:$C$497,MATCH(N332,Data!$A$2:$A$497,1))/INDEX(Data!$C$2:$C$497,MATCH(N320,Data!$A$2:$A$497,1))),"")</f>
        <v>-0.00682323444744184</v>
      </c>
      <c r="AN332" s="560">
        <f>IFERROR(LN(INDEX(Data!$D$2:$D$497,MATCH(N332,Data!$A$2:$A$497,1))/INDEX(Data!$D$2:$D$497,MATCH(N320,Data!$A$2:$A$497,1))),"")</f>
        <v>0.0376739408712297</v>
      </c>
      <c r="AO332" s="560">
        <f>IFERROR(LN(INDEX(Data!$E$2:$E$497,MATCH(N332,Data!$A$2:$A$497,1))/INDEX(Data!$E$2:$E$497,MATCH(N320,Data!$A$2:$A$497,1))),"")</f>
        <v>-0.0632083851539205</v>
      </c>
      <c r="AP332" s="560">
        <f>IFERROR(LN(INDEX(Data!$F$2:$F$497,MATCH(N332,Data!$A$2:$A$497,1))/INDEX(Data!$F$2:$F$497,MATCH(N320,Data!$A$2:$A$497,1))),"")</f>
        <v>-0.0118691164154575</v>
      </c>
      <c r="AQ332" s="560">
        <f>IFERROR(LN(INDEX(Data!$G$2:$G$497,MATCH(N332,Data!$A$2:$A$497,1))/INDEX(Data!$G$2:$G$497,MATCH(N320,Data!$A$2:$A$497,1))),"")</f>
        <v>0.0443444153984749</v>
      </c>
      <c r="AR332" s="560">
        <f>IFERROR(LN(INDEX(Data!$H$2:$H$497,MATCH(N332,Data!$A$2:$A$497,1))/INDEX(Data!$H$2:$H$497,MATCH(N320,Data!$A$2:$A$497,1))),"")</f>
      </c>
      <c r="AS332" s="560">
        <f>IFERROR(LN(INDEX(Data!$I$2:$I$497,MATCH(N332,Data!$A$2:$A$497,1))/INDEX(Data!$I$2:$I$497,MATCH(N320,Data!$A$2:$A$497,1))),"")</f>
      </c>
      <c r="AT332" s="560">
        <f>IFERROR(LN(INDEX(Data!$J$2:$J$497,MATCH(N332,Data!$A$2:$A$497,1))/INDEX(Data!$J$2:$J$497,MATCH(N320,Data!$A$2:$A$497,1))),"")</f>
        <v>0.0461706426326128</v>
      </c>
      <c r="AU332" s="560">
        <f>IFERROR(LN(INDEX(Data!$K$2:$K$497,MATCH(N332,Data!$A$2:$A$497,1))/INDEX(Data!$K$2:$K$497,MATCH(N320,Data!$A$2:$A$497,1))),"")</f>
        <v>0.0763855210362848</v>
      </c>
      <c r="AV332" s="561">
        <f>IFERROR(LN(INDEX(Data!$L$2:$L$497,MATCH(N332,Data!$A$2:$A$497,1))/INDEX(Data!$L$2:$L$497,MATCH(N320,Data!$A$2:$A$497,1))),"")</f>
        <v>0.0631258611718163</v>
      </c>
    </row>
    <row r="333">
      <c r="N333" s="337" t="n">
        <v>34850</v>
      </c>
      <c r="O333" s="116">
        <f>INDEX('Additional data'!$B$2:$B$965,MATCH(DATE(YEAR(N333),MONTH(N333),1),'Additional data'!$A$2:$A$965,0))</f>
        <v>19.74</v>
      </c>
      <c r="P333" s="489">
        <f>LN(O333)</f>
        <v>2.98264703400534</v>
      </c>
      <c r="Q333" s="489">
        <f>Q332+LN(1+INDEX('Additional data'!$H$2:$H$1196,MATCH(N333,'Additional data'!$G$2:$G$1196,1))+INDEX('Additional data'!$I$2:$I$1196,MATCH(N333,'Additional data'!$G$2:$G$1196,1)))</f>
        <v>2.7445779516047</v>
      </c>
      <c r="R333" s="489">
        <f>LN(INDEX(Data!$B$2:$B$497,MATCH(N333,Data!$A$2:$A$497,1)))</f>
        <v>8.96710890267427</v>
      </c>
      <c r="S333" s="116">
        <f>IF(INDEX('Additional data'!$E$2:$E$699,MATCH(DATE(YEAR(N333),MONTH(N333),1),'Additional data'!$D$2:$D$699,0))=0,(INDEX('Additional data'!$E$2:$E$699,MATCH(DATE(YEAR(N333),MONTH(N333),1),'Additional data'!$D$2:$D$699,0)-1)+INDEX('Additional data'!$E$2:$E$699,MATCH(DATE(YEAR(N333),MONTH(N333),1),'Additional data'!$D$2:$D$699,0)+1))/2,INDEX('Additional data'!$E$2:$E$699,MATCH(DATE(YEAR(N333),MONTH(N333),1),'Additional data'!$D$2:$D$699,0)))</f>
        <v>7.7</v>
      </c>
      <c r="T333" s="425">
        <f>P333-P332</f>
        <v>-0.00656402255838984</v>
      </c>
      <c r="U333" s="425">
        <f>Q333-Q332</f>
        <v>0.0338215484755104</v>
      </c>
      <c r="V333" s="425">
        <f>R333-R332</f>
        <v>-0.00917862747966503</v>
      </c>
      <c r="W333" s="116">
        <f>S333-S332</f>
        <v>-0.19</v>
      </c>
      <c r="X333" s="425">
        <f>P333-P321</f>
        <v>0.0989642642599673</v>
      </c>
      <c r="Y333" s="425">
        <f>Q333-Q321</f>
        <v>0.165933378175839</v>
      </c>
      <c r="Z333" s="425">
        <f>R333-R321</f>
        <v>0.0166668381383772</v>
      </c>
      <c r="AA333" s="116">
        <f>S333-S321</f>
        <v>2.85</v>
      </c>
      <c r="AB333" s="425">
        <f>P333-P273</f>
        <v>0.0791945365706406</v>
      </c>
      <c r="AC333" s="425">
        <f>Q333-Q273</f>
        <v>0.554620621820169</v>
      </c>
      <c r="AD333" s="425">
        <f>R333-R273</f>
        <v>0.496420488913788</v>
      </c>
      <c r="AE333" s="235">
        <f>S333-S273</f>
        <v>-7.35</v>
      </c>
      <c r="AG333" s="554">
        <f>N333</f>
        <v>34850.0</v>
      </c>
      <c r="AH333" s="435">
        <f>IFERROR(INDEX('RBA 5Y yield'!$B$5:$B$661,MATCH(N333,'RBA 5Y yield'!$A$5:$A$661,1))*100,"")</f>
        <v>8.6817</v>
      </c>
      <c r="AI333" s="435">
        <f>IF(AND(ISNUMBER(AH333),ISNUMBER(AH332)),AH333-AH332,"")</f>
        <v>-0.778799999999999</v>
      </c>
      <c r="AJ333" s="435">
        <f>IF(AND(ISNUMBER(AH333),ISNUMBER(AH321)),AH333-AH321,"")</f>
        <v>0.541700000000001</v>
      </c>
      <c r="AK333" s="435">
        <f>IF(AND(ISNUMBER(AH333),ISNUMBER(AH273)),AH333-AH273,"")</f>
        <v>-5.3383</v>
      </c>
      <c r="AL333" s="560">
        <f>IFERROR(LN(INDEX(Data!$B$2:$B$497,MATCH(N333,Data!$A$2:$A$497,1))/INDEX(Data!$B$2:$B$497,MATCH(N321,Data!$A$2:$A$497,1))),"")</f>
        <v>0.0166668381383779</v>
      </c>
      <c r="AM333" s="560">
        <f>IFERROR(LN(INDEX(Data!$C$2:$C$497,MATCH(N333,Data!$A$2:$A$497,1))/INDEX(Data!$C$2:$C$497,MATCH(N321,Data!$A$2:$A$497,1))),"")</f>
        <v>0.043416738679344</v>
      </c>
      <c r="AN333" s="560">
        <f>IFERROR(LN(INDEX(Data!$D$2:$D$497,MATCH(N333,Data!$A$2:$A$497,1))/INDEX(Data!$D$2:$D$497,MATCH(N321,Data!$A$2:$A$497,1))),"")</f>
        <v>0.0701548168898799</v>
      </c>
      <c r="AO333" s="560">
        <f>IFERROR(LN(INDEX(Data!$E$2:$E$497,MATCH(N333,Data!$A$2:$A$497,1))/INDEX(Data!$E$2:$E$497,MATCH(N321,Data!$A$2:$A$497,1))),"")</f>
        <v>0.00555015441692762</v>
      </c>
      <c r="AP333" s="560">
        <f>IFERROR(LN(INDEX(Data!$F$2:$F$497,MATCH(N333,Data!$A$2:$A$497,1))/INDEX(Data!$F$2:$F$497,MATCH(N321,Data!$A$2:$A$497,1))),"")</f>
        <v>0.0101030111382734</v>
      </c>
      <c r="AQ333" s="560">
        <f>IFERROR(LN(INDEX(Data!$G$2:$G$497,MATCH(N333,Data!$A$2:$A$497,1))/INDEX(Data!$G$2:$G$497,MATCH(N321,Data!$A$2:$A$497,1))),"")</f>
        <v>0.0443444153984749</v>
      </c>
      <c r="AR333" s="560">
        <f>IFERROR(LN(INDEX(Data!$H$2:$H$497,MATCH(N333,Data!$A$2:$A$497,1))/INDEX(Data!$H$2:$H$497,MATCH(N321,Data!$A$2:$A$497,1))),"")</f>
      </c>
      <c r="AS333" s="560">
        <f>IFERROR(LN(INDEX(Data!$I$2:$I$497,MATCH(N333,Data!$A$2:$A$497,1))/INDEX(Data!$I$2:$I$497,MATCH(N321,Data!$A$2:$A$497,1))),"")</f>
      </c>
      <c r="AT333" s="560">
        <f>IFERROR(LN(INDEX(Data!$J$2:$J$497,MATCH(N333,Data!$A$2:$A$497,1))/INDEX(Data!$J$2:$J$497,MATCH(N321,Data!$A$2:$A$497,1))),"")</f>
        <v>0.0893198536637774</v>
      </c>
      <c r="AU333" s="560">
        <f>IFERROR(LN(INDEX(Data!$K$2:$K$497,MATCH(N333,Data!$A$2:$A$497,1))/INDEX(Data!$K$2:$K$497,MATCH(N321,Data!$A$2:$A$497,1))),"")</f>
        <v>0.116715462244322</v>
      </c>
      <c r="AV333" s="561">
        <f>IFERROR(LN(INDEX(Data!$L$2:$L$497,MATCH(N333,Data!$A$2:$A$497,1))/INDEX(Data!$L$2:$L$497,MATCH(N321,Data!$A$2:$A$497,1))),"")</f>
        <v>0.0657588012567244</v>
      </c>
    </row>
    <row r="334">
      <c r="N334" s="337" t="n">
        <v>34880</v>
      </c>
      <c r="O334" s="116">
        <f>INDEX('Additional data'!$B$2:$B$965,MATCH(DATE(YEAR(N334),MONTH(N334),1),'Additional data'!$A$2:$A$965,0))</f>
        <v>18.42</v>
      </c>
      <c r="P334" s="489">
        <f>LN(O334)</f>
        <v>2.91343703082716</v>
      </c>
      <c r="Q334" s="489">
        <f>Q333+LN(1+INDEX('Additional data'!$H$2:$H$1196,MATCH(N334,'Additional data'!$G$2:$G$1196,1))+INDEX('Additional data'!$I$2:$I$1196,MATCH(N334,'Additional data'!$G$2:$G$1196,1)))</f>
        <v>2.77597971474423</v>
      </c>
      <c r="R334" s="489">
        <f>LN(INDEX(Data!$B$2:$B$497,MATCH(N334,Data!$A$2:$A$497,1)))</f>
        <v>8.97269213445909</v>
      </c>
      <c r="S334" s="116">
        <f>IF(INDEX('Additional data'!$E$2:$E$699,MATCH(DATE(YEAR(N334),MONTH(N334),1),'Additional data'!$D$2:$D$699,0))=0,(INDEX('Additional data'!$E$2:$E$699,MATCH(DATE(YEAR(N334),MONTH(N334),1),'Additional data'!$D$2:$D$699,0)-1)+INDEX('Additional data'!$E$2:$E$699,MATCH(DATE(YEAR(N334),MONTH(N334),1),'Additional data'!$D$2:$D$699,0)+1))/2,INDEX('Additional data'!$E$2:$E$699,MATCH(DATE(YEAR(N334),MONTH(N334),1),'Additional data'!$D$2:$D$699,0)))</f>
        <v>7.55</v>
      </c>
      <c r="T334" s="425">
        <f>P334-P333</f>
        <v>-0.0692100031781746</v>
      </c>
      <c r="U334" s="425">
        <f>Q334-Q333</f>
        <v>0.0314017631395314</v>
      </c>
      <c r="V334" s="425">
        <f>R334-R333</f>
        <v>0.00558323178481857</v>
      </c>
      <c r="W334" s="116">
        <f>S334-S333</f>
        <v>-0.15</v>
      </c>
      <c r="X334" s="425">
        <f>P334-P322</f>
        <v>-0.0346793887851669</v>
      </c>
      <c r="Y334" s="425">
        <f>Q334-Q322</f>
        <v>0.225014710422112</v>
      </c>
      <c r="Z334" s="425">
        <f>R334-R322</f>
        <v>0.0624303552712409</v>
      </c>
      <c r="AA334" s="116">
        <f>S334-S322</f>
        <v>2.43</v>
      </c>
      <c r="AB334" s="425">
        <f>P334-P274</f>
        <v>0.0878408592033231</v>
      </c>
      <c r="AC334" s="425">
        <f>Q334-Q274</f>
        <v>0.590632997517384</v>
      </c>
      <c r="AD334" s="425">
        <f>R334-R274</f>
        <v>0.503198701920274</v>
      </c>
      <c r="AE334" s="235">
        <f>S334-S274</f>
        <v>-7.47</v>
      </c>
      <c r="AG334" s="554">
        <f>N334</f>
        <v>34880.0</v>
      </c>
      <c r="AH334" s="435">
        <f>IFERROR(INDEX('RBA 5Y yield'!$B$5:$B$661,MATCH(N334,'RBA 5Y yield'!$A$5:$A$661,1))*100,"")</f>
        <v>8.269</v>
      </c>
      <c r="AI334" s="435">
        <f>IF(AND(ISNUMBER(AH334),ISNUMBER(AH333)),AH334-AH333,"")</f>
        <v>-0.412700000000001</v>
      </c>
      <c r="AJ334" s="435">
        <f>IF(AND(ISNUMBER(AH334),ISNUMBER(AH322)),AH334-AH322,"")</f>
        <v>-0.770999999999999</v>
      </c>
      <c r="AK334" s="435">
        <f>IF(AND(ISNUMBER(AH334),ISNUMBER(AH274)),AH334-AH274,"")</f>
        <v>-5.531</v>
      </c>
      <c r="AL334" s="560">
        <f>IFERROR(LN(INDEX(Data!$B$2:$B$497,MATCH(N334,Data!$A$2:$A$497,1))/INDEX(Data!$B$2:$B$497,MATCH(N322,Data!$A$2:$A$497,1))),"")</f>
        <v>0.0624303552712407</v>
      </c>
      <c r="AM334" s="560">
        <f>IFERROR(LN(INDEX(Data!$C$2:$C$497,MATCH(N334,Data!$A$2:$A$497,1))/INDEX(Data!$C$2:$C$497,MATCH(N322,Data!$A$2:$A$497,1))),"")</f>
        <v>0.0725048924393035</v>
      </c>
      <c r="AN334" s="560">
        <f>IFERROR(LN(INDEX(Data!$D$2:$D$497,MATCH(N334,Data!$A$2:$A$497,1))/INDEX(Data!$D$2:$D$497,MATCH(N322,Data!$A$2:$A$497,1))),"")</f>
        <v>0.0564287179047663</v>
      </c>
      <c r="AO334" s="560">
        <f>IFERROR(LN(INDEX(Data!$E$2:$E$497,MATCH(N334,Data!$A$2:$A$497,1))/INDEX(Data!$E$2:$E$497,MATCH(N322,Data!$A$2:$A$497,1))),"")</f>
        <v>0.0344137825814501</v>
      </c>
      <c r="AP334" s="560">
        <f>IFERROR(LN(INDEX(Data!$F$2:$F$497,MATCH(N334,Data!$A$2:$A$497,1))/INDEX(Data!$F$2:$F$497,MATCH(N322,Data!$A$2:$A$497,1))),"")</f>
        <v>-0.0272897846316751</v>
      </c>
      <c r="AQ334" s="560">
        <f>IFERROR(LN(INDEX(Data!$G$2:$G$497,MATCH(N334,Data!$A$2:$A$497,1))/INDEX(Data!$G$2:$G$497,MATCH(N322,Data!$A$2:$A$497,1))),"")</f>
        <v>0.0254015421308051</v>
      </c>
      <c r="AR334" s="560">
        <f>IFERROR(LN(INDEX(Data!$H$2:$H$497,MATCH(N334,Data!$A$2:$A$497,1))/INDEX(Data!$H$2:$H$497,MATCH(N322,Data!$A$2:$A$497,1))),"")</f>
      </c>
      <c r="AS334" s="560">
        <f>IFERROR(LN(INDEX(Data!$I$2:$I$497,MATCH(N334,Data!$A$2:$A$497,1))/INDEX(Data!$I$2:$I$497,MATCH(N322,Data!$A$2:$A$497,1))),"")</f>
      </c>
      <c r="AT334" s="560">
        <f>IFERROR(LN(INDEX(Data!$J$2:$J$497,MATCH(N334,Data!$A$2:$A$497,1))/INDEX(Data!$J$2:$J$497,MATCH(N322,Data!$A$2:$A$497,1))),"")</f>
        <v>0.112252068481172</v>
      </c>
      <c r="AU334" s="560">
        <f>IFERROR(LN(INDEX(Data!$K$2:$K$497,MATCH(N334,Data!$A$2:$A$497,1))/INDEX(Data!$K$2:$K$497,MATCH(N322,Data!$A$2:$A$497,1))),"")</f>
        <v>0.126251005087136</v>
      </c>
      <c r="AV334" s="561">
        <f>IFERROR(LN(INDEX(Data!$L$2:$L$497,MATCH(N334,Data!$A$2:$A$497,1))/INDEX(Data!$L$2:$L$497,MATCH(N322,Data!$A$2:$A$497,1))),"")</f>
        <v>0.0686336134089551</v>
      </c>
    </row>
    <row r="335">
      <c r="N335" s="337" t="n">
        <v>34911</v>
      </c>
      <c r="O335" s="116">
        <f>INDEX('Additional data'!$B$2:$B$965,MATCH(DATE(YEAR(N335),MONTH(N335),1),'Additional data'!$A$2:$A$965,0))</f>
        <v>17.3</v>
      </c>
      <c r="P335" s="489">
        <f>LN(O335)</f>
        <v>2.85070650150373</v>
      </c>
      <c r="Q335" s="489">
        <f>Q334+LN(1+INDEX('Additional data'!$H$2:$H$1196,MATCH(N335,'Additional data'!$G$2:$G$1196,1))+INDEX('Additional data'!$I$2:$I$1196,MATCH(N335,'Additional data'!$G$2:$G$1196,1)))</f>
        <v>2.8167377072164</v>
      </c>
      <c r="R335" s="489">
        <f>LN(INDEX(Data!$B$2:$B$497,MATCH(N335,Data!$A$2:$A$497,1)))</f>
        <v>9.02381800411762</v>
      </c>
      <c r="S335" s="116">
        <f>IF(INDEX('Additional data'!$E$2:$E$699,MATCH(DATE(YEAR(N335),MONTH(N335),1),'Additional data'!$D$2:$D$699,0))=0,(INDEX('Additional data'!$E$2:$E$699,MATCH(DATE(YEAR(N335),MONTH(N335),1),'Additional data'!$D$2:$D$699,0)-1)+INDEX('Additional data'!$E$2:$E$699,MATCH(DATE(YEAR(N335),MONTH(N335),1),'Additional data'!$D$2:$D$699,0)+1))/2,INDEX('Additional data'!$E$2:$E$699,MATCH(DATE(YEAR(N335),MONTH(N335),1),'Additional data'!$D$2:$D$699,0)))</f>
        <v>7.56</v>
      </c>
      <c r="T335" s="425">
        <f>P335-P334</f>
        <v>-0.0627305293234275</v>
      </c>
      <c r="U335" s="425">
        <f>Q335-Q334</f>
        <v>0.0407579924721677</v>
      </c>
      <c r="V335" s="425">
        <f>R335-R334</f>
        <v>0.0511258696585273</v>
      </c>
      <c r="W335" s="116">
        <f>S335-S334</f>
        <v>0.00999999999999979</v>
      </c>
      <c r="X335" s="425">
        <f>P335-P323</f>
        <v>-0.127370836811537</v>
      </c>
      <c r="Y335" s="425">
        <f>Q335-Q323</f>
        <v>0.235243497859457</v>
      </c>
      <c r="Z335" s="425">
        <f>R335-R323</f>
        <v>0.0767012657608426</v>
      </c>
      <c r="AA335" s="116">
        <f>S335-S323</f>
        <v>2.15</v>
      </c>
      <c r="AB335" s="425">
        <f>P335-P275</f>
        <v>-0.0744960058597304</v>
      </c>
      <c r="AC335" s="425">
        <f>Q335-Q275</f>
        <v>0.643666020865164</v>
      </c>
      <c r="AD335" s="425">
        <f>R335-R275</f>
        <v>0.504946222322825</v>
      </c>
      <c r="AE335" s="235">
        <f>S335-S275</f>
        <v>-7.27</v>
      </c>
      <c r="AG335" s="554">
        <f>N335</f>
        <v>34911.0</v>
      </c>
      <c r="AH335" s="435">
        <f>IFERROR(INDEX('RBA 5Y yield'!$B$5:$B$661,MATCH(N335,'RBA 5Y yield'!$A$5:$A$661,1))*100,"")</f>
        <v>8.4429</v>
      </c>
      <c r="AI335" s="435">
        <f>IF(AND(ISNUMBER(AH335),ISNUMBER(AH334)),AH335-AH334,"")</f>
        <v>0.1739</v>
      </c>
      <c r="AJ335" s="435">
        <f>IF(AND(ISNUMBER(AH335),ISNUMBER(AH323)),AH335-AH323,"")</f>
        <v>-0.517099999999999</v>
      </c>
      <c r="AK335" s="435">
        <f>IF(AND(ISNUMBER(AH335),ISNUMBER(AH275)),AH335-AH275,"")</f>
        <v>-5.0671</v>
      </c>
      <c r="AL335" s="560">
        <f>IFERROR(LN(INDEX(Data!$B$2:$B$497,MATCH(N335,Data!$A$2:$A$497,1))/INDEX(Data!$B$2:$B$497,MATCH(N323,Data!$A$2:$A$497,1))),"")</f>
        <v>0.0767012657608427</v>
      </c>
      <c r="AM335" s="560">
        <f>IFERROR(LN(INDEX(Data!$C$2:$C$497,MATCH(N335,Data!$A$2:$A$497,1))/INDEX(Data!$C$2:$C$497,MATCH(N323,Data!$A$2:$A$497,1))),"")</f>
        <v>0.0729870236248745</v>
      </c>
      <c r="AN335" s="560">
        <f>IFERROR(LN(INDEX(Data!$D$2:$D$497,MATCH(N335,Data!$A$2:$A$497,1))/INDEX(Data!$D$2:$D$497,MATCH(N323,Data!$A$2:$A$497,1))),"")</f>
        <v>-0.0028959704500594</v>
      </c>
      <c r="AO335" s="560">
        <f>IFERROR(LN(INDEX(Data!$E$2:$E$497,MATCH(N335,Data!$A$2:$A$497,1))/INDEX(Data!$E$2:$E$497,MATCH(N323,Data!$A$2:$A$497,1))),"")</f>
        <v>0.0284468929942722</v>
      </c>
      <c r="AP335" s="560">
        <f>IFERROR(LN(INDEX(Data!$F$2:$F$497,MATCH(N335,Data!$A$2:$A$497,1))/INDEX(Data!$F$2:$F$497,MATCH(N323,Data!$A$2:$A$497,1))),"")</f>
        <v>-0.0492732065262283</v>
      </c>
      <c r="AQ335" s="560">
        <f>IFERROR(LN(INDEX(Data!$G$2:$G$497,MATCH(N335,Data!$A$2:$A$497,1))/INDEX(Data!$G$2:$G$497,MATCH(N323,Data!$A$2:$A$497,1))),"")</f>
        <v>0.0254015421308051</v>
      </c>
      <c r="AR335" s="560">
        <f>IFERROR(LN(INDEX(Data!$H$2:$H$497,MATCH(N335,Data!$A$2:$A$497,1))/INDEX(Data!$H$2:$H$497,MATCH(N323,Data!$A$2:$A$497,1))),"")</f>
      </c>
      <c r="AS335" s="560">
        <f>IFERROR(LN(INDEX(Data!$I$2:$I$497,MATCH(N335,Data!$A$2:$A$497,1))/INDEX(Data!$I$2:$I$497,MATCH(N323,Data!$A$2:$A$497,1))),"")</f>
      </c>
      <c r="AT335" s="560">
        <f>IFERROR(LN(INDEX(Data!$J$2:$J$497,MATCH(N335,Data!$A$2:$A$497,1))/INDEX(Data!$J$2:$J$497,MATCH(N323,Data!$A$2:$A$497,1))),"")</f>
        <v>0.0998096475312317</v>
      </c>
      <c r="AU335" s="560">
        <f>IFERROR(LN(INDEX(Data!$K$2:$K$497,MATCH(N335,Data!$A$2:$A$497,1))/INDEX(Data!$K$2:$K$497,MATCH(N323,Data!$A$2:$A$497,1))),"")</f>
        <v>0.116578601308887</v>
      </c>
      <c r="AV335" s="561">
        <f>IFERROR(LN(INDEX(Data!$L$2:$L$497,MATCH(N335,Data!$A$2:$A$497,1))/INDEX(Data!$L$2:$L$497,MATCH(N323,Data!$A$2:$A$497,1))),"")</f>
        <v>0.0700996193994861</v>
      </c>
    </row>
    <row r="336">
      <c r="N336" s="337" t="n">
        <v>34942</v>
      </c>
      <c r="O336" s="116">
        <f>INDEX('Additional data'!$B$2:$B$965,MATCH(DATE(YEAR(N336),MONTH(N336),1),'Additional data'!$A$2:$A$965,0))</f>
        <v>18.03</v>
      </c>
      <c r="P336" s="489">
        <f>LN(O336)</f>
        <v>2.89203703721523</v>
      </c>
      <c r="Q336" s="489">
        <f>Q335+LN(1+INDEX('Additional data'!$H$2:$H$1196,MATCH(N336,'Additional data'!$G$2:$G$1196,1))+INDEX('Additional data'!$I$2:$I$1196,MATCH(N336,'Additional data'!$G$2:$G$1196,1)))</f>
        <v>2.82688603826821</v>
      </c>
      <c r="R336" s="489">
        <f>LN(INDEX(Data!$B$2:$B$497,MATCH(N336,Data!$A$2:$A$497,1)))</f>
        <v>9.03182356792209</v>
      </c>
      <c r="S336" s="116">
        <f>IF(INDEX('Additional data'!$E$2:$E$699,MATCH(DATE(YEAR(N336),MONTH(N336),1),'Additional data'!$D$2:$D$699,0))=0,(INDEX('Additional data'!$E$2:$E$699,MATCH(DATE(YEAR(N336),MONTH(N336),1),'Additional data'!$D$2:$D$699,0)-1)+INDEX('Additional data'!$E$2:$E$699,MATCH(DATE(YEAR(N336),MONTH(N336),1),'Additional data'!$D$2:$D$699,0)+1))/2,INDEX('Additional data'!$E$2:$E$699,MATCH(DATE(YEAR(N336),MONTH(N336),1),'Additional data'!$D$2:$D$699,0)))</f>
        <v>7.58</v>
      </c>
      <c r="T336" s="425">
        <f>P336-P335</f>
        <v>0.0413305357114924</v>
      </c>
      <c r="U336" s="425">
        <f>Q336-Q335</f>
        <v>0.0101483310518153</v>
      </c>
      <c r="V336" s="425">
        <f>R336-R335</f>
        <v>0.00800556380447404</v>
      </c>
      <c r="W336" s="116">
        <f>S336-S335</f>
        <v>0.0200000000000005</v>
      </c>
      <c r="X336" s="425">
        <f>P336-P324</f>
        <v>-0.0192260797123152</v>
      </c>
      <c r="Y336" s="425">
        <f>Q336-Q324</f>
        <v>0.202428129479157</v>
      </c>
      <c r="Z336" s="425">
        <f>R336-R324</f>
        <v>0.054437212894884</v>
      </c>
      <c r="AA336" s="116">
        <f>S336-S324</f>
        <v>1.98</v>
      </c>
      <c r="AB336" s="425">
        <f>P336-P276</f>
        <v>-0.410223596586906</v>
      </c>
      <c r="AC336" s="425">
        <f>Q336-Q276</f>
        <v>0.753192795897258</v>
      </c>
      <c r="AD336" s="425">
        <f>R336-R276</f>
        <v>0.554452870693027</v>
      </c>
      <c r="AE336" s="235">
        <f>S336-S276</f>
        <v>-6.34</v>
      </c>
      <c r="AG336" s="554">
        <f>N336</f>
        <v>34942.0</v>
      </c>
      <c r="AH336" s="435">
        <f>IFERROR(INDEX('RBA 5Y yield'!$B$5:$B$661,MATCH(N336,'RBA 5Y yield'!$A$5:$A$661,1))*100,"")</f>
        <v>8.5817</v>
      </c>
      <c r="AI336" s="435">
        <f>IF(AND(ISNUMBER(AH336),ISNUMBER(AH335)),AH336-AH335,"")</f>
        <v>0.1388</v>
      </c>
      <c r="AJ336" s="435">
        <f>IF(AND(ISNUMBER(AH336),ISNUMBER(AH324)),AH336-AH324,"")</f>
        <v>-0.228300000000001</v>
      </c>
      <c r="AK336" s="435">
        <f>IF(AND(ISNUMBER(AH336),ISNUMBER(AH276)),AH336-AH276,"")</f>
        <v>-4.8283</v>
      </c>
      <c r="AL336" s="560">
        <f>IFERROR(LN(INDEX(Data!$B$2:$B$497,MATCH(N336,Data!$A$2:$A$497,1))/INDEX(Data!$B$2:$B$497,MATCH(N324,Data!$A$2:$A$497,1))),"")</f>
        <v>0.0544372128948839</v>
      </c>
      <c r="AM336" s="560">
        <f>IFERROR(LN(INDEX(Data!$C$2:$C$497,MATCH(N336,Data!$A$2:$A$497,1))/INDEX(Data!$C$2:$C$497,MATCH(N324,Data!$A$2:$A$497,1))),"")</f>
        <v>0.0501039869100041</v>
      </c>
      <c r="AN336" s="560">
        <f>IFERROR(LN(INDEX(Data!$D$2:$D$497,MATCH(N336,Data!$A$2:$A$497,1))/INDEX(Data!$D$2:$D$497,MATCH(N324,Data!$A$2:$A$497,1))),"")</f>
        <v>-0.127325811238624</v>
      </c>
      <c r="AO336" s="560">
        <f>IFERROR(LN(INDEX(Data!$E$2:$E$497,MATCH(N336,Data!$A$2:$A$497,1))/INDEX(Data!$E$2:$E$497,MATCH(N324,Data!$A$2:$A$497,1))),"")</f>
        <v>0.0155673415847963</v>
      </c>
      <c r="AP336" s="560">
        <f>IFERROR(LN(INDEX(Data!$F$2:$F$497,MATCH(N336,Data!$A$2:$A$497,1))/INDEX(Data!$F$2:$F$497,MATCH(N324,Data!$A$2:$A$497,1))),"")</f>
        <v>0.0306680942803401</v>
      </c>
      <c r="AQ336" s="560">
        <f>IFERROR(LN(INDEX(Data!$G$2:$G$497,MATCH(N336,Data!$A$2:$A$497,1))/INDEX(Data!$G$2:$G$497,MATCH(N324,Data!$A$2:$A$497,1))),"")</f>
        <v>0.0254015421308051</v>
      </c>
      <c r="AR336" s="560">
        <f>IFERROR(LN(INDEX(Data!$H$2:$H$497,MATCH(N336,Data!$A$2:$A$497,1))/INDEX(Data!$H$2:$H$497,MATCH(N324,Data!$A$2:$A$497,1))),"")</f>
      </c>
      <c r="AS336" s="560">
        <f>IFERROR(LN(INDEX(Data!$I$2:$I$497,MATCH(N336,Data!$A$2:$A$497,1))/INDEX(Data!$I$2:$I$497,MATCH(N324,Data!$A$2:$A$497,1))),"")</f>
      </c>
      <c r="AT336" s="560">
        <f>IFERROR(LN(INDEX(Data!$J$2:$J$497,MATCH(N336,Data!$A$2:$A$497,1))/INDEX(Data!$J$2:$J$497,MATCH(N324,Data!$A$2:$A$497,1))),"")</f>
        <v>0.110326405887611</v>
      </c>
      <c r="AU336" s="560">
        <f>IFERROR(LN(INDEX(Data!$K$2:$K$497,MATCH(N336,Data!$A$2:$A$497,1))/INDEX(Data!$K$2:$K$497,MATCH(N324,Data!$A$2:$A$497,1))),"")</f>
        <v>0.130980370832917</v>
      </c>
      <c r="AV336" s="561">
        <f>IFERROR(LN(INDEX(Data!$L$2:$L$497,MATCH(N336,Data!$A$2:$A$497,1))/INDEX(Data!$L$2:$L$497,MATCH(N324,Data!$A$2:$A$497,1))),"")</f>
        <v>0.0722812713843459</v>
      </c>
    </row>
    <row r="337">
      <c r="N337" s="337" t="n">
        <v>34972</v>
      </c>
      <c r="O337" s="116">
        <f>INDEX('Additional data'!$B$2:$B$965,MATCH(DATE(YEAR(N337),MONTH(N337),1),'Additional data'!$A$2:$A$965,0))</f>
        <v>18.23</v>
      </c>
      <c r="P337" s="489">
        <f>LN(O337)</f>
        <v>2.90306858869057</v>
      </c>
      <c r="Q337" s="489">
        <f>Q336+LN(1+INDEX('Additional data'!$H$2:$H$1196,MATCH(N337,'Additional data'!$G$2:$G$1196,1))+INDEX('Additional data'!$I$2:$I$1196,MATCH(N337,'Additional data'!$G$2:$G$1196,1)))</f>
        <v>2.86408547925732</v>
      </c>
      <c r="R337" s="489">
        <f>LN(INDEX(Data!$B$2:$B$497,MATCH(N337,Data!$A$2:$A$497,1)))</f>
        <v>9.03543921578571</v>
      </c>
      <c r="S337" s="116">
        <f>IF(INDEX('Additional data'!$E$2:$E$699,MATCH(DATE(YEAR(N337),MONTH(N337),1),'Additional data'!$D$2:$D$699,0))=0,(INDEX('Additional data'!$E$2:$E$699,MATCH(DATE(YEAR(N337),MONTH(N337),1),'Additional data'!$D$2:$D$699,0)-1)+INDEX('Additional data'!$E$2:$E$699,MATCH(DATE(YEAR(N337),MONTH(N337),1),'Additional data'!$D$2:$D$699,0)+1))/2,INDEX('Additional data'!$E$2:$E$699,MATCH(DATE(YEAR(N337),MONTH(N337),1),'Additional data'!$D$2:$D$699,0)))</f>
        <v>7.49</v>
      </c>
      <c r="T337" s="425">
        <f>P337-P336</f>
        <v>0.0110315514753458</v>
      </c>
      <c r="U337" s="425">
        <f>Q337-Q336</f>
        <v>0.0371994409891063</v>
      </c>
      <c r="V337" s="425">
        <f>R337-R336</f>
        <v>0.00361564786361868</v>
      </c>
      <c r="W337" s="116">
        <f>S337-S336</f>
        <v>-0.0899999999999999</v>
      </c>
      <c r="X337" s="425">
        <f>P337-P325</f>
        <v>0.0431560382791156</v>
      </c>
      <c r="Y337" s="425">
        <f>Q337-Q325</f>
        <v>0.25891233188013</v>
      </c>
      <c r="Z337" s="425">
        <f>R337-R325</f>
        <v>0.100588875495948</v>
      </c>
      <c r="AA337" s="116">
        <f>S337-S325</f>
        <v>1.56</v>
      </c>
      <c r="AB337" s="425">
        <f>P337-P277</f>
        <v>-0.61404341756794</v>
      </c>
      <c r="AC337" s="425">
        <f>Q337-Q277</f>
        <v>0.847068414079921</v>
      </c>
      <c r="AD337" s="425">
        <f>R337-R277</f>
        <v>0.631593909860799</v>
      </c>
      <c r="AE337" s="235">
        <f>S337-S277</f>
        <v>-6.03</v>
      </c>
      <c r="AG337" s="554">
        <f>N337</f>
        <v>34972.0</v>
      </c>
      <c r="AH337" s="435">
        <f>IFERROR(INDEX('RBA 5Y yield'!$B$5:$B$661,MATCH(N337,'RBA 5Y yield'!$A$5:$A$661,1))*100,"")</f>
        <v>8.169</v>
      </c>
      <c r="AI337" s="435">
        <f>IF(AND(ISNUMBER(AH337),ISNUMBER(AH336)),AH337-AH336,"")</f>
        <v>-0.412699999999999</v>
      </c>
      <c r="AJ337" s="435">
        <f>IF(AND(ISNUMBER(AH337),ISNUMBER(AH325)),AH337-AH325,"")</f>
        <v>-1.571</v>
      </c>
      <c r="AK337" s="435">
        <f>IF(AND(ISNUMBER(AH337),ISNUMBER(AH277)),AH337-AH277,"")</f>
        <v>-5.001</v>
      </c>
      <c r="AL337" s="560">
        <f>IFERROR(LN(INDEX(Data!$B$2:$B$497,MATCH(N337,Data!$A$2:$A$497,1))/INDEX(Data!$B$2:$B$497,MATCH(N325,Data!$A$2:$A$497,1))),"")</f>
        <v>0.100588875495948</v>
      </c>
      <c r="AM337" s="560">
        <f>IFERROR(LN(INDEX(Data!$C$2:$C$497,MATCH(N337,Data!$A$2:$A$497,1))/INDEX(Data!$C$2:$C$497,MATCH(N325,Data!$A$2:$A$497,1))),"")</f>
        <v>0.100776379568161</v>
      </c>
      <c r="AN337" s="560">
        <f>IFERROR(LN(INDEX(Data!$D$2:$D$497,MATCH(N337,Data!$A$2:$A$497,1))/INDEX(Data!$D$2:$D$497,MATCH(N325,Data!$A$2:$A$497,1))),"")</f>
        <v>-0.138601690076645</v>
      </c>
      <c r="AO337" s="560">
        <f>IFERROR(LN(INDEX(Data!$E$2:$E$497,MATCH(N337,Data!$A$2:$A$497,1))/INDEX(Data!$E$2:$E$497,MATCH(N325,Data!$A$2:$A$497,1))),"")</f>
        <v>0.0490445513956727</v>
      </c>
      <c r="AP337" s="560">
        <f>IFERROR(LN(INDEX(Data!$F$2:$F$497,MATCH(N337,Data!$A$2:$A$497,1))/INDEX(Data!$F$2:$F$497,MATCH(N325,Data!$A$2:$A$497,1))),"")</f>
        <v>0.0357537900621179</v>
      </c>
      <c r="AQ337" s="560">
        <f>IFERROR(LN(INDEX(Data!$G$2:$G$497,MATCH(N337,Data!$A$2:$A$497,1))/INDEX(Data!$G$2:$G$497,MATCH(N325,Data!$A$2:$A$497,1))),"")</f>
        <v>0.0119818459470839</v>
      </c>
      <c r="AR337" s="560">
        <f>IFERROR(LN(INDEX(Data!$H$2:$H$497,MATCH(N337,Data!$A$2:$A$497,1))/INDEX(Data!$H$2:$H$497,MATCH(N325,Data!$A$2:$A$497,1))),"")</f>
      </c>
      <c r="AS337" s="560">
        <f>IFERROR(LN(INDEX(Data!$I$2:$I$497,MATCH(N337,Data!$A$2:$A$497,1))/INDEX(Data!$I$2:$I$497,MATCH(N325,Data!$A$2:$A$497,1))),"")</f>
      </c>
      <c r="AT337" s="560">
        <f>IFERROR(LN(INDEX(Data!$J$2:$J$497,MATCH(N337,Data!$A$2:$A$497,1))/INDEX(Data!$J$2:$J$497,MATCH(N325,Data!$A$2:$A$497,1))),"")</f>
        <v>0.153023040295559</v>
      </c>
      <c r="AU337" s="560">
        <f>IFERROR(LN(INDEX(Data!$K$2:$K$497,MATCH(N337,Data!$A$2:$A$497,1))/INDEX(Data!$K$2:$K$497,MATCH(N325,Data!$A$2:$A$497,1))),"")</f>
        <v>0.151859407519078</v>
      </c>
      <c r="AV337" s="561">
        <f>IFERROR(LN(INDEX(Data!$L$2:$L$497,MATCH(N337,Data!$A$2:$A$497,1))/INDEX(Data!$L$2:$L$497,MATCH(N325,Data!$A$2:$A$497,1))),"")</f>
        <v>0.0740969377486179</v>
      </c>
    </row>
    <row r="338">
      <c r="N338" s="337" t="n">
        <v>35003</v>
      </c>
      <c r="O338" s="116">
        <f>INDEX('Additional data'!$B$2:$B$965,MATCH(DATE(YEAR(N338),MONTH(N338),1),'Additional data'!$A$2:$A$965,0))</f>
        <v>17.44</v>
      </c>
      <c r="P338" s="489">
        <f>LN(O338)</f>
        <v>2.85876641848083</v>
      </c>
      <c r="Q338" s="489">
        <f>Q337+LN(1+INDEX('Additional data'!$H$2:$H$1196,MATCH(N338,'Additional data'!$G$2:$G$1196,1))+INDEX('Additional data'!$I$2:$I$1196,MATCH(N338,'Additional data'!$G$2:$G$1196,1)))</f>
        <v>2.85363102135346</v>
      </c>
      <c r="R338" s="489">
        <f>LN(INDEX(Data!$B$2:$B$497,MATCH(N338,Data!$A$2:$A$497,1)))</f>
        <v>9.01068138678478</v>
      </c>
      <c r="S338" s="116">
        <f>IF(INDEX('Additional data'!$E$2:$E$699,MATCH(DATE(YEAR(N338),MONTH(N338),1),'Additional data'!$D$2:$D$699,0))=0,(INDEX('Additional data'!$E$2:$E$699,MATCH(DATE(YEAR(N338),MONTH(N338),1),'Additional data'!$D$2:$D$699,0)-1)+INDEX('Additional data'!$E$2:$E$699,MATCH(DATE(YEAR(N338),MONTH(N338),1),'Additional data'!$D$2:$D$699,0)+1))/2,INDEX('Additional data'!$E$2:$E$699,MATCH(DATE(YEAR(N338),MONTH(N338),1),'Additional data'!$D$2:$D$699,0)))</f>
        <v>7.47</v>
      </c>
      <c r="T338" s="425">
        <f>P338-P337</f>
        <v>-0.0443021702097379</v>
      </c>
      <c r="U338" s="425">
        <f>Q338-Q337</f>
        <v>-0.010454457903859</v>
      </c>
      <c r="V338" s="425">
        <f>R338-R337</f>
        <v>-0.0247578290009276</v>
      </c>
      <c r="W338" s="116">
        <f>S338-S337</f>
        <v>-0.0200000000000005</v>
      </c>
      <c r="X338" s="425">
        <f>P338-P326</f>
        <v>-0.0153630333139088</v>
      </c>
      <c r="Y338" s="425">
        <f>Q338-Q326</f>
        <v>0.231305815158705</v>
      </c>
      <c r="Z338" s="425">
        <f>R338-R326</f>
        <v>0.0654009092241026</v>
      </c>
      <c r="AA338" s="116">
        <f>S338-S326</f>
        <v>1.02</v>
      </c>
      <c r="AB338" s="425">
        <f>P338-P278</f>
        <v>-0.722583502690436</v>
      </c>
      <c r="AC338" s="425">
        <f>Q338-Q278</f>
        <v>0.849091477687174</v>
      </c>
      <c r="AD338" s="425">
        <f>R338-R278</f>
        <v>0.647525548284209</v>
      </c>
      <c r="AE338" s="235">
        <f>S338-S278</f>
        <v>-5.6</v>
      </c>
      <c r="AG338" s="554">
        <f>N338</f>
        <v>35003.0</v>
      </c>
      <c r="AH338" s="435">
        <f>IFERROR(INDEX('RBA 5Y yield'!$B$5:$B$661,MATCH(N338,'RBA 5Y yield'!$A$5:$A$661,1))*100,"")</f>
        <v>8.0436</v>
      </c>
      <c r="AI338" s="435">
        <f>IF(AND(ISNUMBER(AH338),ISNUMBER(AH337)),AH338-AH337,"")</f>
        <v>-0.125400000000001</v>
      </c>
      <c r="AJ338" s="435">
        <f>IF(AND(ISNUMBER(AH338),ISNUMBER(AH326)),AH338-AH326,"")</f>
        <v>-2.0164</v>
      </c>
      <c r="AK338" s="435">
        <f>IF(AND(ISNUMBER(AH338),ISNUMBER(AH278)),AH338-AH278,"")</f>
        <v>-4.7264</v>
      </c>
      <c r="AL338" s="560">
        <f>IFERROR(LN(INDEX(Data!$B$2:$B$497,MATCH(N338,Data!$A$2:$A$497,1))/INDEX(Data!$B$2:$B$497,MATCH(N326,Data!$A$2:$A$497,1))),"")</f>
        <v>0.0654009092241022</v>
      </c>
      <c r="AM338" s="560">
        <f>IFERROR(LN(INDEX(Data!$C$2:$C$497,MATCH(N338,Data!$A$2:$A$497,1))/INDEX(Data!$C$2:$C$497,MATCH(N326,Data!$A$2:$A$497,1))),"")</f>
        <v>0.072286515850302</v>
      </c>
      <c r="AN338" s="560">
        <f>IFERROR(LN(INDEX(Data!$D$2:$D$497,MATCH(N338,Data!$A$2:$A$497,1))/INDEX(Data!$D$2:$D$497,MATCH(N326,Data!$A$2:$A$497,1))),"")</f>
        <v>-0.146236391926953</v>
      </c>
      <c r="AO338" s="560">
        <f>IFERROR(LN(INDEX(Data!$E$2:$E$497,MATCH(N338,Data!$A$2:$A$497,1))/INDEX(Data!$E$2:$E$497,MATCH(N326,Data!$A$2:$A$497,1))),"")</f>
        <v>0.0590182400717525</v>
      </c>
      <c r="AP338" s="560">
        <f>IFERROR(LN(INDEX(Data!$F$2:$F$497,MATCH(N338,Data!$A$2:$A$497,1))/INDEX(Data!$F$2:$F$497,MATCH(N326,Data!$A$2:$A$497,1))),"")</f>
        <v>0.0364549733647811</v>
      </c>
      <c r="AQ338" s="560">
        <f>IFERROR(LN(INDEX(Data!$G$2:$G$497,MATCH(N338,Data!$A$2:$A$497,1))/INDEX(Data!$G$2:$G$497,MATCH(N326,Data!$A$2:$A$497,1))),"")</f>
        <v>0.0119818459470839</v>
      </c>
      <c r="AR338" s="560">
        <f>IFERROR(LN(INDEX(Data!$H$2:$H$497,MATCH(N338,Data!$A$2:$A$497,1))/INDEX(Data!$H$2:$H$497,MATCH(N326,Data!$A$2:$A$497,1))),"")</f>
      </c>
      <c r="AS338" s="560">
        <f>IFERROR(LN(INDEX(Data!$I$2:$I$497,MATCH(N338,Data!$A$2:$A$497,1))/INDEX(Data!$I$2:$I$497,MATCH(N326,Data!$A$2:$A$497,1))),"")</f>
      </c>
      <c r="AT338" s="560">
        <f>IFERROR(LN(INDEX(Data!$J$2:$J$497,MATCH(N338,Data!$A$2:$A$497,1))/INDEX(Data!$J$2:$J$497,MATCH(N326,Data!$A$2:$A$497,1))),"")</f>
        <v>0.153541538861854</v>
      </c>
      <c r="AU338" s="560">
        <f>IFERROR(LN(INDEX(Data!$K$2:$K$497,MATCH(N338,Data!$A$2:$A$497,1))/INDEX(Data!$K$2:$K$497,MATCH(N326,Data!$A$2:$A$497,1))),"")</f>
        <v>0.1639886167068</v>
      </c>
      <c r="AV338" s="561">
        <f>IFERROR(LN(INDEX(Data!$L$2:$L$497,MATCH(N338,Data!$A$2:$A$497,1))/INDEX(Data!$L$2:$L$497,MATCH(N326,Data!$A$2:$A$497,1))),"")</f>
        <v>0.075761231957939</v>
      </c>
    </row>
    <row r="339">
      <c r="N339" s="337" t="n">
        <v>35033</v>
      </c>
      <c r="O339" s="116">
        <f>INDEX('Additional data'!$B$2:$B$965,MATCH(DATE(YEAR(N339),MONTH(N339),1),'Additional data'!$A$2:$A$965,0))</f>
        <v>17.99</v>
      </c>
      <c r="P339" s="489">
        <f>LN(O339)</f>
        <v>2.88981604796244</v>
      </c>
      <c r="Q339" s="489">
        <f>Q338+LN(1+INDEX('Additional data'!$H$2:$H$1196,MATCH(N339,'Additional data'!$G$2:$G$1196,1))+INDEX('Additional data'!$I$2:$I$1196,MATCH(N339,'Additional data'!$G$2:$G$1196,1)))</f>
        <v>2.89649892158064</v>
      </c>
      <c r="R339" s="489">
        <f>LN(INDEX(Data!$B$2:$B$497,MATCH(N339,Data!$A$2:$A$497,1)))</f>
        <v>9.05400230155349</v>
      </c>
      <c r="S339" s="116">
        <f>IF(INDEX('Additional data'!$E$2:$E$699,MATCH(DATE(YEAR(N339),MONTH(N339),1),'Additional data'!$D$2:$D$699,0))=0,(INDEX('Additional data'!$E$2:$E$699,MATCH(DATE(YEAR(N339),MONTH(N339),1),'Additional data'!$D$2:$D$699,0)-1)+INDEX('Additional data'!$E$2:$E$699,MATCH(DATE(YEAR(N339),MONTH(N339),1),'Additional data'!$D$2:$D$699,0)+1))/2,INDEX('Additional data'!$E$2:$E$699,MATCH(DATE(YEAR(N339),MONTH(N339),1),'Additional data'!$D$2:$D$699,0)))</f>
        <v>7.46</v>
      </c>
      <c r="T339" s="425">
        <f>P339-P338</f>
        <v>0.0310496294816081</v>
      </c>
      <c r="U339" s="425">
        <f>Q339-Q338</f>
        <v>0.0428679002271757</v>
      </c>
      <c r="V339" s="425">
        <f>R339-R338</f>
        <v>0.0433209147687048</v>
      </c>
      <c r="W339" s="116">
        <f>S339-S338</f>
        <v>-0.00999999999999979</v>
      </c>
      <c r="X339" s="425">
        <f>P339-P327</f>
        <v>-0.00609589030933844</v>
      </c>
      <c r="Y339" s="425">
        <f>Q339-Q327</f>
        <v>0.311460300171897</v>
      </c>
      <c r="Z339" s="425">
        <f>R339-R327</f>
        <v>0.181879688736981</v>
      </c>
      <c r="AA339" s="116">
        <f>S339-S327</f>
        <v>0.3</v>
      </c>
      <c r="AB339" s="425">
        <f>P339-P279</f>
        <v>-0.585251182266169</v>
      </c>
      <c r="AC339" s="425">
        <f>Q339-Q279</f>
        <v>0.825048672631723</v>
      </c>
      <c r="AD339" s="425">
        <f>R339-R279</f>
        <v>0.687399468769753</v>
      </c>
      <c r="AE339" s="235">
        <f>S339-S279</f>
        <v>-4.95</v>
      </c>
      <c r="AG339" s="554">
        <f>N339</f>
        <v>35033.0</v>
      </c>
      <c r="AH339" s="435">
        <f>IFERROR(INDEX('RBA 5Y yield'!$B$5:$B$661,MATCH(N339,'RBA 5Y yield'!$A$5:$A$661,1))*100,"")</f>
        <v>8.0377</v>
      </c>
      <c r="AI339" s="435">
        <f>IF(AND(ISNUMBER(AH339),ISNUMBER(AH338)),AH339-AH338,"")</f>
        <v>-0.00589999999999868</v>
      </c>
      <c r="AJ339" s="435">
        <f>IF(AND(ISNUMBER(AH339),ISNUMBER(AH327)),AH339-AH327,"")</f>
        <v>-2.2323</v>
      </c>
      <c r="AK339" s="435">
        <f>IF(AND(ISNUMBER(AH339),ISNUMBER(AH279)),AH339-AH279,"")</f>
        <v>-4.3223</v>
      </c>
      <c r="AL339" s="560">
        <f>IFERROR(LN(INDEX(Data!$B$2:$B$497,MATCH(N339,Data!$A$2:$A$497,1))/INDEX(Data!$B$2:$B$497,MATCH(N327,Data!$A$2:$A$497,1))),"")</f>
        <v>0.181879688736981</v>
      </c>
      <c r="AM339" s="560">
        <f>IFERROR(LN(INDEX(Data!$C$2:$C$497,MATCH(N339,Data!$A$2:$A$497,1))/INDEX(Data!$C$2:$C$497,MATCH(N327,Data!$A$2:$A$497,1))),"")</f>
        <v>0.196720409238931</v>
      </c>
      <c r="AN339" s="560">
        <f>IFERROR(LN(INDEX(Data!$D$2:$D$497,MATCH(N339,Data!$A$2:$A$497,1))/INDEX(Data!$D$2:$D$497,MATCH(N327,Data!$A$2:$A$497,1))),"")</f>
        <v>-0.0418019525599885</v>
      </c>
      <c r="AO339" s="560">
        <f>IFERROR(LN(INDEX(Data!$E$2:$E$497,MATCH(N339,Data!$A$2:$A$497,1))/INDEX(Data!$E$2:$E$497,MATCH(N327,Data!$A$2:$A$497,1))),"")</f>
        <v>0.150033156049594</v>
      </c>
      <c r="AP339" s="560">
        <f>IFERROR(LN(INDEX(Data!$F$2:$F$497,MATCH(N339,Data!$A$2:$A$497,1))/INDEX(Data!$F$2:$F$497,MATCH(N327,Data!$A$2:$A$497,1))),"")</f>
        <v>0.154078462232788</v>
      </c>
      <c r="AQ339" s="560">
        <f>IFERROR(LN(INDEX(Data!$G$2:$G$497,MATCH(N339,Data!$A$2:$A$497,1))/INDEX(Data!$G$2:$G$497,MATCH(N327,Data!$A$2:$A$497,1))),"")</f>
        <v>0.0119818459470839</v>
      </c>
      <c r="AR339" s="560">
        <f>IFERROR(LN(INDEX(Data!$H$2:$H$497,MATCH(N339,Data!$A$2:$A$497,1))/INDEX(Data!$H$2:$H$497,MATCH(N327,Data!$A$2:$A$497,1))),"")</f>
      </c>
      <c r="AS339" s="560">
        <f>IFERROR(LN(INDEX(Data!$I$2:$I$497,MATCH(N339,Data!$A$2:$A$497,1))/INDEX(Data!$I$2:$I$497,MATCH(N327,Data!$A$2:$A$497,1))),"")</f>
      </c>
      <c r="AT339" s="560">
        <f>IFERROR(LN(INDEX(Data!$J$2:$J$497,MATCH(N339,Data!$A$2:$A$497,1))/INDEX(Data!$J$2:$J$497,MATCH(N327,Data!$A$2:$A$497,1))),"")</f>
        <v>0.181607115222382</v>
      </c>
      <c r="AU339" s="560">
        <f>IFERROR(LN(INDEX(Data!$K$2:$K$497,MATCH(N339,Data!$A$2:$A$497,1))/INDEX(Data!$K$2:$K$497,MATCH(N327,Data!$A$2:$A$497,1))),"")</f>
        <v>0.177851901907652</v>
      </c>
      <c r="AV339" s="561">
        <f>IFERROR(LN(INDEX(Data!$L$2:$L$497,MATCH(N339,Data!$A$2:$A$497,1))/INDEX(Data!$L$2:$L$497,MATCH(N327,Data!$A$2:$A$497,1))),"")</f>
        <v>0.0766449291372286</v>
      </c>
    </row>
    <row r="340">
      <c r="N340" s="337" t="n">
        <v>35064</v>
      </c>
      <c r="O340" s="116">
        <f>INDEX('Additional data'!$B$2:$B$965,MATCH(DATE(YEAR(N340),MONTH(N340),1),'Additional data'!$A$2:$A$965,0))</f>
        <v>19.04</v>
      </c>
      <c r="P340" s="489">
        <f>LN(O340)</f>
        <v>2.94654202936322</v>
      </c>
      <c r="Q340" s="489">
        <f>Q339+LN(1+INDEX('Additional data'!$H$2:$H$1196,MATCH(N340,'Additional data'!$G$2:$G$1196,1))+INDEX('Additional data'!$I$2:$I$1196,MATCH(N340,'Additional data'!$G$2:$G$1196,1)))</f>
        <v>2.91168305690568</v>
      </c>
      <c r="R340" s="489">
        <f>LN(INDEX(Data!$B$2:$B$497,MATCH(N340,Data!$A$2:$A$497,1)))</f>
        <v>9.07787127206177</v>
      </c>
      <c r="S340" s="116">
        <f>IF(INDEX('Additional data'!$E$2:$E$699,MATCH(DATE(YEAR(N340),MONTH(N340),1),'Additional data'!$D$2:$D$699,0))=0,(INDEX('Additional data'!$E$2:$E$699,MATCH(DATE(YEAR(N340),MONTH(N340),1),'Additional data'!$D$2:$D$699,0)-1)+INDEX('Additional data'!$E$2:$E$699,MATCH(DATE(YEAR(N340),MONTH(N340),1),'Additional data'!$D$2:$D$699,0)+1))/2,INDEX('Additional data'!$E$2:$E$699,MATCH(DATE(YEAR(N340),MONTH(N340),1),'Additional data'!$D$2:$D$699,0)))</f>
        <v>7.43</v>
      </c>
      <c r="T340" s="425">
        <f>P340-P339</f>
        <v>0.0567259814007777</v>
      </c>
      <c r="U340" s="425">
        <f>Q340-Q339</f>
        <v>0.0151841353250397</v>
      </c>
      <c r="V340" s="425">
        <f>R340-R339</f>
        <v>0.023868970508282</v>
      </c>
      <c r="W340" s="116">
        <f>S340-S339</f>
        <v>-0.0300000000000003</v>
      </c>
      <c r="X340" s="425">
        <f>P340-P328</f>
        <v>0.103960935303403</v>
      </c>
      <c r="Y340" s="425">
        <f>Q340-Q328</f>
        <v>0.313728210230391</v>
      </c>
      <c r="Z340" s="425">
        <f>R340-R328</f>
        <v>0.188328626215245</v>
      </c>
      <c r="AA340" s="116">
        <f>S340-S328</f>
        <v>-0.520000000000001</v>
      </c>
      <c r="AB340" s="425">
        <f>P340-P280</f>
        <v>-0.361699066577572</v>
      </c>
      <c r="AC340" s="425">
        <f>Q340-Q280</f>
        <v>0.810091651044776</v>
      </c>
      <c r="AD340" s="425">
        <f>R340-R280</f>
        <v>0.735579236836005</v>
      </c>
      <c r="AE340" s="235">
        <f>S340-S280</f>
        <v>-4.76</v>
      </c>
      <c r="AG340" s="554">
        <f>N340</f>
        <v>35064.0</v>
      </c>
      <c r="AH340" s="435">
        <f>IFERROR(INDEX('RBA 5Y yield'!$B$5:$B$661,MATCH(N340,'RBA 5Y yield'!$A$5:$A$661,1))*100,"")</f>
        <v>7.8526</v>
      </c>
      <c r="AI340" s="435">
        <f>IF(AND(ISNUMBER(AH340),ISNUMBER(AH339)),AH340-AH339,"")</f>
        <v>-0.185100000000001</v>
      </c>
      <c r="AJ340" s="435">
        <f>IF(AND(ISNUMBER(AH340),ISNUMBER(AH328)),AH340-AH328,"")</f>
        <v>-2.2074</v>
      </c>
      <c r="AK340" s="435">
        <f>IF(AND(ISNUMBER(AH340),ISNUMBER(AH280)),AH340-AH280,"")</f>
        <v>-4.1374</v>
      </c>
      <c r="AL340" s="560">
        <f>IFERROR(LN(INDEX(Data!$B$2:$B$497,MATCH(N340,Data!$A$2:$A$497,1))/INDEX(Data!$B$2:$B$497,MATCH(N328,Data!$A$2:$A$497,1))),"")</f>
        <v>0.188328626215245</v>
      </c>
      <c r="AM340" s="560">
        <f>IFERROR(LN(INDEX(Data!$C$2:$C$497,MATCH(N340,Data!$A$2:$A$497,1))/INDEX(Data!$C$2:$C$497,MATCH(N328,Data!$A$2:$A$497,1))),"")</f>
        <v>0.224277240296271</v>
      </c>
      <c r="AN340" s="560">
        <f>IFERROR(LN(INDEX(Data!$D$2:$D$497,MATCH(N340,Data!$A$2:$A$497,1))/INDEX(Data!$D$2:$D$497,MATCH(N328,Data!$A$2:$A$497,1))),"")</f>
        <v>0.0495036126828554</v>
      </c>
      <c r="AO340" s="560">
        <f>IFERROR(LN(INDEX(Data!$E$2:$E$497,MATCH(N340,Data!$A$2:$A$497,1))/INDEX(Data!$E$2:$E$497,MATCH(N328,Data!$A$2:$A$497,1))),"")</f>
        <v>0.16507711683463</v>
      </c>
      <c r="AP340" s="560">
        <f>IFERROR(LN(INDEX(Data!$F$2:$F$497,MATCH(N340,Data!$A$2:$A$497,1))/INDEX(Data!$F$2:$F$497,MATCH(N328,Data!$A$2:$A$497,1))),"")</f>
        <v>0.226944983668092</v>
      </c>
      <c r="AQ340" s="560">
        <f>IFERROR(LN(INDEX(Data!$G$2:$G$497,MATCH(N340,Data!$A$2:$A$497,1))/INDEX(Data!$G$2:$G$497,MATCH(N328,Data!$A$2:$A$497,1))),"")</f>
        <v>0.0146911642963762</v>
      </c>
      <c r="AR340" s="560">
        <f>IFERROR(LN(INDEX(Data!$H$2:$H$497,MATCH(N340,Data!$A$2:$A$497,1))/INDEX(Data!$H$2:$H$497,MATCH(N328,Data!$A$2:$A$497,1))),"")</f>
      </c>
      <c r="AS340" s="560">
        <f>IFERROR(LN(INDEX(Data!$I$2:$I$497,MATCH(N340,Data!$A$2:$A$497,1))/INDEX(Data!$I$2:$I$497,MATCH(N328,Data!$A$2:$A$497,1))),"")</f>
      </c>
      <c r="AT340" s="560">
        <f>IFERROR(LN(INDEX(Data!$J$2:$J$497,MATCH(N340,Data!$A$2:$A$497,1))/INDEX(Data!$J$2:$J$497,MATCH(N328,Data!$A$2:$A$497,1))),"")</f>
        <v>0.170828183868304</v>
      </c>
      <c r="AU340" s="560">
        <f>IFERROR(LN(INDEX(Data!$K$2:$K$497,MATCH(N340,Data!$A$2:$A$497,1))/INDEX(Data!$K$2:$K$497,MATCH(N328,Data!$A$2:$A$497,1))),"")</f>
        <v>0.187541404020358</v>
      </c>
      <c r="AV340" s="561">
        <f>IFERROR(LN(INDEX(Data!$L$2:$L$497,MATCH(N340,Data!$A$2:$A$497,1))/INDEX(Data!$L$2:$L$497,MATCH(N328,Data!$A$2:$A$497,1))),"")</f>
        <v>0.077266044806324</v>
      </c>
    </row>
    <row r="341">
      <c r="N341" s="337" t="n">
        <v>35095</v>
      </c>
      <c r="O341" s="116">
        <f>INDEX('Additional data'!$B$2:$B$965,MATCH(DATE(YEAR(N341),MONTH(N341),1),'Additional data'!$A$2:$A$965,0))</f>
        <v>18.88</v>
      </c>
      <c r="P341" s="489">
        <f>LN(O341)</f>
        <v>2.93810316071735</v>
      </c>
      <c r="Q341" s="489">
        <f>Q340+LN(1+INDEX('Additional data'!$H$2:$H$1196,MATCH(N341,'Additional data'!$G$2:$G$1196,1))+INDEX('Additional data'!$I$2:$I$1196,MATCH(N341,'Additional data'!$G$2:$G$1196,1)))</f>
        <v>2.93822761212779</v>
      </c>
      <c r="R341" s="489">
        <f>LN(INDEX(Data!$B$2:$B$497,MATCH(N341,Data!$A$2:$A$497,1)))</f>
        <v>9.11086251947651</v>
      </c>
      <c r="S341" s="116">
        <f>IF(INDEX('Additional data'!$E$2:$E$699,MATCH(DATE(YEAR(N341),MONTH(N341),1),'Additional data'!$D$2:$D$699,0))=0,(INDEX('Additional data'!$E$2:$E$699,MATCH(DATE(YEAR(N341),MONTH(N341),1),'Additional data'!$D$2:$D$699,0)-1)+INDEX('Additional data'!$E$2:$E$699,MATCH(DATE(YEAR(N341),MONTH(N341),1),'Additional data'!$D$2:$D$699,0)+1))/2,INDEX('Additional data'!$E$2:$E$699,MATCH(DATE(YEAR(N341),MONTH(N341),1),'Additional data'!$D$2:$D$699,0)))</f>
        <v>7.46</v>
      </c>
      <c r="T341" s="425">
        <f>P341-P340</f>
        <v>-0.00843886864586496</v>
      </c>
      <c r="U341" s="425">
        <f>Q341-Q340</f>
        <v>0.0265445552221122</v>
      </c>
      <c r="V341" s="425">
        <f>R341-R340</f>
        <v>0.032991247414742</v>
      </c>
      <c r="W341" s="116">
        <f>S341-S340</f>
        <v>0.0300000000000003</v>
      </c>
      <c r="X341" s="425">
        <f>P341-P329</f>
        <v>0.0482871127549127</v>
      </c>
      <c r="Y341" s="425">
        <f>Q341-Q329</f>
        <v>0.318315598100461</v>
      </c>
      <c r="Z341" s="425">
        <f>R341-R329</f>
        <v>0.260301906392542</v>
      </c>
      <c r="AA341" s="116">
        <f>S341-S329</f>
        <v>-0.909999999999999</v>
      </c>
      <c r="AB341" s="425">
        <f>P341-P281</f>
        <v>-0.279131317878721</v>
      </c>
      <c r="AC341" s="425">
        <f>Q341-Q281</f>
        <v>0.785848039434783</v>
      </c>
      <c r="AD341" s="425">
        <f>R341-R281</f>
        <v>0.736247231534918</v>
      </c>
      <c r="AE341" s="235">
        <f>S341-S281</f>
        <v>-4.47</v>
      </c>
      <c r="AG341" s="554">
        <f>N341</f>
        <v>35095.0</v>
      </c>
      <c r="AH341" s="435">
        <f>IFERROR(INDEX('RBA 5Y yield'!$B$5:$B$661,MATCH(N341,'RBA 5Y yield'!$A$5:$A$661,1))*100,"")</f>
        <v>7.759</v>
      </c>
      <c r="AI341" s="435">
        <f>IF(AND(ISNUMBER(AH341),ISNUMBER(AH340)),AH341-AH340,"")</f>
        <v>-0.0935999999999995</v>
      </c>
      <c r="AJ341" s="435">
        <f>IF(AND(ISNUMBER(AH341),ISNUMBER(AH329)),AH341-AH329,"")</f>
        <v>-2.546</v>
      </c>
      <c r="AK341" s="435">
        <f>IF(AND(ISNUMBER(AH341),ISNUMBER(AH281)),AH341-AH281,"")</f>
        <v>-3.841</v>
      </c>
      <c r="AL341" s="560">
        <f>IFERROR(LN(INDEX(Data!$B$2:$B$497,MATCH(N341,Data!$A$2:$A$497,1))/INDEX(Data!$B$2:$B$497,MATCH(N329,Data!$A$2:$A$497,1))),"")</f>
        <v>0.26030190639254</v>
      </c>
      <c r="AM341" s="560">
        <f>IFERROR(LN(INDEX(Data!$C$2:$C$497,MATCH(N341,Data!$A$2:$A$497,1))/INDEX(Data!$C$2:$C$497,MATCH(N329,Data!$A$2:$A$497,1))),"")</f>
        <v>0.256616723230765</v>
      </c>
      <c r="AN341" s="560">
        <f>IFERROR(LN(INDEX(Data!$D$2:$D$497,MATCH(N341,Data!$A$2:$A$497,1))/INDEX(Data!$D$2:$D$497,MATCH(N329,Data!$A$2:$A$497,1))),"")</f>
        <v>0.195481731820231</v>
      </c>
      <c r="AO341" s="560">
        <f>IFERROR(LN(INDEX(Data!$E$2:$E$497,MATCH(N341,Data!$A$2:$A$497,1))/INDEX(Data!$E$2:$E$497,MATCH(N329,Data!$A$2:$A$497,1))),"")</f>
        <v>0.173599005248288</v>
      </c>
      <c r="AP341" s="560">
        <f>IFERROR(LN(INDEX(Data!$F$2:$F$497,MATCH(N341,Data!$A$2:$A$497,1))/INDEX(Data!$F$2:$F$497,MATCH(N329,Data!$A$2:$A$497,1))),"")</f>
        <v>0.225142589704497</v>
      </c>
      <c r="AQ341" s="560">
        <f>IFERROR(LN(INDEX(Data!$G$2:$G$497,MATCH(N341,Data!$A$2:$A$497,1))/INDEX(Data!$G$2:$G$497,MATCH(N329,Data!$A$2:$A$497,1))),"")</f>
        <v>0.0146911642963762</v>
      </c>
      <c r="AR341" s="560">
        <f>IFERROR(LN(INDEX(Data!$H$2:$H$497,MATCH(N341,Data!$A$2:$A$497,1))/INDEX(Data!$H$2:$H$497,MATCH(N329,Data!$A$2:$A$497,1))),"")</f>
      </c>
      <c r="AS341" s="560">
        <f>IFERROR(LN(INDEX(Data!$I$2:$I$497,MATCH(N341,Data!$A$2:$A$497,1))/INDEX(Data!$I$2:$I$497,MATCH(N329,Data!$A$2:$A$497,1))),"")</f>
      </c>
      <c r="AT341" s="560">
        <f>IFERROR(LN(INDEX(Data!$J$2:$J$497,MATCH(N341,Data!$A$2:$A$497,1))/INDEX(Data!$J$2:$J$497,MATCH(N329,Data!$A$2:$A$497,1))),"")</f>
        <v>0.183187533398815</v>
      </c>
      <c r="AU341" s="560">
        <f>IFERROR(LN(INDEX(Data!$K$2:$K$497,MATCH(N341,Data!$A$2:$A$497,1))/INDEX(Data!$K$2:$K$497,MATCH(N329,Data!$A$2:$A$497,1))),"")</f>
        <v>0.180827402024364</v>
      </c>
      <c r="AV341" s="561">
        <f>IFERROR(LN(INDEX(Data!$L$2:$L$497,MATCH(N341,Data!$A$2:$A$497,1))/INDEX(Data!$L$2:$L$497,MATCH(N329,Data!$A$2:$A$497,1))),"")</f>
        <v>0.0765866994453078</v>
      </c>
    </row>
    <row r="342">
      <c r="N342" s="337" t="n">
        <v>35124</v>
      </c>
      <c r="O342" s="116">
        <f>INDEX('Additional data'!$B$2:$B$965,MATCH(DATE(YEAR(N342),MONTH(N342),1),'Additional data'!$A$2:$A$965,0))</f>
        <v>19.07</v>
      </c>
      <c r="P342" s="489">
        <f>LN(O342)</f>
        <v>2.94811641961233</v>
      </c>
      <c r="Q342" s="489">
        <f>Q341+LN(1+INDEX('Additional data'!$H$2:$H$1196,MATCH(N342,'Additional data'!$G$2:$G$1196,1))+INDEX('Additional data'!$I$2:$I$1196,MATCH(N342,'Additional data'!$G$2:$G$1196,1)))</f>
        <v>2.95528136669362</v>
      </c>
      <c r="R342" s="489">
        <f>LN(INDEX(Data!$B$2:$B$497,MATCH(N342,Data!$A$2:$A$497,1)))</f>
        <v>9.11526016572591</v>
      </c>
      <c r="S342" s="116">
        <f>IF(INDEX('Additional data'!$E$2:$E$699,MATCH(DATE(YEAR(N342),MONTH(N342),1),'Additional data'!$D$2:$D$699,0))=0,(INDEX('Additional data'!$E$2:$E$699,MATCH(DATE(YEAR(N342),MONTH(N342),1),'Additional data'!$D$2:$D$699,0)-1)+INDEX('Additional data'!$E$2:$E$699,MATCH(DATE(YEAR(N342),MONTH(N342),1),'Additional data'!$D$2:$D$699,0)+1))/2,INDEX('Additional data'!$E$2:$E$699,MATCH(DATE(YEAR(N342),MONTH(N342),1),'Additional data'!$D$2:$D$699,0)))</f>
        <v>7.47</v>
      </c>
      <c r="T342" s="425">
        <f>P342-P341</f>
        <v>0.0100132588949733</v>
      </c>
      <c r="U342" s="425">
        <f>Q342-Q341</f>
        <v>0.0170537545658278</v>
      </c>
      <c r="V342" s="425">
        <f>R342-R341</f>
        <v>0.00439764624939976</v>
      </c>
      <c r="W342" s="116">
        <f>S342-S341</f>
        <v>0.00999999999999979</v>
      </c>
      <c r="X342" s="425">
        <f>P342-P330</f>
        <v>0.0287253793150595</v>
      </c>
      <c r="Y342" s="425">
        <f>Q342-Q330</f>
        <v>0.295860219571577</v>
      </c>
      <c r="Z342" s="425">
        <f>R342-R330</f>
        <v>0.211784685618284</v>
      </c>
      <c r="AA342" s="116">
        <f>S342-S330</f>
        <v>-0.61</v>
      </c>
      <c r="AB342" s="425">
        <f>P342-P282</f>
        <v>-0.0734297888346429</v>
      </c>
      <c r="AC342" s="425">
        <f>Q342-Q282</f>
        <v>0.729000986161076</v>
      </c>
      <c r="AD342" s="425">
        <f>R342-R282</f>
        <v>0.676655739470073</v>
      </c>
      <c r="AE342" s="235">
        <f>S342-S282</f>
        <v>-4.15</v>
      </c>
      <c r="AG342" s="554">
        <f>N342</f>
        <v>35124.0</v>
      </c>
      <c r="AH342" s="435">
        <f>IFERROR(INDEX('RBA 5Y yield'!$B$5:$B$661,MATCH(N342,'RBA 5Y yield'!$A$5:$A$661,1))*100,"")</f>
        <v>7.8867</v>
      </c>
      <c r="AI342" s="435">
        <f>IF(AND(ISNUMBER(AH342),ISNUMBER(AH341)),AH342-AH341,"")</f>
        <v>0.1277</v>
      </c>
      <c r="AJ342" s="435">
        <f>IF(AND(ISNUMBER(AH342),ISNUMBER(AH330)),AH342-AH330,"")</f>
        <v>-2.0738</v>
      </c>
      <c r="AK342" s="435">
        <f>IF(AND(ISNUMBER(AH342),ISNUMBER(AH282)),AH342-AH282,"")</f>
        <v>-3.4333</v>
      </c>
      <c r="AL342" s="560">
        <f>IFERROR(LN(INDEX(Data!$B$2:$B$497,MATCH(N342,Data!$A$2:$A$497,1))/INDEX(Data!$B$2:$B$497,MATCH(N330,Data!$A$2:$A$497,1))),"")</f>
        <v>0.211784685618285</v>
      </c>
      <c r="AM342" s="560">
        <f>IFERROR(LN(INDEX(Data!$C$2:$C$497,MATCH(N342,Data!$A$2:$A$497,1))/INDEX(Data!$C$2:$C$497,MATCH(N330,Data!$A$2:$A$497,1))),"")</f>
        <v>0.197023856229984</v>
      </c>
      <c r="AN342" s="560">
        <f>IFERROR(LN(INDEX(Data!$D$2:$D$497,MATCH(N342,Data!$A$2:$A$497,1))/INDEX(Data!$D$2:$D$497,MATCH(N330,Data!$A$2:$A$497,1))),"")</f>
        <v>0.157854738133187</v>
      </c>
      <c r="AO342" s="560">
        <f>IFERROR(LN(INDEX(Data!$E$2:$E$497,MATCH(N342,Data!$A$2:$A$497,1))/INDEX(Data!$E$2:$E$497,MATCH(N330,Data!$A$2:$A$497,1))),"")</f>
        <v>0.104565464120265</v>
      </c>
      <c r="AP342" s="560">
        <f>IFERROR(LN(INDEX(Data!$F$2:$F$497,MATCH(N342,Data!$A$2:$A$497,1))/INDEX(Data!$F$2:$F$497,MATCH(N330,Data!$A$2:$A$497,1))),"")</f>
        <v>0.203536996678932</v>
      </c>
      <c r="AQ342" s="560">
        <f>IFERROR(LN(INDEX(Data!$G$2:$G$497,MATCH(N342,Data!$A$2:$A$497,1))/INDEX(Data!$G$2:$G$497,MATCH(N330,Data!$A$2:$A$497,1))),"")</f>
        <v>0.0146911642963762</v>
      </c>
      <c r="AR342" s="560">
        <f>IFERROR(LN(INDEX(Data!$H$2:$H$497,MATCH(N342,Data!$A$2:$A$497,1))/INDEX(Data!$H$2:$H$497,MATCH(N330,Data!$A$2:$A$497,1))),"")</f>
      </c>
      <c r="AS342" s="560">
        <f>IFERROR(LN(INDEX(Data!$I$2:$I$497,MATCH(N342,Data!$A$2:$A$497,1))/INDEX(Data!$I$2:$I$497,MATCH(N330,Data!$A$2:$A$497,1))),"")</f>
      </c>
      <c r="AT342" s="560">
        <f>IFERROR(LN(INDEX(Data!$J$2:$J$497,MATCH(N342,Data!$A$2:$A$497,1))/INDEX(Data!$J$2:$J$497,MATCH(N330,Data!$A$2:$A$497,1))),"")</f>
        <v>0.13605312162937</v>
      </c>
      <c r="AU342" s="560">
        <f>IFERROR(LN(INDEX(Data!$K$2:$K$497,MATCH(N342,Data!$A$2:$A$497,1))/INDEX(Data!$K$2:$K$497,MATCH(N330,Data!$A$2:$A$497,1))),"")</f>
        <v>0.147530041800584</v>
      </c>
      <c r="AV342" s="561">
        <f>IFERROR(LN(INDEX(Data!$L$2:$L$497,MATCH(N342,Data!$A$2:$A$497,1))/INDEX(Data!$L$2:$L$497,MATCH(N330,Data!$A$2:$A$497,1))),"")</f>
        <v>0.0757999607820457</v>
      </c>
    </row>
    <row r="343">
      <c r="N343" s="337" t="n">
        <v>35155</v>
      </c>
      <c r="O343" s="116">
        <f>INDEX('Additional data'!$B$2:$B$965,MATCH(DATE(YEAR(N343),MONTH(N343),1),'Additional data'!$A$2:$A$965,0))</f>
        <v>21.36</v>
      </c>
      <c r="P343" s="489">
        <f>LN(O343)</f>
        <v>3.06152001409199</v>
      </c>
      <c r="Q343" s="489">
        <f>Q342+LN(1+INDEX('Additional data'!$H$2:$H$1196,MATCH(N343,'Additional data'!$G$2:$G$1196,1))+INDEX('Additional data'!$I$2:$I$1196,MATCH(N343,'Additional data'!$G$2:$G$1196,1)))</f>
        <v>2.9665179986196</v>
      </c>
      <c r="R343" s="489">
        <f>LN(INDEX(Data!$B$2:$B$497,MATCH(N343,Data!$A$2:$A$497,1)))</f>
        <v>9.09094854290538</v>
      </c>
      <c r="S343" s="116">
        <f>IF(INDEX('Additional data'!$E$2:$E$699,MATCH(DATE(YEAR(N343),MONTH(N343),1),'Additional data'!$D$2:$D$699,0))=0,(INDEX('Additional data'!$E$2:$E$699,MATCH(DATE(YEAR(N343),MONTH(N343),1),'Additional data'!$D$2:$D$699,0)-1)+INDEX('Additional data'!$E$2:$E$699,MATCH(DATE(YEAR(N343),MONTH(N343),1),'Additional data'!$D$2:$D$699,0)+1))/2,INDEX('Additional data'!$E$2:$E$699,MATCH(DATE(YEAR(N343),MONTH(N343),1),'Additional data'!$D$2:$D$699,0)))</f>
        <v>7.53</v>
      </c>
      <c r="T343" s="425">
        <f>P343-P342</f>
        <v>0.113403594479666</v>
      </c>
      <c r="U343" s="425">
        <f>Q343-Q342</f>
        <v>0.0112366319259878</v>
      </c>
      <c r="V343" s="425">
        <f>R343-R342</f>
        <v>-0.024311622820532</v>
      </c>
      <c r="W343" s="116">
        <f>S343-S342</f>
        <v>0.0600000000000005</v>
      </c>
      <c r="X343" s="425">
        <f>P343-P331</f>
        <v>0.14105022503855</v>
      </c>
      <c r="Y343" s="425">
        <f>Q343-Q331</f>
        <v>0.280941894020713</v>
      </c>
      <c r="Z343" s="425">
        <f>R343-R331</f>
        <v>0.188180074479298</v>
      </c>
      <c r="AA343" s="116">
        <f>S343-S331</f>
        <v>-0.600000000000001</v>
      </c>
      <c r="AB343" s="425">
        <f>P343-P283</f>
        <v>0.0728123554749676</v>
      </c>
      <c r="AC343" s="425">
        <f>Q343-Q283</f>
        <v>0.709708413052241</v>
      </c>
      <c r="AD343" s="425">
        <f>R343-R283</f>
        <v>0.619631764756669</v>
      </c>
      <c r="AE343" s="235">
        <f>S343-S283</f>
        <v>-3.96</v>
      </c>
      <c r="AG343" s="554">
        <f>N343</f>
        <v>35155.0</v>
      </c>
      <c r="AH343" s="435">
        <f>IFERROR(INDEX('RBA 5Y yield'!$B$5:$B$661,MATCH(N343,'RBA 5Y yield'!$A$5:$A$661,1))*100,"")</f>
        <v>8.4695</v>
      </c>
      <c r="AI343" s="435">
        <f>IF(AND(ISNUMBER(AH343),ISNUMBER(AH342)),AH343-AH342,"")</f>
        <v>0.5828</v>
      </c>
      <c r="AJ343" s="435">
        <f>IF(AND(ISNUMBER(AH343),ISNUMBER(AH331)),AH343-AH331,"")</f>
        <v>-1.3393</v>
      </c>
      <c r="AK343" s="435">
        <f>IF(AND(ISNUMBER(AH343),ISNUMBER(AH283)),AH343-AH283,"")</f>
        <v>-2.8405</v>
      </c>
      <c r="AL343" s="560">
        <f>IFERROR(LN(INDEX(Data!$B$2:$B$497,MATCH(N343,Data!$A$2:$A$497,1))/INDEX(Data!$B$2:$B$497,MATCH(N331,Data!$A$2:$A$497,1))),"")</f>
        <v>0.188180074479298</v>
      </c>
      <c r="AM343" s="560">
        <f>IFERROR(LN(INDEX(Data!$C$2:$C$497,MATCH(N343,Data!$A$2:$A$497,1))/INDEX(Data!$C$2:$C$497,MATCH(N331,Data!$A$2:$A$497,1))),"")</f>
        <v>0.184975959940938</v>
      </c>
      <c r="AN343" s="560">
        <f>IFERROR(LN(INDEX(Data!$D$2:$D$497,MATCH(N343,Data!$A$2:$A$497,1))/INDEX(Data!$D$2:$D$497,MATCH(N331,Data!$A$2:$A$497,1))),"")</f>
        <v>0.140040312169476</v>
      </c>
      <c r="AO343" s="560">
        <f>IFERROR(LN(INDEX(Data!$E$2:$E$497,MATCH(N343,Data!$A$2:$A$497,1))/INDEX(Data!$E$2:$E$497,MATCH(N331,Data!$A$2:$A$497,1))),"")</f>
        <v>0.0783385050047799</v>
      </c>
      <c r="AP343" s="560">
        <f>IFERROR(LN(INDEX(Data!$F$2:$F$497,MATCH(N343,Data!$A$2:$A$497,1))/INDEX(Data!$F$2:$F$497,MATCH(N331,Data!$A$2:$A$497,1))),"")</f>
        <v>0.22493078929241</v>
      </c>
      <c r="AQ343" s="560">
        <f>IFERROR(LN(INDEX(Data!$G$2:$G$497,MATCH(N343,Data!$A$2:$A$497,1))/INDEX(Data!$G$2:$G$497,MATCH(N331,Data!$A$2:$A$497,1))),"")</f>
        <v>0.00308619607896889</v>
      </c>
      <c r="AR343" s="560">
        <f>IFERROR(LN(INDEX(Data!$H$2:$H$497,MATCH(N343,Data!$A$2:$A$497,1))/INDEX(Data!$H$2:$H$497,MATCH(N331,Data!$A$2:$A$497,1))),"")</f>
      </c>
      <c r="AS343" s="560">
        <f>IFERROR(LN(INDEX(Data!$I$2:$I$497,MATCH(N343,Data!$A$2:$A$497,1))/INDEX(Data!$I$2:$I$497,MATCH(N331,Data!$A$2:$A$497,1))),"")</f>
      </c>
      <c r="AT343" s="560">
        <f>IFERROR(LN(INDEX(Data!$J$2:$J$497,MATCH(N343,Data!$A$2:$A$497,1))/INDEX(Data!$J$2:$J$497,MATCH(N331,Data!$A$2:$A$497,1))),"")</f>
        <v>0.120461405213077</v>
      </c>
      <c r="AU343" s="560">
        <f>IFERROR(LN(INDEX(Data!$K$2:$K$497,MATCH(N343,Data!$A$2:$A$497,1))/INDEX(Data!$K$2:$K$497,MATCH(N331,Data!$A$2:$A$497,1))),"")</f>
        <v>0.13604558552171</v>
      </c>
      <c r="AV343" s="561">
        <f>IFERROR(LN(INDEX(Data!$L$2:$L$497,MATCH(N343,Data!$A$2:$A$497,1))/INDEX(Data!$L$2:$L$497,MATCH(N331,Data!$A$2:$A$497,1))),"")</f>
        <v>0.0756090210094337</v>
      </c>
    </row>
    <row r="344">
      <c r="N344" s="337" t="n">
        <v>35185</v>
      </c>
      <c r="O344" s="116">
        <f>INDEX('Additional data'!$B$2:$B$965,MATCH(DATE(YEAR(N344),MONTH(N344),1),'Additional data'!$A$2:$A$965,0))</f>
        <v>23.57</v>
      </c>
      <c r="P344" s="489">
        <f>LN(O344)</f>
        <v>3.15997471694804</v>
      </c>
      <c r="Q344" s="489">
        <f>Q343+LN(1+INDEX('Additional data'!$H$2:$H$1196,MATCH(N344,'Additional data'!$G$2:$G$1196,1))+INDEX('Additional data'!$I$2:$I$1196,MATCH(N344,'Additional data'!$G$2:$G$1196,1)))</f>
        <v>2.99140571412738</v>
      </c>
      <c r="R344" s="489">
        <f>LN(INDEX(Data!$B$2:$B$497,MATCH(N344,Data!$A$2:$A$497,1)))</f>
        <v>9.13289761483353</v>
      </c>
      <c r="S344" s="116">
        <f>IF(INDEX('Additional data'!$E$2:$E$699,MATCH(DATE(YEAR(N344),MONTH(N344),1),'Additional data'!$D$2:$D$699,0))=0,(INDEX('Additional data'!$E$2:$E$699,MATCH(DATE(YEAR(N344),MONTH(N344),1),'Additional data'!$D$2:$D$699,0)-1)+INDEX('Additional data'!$E$2:$E$699,MATCH(DATE(YEAR(N344),MONTH(N344),1),'Additional data'!$D$2:$D$699,0)+1))/2,INDEX('Additional data'!$E$2:$E$699,MATCH(DATE(YEAR(N344),MONTH(N344),1),'Additional data'!$D$2:$D$699,0)))</f>
        <v>7.57</v>
      </c>
      <c r="T344" s="425">
        <f>P344-P343</f>
        <v>0.0984547028560456</v>
      </c>
      <c r="U344" s="425">
        <f>Q344-Q343</f>
        <v>0.0248877155077789</v>
      </c>
      <c r="V344" s="425">
        <f>R344-R343</f>
        <v>0.0419490719281459</v>
      </c>
      <c r="W344" s="116">
        <f>S344-S343</f>
        <v>0.04</v>
      </c>
      <c r="X344" s="425">
        <f>P344-P332</f>
        <v>0.170763660384314</v>
      </c>
      <c r="Y344" s="425">
        <f>Q344-Q332</f>
        <v>0.280649310998194</v>
      </c>
      <c r="Z344" s="425">
        <f>R344-R332</f>
        <v>0.156610084679588</v>
      </c>
      <c r="AA344" s="116">
        <f>S344-S332</f>
        <v>-0.319999999999999</v>
      </c>
      <c r="AB344" s="425">
        <f>P344-P284</f>
        <v>0.123916571922484</v>
      </c>
      <c r="AC344" s="425">
        <f>Q344-Q284</f>
        <v>0.732099248361433</v>
      </c>
      <c r="AD344" s="425">
        <f>R344-R284</f>
        <v>0.597334194062411</v>
      </c>
      <c r="AE344" s="235">
        <f>S344-S284</f>
        <v>-3.79</v>
      </c>
      <c r="AG344" s="554">
        <f>N344</f>
        <v>35185.0</v>
      </c>
      <c r="AH344" s="435">
        <f>IFERROR(INDEX('RBA 5Y yield'!$B$5:$B$661,MATCH(N344,'RBA 5Y yield'!$A$5:$A$661,1))*100,"")</f>
        <v>8.6</v>
      </c>
      <c r="AI344" s="435">
        <f>IF(AND(ISNUMBER(AH344),ISNUMBER(AH343)),AH344-AH343,"")</f>
        <v>0.1305</v>
      </c>
      <c r="AJ344" s="435">
        <f>IF(AND(ISNUMBER(AH344),ISNUMBER(AH332)),AH344-AH332,"")</f>
        <v>-0.8605</v>
      </c>
      <c r="AK344" s="435">
        <f>IF(AND(ISNUMBER(AH344),ISNUMBER(AH284)),AH344-AH284,"")</f>
        <v>-2.29</v>
      </c>
      <c r="AL344" s="560">
        <f>IFERROR(LN(INDEX(Data!$B$2:$B$497,MATCH(N344,Data!$A$2:$A$497,1))/INDEX(Data!$B$2:$B$497,MATCH(N332,Data!$A$2:$A$497,1))),"")</f>
        <v>0.15661008467959</v>
      </c>
      <c r="AM344" s="560">
        <f>IFERROR(LN(INDEX(Data!$C$2:$C$497,MATCH(N344,Data!$A$2:$A$497,1))/INDEX(Data!$C$2:$C$497,MATCH(N332,Data!$A$2:$A$497,1))),"")</f>
        <v>0.16923503850407</v>
      </c>
      <c r="AN344" s="560">
        <f>IFERROR(LN(INDEX(Data!$D$2:$D$497,MATCH(N344,Data!$A$2:$A$497,1))/INDEX(Data!$D$2:$D$497,MATCH(N332,Data!$A$2:$A$497,1))),"")</f>
        <v>0.146088908145184</v>
      </c>
      <c r="AO344" s="560">
        <f>IFERROR(LN(INDEX(Data!$E$2:$E$497,MATCH(N344,Data!$A$2:$A$497,1))/INDEX(Data!$E$2:$E$497,MATCH(N332,Data!$A$2:$A$497,1))),"")</f>
        <v>0.063109038260724</v>
      </c>
      <c r="AP344" s="560">
        <f>IFERROR(LN(INDEX(Data!$F$2:$F$497,MATCH(N344,Data!$A$2:$A$497,1))/INDEX(Data!$F$2:$F$497,MATCH(N332,Data!$A$2:$A$497,1))),"")</f>
        <v>0.237994214923427</v>
      </c>
      <c r="AQ344" s="560">
        <f>IFERROR(LN(INDEX(Data!$G$2:$G$497,MATCH(N344,Data!$A$2:$A$497,1))/INDEX(Data!$G$2:$G$497,MATCH(N332,Data!$A$2:$A$497,1))),"")</f>
        <v>0.00308619607896889</v>
      </c>
      <c r="AR344" s="560">
        <f>IFERROR(LN(INDEX(Data!$H$2:$H$497,MATCH(N344,Data!$A$2:$A$497,1))/INDEX(Data!$H$2:$H$497,MATCH(N332,Data!$A$2:$A$497,1))),"")</f>
      </c>
      <c r="AS344" s="560">
        <f>IFERROR(LN(INDEX(Data!$I$2:$I$497,MATCH(N344,Data!$A$2:$A$497,1))/INDEX(Data!$I$2:$I$497,MATCH(N332,Data!$A$2:$A$497,1))),"")</f>
      </c>
      <c r="AT344" s="560">
        <f>IFERROR(LN(INDEX(Data!$J$2:$J$497,MATCH(N344,Data!$A$2:$A$497,1))/INDEX(Data!$J$2:$J$497,MATCH(N332,Data!$A$2:$A$497,1))),"")</f>
        <v>0.12050616931532</v>
      </c>
      <c r="AU344" s="560">
        <f>IFERROR(LN(INDEX(Data!$K$2:$K$497,MATCH(N344,Data!$A$2:$A$497,1))/INDEX(Data!$K$2:$K$497,MATCH(N332,Data!$A$2:$A$497,1))),"")</f>
        <v>0.123997148014069</v>
      </c>
      <c r="AV344" s="561">
        <f>IFERROR(LN(INDEX(Data!$L$2:$L$497,MATCH(N344,Data!$A$2:$A$497,1))/INDEX(Data!$L$2:$L$497,MATCH(N332,Data!$A$2:$A$497,1))),"")</f>
        <v>0.0751115434515426</v>
      </c>
    </row>
    <row r="345">
      <c r="N345" s="337" t="n">
        <v>35216</v>
      </c>
      <c r="O345" s="116">
        <f>INDEX('Additional data'!$B$2:$B$965,MATCH(DATE(YEAR(N345),MONTH(N345),1),'Additional data'!$A$2:$A$965,0))</f>
        <v>21.25</v>
      </c>
      <c r="P345" s="489">
        <f>LN(O345)</f>
        <v>3.05635689537043</v>
      </c>
      <c r="Q345" s="489">
        <f>Q344+LN(1+INDEX('Additional data'!$H$2:$H$1196,MATCH(N345,'Additional data'!$G$2:$G$1196,1))+INDEX('Additional data'!$I$2:$I$1196,MATCH(N345,'Additional data'!$G$2:$G$1196,1)))</f>
        <v>3.01882630970337</v>
      </c>
      <c r="R345" s="489">
        <f>LN(INDEX(Data!$B$2:$B$497,MATCH(N345,Data!$A$2:$A$497,1)))</f>
        <v>9.11450105220199</v>
      </c>
      <c r="S345" s="116">
        <f>IF(INDEX('Additional data'!$E$2:$E$699,MATCH(DATE(YEAR(N345),MONTH(N345),1),'Additional data'!$D$2:$D$699,0))=0,(INDEX('Additional data'!$E$2:$E$699,MATCH(DATE(YEAR(N345),MONTH(N345),1),'Additional data'!$D$2:$D$699,0)-1)+INDEX('Additional data'!$E$2:$E$699,MATCH(DATE(YEAR(N345),MONTH(N345),1),'Additional data'!$D$2:$D$699,0)+1))/2,INDEX('Additional data'!$E$2:$E$699,MATCH(DATE(YEAR(N345),MONTH(N345),1),'Additional data'!$D$2:$D$699,0)))</f>
        <v>7.55</v>
      </c>
      <c r="T345" s="425">
        <f>P345-P344</f>
        <v>-0.103617821577614</v>
      </c>
      <c r="U345" s="425">
        <f>Q345-Q344</f>
        <v>0.0274205955759923</v>
      </c>
      <c r="V345" s="425">
        <f>R345-R344</f>
        <v>-0.0183965626315334</v>
      </c>
      <c r="W345" s="116">
        <f>S345-S344</f>
        <v>-0.0200000000000005</v>
      </c>
      <c r="X345" s="425">
        <f>P345-P333</f>
        <v>0.0737098613650904</v>
      </c>
      <c r="Y345" s="425">
        <f>Q345-Q333</f>
        <v>0.274248358098676</v>
      </c>
      <c r="Z345" s="425">
        <f>R345-R333</f>
        <v>0.14739214952772</v>
      </c>
      <c r="AA345" s="116">
        <f>S345-S333</f>
        <v>-0.15</v>
      </c>
      <c r="AB345" s="425">
        <f>P345-P285</f>
        <v>0.000470698996688057</v>
      </c>
      <c r="AC345" s="425">
        <f>Q345-Q285</f>
        <v>0.719049911383712</v>
      </c>
      <c r="AD345" s="425">
        <f>R345-R285</f>
        <v>0.589677049622855</v>
      </c>
      <c r="AE345" s="235">
        <f>S345-S285</f>
        <v>-3.17</v>
      </c>
      <c r="AG345" s="554">
        <f>N345</f>
        <v>35216.0</v>
      </c>
      <c r="AH345" s="435">
        <f>IFERROR(INDEX('RBA 5Y yield'!$B$5:$B$661,MATCH(N345,'RBA 5Y yield'!$A$5:$A$661,1))*100,"")</f>
        <v>8.5317</v>
      </c>
      <c r="AI345" s="435">
        <f>IF(AND(ISNUMBER(AH345),ISNUMBER(AH344)),AH345-AH344,"")</f>
        <v>-0.0682999999999989</v>
      </c>
      <c r="AJ345" s="435">
        <f>IF(AND(ISNUMBER(AH345),ISNUMBER(AH333)),AH345-AH333,"")</f>
        <v>-0.15</v>
      </c>
      <c r="AK345" s="435">
        <f>IF(AND(ISNUMBER(AH345),ISNUMBER(AH285)),AH345-AH285,"")</f>
        <v>-2.0583</v>
      </c>
      <c r="AL345" s="560">
        <f>IFERROR(LN(INDEX(Data!$B$2:$B$497,MATCH(N345,Data!$A$2:$A$497,1))/INDEX(Data!$B$2:$B$497,MATCH(N333,Data!$A$2:$A$497,1))),"")</f>
        <v>0.147392149527719</v>
      </c>
      <c r="AM345" s="560">
        <f>IFERROR(LN(INDEX(Data!$C$2:$C$497,MATCH(N345,Data!$A$2:$A$497,1))/INDEX(Data!$C$2:$C$497,MATCH(N333,Data!$A$2:$A$497,1))),"")</f>
        <v>0.132787496837009</v>
      </c>
      <c r="AN345" s="560">
        <f>IFERROR(LN(INDEX(Data!$D$2:$D$497,MATCH(N345,Data!$A$2:$A$497,1))/INDEX(Data!$D$2:$D$497,MATCH(N333,Data!$A$2:$A$497,1))),"")</f>
        <v>0.066173166025199</v>
      </c>
      <c r="AO345" s="560">
        <f>IFERROR(LN(INDEX(Data!$E$2:$E$497,MATCH(N345,Data!$A$2:$A$497,1))/INDEX(Data!$E$2:$E$497,MATCH(N333,Data!$A$2:$A$497,1))),"")</f>
        <v>0.0102165666447482</v>
      </c>
      <c r="AP345" s="560">
        <f>IFERROR(LN(INDEX(Data!$F$2:$F$497,MATCH(N345,Data!$A$2:$A$497,1))/INDEX(Data!$F$2:$F$497,MATCH(N333,Data!$A$2:$A$497,1))),"")</f>
        <v>0.212096629897781</v>
      </c>
      <c r="AQ345" s="560">
        <f>IFERROR(LN(INDEX(Data!$G$2:$G$497,MATCH(N345,Data!$A$2:$A$497,1))/INDEX(Data!$G$2:$G$497,MATCH(N333,Data!$A$2:$A$497,1))),"")</f>
        <v>0.00308619607896889</v>
      </c>
      <c r="AR345" s="560">
        <f>IFERROR(LN(INDEX(Data!$H$2:$H$497,MATCH(N345,Data!$A$2:$A$497,1))/INDEX(Data!$H$2:$H$497,MATCH(N333,Data!$A$2:$A$497,1))),"")</f>
      </c>
      <c r="AS345" s="560">
        <f>IFERROR(LN(INDEX(Data!$I$2:$I$497,MATCH(N345,Data!$A$2:$A$497,1))/INDEX(Data!$I$2:$I$497,MATCH(N333,Data!$A$2:$A$497,1))),"")</f>
      </c>
      <c r="AT345" s="560">
        <f>IFERROR(LN(INDEX(Data!$J$2:$J$497,MATCH(N345,Data!$A$2:$A$497,1))/INDEX(Data!$J$2:$J$497,MATCH(N333,Data!$A$2:$A$497,1))),"")</f>
        <v>0.0805779152581812</v>
      </c>
      <c r="AU345" s="560">
        <f>IFERROR(LN(INDEX(Data!$K$2:$K$497,MATCH(N345,Data!$A$2:$A$497,1))/INDEX(Data!$K$2:$K$497,MATCH(N333,Data!$A$2:$A$497,1))),"")</f>
        <v>0.0910309369914736</v>
      </c>
      <c r="AV345" s="561">
        <f>IFERROR(LN(INDEX(Data!$L$2:$L$497,MATCH(N345,Data!$A$2:$A$497,1))/INDEX(Data!$L$2:$L$497,MATCH(N333,Data!$A$2:$A$497,1))),"")</f>
        <v>0.0746906694240789</v>
      </c>
    </row>
    <row r="346">
      <c r="N346" s="337" t="n">
        <v>35246</v>
      </c>
      <c r="O346" s="116">
        <f>INDEX('Additional data'!$B$2:$B$965,MATCH(DATE(YEAR(N346),MONTH(N346),1),'Additional data'!$A$2:$A$965,0))</f>
        <v>20.45</v>
      </c>
      <c r="P346" s="489">
        <f>LN(O346)</f>
        <v>3.01798288248881</v>
      </c>
      <c r="Q346" s="489">
        <f>Q345+LN(1+INDEX('Additional data'!$H$2:$H$1196,MATCH(N346,'Additional data'!$G$2:$G$1196,1))+INDEX('Additional data'!$I$2:$I$1196,MATCH(N346,'Additional data'!$G$2:$G$1196,1)))</f>
        <v>3.01149953431691</v>
      </c>
      <c r="R346" s="489">
        <f>LN(INDEX(Data!$B$2:$B$497,MATCH(N346,Data!$A$2:$A$497,1)))</f>
        <v>9.10655639071246</v>
      </c>
      <c r="S346" s="116">
        <f>IF(INDEX('Additional data'!$E$2:$E$699,MATCH(DATE(YEAR(N346),MONTH(N346),1),'Additional data'!$D$2:$D$699,0))=0,(INDEX('Additional data'!$E$2:$E$699,MATCH(DATE(YEAR(N346),MONTH(N346),1),'Additional data'!$D$2:$D$699,0)-1)+INDEX('Additional data'!$E$2:$E$699,MATCH(DATE(YEAR(N346),MONTH(N346),1),'Additional data'!$D$2:$D$699,0)+1))/2,INDEX('Additional data'!$E$2:$E$699,MATCH(DATE(YEAR(N346),MONTH(N346),1),'Additional data'!$D$2:$D$699,0)))</f>
        <v>7.57</v>
      </c>
      <c r="T346" s="425">
        <f>P346-P345</f>
        <v>-0.038374012881615</v>
      </c>
      <c r="U346" s="425">
        <f>Q346-Q345</f>
        <v>-0.00732677538646076</v>
      </c>
      <c r="V346" s="425">
        <f>R346-R345</f>
        <v>-0.00794466148953354</v>
      </c>
      <c r="W346" s="116">
        <f>S346-S345</f>
        <v>0.0200000000000005</v>
      </c>
      <c r="X346" s="425">
        <f>P346-P334</f>
        <v>0.10454585166165</v>
      </c>
      <c r="Y346" s="425">
        <f>Q346-Q334</f>
        <v>0.235519819572684</v>
      </c>
      <c r="Z346" s="425">
        <f>R346-R334</f>
        <v>0.133864256253368</v>
      </c>
      <c r="AA346" s="116">
        <f>S346-S334</f>
        <v>0.0200000000000005</v>
      </c>
      <c r="AB346" s="425">
        <f>P346-P286</f>
        <v>0.0125478334734348</v>
      </c>
      <c r="AC346" s="425">
        <f>Q346-Q286</f>
        <v>0.757976520514713</v>
      </c>
      <c r="AD346" s="425">
        <f>R346-R286</f>
        <v>0.580086362516013</v>
      </c>
      <c r="AE346" s="235">
        <f>S346-S286</f>
        <v>-2.82</v>
      </c>
      <c r="AG346" s="554">
        <f>N346</f>
        <v>35246.0</v>
      </c>
      <c r="AH346" s="435">
        <f>IFERROR(INDEX('RBA 5Y yield'!$B$5:$B$661,MATCH(N346,'RBA 5Y yield'!$A$5:$A$661,1))*100,"")</f>
        <v>8.6221</v>
      </c>
      <c r="AI346" s="435">
        <f>IF(AND(ISNUMBER(AH346),ISNUMBER(AH345)),AH346-AH345,"")</f>
        <v>0.0904000000000007</v>
      </c>
      <c r="AJ346" s="435">
        <f>IF(AND(ISNUMBER(AH346),ISNUMBER(AH334)),AH346-AH334,"")</f>
        <v>0.353100000000001</v>
      </c>
      <c r="AK346" s="435">
        <f>IF(AND(ISNUMBER(AH346),ISNUMBER(AH286)),AH346-AH286,"")</f>
        <v>-2.4479</v>
      </c>
      <c r="AL346" s="560">
        <f>IFERROR(LN(INDEX(Data!$B$2:$B$497,MATCH(N346,Data!$A$2:$A$497,1))/INDEX(Data!$B$2:$B$497,MATCH(N334,Data!$A$2:$A$497,1))),"")</f>
        <v>0.133864256253369</v>
      </c>
      <c r="AM346" s="560">
        <f>IFERROR(LN(INDEX(Data!$C$2:$C$497,MATCH(N346,Data!$A$2:$A$497,1))/INDEX(Data!$C$2:$C$497,MATCH(N334,Data!$A$2:$A$497,1))),"")</f>
        <v>0.142039634458946</v>
      </c>
      <c r="AN346" s="560">
        <f>IFERROR(LN(INDEX(Data!$D$2:$D$497,MATCH(N346,Data!$A$2:$A$497,1))/INDEX(Data!$D$2:$D$497,MATCH(N334,Data!$A$2:$A$497,1))),"")</f>
        <v>0.0744060203373418</v>
      </c>
      <c r="AO346" s="560">
        <f>IFERROR(LN(INDEX(Data!$E$2:$E$497,MATCH(N346,Data!$A$2:$A$497,1))/INDEX(Data!$E$2:$E$497,MATCH(N334,Data!$A$2:$A$497,1))),"")</f>
        <v>0.0238906874139987</v>
      </c>
      <c r="AP346" s="560">
        <f>IFERROR(LN(INDEX(Data!$F$2:$F$497,MATCH(N346,Data!$A$2:$A$497,1))/INDEX(Data!$F$2:$F$497,MATCH(N334,Data!$A$2:$A$497,1))),"")</f>
        <v>0.26728429013405</v>
      </c>
      <c r="AQ346" s="560">
        <f>IFERROR(LN(INDEX(Data!$G$2:$G$497,MATCH(N346,Data!$A$2:$A$497,1))/INDEX(Data!$G$2:$G$497,MATCH(N334,Data!$A$2:$A$497,1))),"")</f>
        <v>0.0225494045234755</v>
      </c>
      <c r="AR346" s="560">
        <f>IFERROR(LN(INDEX(Data!$H$2:$H$497,MATCH(N346,Data!$A$2:$A$497,1))/INDEX(Data!$H$2:$H$497,MATCH(N334,Data!$A$2:$A$497,1))),"")</f>
      </c>
      <c r="AS346" s="560">
        <f>IFERROR(LN(INDEX(Data!$I$2:$I$497,MATCH(N346,Data!$A$2:$A$497,1))/INDEX(Data!$I$2:$I$497,MATCH(N334,Data!$A$2:$A$497,1))),"")</f>
      </c>
      <c r="AT346" s="560">
        <f>IFERROR(LN(INDEX(Data!$J$2:$J$497,MATCH(N346,Data!$A$2:$A$497,1))/INDEX(Data!$J$2:$J$497,MATCH(N334,Data!$A$2:$A$497,1))),"")</f>
        <v>0.0903170811986874</v>
      </c>
      <c r="AU346" s="560">
        <f>IFERROR(LN(INDEX(Data!$K$2:$K$497,MATCH(N346,Data!$A$2:$A$497,1))/INDEX(Data!$K$2:$K$497,MATCH(N334,Data!$A$2:$A$497,1))),"")</f>
        <v>0.100096359169375</v>
      </c>
      <c r="AV346" s="561">
        <f>IFERROR(LN(INDEX(Data!$L$2:$L$497,MATCH(N346,Data!$A$2:$A$497,1))/INDEX(Data!$L$2:$L$497,MATCH(N334,Data!$A$2:$A$497,1))),"")</f>
        <v>0.0746736098143585</v>
      </c>
    </row>
    <row r="347">
      <c r="N347" s="337" t="n">
        <v>35277</v>
      </c>
      <c r="O347" s="116">
        <f>INDEX('Additional data'!$B$2:$B$965,MATCH(DATE(YEAR(N347),MONTH(N347),1),'Additional data'!$A$2:$A$965,0))</f>
        <v>21.32</v>
      </c>
      <c r="P347" s="489">
        <f>LN(O347)</f>
        <v>3.05964559929764</v>
      </c>
      <c r="Q347" s="489">
        <f>Q346+LN(1+INDEX('Additional data'!$H$2:$H$1196,MATCH(N347,'Additional data'!$G$2:$G$1196,1))+INDEX('Additional data'!$I$2:$I$1196,MATCH(N347,'Additional data'!$G$2:$G$1196,1)))</f>
        <v>2.95482335712336</v>
      </c>
      <c r="R347" s="489">
        <f>LN(INDEX(Data!$B$2:$B$497,MATCH(N347,Data!$A$2:$A$497,1)))</f>
        <v>9.07906928008909</v>
      </c>
      <c r="S347" s="116">
        <f>IF(INDEX('Additional data'!$E$2:$E$699,MATCH(DATE(YEAR(N347),MONTH(N347),1),'Additional data'!$D$2:$D$699,0))=0,(INDEX('Additional data'!$E$2:$E$699,MATCH(DATE(YEAR(N347),MONTH(N347),1),'Additional data'!$D$2:$D$699,0)-1)+INDEX('Additional data'!$E$2:$E$699,MATCH(DATE(YEAR(N347),MONTH(N347),1),'Additional data'!$D$2:$D$699,0)+1))/2,INDEX('Additional data'!$E$2:$E$699,MATCH(DATE(YEAR(N347),MONTH(N347),1),'Additional data'!$D$2:$D$699,0)))</f>
        <v>7.56</v>
      </c>
      <c r="T347" s="425">
        <f>P347-P346</f>
        <v>0.0416627168088328</v>
      </c>
      <c r="U347" s="425">
        <f>Q347-Q346</f>
        <v>-0.0566761771935567</v>
      </c>
      <c r="V347" s="425">
        <f>R347-R346</f>
        <v>-0.0274871106233725</v>
      </c>
      <c r="W347" s="116">
        <f>S347-S346</f>
        <v>-0.0100000000000007</v>
      </c>
      <c r="X347" s="425">
        <f>P347-P335</f>
        <v>0.20893909779391</v>
      </c>
      <c r="Y347" s="425">
        <f>Q347-Q335</f>
        <v>0.13808564990696</v>
      </c>
      <c r="Z347" s="425">
        <f>R347-R335</f>
        <v>0.0552512759714681</v>
      </c>
      <c r="AA347" s="116">
        <f>S347-S335</f>
        <v>0</v>
      </c>
      <c r="AB347" s="425">
        <f>P347-P287</f>
        <v>-0.0046794657219591</v>
      </c>
      <c r="AC347" s="425">
        <f>Q347-Q287</f>
        <v>0.655084919524194</v>
      </c>
      <c r="AD347" s="425">
        <f>R347-R287</f>
        <v>0.508543874296079</v>
      </c>
      <c r="AE347" s="235">
        <f>S347-S287</f>
        <v>-2.78</v>
      </c>
      <c r="AG347" s="554">
        <f>N347</f>
        <v>35277.0</v>
      </c>
      <c r="AH347" s="435">
        <f>IFERROR(INDEX('RBA 5Y yield'!$B$5:$B$661,MATCH(N347,'RBA 5Y yield'!$A$5:$A$661,1))*100,"")</f>
        <v>8.3465</v>
      </c>
      <c r="AI347" s="435">
        <f>IF(AND(ISNUMBER(AH347),ISNUMBER(AH346)),AH347-AH346,"")</f>
        <v>-0.275600000000003</v>
      </c>
      <c r="AJ347" s="435">
        <f>IF(AND(ISNUMBER(AH347),ISNUMBER(AH335)),AH347-AH335,"")</f>
        <v>-0.0964000000000009</v>
      </c>
      <c r="AK347" s="435">
        <f>IF(AND(ISNUMBER(AH347),ISNUMBER(AH287)),AH347-AH287,"")</f>
        <v>-2.5035</v>
      </c>
      <c r="AL347" s="560">
        <f>IFERROR(LN(INDEX(Data!$B$2:$B$497,MATCH(N347,Data!$A$2:$A$497,1))/INDEX(Data!$B$2:$B$497,MATCH(N335,Data!$A$2:$A$497,1))),"")</f>
        <v>0.0552512759714683</v>
      </c>
      <c r="AM347" s="560">
        <f>IFERROR(LN(INDEX(Data!$C$2:$C$497,MATCH(N347,Data!$A$2:$A$497,1))/INDEX(Data!$C$2:$C$497,MATCH(N335,Data!$A$2:$A$497,1))),"")</f>
        <v>0.100218282863359</v>
      </c>
      <c r="AN347" s="560">
        <f>IFERROR(LN(INDEX(Data!$D$2:$D$497,MATCH(N347,Data!$A$2:$A$497,1))/INDEX(Data!$D$2:$D$497,MATCH(N335,Data!$A$2:$A$497,1))),"")</f>
        <v>0.0444237494906129</v>
      </c>
      <c r="AO347" s="560">
        <f>IFERROR(LN(INDEX(Data!$E$2:$E$497,MATCH(N347,Data!$A$2:$A$497,1))/INDEX(Data!$E$2:$E$497,MATCH(N335,Data!$A$2:$A$497,1))),"")</f>
        <v>0.0710208028268507</v>
      </c>
      <c r="AP347" s="560">
        <f>IFERROR(LN(INDEX(Data!$F$2:$F$497,MATCH(N347,Data!$A$2:$A$497,1))/INDEX(Data!$F$2:$F$497,MATCH(N335,Data!$A$2:$A$497,1))),"")</f>
        <v>0.253218020963343</v>
      </c>
      <c r="AQ347" s="560">
        <f>IFERROR(LN(INDEX(Data!$G$2:$G$497,MATCH(N347,Data!$A$2:$A$497,1))/INDEX(Data!$G$2:$G$497,MATCH(N335,Data!$A$2:$A$497,1))),"")</f>
        <v>0.0225494045234755</v>
      </c>
      <c r="AR347" s="560">
        <f>IFERROR(LN(INDEX(Data!$H$2:$H$497,MATCH(N347,Data!$A$2:$A$497,1))/INDEX(Data!$H$2:$H$497,MATCH(N335,Data!$A$2:$A$497,1))),"")</f>
      </c>
      <c r="AS347" s="560">
        <f>IFERROR(LN(INDEX(Data!$I$2:$I$497,MATCH(N347,Data!$A$2:$A$497,1))/INDEX(Data!$I$2:$I$497,MATCH(N335,Data!$A$2:$A$497,1))),"")</f>
      </c>
      <c r="AT347" s="560">
        <f>IFERROR(LN(INDEX(Data!$J$2:$J$497,MATCH(N347,Data!$A$2:$A$497,1))/INDEX(Data!$J$2:$J$497,MATCH(N335,Data!$A$2:$A$497,1))),"")</f>
        <v>0.125148707843067</v>
      </c>
      <c r="AU347" s="560">
        <f>IFERROR(LN(INDEX(Data!$K$2:$K$497,MATCH(N347,Data!$A$2:$A$497,1))/INDEX(Data!$K$2:$K$497,MATCH(N335,Data!$A$2:$A$497,1))),"")</f>
        <v>0.100896186380215</v>
      </c>
      <c r="AV347" s="561">
        <f>IFERROR(LN(INDEX(Data!$L$2:$L$497,MATCH(N347,Data!$A$2:$A$497,1))/INDEX(Data!$L$2:$L$497,MATCH(N335,Data!$A$2:$A$497,1))),"")</f>
        <v>0.0753491730023969</v>
      </c>
    </row>
    <row r="348">
      <c r="N348" s="337" t="n">
        <v>35308</v>
      </c>
      <c r="O348" s="116">
        <f>INDEX('Additional data'!$B$2:$B$965,MATCH(DATE(YEAR(N348),MONTH(N348),1),'Additional data'!$A$2:$A$965,0))</f>
        <v>21.96</v>
      </c>
      <c r="P348" s="489">
        <f>LN(O348)</f>
        <v>3.08922261664133</v>
      </c>
      <c r="Q348" s="489">
        <f>Q347+LN(1+INDEX('Additional data'!$H$2:$H$1196,MATCH(N348,'Additional data'!$G$2:$G$1196,1))+INDEX('Additional data'!$I$2:$I$1196,MATCH(N348,'Additional data'!$G$2:$G$1196,1)))</f>
        <v>2.98612820695177</v>
      </c>
      <c r="R348" s="489">
        <f>LN(INDEX(Data!$B$2:$B$497,MATCH(N348,Data!$A$2:$A$497,1)))</f>
        <v>9.12024059441974</v>
      </c>
      <c r="S348" s="116">
        <f>IF(INDEX('Additional data'!$E$2:$E$699,MATCH(DATE(YEAR(N348),MONTH(N348),1),'Additional data'!$D$2:$D$699,0))=0,(INDEX('Additional data'!$E$2:$E$699,MATCH(DATE(YEAR(N348),MONTH(N348),1),'Additional data'!$D$2:$D$699,0)-1)+INDEX('Additional data'!$E$2:$E$699,MATCH(DATE(YEAR(N348),MONTH(N348),1),'Additional data'!$D$2:$D$699,0)+1))/2,INDEX('Additional data'!$E$2:$E$699,MATCH(DATE(YEAR(N348),MONTH(N348),1),'Additional data'!$D$2:$D$699,0)))</f>
        <v>6.92</v>
      </c>
      <c r="T348" s="425">
        <f>P348-P347</f>
        <v>0.0295770173436862</v>
      </c>
      <c r="U348" s="425">
        <f>Q348-Q347</f>
        <v>0.0313048498284125</v>
      </c>
      <c r="V348" s="425">
        <f>R348-R347</f>
        <v>0.0411713143306507</v>
      </c>
      <c r="W348" s="116">
        <f>S348-S347</f>
        <v>-0.64</v>
      </c>
      <c r="X348" s="425">
        <f>P348-P336</f>
        <v>0.197185579426104</v>
      </c>
      <c r="Y348" s="425">
        <f>Q348-Q336</f>
        <v>0.159242168683557</v>
      </c>
      <c r="Z348" s="425">
        <f>R348-R336</f>
        <v>0.0884170264976447</v>
      </c>
      <c r="AA348" s="116">
        <f>S348-S336</f>
        <v>-0.66</v>
      </c>
      <c r="AB348" s="425">
        <f>P348-P288</f>
        <v>0.0124635044449657</v>
      </c>
      <c r="AC348" s="425">
        <f>Q348-Q288</f>
        <v>0.658969173776614</v>
      </c>
      <c r="AD348" s="425">
        <f>R348-R288</f>
        <v>0.568935873374732</v>
      </c>
      <c r="AE348" s="235">
        <f>S348-S288</f>
        <v>-3.21</v>
      </c>
      <c r="AG348" s="554">
        <f>N348</f>
        <v>35308.0</v>
      </c>
      <c r="AH348" s="435">
        <f>IFERROR(INDEX('RBA 5Y yield'!$B$5:$B$661,MATCH(N348,'RBA 5Y yield'!$A$5:$A$661,1))*100,"")</f>
        <v>7.5927</v>
      </c>
      <c r="AI348" s="435">
        <f>IF(AND(ISNUMBER(AH348),ISNUMBER(AH347)),AH348-AH347,"")</f>
        <v>-0.753799999999999</v>
      </c>
      <c r="AJ348" s="435">
        <f>IF(AND(ISNUMBER(AH348),ISNUMBER(AH336)),AH348-AH336,"")</f>
        <v>-0.989</v>
      </c>
      <c r="AK348" s="435">
        <f>IF(AND(ISNUMBER(AH348),ISNUMBER(AH288)),AH348-AH288,"")</f>
        <v>-3.0473</v>
      </c>
      <c r="AL348" s="560">
        <f>IFERROR(LN(INDEX(Data!$B$2:$B$497,MATCH(N348,Data!$A$2:$A$497,1))/INDEX(Data!$B$2:$B$497,MATCH(N336,Data!$A$2:$A$497,1))),"")</f>
        <v>0.0884170264976441</v>
      </c>
      <c r="AM348" s="560">
        <f>IFERROR(LN(INDEX(Data!$C$2:$C$497,MATCH(N348,Data!$A$2:$A$497,1))/INDEX(Data!$C$2:$C$497,MATCH(N336,Data!$A$2:$A$497,1))),"")</f>
        <v>0.0937475726586772</v>
      </c>
      <c r="AN348" s="560">
        <f>IFERROR(LN(INDEX(Data!$D$2:$D$497,MATCH(N348,Data!$A$2:$A$497,1))/INDEX(Data!$D$2:$D$497,MATCH(N336,Data!$A$2:$A$497,1))),"")</f>
        <v>0.0715248497834397</v>
      </c>
      <c r="AO348" s="560">
        <f>IFERROR(LN(INDEX(Data!$E$2:$E$497,MATCH(N348,Data!$A$2:$A$497,1))/INDEX(Data!$E$2:$E$497,MATCH(N336,Data!$A$2:$A$497,1))),"")</f>
        <v>0.107208156474017</v>
      </c>
      <c r="AP348" s="560">
        <f>IFERROR(LN(INDEX(Data!$F$2:$F$497,MATCH(N348,Data!$A$2:$A$497,1))/INDEX(Data!$F$2:$F$497,MATCH(N336,Data!$A$2:$A$497,1))),"")</f>
        <v>0.258638555098459</v>
      </c>
      <c r="AQ348" s="560">
        <f>IFERROR(LN(INDEX(Data!$G$2:$G$497,MATCH(N348,Data!$A$2:$A$497,1))/INDEX(Data!$G$2:$G$497,MATCH(N336,Data!$A$2:$A$497,1))),"")</f>
        <v>0.0225494045234755</v>
      </c>
      <c r="AR348" s="560">
        <f>IFERROR(LN(INDEX(Data!$H$2:$H$497,MATCH(N348,Data!$A$2:$A$497,1))/INDEX(Data!$H$2:$H$497,MATCH(N336,Data!$A$2:$A$497,1))),"")</f>
      </c>
      <c r="AS348" s="560">
        <f>IFERROR(LN(INDEX(Data!$I$2:$I$497,MATCH(N348,Data!$A$2:$A$497,1))/INDEX(Data!$I$2:$I$497,MATCH(N336,Data!$A$2:$A$497,1))),"")</f>
      </c>
      <c r="AT348" s="560">
        <f>IFERROR(LN(INDEX(Data!$J$2:$J$497,MATCH(N348,Data!$A$2:$A$497,1))/INDEX(Data!$J$2:$J$497,MATCH(N336,Data!$A$2:$A$497,1))),"")</f>
        <v>0.118381719911185</v>
      </c>
      <c r="AU348" s="560">
        <f>IFERROR(LN(INDEX(Data!$K$2:$K$497,MATCH(N348,Data!$A$2:$A$497,1))/INDEX(Data!$K$2:$K$497,MATCH(N336,Data!$A$2:$A$497,1))),"")</f>
        <v>0.0941387830461312</v>
      </c>
      <c r="AV348" s="561">
        <f>IFERROR(LN(INDEX(Data!$L$2:$L$497,MATCH(N348,Data!$A$2:$A$497,1))/INDEX(Data!$L$2:$L$497,MATCH(N336,Data!$A$2:$A$497,1))),"")</f>
        <v>0.0748827877043265</v>
      </c>
    </row>
    <row r="349">
      <c r="N349" s="337" t="n">
        <v>35338</v>
      </c>
      <c r="O349" s="116">
        <f>INDEX('Additional data'!$B$2:$B$965,MATCH(DATE(YEAR(N349),MONTH(N349),1),'Additional data'!$A$2:$A$965,0))</f>
        <v>23.99</v>
      </c>
      <c r="P349" s="489">
        <f>LN(O349)</f>
        <v>3.1776370768516</v>
      </c>
      <c r="Q349" s="489">
        <f>Q348+LN(1+INDEX('Additional data'!$H$2:$H$1196,MATCH(N349,'Additional data'!$G$2:$G$1196,1))+INDEX('Additional data'!$I$2:$I$1196,MATCH(N349,'Additional data'!$G$2:$G$1196,1)))</f>
        <v>3.03919492788846</v>
      </c>
      <c r="R349" s="489">
        <f>LN(INDEX(Data!$B$2:$B$497,MATCH(N349,Data!$A$2:$A$497,1)))</f>
        <v>9.13385881586873</v>
      </c>
      <c r="S349" s="116">
        <f>IF(INDEX('Additional data'!$E$2:$E$699,MATCH(DATE(YEAR(N349),MONTH(N349),1),'Additional data'!$D$2:$D$699,0))=0,(INDEX('Additional data'!$E$2:$E$699,MATCH(DATE(YEAR(N349),MONTH(N349),1),'Additional data'!$D$2:$D$699,0)-1)+INDEX('Additional data'!$E$2:$E$699,MATCH(DATE(YEAR(N349),MONTH(N349),1),'Additional data'!$D$2:$D$699,0)+1))/2,INDEX('Additional data'!$E$2:$E$699,MATCH(DATE(YEAR(N349),MONTH(N349),1),'Additional data'!$D$2:$D$699,0)))</f>
        <v>6.91</v>
      </c>
      <c r="T349" s="425">
        <f>P349-P348</f>
        <v>0.0884144602102732</v>
      </c>
      <c r="U349" s="425">
        <f>Q349-Q348</f>
        <v>0.0530667209366924</v>
      </c>
      <c r="V349" s="425">
        <f>R349-R348</f>
        <v>0.0136182214489953</v>
      </c>
      <c r="W349" s="116">
        <f>S349-S348</f>
        <v>-0.00999999999999979</v>
      </c>
      <c r="X349" s="425">
        <f>P349-P337</f>
        <v>0.274568488161032</v>
      </c>
      <c r="Y349" s="425">
        <f>Q349-Q337</f>
        <v>0.175109448631143</v>
      </c>
      <c r="Z349" s="425">
        <f>R349-R337</f>
        <v>0.0984196000830213</v>
      </c>
      <c r="AA349" s="116">
        <f>S349-S337</f>
        <v>-0.58</v>
      </c>
      <c r="AB349" s="425">
        <f>P349-P289</f>
        <v>0.093115840483553</v>
      </c>
      <c r="AC349" s="425">
        <f>Q349-Q289</f>
        <v>0.723400224792356</v>
      </c>
      <c r="AD349" s="425">
        <f>R349-R289</f>
        <v>0.56646692891975</v>
      </c>
      <c r="AE349" s="235">
        <f>S349-S289</f>
        <v>-2.67</v>
      </c>
      <c r="AG349" s="554">
        <f>N349</f>
        <v>35338.0</v>
      </c>
      <c r="AH349" s="435">
        <f>IFERROR(INDEX('RBA 5Y yield'!$B$5:$B$661,MATCH(N349,'RBA 5Y yield'!$A$5:$A$661,1))*100,"")</f>
        <v>7.5729</v>
      </c>
      <c r="AI349" s="435">
        <f>IF(AND(ISNUMBER(AH349),ISNUMBER(AH348)),AH349-AH348,"")</f>
        <v>-0.0197999999999992</v>
      </c>
      <c r="AJ349" s="435">
        <f>IF(AND(ISNUMBER(AH349),ISNUMBER(AH337)),AH349-AH337,"")</f>
        <v>-0.5961</v>
      </c>
      <c r="AK349" s="435">
        <f>IF(AND(ISNUMBER(AH349),ISNUMBER(AH289)),AH349-AH289,"")</f>
        <v>-2.4571</v>
      </c>
      <c r="AL349" s="560">
        <f>IFERROR(LN(INDEX(Data!$B$2:$B$497,MATCH(N349,Data!$A$2:$A$497,1))/INDEX(Data!$B$2:$B$497,MATCH(N337,Data!$A$2:$A$497,1))),"")</f>
        <v>0.0984196000830216</v>
      </c>
      <c r="AM349" s="560">
        <f>IFERROR(LN(INDEX(Data!$C$2:$C$497,MATCH(N349,Data!$A$2:$A$497,1))/INDEX(Data!$C$2:$C$497,MATCH(N337,Data!$A$2:$A$497,1))),"")</f>
        <v>0.122752396937503</v>
      </c>
      <c r="AN349" s="560">
        <f>IFERROR(LN(INDEX(Data!$D$2:$D$497,MATCH(N349,Data!$A$2:$A$497,1))/INDEX(Data!$D$2:$D$497,MATCH(N337,Data!$A$2:$A$497,1))),"")</f>
        <v>0.0857392001591737</v>
      </c>
      <c r="AO349" s="560">
        <f>IFERROR(LN(INDEX(Data!$E$2:$E$497,MATCH(N349,Data!$A$2:$A$497,1))/INDEX(Data!$E$2:$E$497,MATCH(N337,Data!$A$2:$A$497,1))),"")</f>
        <v>0.108053123191931</v>
      </c>
      <c r="AP349" s="560">
        <f>IFERROR(LN(INDEX(Data!$F$2:$F$497,MATCH(N349,Data!$A$2:$A$497,1))/INDEX(Data!$F$2:$F$497,MATCH(N337,Data!$A$2:$A$497,1))),"")</f>
        <v>0.291796134047645</v>
      </c>
      <c r="AQ349" s="560">
        <f>IFERROR(LN(INDEX(Data!$G$2:$G$497,MATCH(N349,Data!$A$2:$A$497,1))/INDEX(Data!$G$2:$G$497,MATCH(N337,Data!$A$2:$A$497,1))),"")</f>
        <v>0.0243110606342215</v>
      </c>
      <c r="AR349" s="560">
        <f>IFERROR(LN(INDEX(Data!$H$2:$H$497,MATCH(N349,Data!$A$2:$A$497,1))/INDEX(Data!$H$2:$H$497,MATCH(N337,Data!$A$2:$A$497,1))),"")</f>
      </c>
      <c r="AS349" s="560">
        <f>IFERROR(LN(INDEX(Data!$I$2:$I$497,MATCH(N349,Data!$A$2:$A$497,1))/INDEX(Data!$I$2:$I$497,MATCH(N337,Data!$A$2:$A$497,1))),"")</f>
      </c>
      <c r="AT349" s="560">
        <f>IFERROR(LN(INDEX(Data!$J$2:$J$497,MATCH(N349,Data!$A$2:$A$497,1))/INDEX(Data!$J$2:$J$497,MATCH(N337,Data!$A$2:$A$497,1))),"")</f>
        <v>0.115016426219632</v>
      </c>
      <c r="AU349" s="560">
        <f>IFERROR(LN(INDEX(Data!$K$2:$K$497,MATCH(N349,Data!$A$2:$A$497,1))/INDEX(Data!$K$2:$K$497,MATCH(N337,Data!$A$2:$A$497,1))),"")</f>
        <v>0.102040237619306</v>
      </c>
      <c r="AV349" s="561">
        <f>IFERROR(LN(INDEX(Data!$L$2:$L$497,MATCH(N349,Data!$A$2:$A$497,1))/INDEX(Data!$L$2:$L$497,MATCH(N337,Data!$A$2:$A$497,1))),"")</f>
        <v>0.0744219716343579</v>
      </c>
    </row>
    <row r="350">
      <c r="N350" s="337" t="n">
        <v>35369</v>
      </c>
      <c r="O350" s="116">
        <f>INDEX('Additional data'!$B$2:$B$965,MATCH(DATE(YEAR(N350),MONTH(N350),1),'Additional data'!$A$2:$A$965,0))</f>
        <v>24.9</v>
      </c>
      <c r="P350" s="489">
        <f>LN(O350)</f>
        <v>3.21486780347066</v>
      </c>
      <c r="Q350" s="489">
        <f>Q349+LN(1+INDEX('Additional data'!$H$2:$H$1196,MATCH(N350,'Additional data'!$G$2:$G$1196,1))+INDEX('Additional data'!$I$2:$I$1196,MATCH(N350,'Additional data'!$G$2:$G$1196,1)))</f>
        <v>3.05201243159908</v>
      </c>
      <c r="R350" s="489">
        <f>LN(INDEX(Data!$B$2:$B$497,MATCH(N350,Data!$A$2:$A$497,1)))</f>
        <v>9.17007030844733</v>
      </c>
      <c r="S350" s="116">
        <f>IF(INDEX('Additional data'!$E$2:$E$699,MATCH(DATE(YEAR(N350),MONTH(N350),1),'Additional data'!$D$2:$D$699,0))=0,(INDEX('Additional data'!$E$2:$E$699,MATCH(DATE(YEAR(N350),MONTH(N350),1),'Additional data'!$D$2:$D$699,0)-1)+INDEX('Additional data'!$E$2:$E$699,MATCH(DATE(YEAR(N350),MONTH(N350),1),'Additional data'!$D$2:$D$699,0)+1))/2,INDEX('Additional data'!$E$2:$E$699,MATCH(DATE(YEAR(N350),MONTH(N350),1),'Additional data'!$D$2:$D$699,0)))</f>
        <v>6.7</v>
      </c>
      <c r="T350" s="425">
        <f>P350-P349</f>
        <v>0.0372307266190588</v>
      </c>
      <c r="U350" s="425">
        <f>Q350-Q349</f>
        <v>0.0128175037106142</v>
      </c>
      <c r="V350" s="425">
        <f>R350-R349</f>
        <v>0.0362114925785928</v>
      </c>
      <c r="W350" s="116">
        <f>S350-S349</f>
        <v>-0.21</v>
      </c>
      <c r="X350" s="425">
        <f>P350-P338</f>
        <v>0.356101384989828</v>
      </c>
      <c r="Y350" s="425">
        <f>Q350-Q338</f>
        <v>0.198381410245616</v>
      </c>
      <c r="Z350" s="425">
        <f>R350-R338</f>
        <v>0.159388921662542</v>
      </c>
      <c r="AA350" s="116">
        <f>S350-S338</f>
        <v>-0.77</v>
      </c>
      <c r="AB350" s="425">
        <f>P350-P290</f>
        <v>0.0695093559608586</v>
      </c>
      <c r="AC350" s="425">
        <f>Q350-Q290</f>
        <v>0.719262287853557</v>
      </c>
      <c r="AD350" s="425">
        <f>R350-R290</f>
        <v>0.521831310918927</v>
      </c>
      <c r="AE350" s="235">
        <f>S350-S290</f>
        <v>-2.27</v>
      </c>
      <c r="AG350" s="554">
        <f>N350</f>
        <v>35369.0</v>
      </c>
      <c r="AH350" s="435">
        <f>IFERROR(INDEX('RBA 5Y yield'!$B$5:$B$661,MATCH(N350,'RBA 5Y yield'!$A$5:$A$661,1))*100,"")</f>
        <v>7.1691</v>
      </c>
      <c r="AI350" s="435">
        <f>IF(AND(ISNUMBER(AH350),ISNUMBER(AH349)),AH350-AH349,"")</f>
        <v>-0.4038</v>
      </c>
      <c r="AJ350" s="435">
        <f>IF(AND(ISNUMBER(AH350),ISNUMBER(AH338)),AH350-AH338,"")</f>
        <v>-0.874499999999999</v>
      </c>
      <c r="AK350" s="435">
        <f>IF(AND(ISNUMBER(AH350),ISNUMBER(AH290)),AH350-AH290,"")</f>
        <v>-1.7909</v>
      </c>
      <c r="AL350" s="560">
        <f>IFERROR(LN(INDEX(Data!$B$2:$B$497,MATCH(N350,Data!$A$2:$A$497,1))/INDEX(Data!$B$2:$B$497,MATCH(N338,Data!$A$2:$A$497,1))),"")</f>
        <v>0.159388921662542</v>
      </c>
      <c r="AM350" s="560">
        <f>IFERROR(LN(INDEX(Data!$C$2:$C$497,MATCH(N350,Data!$A$2:$A$497,1))/INDEX(Data!$C$2:$C$497,MATCH(N338,Data!$A$2:$A$497,1))),"")</f>
        <v>0.143157447979262</v>
      </c>
      <c r="AN350" s="560">
        <f>IFERROR(LN(INDEX(Data!$D$2:$D$497,MATCH(N350,Data!$A$2:$A$497,1))/INDEX(Data!$D$2:$D$497,MATCH(N338,Data!$A$2:$A$497,1))),"")</f>
        <v>0.0997476306672172</v>
      </c>
      <c r="AO350" s="560">
        <f>IFERROR(LN(INDEX(Data!$E$2:$E$497,MATCH(N350,Data!$A$2:$A$497,1))/INDEX(Data!$E$2:$E$497,MATCH(N338,Data!$A$2:$A$497,1))),"")</f>
        <v>0.144991334496274</v>
      </c>
      <c r="AP350" s="560">
        <f>IFERROR(LN(INDEX(Data!$F$2:$F$497,MATCH(N350,Data!$A$2:$A$497,1))/INDEX(Data!$F$2:$F$497,MATCH(N338,Data!$A$2:$A$497,1))),"")</f>
        <v>0.28481680317655</v>
      </c>
      <c r="AQ350" s="560">
        <f>IFERROR(LN(INDEX(Data!$G$2:$G$497,MATCH(N350,Data!$A$2:$A$497,1))/INDEX(Data!$G$2:$G$497,MATCH(N338,Data!$A$2:$A$497,1))),"")</f>
        <v>0.0243110606342215</v>
      </c>
      <c r="AR350" s="560">
        <f>IFERROR(LN(INDEX(Data!$H$2:$H$497,MATCH(N350,Data!$A$2:$A$497,1))/INDEX(Data!$H$2:$H$497,MATCH(N338,Data!$A$2:$A$497,1))),"")</f>
      </c>
      <c r="AS350" s="560">
        <f>IFERROR(LN(INDEX(Data!$I$2:$I$497,MATCH(N350,Data!$A$2:$A$497,1))/INDEX(Data!$I$2:$I$497,MATCH(N338,Data!$A$2:$A$497,1))),"")</f>
      </c>
      <c r="AT350" s="560">
        <f>IFERROR(LN(INDEX(Data!$J$2:$J$497,MATCH(N350,Data!$A$2:$A$497,1))/INDEX(Data!$J$2:$J$497,MATCH(N338,Data!$A$2:$A$497,1))),"")</f>
        <v>0.135951299886896</v>
      </c>
      <c r="AU350" s="560">
        <f>IFERROR(LN(INDEX(Data!$K$2:$K$497,MATCH(N350,Data!$A$2:$A$497,1))/INDEX(Data!$K$2:$K$497,MATCH(N338,Data!$A$2:$A$497,1))),"")</f>
        <v>0.108706202355619</v>
      </c>
      <c r="AV350" s="561">
        <f>IFERROR(LN(INDEX(Data!$L$2:$L$497,MATCH(N350,Data!$A$2:$A$497,1))/INDEX(Data!$L$2:$L$497,MATCH(N338,Data!$A$2:$A$497,1))),"")</f>
        <v>0.074005569164131</v>
      </c>
    </row>
    <row r="351">
      <c r="N351" s="337" t="n">
        <v>35399</v>
      </c>
      <c r="O351" s="116">
        <f>INDEX('Additional data'!$B$2:$B$965,MATCH(DATE(YEAR(N351),MONTH(N351),1),'Additional data'!$A$2:$A$965,0))</f>
        <v>23.71</v>
      </c>
      <c r="P351" s="489">
        <f>LN(O351)</f>
        <v>3.16589690007731</v>
      </c>
      <c r="Q351" s="489">
        <f>Q350+LN(1+INDEX('Additional data'!$H$2:$H$1196,MATCH(N351,'Additional data'!$G$2:$G$1196,1))+INDEX('Additional data'!$I$2:$I$1196,MATCH(N351,'Additional data'!$G$2:$G$1196,1)))</f>
        <v>3.11648845078344</v>
      </c>
      <c r="R351" s="489">
        <f>LN(INDEX(Data!$B$2:$B$497,MATCH(N351,Data!$A$2:$A$497,1)))</f>
        <v>9.18888177431761</v>
      </c>
      <c r="S351" s="116">
        <f>IF(INDEX('Additional data'!$E$2:$E$699,MATCH(DATE(YEAR(N351),MONTH(N351),1),'Additional data'!$D$2:$D$699,0))=0,(INDEX('Additional data'!$E$2:$E$699,MATCH(DATE(YEAR(N351),MONTH(N351),1),'Additional data'!$D$2:$D$699,0)-1)+INDEX('Additional data'!$E$2:$E$699,MATCH(DATE(YEAR(N351),MONTH(N351),1),'Additional data'!$D$2:$D$699,0)+1))/2,INDEX('Additional data'!$E$2:$E$699,MATCH(DATE(YEAR(N351),MONTH(N351),1),'Additional data'!$D$2:$D$699,0)))</f>
        <v>6.45</v>
      </c>
      <c r="T351" s="425">
        <f>P351-P350</f>
        <v>-0.0489709033933479</v>
      </c>
      <c r="U351" s="425">
        <f>Q351-Q350</f>
        <v>0.0644760191843647</v>
      </c>
      <c r="V351" s="425">
        <f>R351-R350</f>
        <v>0.0188114658702876</v>
      </c>
      <c r="W351" s="116">
        <f>S351-S350</f>
        <v>-0.25</v>
      </c>
      <c r="X351" s="425">
        <f>P351-P339</f>
        <v>0.276080852114872</v>
      </c>
      <c r="Y351" s="425">
        <f>Q351-Q339</f>
        <v>0.219989529202805</v>
      </c>
      <c r="Z351" s="425">
        <f>R351-R339</f>
        <v>0.134879472764125</v>
      </c>
      <c r="AA351" s="116">
        <f>S351-S339</f>
        <v>-1.01</v>
      </c>
      <c r="AB351" s="425">
        <f>P351-P291</f>
        <v>0.0539383575551908</v>
      </c>
      <c r="AC351" s="425">
        <f>Q351-Q291</f>
        <v>0.822583090861489</v>
      </c>
      <c r="AD351" s="425">
        <f>R351-R291</f>
        <v>0.582012426259601</v>
      </c>
      <c r="AE351" s="235">
        <f>S351-S291</f>
        <v>-1.89</v>
      </c>
      <c r="AG351" s="554">
        <f>N351</f>
        <v>35399.0</v>
      </c>
      <c r="AH351" s="435">
        <f>IFERROR(INDEX('RBA 5Y yield'!$B$5:$B$661,MATCH(N351,'RBA 5Y yield'!$A$5:$A$661,1))*100,"")</f>
        <v>6.8386</v>
      </c>
      <c r="AI351" s="435">
        <f>IF(AND(ISNUMBER(AH351),ISNUMBER(AH350)),AH351-AH350,"")</f>
        <v>-0.3305</v>
      </c>
      <c r="AJ351" s="435">
        <f>IF(AND(ISNUMBER(AH351),ISNUMBER(AH339)),AH351-AH339,"")</f>
        <v>-1.1991</v>
      </c>
      <c r="AK351" s="435">
        <f>IF(AND(ISNUMBER(AH351),ISNUMBER(AH291)),AH351-AH291,"")</f>
        <v>-2.1414</v>
      </c>
      <c r="AL351" s="560">
        <f>IFERROR(LN(INDEX(Data!$B$2:$B$497,MATCH(N351,Data!$A$2:$A$497,1))/INDEX(Data!$B$2:$B$497,MATCH(N339,Data!$A$2:$A$497,1))),"")</f>
        <v>0.134879472764124</v>
      </c>
      <c r="AM351" s="560">
        <f>IFERROR(LN(INDEX(Data!$C$2:$C$497,MATCH(N351,Data!$A$2:$A$497,1))/INDEX(Data!$C$2:$C$497,MATCH(N339,Data!$A$2:$A$497,1))),"")</f>
        <v>0.108629694155079</v>
      </c>
      <c r="AN351" s="560">
        <f>IFERROR(LN(INDEX(Data!$D$2:$D$497,MATCH(N351,Data!$A$2:$A$497,1))/INDEX(Data!$D$2:$D$497,MATCH(N339,Data!$A$2:$A$497,1))),"")</f>
        <v>0.0715233361470044</v>
      </c>
      <c r="AO351" s="560">
        <f>IFERROR(LN(INDEX(Data!$E$2:$E$497,MATCH(N351,Data!$A$2:$A$497,1))/INDEX(Data!$E$2:$E$497,MATCH(N339,Data!$A$2:$A$497,1))),"")</f>
        <v>0.14374494265634</v>
      </c>
      <c r="AP351" s="560">
        <f>IFERROR(LN(INDEX(Data!$F$2:$F$497,MATCH(N351,Data!$A$2:$A$497,1))/INDEX(Data!$F$2:$F$497,MATCH(N339,Data!$A$2:$A$497,1))),"")</f>
        <v>0.28861937859396</v>
      </c>
      <c r="AQ351" s="560">
        <f>IFERROR(LN(INDEX(Data!$G$2:$G$497,MATCH(N351,Data!$A$2:$A$497,1))/INDEX(Data!$G$2:$G$497,MATCH(N339,Data!$A$2:$A$497,1))),"")</f>
        <v>0.0243110606342215</v>
      </c>
      <c r="AR351" s="560">
        <f>IFERROR(LN(INDEX(Data!$H$2:$H$497,MATCH(N351,Data!$A$2:$A$497,1))/INDEX(Data!$H$2:$H$497,MATCH(N339,Data!$A$2:$A$497,1))),"")</f>
      </c>
      <c r="AS351" s="560">
        <f>IFERROR(LN(INDEX(Data!$I$2:$I$497,MATCH(N351,Data!$A$2:$A$497,1))/INDEX(Data!$I$2:$I$497,MATCH(N339,Data!$A$2:$A$497,1))),"")</f>
      </c>
      <c r="AT351" s="560">
        <f>IFERROR(LN(INDEX(Data!$J$2:$J$497,MATCH(N351,Data!$A$2:$A$497,1))/INDEX(Data!$J$2:$J$497,MATCH(N339,Data!$A$2:$A$497,1))),"")</f>
        <v>0.116916825697572</v>
      </c>
      <c r="AU351" s="560">
        <f>IFERROR(LN(INDEX(Data!$K$2:$K$497,MATCH(N351,Data!$A$2:$A$497,1))/INDEX(Data!$K$2:$K$497,MATCH(N339,Data!$A$2:$A$497,1))),"")</f>
        <v>0.108661476237123</v>
      </c>
      <c r="AV351" s="561">
        <f>IFERROR(LN(INDEX(Data!$L$2:$L$497,MATCH(N351,Data!$A$2:$A$497,1))/INDEX(Data!$L$2:$L$497,MATCH(N339,Data!$A$2:$A$497,1))),"")</f>
        <v>0.0734026161601394</v>
      </c>
    </row>
    <row r="352">
      <c r="N352" s="337" t="n">
        <v>35430</v>
      </c>
      <c r="O352" s="116">
        <f>INDEX('Additional data'!$B$2:$B$965,MATCH(DATE(YEAR(N352),MONTH(N352),1),'Additional data'!$A$2:$A$965,0))</f>
        <v>25.39</v>
      </c>
      <c r="P352" s="489">
        <f>LN(O352)</f>
        <v>3.23435539571659</v>
      </c>
      <c r="Q352" s="489">
        <f>Q351+LN(1+INDEX('Additional data'!$H$2:$H$1196,MATCH(N352,'Additional data'!$G$2:$G$1196,1))+INDEX('Additional data'!$I$2:$I$1196,MATCH(N352,'Additional data'!$G$2:$G$1196,1)))</f>
        <v>3.10401092927233</v>
      </c>
      <c r="R352" s="489">
        <f>LN(INDEX(Data!$B$2:$B$497,MATCH(N352,Data!$A$2:$A$497,1)))</f>
        <v>9.21189915644018</v>
      </c>
      <c r="S352" s="116">
        <f>IF(INDEX('Additional data'!$E$2:$E$699,MATCH(DATE(YEAR(N352),MONTH(N352),1),'Additional data'!$D$2:$D$699,0))=0,(INDEX('Additional data'!$E$2:$E$699,MATCH(DATE(YEAR(N352),MONTH(N352),1),'Additional data'!$D$2:$D$699,0)-1)+INDEX('Additional data'!$E$2:$E$699,MATCH(DATE(YEAR(N352),MONTH(N352),1),'Additional data'!$D$2:$D$699,0)+1))/2,INDEX('Additional data'!$E$2:$E$699,MATCH(DATE(YEAR(N352),MONTH(N352),1),'Additional data'!$D$2:$D$699,0)))</f>
        <v>6.13</v>
      </c>
      <c r="T352" s="425">
        <f>P352-P351</f>
        <v>0.0684584956392729</v>
      </c>
      <c r="U352" s="425">
        <f>Q352-Q351</f>
        <v>-0.0124775215111126</v>
      </c>
      <c r="V352" s="425">
        <f>R352-R351</f>
        <v>0.0230173821225623</v>
      </c>
      <c r="W352" s="116">
        <f>S352-S351</f>
        <v>-0.32</v>
      </c>
      <c r="X352" s="425">
        <f>P352-P340</f>
        <v>0.287813366353368</v>
      </c>
      <c r="Y352" s="425">
        <f>Q352-Q340</f>
        <v>0.192327872366653</v>
      </c>
      <c r="Z352" s="425">
        <f>R352-R340</f>
        <v>0.134027884378405</v>
      </c>
      <c r="AA352" s="116">
        <f>S352-S340</f>
        <v>-1.3</v>
      </c>
      <c r="AB352" s="425">
        <f>P352-P292</f>
        <v>0.263069515067522</v>
      </c>
      <c r="AC352" s="425">
        <f>Q352-Q292</f>
        <v>0.70367562573453</v>
      </c>
      <c r="AD352" s="425">
        <f>R352-R292</f>
        <v>0.575164476352692</v>
      </c>
      <c r="AE352" s="235">
        <f>S352-S292</f>
        <v>-1.71</v>
      </c>
      <c r="AG352" s="554">
        <f>N352</f>
        <v>35430.0</v>
      </c>
      <c r="AH352" s="435">
        <f>IFERROR(INDEX('RBA 5Y yield'!$B$5:$B$661,MATCH(N352,'RBA 5Y yield'!$A$5:$A$661,1))*100,"")</f>
        <v>6.9265</v>
      </c>
      <c r="AI352" s="435">
        <f>IF(AND(ISNUMBER(AH352),ISNUMBER(AH351)),AH352-AH351,"")</f>
        <v>0.0878999999999985</v>
      </c>
      <c r="AJ352" s="435">
        <f>IF(AND(ISNUMBER(AH352),ISNUMBER(AH340)),AH352-AH340,"")</f>
        <v>-0.926100000000001</v>
      </c>
      <c r="AK352" s="435">
        <f>IF(AND(ISNUMBER(AH352),ISNUMBER(AH292)),AH352-AH292,"")</f>
        <v>-1.2935</v>
      </c>
      <c r="AL352" s="560">
        <f>IFERROR(LN(INDEX(Data!$B$2:$B$497,MATCH(N352,Data!$A$2:$A$497,1))/INDEX(Data!$B$2:$B$497,MATCH(N340,Data!$A$2:$A$497,1))),"")</f>
        <v>0.134027884378406</v>
      </c>
      <c r="AM352" s="560">
        <f>IFERROR(LN(INDEX(Data!$C$2:$C$497,MATCH(N352,Data!$A$2:$A$497,1))/INDEX(Data!$C$2:$C$497,MATCH(N340,Data!$A$2:$A$497,1))),"")</f>
        <v>0.0927238003898634</v>
      </c>
      <c r="AN352" s="560">
        <f>IFERROR(LN(INDEX(Data!$D$2:$D$497,MATCH(N352,Data!$A$2:$A$497,1))/INDEX(Data!$D$2:$D$497,MATCH(N340,Data!$A$2:$A$497,1))),"")</f>
        <v>0.0612866250518605</v>
      </c>
      <c r="AO352" s="560">
        <f>IFERROR(LN(INDEX(Data!$E$2:$E$497,MATCH(N352,Data!$A$2:$A$497,1))/INDEX(Data!$E$2:$E$497,MATCH(N340,Data!$A$2:$A$497,1))),"")</f>
        <v>0.190127914729025</v>
      </c>
      <c r="AP352" s="560">
        <f>IFERROR(LN(INDEX(Data!$F$2:$F$497,MATCH(N352,Data!$A$2:$A$497,1))/INDEX(Data!$F$2:$F$497,MATCH(N340,Data!$A$2:$A$497,1))),"")</f>
        <v>0.226494630030409</v>
      </c>
      <c r="AQ352" s="560">
        <f>IFERROR(LN(INDEX(Data!$G$2:$G$497,MATCH(N352,Data!$A$2:$A$497,1))/INDEX(Data!$G$2:$G$497,MATCH(N340,Data!$A$2:$A$497,1))),"")</f>
        <v>0.028679589281427</v>
      </c>
      <c r="AR352" s="560">
        <f>IFERROR(LN(INDEX(Data!$H$2:$H$497,MATCH(N352,Data!$A$2:$A$497,1))/INDEX(Data!$H$2:$H$497,MATCH(N340,Data!$A$2:$A$497,1))),"")</f>
      </c>
      <c r="AS352" s="560">
        <f>IFERROR(LN(INDEX(Data!$I$2:$I$497,MATCH(N352,Data!$A$2:$A$497,1))/INDEX(Data!$I$2:$I$497,MATCH(N340,Data!$A$2:$A$497,1))),"")</f>
      </c>
      <c r="AT352" s="560">
        <f>IFERROR(LN(INDEX(Data!$J$2:$J$497,MATCH(N352,Data!$A$2:$A$497,1))/INDEX(Data!$J$2:$J$497,MATCH(N340,Data!$A$2:$A$497,1))),"")</f>
        <v>0.11219412925852</v>
      </c>
      <c r="AU352" s="560">
        <f>IFERROR(LN(INDEX(Data!$K$2:$K$497,MATCH(N352,Data!$A$2:$A$497,1))/INDEX(Data!$K$2:$K$497,MATCH(N340,Data!$A$2:$A$497,1))),"")</f>
        <v>0.0905385559287141</v>
      </c>
      <c r="AV352" s="561">
        <f>IFERROR(LN(INDEX(Data!$L$2:$L$497,MATCH(N352,Data!$A$2:$A$497,1))/INDEX(Data!$L$2:$L$497,MATCH(N340,Data!$A$2:$A$497,1))),"")</f>
        <v>0.0729468507387237</v>
      </c>
    </row>
    <row r="353">
      <c r="N353" s="337" t="n">
        <v>35461</v>
      </c>
      <c r="O353" s="116">
        <f>INDEX('Additional data'!$B$2:$B$965,MATCH(DATE(YEAR(N353),MONTH(N353),1),'Additional data'!$A$2:$A$965,0))</f>
        <v>25.17</v>
      </c>
      <c r="P353" s="489">
        <f>LN(O353)</f>
        <v>3.22565280914722</v>
      </c>
      <c r="Q353" s="489">
        <f>Q352+LN(1+INDEX('Additional data'!$H$2:$H$1196,MATCH(N353,'Additional data'!$G$2:$G$1196,1))+INDEX('Additional data'!$I$2:$I$1196,MATCH(N353,'Additional data'!$G$2:$G$1196,1)))</f>
        <v>3.15669825155133</v>
      </c>
      <c r="R353" s="489">
        <f>LN(INDEX(Data!$B$2:$B$497,MATCH(N353,Data!$A$2:$A$497,1)))</f>
        <v>9.21327605862828</v>
      </c>
      <c r="S353" s="116">
        <f>IF(INDEX('Additional data'!$E$2:$E$699,MATCH(DATE(YEAR(N353),MONTH(N353),1),'Additional data'!$D$2:$D$699,0))=0,(INDEX('Additional data'!$E$2:$E$699,MATCH(DATE(YEAR(N353),MONTH(N353),1),'Additional data'!$D$2:$D$699,0)-1)+INDEX('Additional data'!$E$2:$E$699,MATCH(DATE(YEAR(N353),MONTH(N353),1),'Additional data'!$D$2:$D$699,0)+1))/2,INDEX('Additional data'!$E$2:$E$699,MATCH(DATE(YEAR(N353),MONTH(N353),1),'Additional data'!$D$2:$D$699,0)))</f>
        <v>5.82</v>
      </c>
      <c r="T353" s="425">
        <f>P353-P352</f>
        <v>-0.0087025865693624</v>
      </c>
      <c r="U353" s="425">
        <f>Q353-Q352</f>
        <v>0.0526873222790063</v>
      </c>
      <c r="V353" s="425">
        <f>R353-R352</f>
        <v>0.00137690218810071</v>
      </c>
      <c r="W353" s="116">
        <f>S353-S352</f>
        <v>-0.31</v>
      </c>
      <c r="X353" s="425">
        <f>P353-P341</f>
        <v>0.28754964842987</v>
      </c>
      <c r="Y353" s="425">
        <f>Q353-Q341</f>
        <v>0.218470639423547</v>
      </c>
      <c r="Z353" s="425">
        <f>R353-R341</f>
        <v>0.102413539151764</v>
      </c>
      <c r="AA353" s="116">
        <f>S353-S341</f>
        <v>-1.64</v>
      </c>
      <c r="AB353" s="425">
        <f>P353-P293</f>
        <v>0.290732674989991</v>
      </c>
      <c r="AC353" s="425">
        <f>Q353-Q293</f>
        <v>0.758866078231654</v>
      </c>
      <c r="AD353" s="425">
        <f>R353-R293</f>
        <v>0.592768443373151</v>
      </c>
      <c r="AE353" s="235">
        <f>S353-S293</f>
        <v>-1.63</v>
      </c>
      <c r="AG353" s="554">
        <f>N353</f>
        <v>35461.0</v>
      </c>
      <c r="AH353" s="435">
        <f>IFERROR(INDEX('RBA 5Y yield'!$B$5:$B$661,MATCH(N353,'RBA 5Y yield'!$A$5:$A$661,1))*100,"")</f>
        <v>6.9895</v>
      </c>
      <c r="AI353" s="435">
        <f>IF(AND(ISNUMBER(AH353),ISNUMBER(AH352)),AH353-AH352,"")</f>
        <v>0.0630000000000006</v>
      </c>
      <c r="AJ353" s="435">
        <f>IF(AND(ISNUMBER(AH353),ISNUMBER(AH341)),AH353-AH341,"")</f>
        <v>-0.769500000000001</v>
      </c>
      <c r="AK353" s="435">
        <f>IF(AND(ISNUMBER(AH353),ISNUMBER(AH293)),AH353-AH293,"")</f>
        <v>-2.4305</v>
      </c>
      <c r="AL353" s="560">
        <f>IFERROR(LN(INDEX(Data!$B$2:$B$497,MATCH(N353,Data!$A$2:$A$497,1))/INDEX(Data!$B$2:$B$497,MATCH(N341,Data!$A$2:$A$497,1))),"")</f>
        <v>0.102413539151765</v>
      </c>
      <c r="AM353" s="560">
        <f>IFERROR(LN(INDEX(Data!$C$2:$C$497,MATCH(N353,Data!$A$2:$A$497,1))/INDEX(Data!$C$2:$C$497,MATCH(N341,Data!$A$2:$A$497,1))),"")</f>
        <v>0.136439248812675</v>
      </c>
      <c r="AN353" s="560">
        <f>IFERROR(LN(INDEX(Data!$D$2:$D$497,MATCH(N353,Data!$A$2:$A$497,1))/INDEX(Data!$D$2:$D$497,MATCH(N341,Data!$A$2:$A$497,1))),"")</f>
        <v>0.0965632453453596</v>
      </c>
      <c r="AO353" s="560">
        <f>IFERROR(LN(INDEX(Data!$E$2:$E$497,MATCH(N353,Data!$A$2:$A$497,1))/INDEX(Data!$E$2:$E$497,MATCH(N341,Data!$A$2:$A$497,1))),"")</f>
        <v>0.224529709888697</v>
      </c>
      <c r="AP353" s="560">
        <f>IFERROR(LN(INDEX(Data!$F$2:$F$497,MATCH(N353,Data!$A$2:$A$497,1))/INDEX(Data!$F$2:$F$497,MATCH(N341,Data!$A$2:$A$497,1))),"")</f>
        <v>0.25563349986886</v>
      </c>
      <c r="AQ353" s="560">
        <f>IFERROR(LN(INDEX(Data!$G$2:$G$497,MATCH(N353,Data!$A$2:$A$497,1))/INDEX(Data!$G$2:$G$497,MATCH(N341,Data!$A$2:$A$497,1))),"")</f>
        <v>0.028679589281427</v>
      </c>
      <c r="AR353" s="560">
        <f>IFERROR(LN(INDEX(Data!$H$2:$H$497,MATCH(N353,Data!$A$2:$A$497,1))/INDEX(Data!$H$2:$H$497,MATCH(N341,Data!$A$2:$A$497,1))),"")</f>
      </c>
      <c r="AS353" s="560">
        <f>IFERROR(LN(INDEX(Data!$I$2:$I$497,MATCH(N353,Data!$A$2:$A$497,1))/INDEX(Data!$I$2:$I$497,MATCH(N341,Data!$A$2:$A$497,1))),"")</f>
      </c>
      <c r="AT353" s="560">
        <f>IFERROR(LN(INDEX(Data!$J$2:$J$497,MATCH(N353,Data!$A$2:$A$497,1))/INDEX(Data!$J$2:$J$497,MATCH(N341,Data!$A$2:$A$497,1))),"")</f>
        <v>0.106925742704526</v>
      </c>
      <c r="AU353" s="560">
        <f>IFERROR(LN(INDEX(Data!$K$2:$K$497,MATCH(N353,Data!$A$2:$A$497,1))/INDEX(Data!$K$2:$K$497,MATCH(N341,Data!$A$2:$A$497,1))),"")</f>
        <v>0.0870526363916215</v>
      </c>
      <c r="AV353" s="561">
        <f>IFERROR(LN(INDEX(Data!$L$2:$L$497,MATCH(N353,Data!$A$2:$A$497,1))/INDEX(Data!$L$2:$L$497,MATCH(N341,Data!$A$2:$A$497,1))),"")</f>
        <v>0.071874231846071</v>
      </c>
    </row>
    <row r="354">
      <c r="N354" s="337" t="n">
        <v>35489</v>
      </c>
      <c r="O354" s="116">
        <f>INDEX('Additional data'!$B$2:$B$965,MATCH(DATE(YEAR(N354),MONTH(N354),1),'Additional data'!$A$2:$A$965,0))</f>
        <v>22.21</v>
      </c>
      <c r="P354" s="489">
        <f>LN(O354)</f>
        <v>3.10054263790634</v>
      </c>
      <c r="Q354" s="489">
        <f>Q353+LN(1+INDEX('Additional data'!$H$2:$H$1196,MATCH(N354,'Additional data'!$G$2:$G$1196,1))+INDEX('Additional data'!$I$2:$I$1196,MATCH(N354,'Additional data'!$G$2:$G$1196,1)))</f>
        <v>3.15579784630817</v>
      </c>
      <c r="R354" s="489">
        <f>LN(INDEX(Data!$B$2:$B$497,MATCH(N354,Data!$A$2:$A$497,1)))</f>
        <v>9.2239473753824</v>
      </c>
      <c r="S354" s="116">
        <f>IF(INDEX('Additional data'!$E$2:$E$699,MATCH(DATE(YEAR(N354),MONTH(N354),1),'Additional data'!$D$2:$D$699,0))=0,(INDEX('Additional data'!$E$2:$E$699,MATCH(DATE(YEAR(N354),MONTH(N354),1),'Additional data'!$D$2:$D$699,0)-1)+INDEX('Additional data'!$E$2:$E$699,MATCH(DATE(YEAR(N354),MONTH(N354),1),'Additional data'!$D$2:$D$699,0)+1))/2,INDEX('Additional data'!$E$2:$E$699,MATCH(DATE(YEAR(N354),MONTH(N354),1),'Additional data'!$D$2:$D$699,0)))</f>
        <v>5.91</v>
      </c>
      <c r="T354" s="425">
        <f>P354-P353</f>
        <v>-0.125110171240888</v>
      </c>
      <c r="U354" s="425">
        <f>Q354-Q353</f>
        <v>-0.000900405243164038</v>
      </c>
      <c r="V354" s="425">
        <f>R354-R353</f>
        <v>0.0106713167541237</v>
      </c>
      <c r="W354" s="116">
        <f>S354-S353</f>
        <v>0.0899999999999999</v>
      </c>
      <c r="X354" s="425">
        <f>P354-P342</f>
        <v>0.152426218294008</v>
      </c>
      <c r="Y354" s="425">
        <f>Q354-Q342</f>
        <v>0.200516479614555</v>
      </c>
      <c r="Z354" s="425">
        <f>R354-R342</f>
        <v>0.108687209656487</v>
      </c>
      <c r="AA354" s="116">
        <f>S354-S342</f>
        <v>-1.56</v>
      </c>
      <c r="AB354" s="425">
        <f>P354-P294</f>
        <v>0.156366851266747</v>
      </c>
      <c r="AC354" s="425">
        <f>Q354-Q294</f>
        <v>0.744457322963698</v>
      </c>
      <c r="AD354" s="425">
        <f>R354-R294</f>
        <v>0.606782160189233</v>
      </c>
      <c r="AE354" s="235">
        <f>S354-S294</f>
        <v>-1.61</v>
      </c>
      <c r="AG354" s="554">
        <f>N354</f>
        <v>35489.0</v>
      </c>
      <c r="AH354" s="435">
        <f>IFERROR(INDEX('RBA 5Y yield'!$B$5:$B$661,MATCH(N354,'RBA 5Y yield'!$A$5:$A$661,1))*100,"")</f>
        <v>7.0335</v>
      </c>
      <c r="AI354" s="435">
        <f>IF(AND(ISNUMBER(AH354),ISNUMBER(AH353)),AH354-AH353,"")</f>
        <v>0.0439999999999996</v>
      </c>
      <c r="AJ354" s="435">
        <f>IF(AND(ISNUMBER(AH354),ISNUMBER(AH342)),AH354-AH342,"")</f>
        <v>-0.853200000000001</v>
      </c>
      <c r="AK354" s="435">
        <f>IF(AND(ISNUMBER(AH354),ISNUMBER(AH294)),AH354-AH294,"")</f>
        <v>-2.3865</v>
      </c>
      <c r="AL354" s="560">
        <f>IFERROR(LN(INDEX(Data!$B$2:$B$497,MATCH(N354,Data!$A$2:$A$497,1))/INDEX(Data!$B$2:$B$497,MATCH(N342,Data!$A$2:$A$497,1))),"")</f>
        <v>0.108687209656487</v>
      </c>
      <c r="AM354" s="560">
        <f>IFERROR(LN(INDEX(Data!$C$2:$C$497,MATCH(N354,Data!$A$2:$A$497,1))/INDEX(Data!$C$2:$C$497,MATCH(N342,Data!$A$2:$A$497,1))),"")</f>
        <v>0.162192341270328</v>
      </c>
      <c r="AN354" s="560">
        <f>IFERROR(LN(INDEX(Data!$D$2:$D$497,MATCH(N354,Data!$A$2:$A$497,1))/INDEX(Data!$D$2:$D$497,MATCH(N342,Data!$A$2:$A$497,1))),"")</f>
        <v>0.156375797141185</v>
      </c>
      <c r="AO354" s="560">
        <f>IFERROR(LN(INDEX(Data!$E$2:$E$497,MATCH(N354,Data!$A$2:$A$497,1))/INDEX(Data!$E$2:$E$497,MATCH(N342,Data!$A$2:$A$497,1))),"")</f>
        <v>0.248200682679496</v>
      </c>
      <c r="AP354" s="560">
        <f>IFERROR(LN(INDEX(Data!$F$2:$F$497,MATCH(N354,Data!$A$2:$A$497,1))/INDEX(Data!$F$2:$F$497,MATCH(N342,Data!$A$2:$A$497,1))),"")</f>
        <v>0.153198749628521</v>
      </c>
      <c r="AQ354" s="560">
        <f>IFERROR(LN(INDEX(Data!$G$2:$G$497,MATCH(N354,Data!$A$2:$A$497,1))/INDEX(Data!$G$2:$G$497,MATCH(N342,Data!$A$2:$A$497,1))),"")</f>
        <v>0.028679589281427</v>
      </c>
      <c r="AR354" s="560">
        <f>IFERROR(LN(INDEX(Data!$H$2:$H$497,MATCH(N354,Data!$A$2:$A$497,1))/INDEX(Data!$H$2:$H$497,MATCH(N342,Data!$A$2:$A$497,1))),"")</f>
      </c>
      <c r="AS354" s="560">
        <f>IFERROR(LN(INDEX(Data!$I$2:$I$497,MATCH(N354,Data!$A$2:$A$497,1))/INDEX(Data!$I$2:$I$497,MATCH(N342,Data!$A$2:$A$497,1))),"")</f>
      </c>
      <c r="AT354" s="560">
        <f>IFERROR(LN(INDEX(Data!$J$2:$J$497,MATCH(N354,Data!$A$2:$A$497,1))/INDEX(Data!$J$2:$J$497,MATCH(N342,Data!$A$2:$A$497,1))),"")</f>
        <v>0.117726349728631</v>
      </c>
      <c r="AU354" s="560">
        <f>IFERROR(LN(INDEX(Data!$K$2:$K$497,MATCH(N354,Data!$A$2:$A$497,1))/INDEX(Data!$K$2:$K$497,MATCH(N342,Data!$A$2:$A$497,1))),"")</f>
        <v>0.104397501348848</v>
      </c>
      <c r="AV354" s="561">
        <f>IFERROR(LN(INDEX(Data!$L$2:$L$497,MATCH(N354,Data!$A$2:$A$497,1))/INDEX(Data!$L$2:$L$497,MATCH(N342,Data!$A$2:$A$497,1))),"")</f>
        <v>0.0702356775940735</v>
      </c>
    </row>
    <row r="355">
      <c r="N355" s="337" t="n">
        <v>35520</v>
      </c>
      <c r="O355" s="116">
        <f>INDEX('Additional data'!$B$2:$B$965,MATCH(DATE(YEAR(N355),MONTH(N355),1),'Additional data'!$A$2:$A$965,0))</f>
        <v>20.99</v>
      </c>
      <c r="P355" s="489">
        <f>LN(O355)</f>
        <v>3.04404613383254</v>
      </c>
      <c r="Q355" s="489">
        <f>Q354+LN(1+INDEX('Additional data'!$H$2:$H$1196,MATCH(N355,'Additional data'!$G$2:$G$1196,1))+INDEX('Additional data'!$I$2:$I$1196,MATCH(N355,'Additional data'!$G$2:$G$1196,1)))</f>
        <v>3.10881105508383</v>
      </c>
      <c r="R355" s="489">
        <f>LN(INDEX(Data!$B$2:$B$497,MATCH(N355,Data!$A$2:$A$497,1)))</f>
        <v>9.21701802672942</v>
      </c>
      <c r="S355" s="116">
        <f>IF(INDEX('Additional data'!$E$2:$E$699,MATCH(DATE(YEAR(N355),MONTH(N355),1),'Additional data'!$D$2:$D$699,0))=0,(INDEX('Additional data'!$E$2:$E$699,MATCH(DATE(YEAR(N355),MONTH(N355),1),'Additional data'!$D$2:$D$699,0)-1)+INDEX('Additional data'!$E$2:$E$699,MATCH(DATE(YEAR(N355),MONTH(N355),1),'Additional data'!$D$2:$D$699,0)+1))/2,INDEX('Additional data'!$E$2:$E$699,MATCH(DATE(YEAR(N355),MONTH(N355),1),'Additional data'!$D$2:$D$699,0)))</f>
        <v>6.05</v>
      </c>
      <c r="T355" s="425">
        <f>P355-P354</f>
        <v>-0.0564965040737944</v>
      </c>
      <c r="U355" s="425">
        <f>Q355-Q354</f>
        <v>-0.0469867912243367</v>
      </c>
      <c r="V355" s="425">
        <f>R355-R354</f>
        <v>-0.00692934865297623</v>
      </c>
      <c r="W355" s="116">
        <f>S355-S354</f>
        <v>0.14</v>
      </c>
      <c r="X355" s="425">
        <f>P355-P343</f>
        <v>-0.0174738802594523</v>
      </c>
      <c r="Y355" s="425">
        <f>Q355-Q343</f>
        <v>0.142293056464231</v>
      </c>
      <c r="Z355" s="425">
        <f>R355-R343</f>
        <v>0.126069483824043</v>
      </c>
      <c r="AA355" s="116">
        <f>S355-S343</f>
        <v>-1.48</v>
      </c>
      <c r="AB355" s="425">
        <f>P355-P295</f>
        <v>0.104038009050913</v>
      </c>
      <c r="AC355" s="425">
        <f>Q355-Q295</f>
        <v>0.720841518062602</v>
      </c>
      <c r="AD355" s="425">
        <f>R355-R295</f>
        <v>0.616237647506919</v>
      </c>
      <c r="AE355" s="235">
        <f>S355-S295</f>
        <v>-1.46</v>
      </c>
      <c r="AG355" s="554">
        <f>N355</f>
        <v>35520.0</v>
      </c>
      <c r="AH355" s="435">
        <f>IFERROR(INDEX('RBA 5Y yield'!$B$5:$B$661,MATCH(N355,'RBA 5Y yield'!$A$5:$A$661,1))*100,"")</f>
        <v>7.4947</v>
      </c>
      <c r="AI355" s="435">
        <f>IF(AND(ISNUMBER(AH355),ISNUMBER(AH354)),AH355-AH354,"")</f>
        <v>0.461200000000001</v>
      </c>
      <c r="AJ355" s="435">
        <f>IF(AND(ISNUMBER(AH355),ISNUMBER(AH343)),AH355-AH343,"")</f>
        <v>-0.9748</v>
      </c>
      <c r="AK355" s="435">
        <f>IF(AND(ISNUMBER(AH355),ISNUMBER(AH295)),AH355-AH295,"")</f>
        <v>-1.9253</v>
      </c>
      <c r="AL355" s="560">
        <f>IFERROR(LN(INDEX(Data!$B$2:$B$497,MATCH(N355,Data!$A$2:$A$497,1))/INDEX(Data!$B$2:$B$497,MATCH(N343,Data!$A$2:$A$497,1))),"")</f>
        <v>0.126069483824044</v>
      </c>
      <c r="AM355" s="560">
        <f>IFERROR(LN(INDEX(Data!$C$2:$C$497,MATCH(N355,Data!$A$2:$A$497,1))/INDEX(Data!$C$2:$C$497,MATCH(N343,Data!$A$2:$A$497,1))),"")</f>
        <v>0.136093603003382</v>
      </c>
      <c r="AN355" s="560">
        <f>IFERROR(LN(INDEX(Data!$D$2:$D$497,MATCH(N355,Data!$A$2:$A$497,1))/INDEX(Data!$D$2:$D$497,MATCH(N343,Data!$A$2:$A$497,1))),"")</f>
        <v>0.132977567558982</v>
      </c>
      <c r="AO355" s="560">
        <f>IFERROR(LN(INDEX(Data!$E$2:$E$497,MATCH(N355,Data!$A$2:$A$497,1))/INDEX(Data!$E$2:$E$497,MATCH(N343,Data!$A$2:$A$497,1))),"")</f>
        <v>0.261245431415133</v>
      </c>
      <c r="AP355" s="560">
        <f>IFERROR(LN(INDEX(Data!$F$2:$F$497,MATCH(N355,Data!$A$2:$A$497,1))/INDEX(Data!$F$2:$F$497,MATCH(N343,Data!$A$2:$A$497,1))),"")</f>
        <v>0.119830222862864</v>
      </c>
      <c r="AQ355" s="560">
        <f>IFERROR(LN(INDEX(Data!$G$2:$G$497,MATCH(N355,Data!$A$2:$A$497,1))/INDEX(Data!$G$2:$G$497,MATCH(N343,Data!$A$2:$A$497,1))),"")</f>
        <v>0.0392180650319485</v>
      </c>
      <c r="AR355" s="560">
        <f>IFERROR(LN(INDEX(Data!$H$2:$H$497,MATCH(N355,Data!$A$2:$A$497,1))/INDEX(Data!$H$2:$H$497,MATCH(N343,Data!$A$2:$A$497,1))),"")</f>
      </c>
      <c r="AS355" s="560">
        <f>IFERROR(LN(INDEX(Data!$I$2:$I$497,MATCH(N355,Data!$A$2:$A$497,1))/INDEX(Data!$I$2:$I$497,MATCH(N343,Data!$A$2:$A$497,1))),"")</f>
      </c>
      <c r="AT355" s="560">
        <f>IFERROR(LN(INDEX(Data!$J$2:$J$497,MATCH(N355,Data!$A$2:$A$497,1))/INDEX(Data!$J$2:$J$497,MATCH(N343,Data!$A$2:$A$497,1))),"")</f>
        <v>0.118300120323222</v>
      </c>
      <c r="AU355" s="560">
        <f>IFERROR(LN(INDEX(Data!$K$2:$K$497,MATCH(N355,Data!$A$2:$A$497,1))/INDEX(Data!$K$2:$K$497,MATCH(N343,Data!$A$2:$A$497,1))),"")</f>
        <v>0.0954512976857878</v>
      </c>
      <c r="AV355" s="561">
        <f>IFERROR(LN(INDEX(Data!$L$2:$L$497,MATCH(N355,Data!$A$2:$A$497,1))/INDEX(Data!$L$2:$L$497,MATCH(N343,Data!$A$2:$A$497,1))),"")</f>
        <v>0.0689805126461977</v>
      </c>
    </row>
    <row r="356">
      <c r="N356" s="337" t="n">
        <v>35550</v>
      </c>
      <c r="O356" s="116">
        <f>INDEX('Additional data'!$B$2:$B$965,MATCH(DATE(YEAR(N356),MONTH(N356),1),'Additional data'!$A$2:$A$965,0))</f>
        <v>19.72</v>
      </c>
      <c r="P356" s="489">
        <f>LN(O356)</f>
        <v>2.98163334917449</v>
      </c>
      <c r="Q356" s="489">
        <f>Q355+LN(1+INDEX('Additional data'!$H$2:$H$1196,MATCH(N356,'Additional data'!$G$2:$G$1196,1))+INDEX('Additional data'!$I$2:$I$1196,MATCH(N356,'Additional data'!$G$2:$G$1196,1)))</f>
        <v>3.15254081794516</v>
      </c>
      <c r="R356" s="489">
        <f>LN(INDEX(Data!$B$2:$B$497,MATCH(N356,Data!$A$2:$A$497,1)))</f>
        <v>9.24350431835462</v>
      </c>
      <c r="S356" s="116">
        <f>IF(INDEX('Additional data'!$E$2:$E$699,MATCH(DATE(YEAR(N356),MONTH(N356),1),'Additional data'!$D$2:$D$699,0))=0,(INDEX('Additional data'!$E$2:$E$699,MATCH(DATE(YEAR(N356),MONTH(N356),1),'Additional data'!$D$2:$D$699,0)-1)+INDEX('Additional data'!$E$2:$E$699,MATCH(DATE(YEAR(N356),MONTH(N356),1),'Additional data'!$D$2:$D$699,0)+1))/2,INDEX('Additional data'!$E$2:$E$699,MATCH(DATE(YEAR(N356),MONTH(N356),1),'Additional data'!$D$2:$D$699,0)))</f>
        <v>6.04</v>
      </c>
      <c r="T356" s="425">
        <f>P356-P355</f>
        <v>-0.0624127846580524</v>
      </c>
      <c r="U356" s="425">
        <f>Q356-Q355</f>
        <v>0.0437297628613251</v>
      </c>
      <c r="V356" s="425">
        <f>R356-R355</f>
        <v>0.0264862916251918</v>
      </c>
      <c r="W356" s="116">
        <f>S356-S355</f>
        <v>-0.00999999999999979</v>
      </c>
      <c r="X356" s="425">
        <f>P356-P344</f>
        <v>-0.17834136777355</v>
      </c>
      <c r="Y356" s="425">
        <f>Q356-Q344</f>
        <v>0.161135103817777</v>
      </c>
      <c r="Z356" s="425">
        <f>R356-R344</f>
        <v>0.110606703521089</v>
      </c>
      <c r="AA356" s="116">
        <f>S356-S344</f>
        <v>-1.53</v>
      </c>
      <c r="AB356" s="425">
        <f>P356-P296</f>
        <v>-0.0261757056049508</v>
      </c>
      <c r="AC356" s="425">
        <f>Q356-Q296</f>
        <v>0.750569761288114</v>
      </c>
      <c r="AD356" s="425">
        <f>R356-R296</f>
        <v>0.592497274209467</v>
      </c>
      <c r="AE356" s="235">
        <f>S356-S296</f>
        <v>-1.14</v>
      </c>
      <c r="AG356" s="554">
        <f>N356</f>
        <v>35550.0</v>
      </c>
      <c r="AH356" s="435">
        <f>IFERROR(INDEX('RBA 5Y yield'!$B$5:$B$661,MATCH(N356,'RBA 5Y yield'!$A$5:$A$661,1))*100,"")</f>
        <v>7.4</v>
      </c>
      <c r="AI356" s="435">
        <f>IF(AND(ISNUMBER(AH356),ISNUMBER(AH355)),AH356-AH355,"")</f>
        <v>-0.0947000000000005</v>
      </c>
      <c r="AJ356" s="435">
        <f>IF(AND(ISNUMBER(AH356),ISNUMBER(AH344)),AH356-AH344,"")</f>
        <v>-1.2</v>
      </c>
      <c r="AK356" s="435">
        <f>IF(AND(ISNUMBER(AH356),ISNUMBER(AH296)),AH356-AH296,"")</f>
        <v>-1.28</v>
      </c>
      <c r="AL356" s="560">
        <f>IFERROR(LN(INDEX(Data!$B$2:$B$497,MATCH(N356,Data!$A$2:$A$497,1))/INDEX(Data!$B$2:$B$497,MATCH(N344,Data!$A$2:$A$497,1))),"")</f>
        <v>0.110606703521088</v>
      </c>
      <c r="AM356" s="560">
        <f>IFERROR(LN(INDEX(Data!$C$2:$C$497,MATCH(N356,Data!$A$2:$A$497,1))/INDEX(Data!$C$2:$C$497,MATCH(N344,Data!$A$2:$A$497,1))),"")</f>
        <v>0.16282912152868</v>
      </c>
      <c r="AN356" s="560">
        <f>IFERROR(LN(INDEX(Data!$D$2:$D$497,MATCH(N356,Data!$A$2:$A$497,1))/INDEX(Data!$D$2:$D$497,MATCH(N344,Data!$A$2:$A$497,1))),"")</f>
        <v>0.100172034059915</v>
      </c>
      <c r="AO356" s="560">
        <f>IFERROR(LN(INDEX(Data!$E$2:$E$497,MATCH(N356,Data!$A$2:$A$497,1))/INDEX(Data!$E$2:$E$497,MATCH(N344,Data!$A$2:$A$497,1))),"")</f>
        <v>0.236432905675369</v>
      </c>
      <c r="AP356" s="560">
        <f>IFERROR(LN(INDEX(Data!$F$2:$F$497,MATCH(N356,Data!$A$2:$A$497,1))/INDEX(Data!$F$2:$F$497,MATCH(N344,Data!$A$2:$A$497,1))),"")</f>
        <v>0.0944845330854823</v>
      </c>
      <c r="AQ356" s="560">
        <f>IFERROR(LN(INDEX(Data!$G$2:$G$497,MATCH(N356,Data!$A$2:$A$497,1))/INDEX(Data!$G$2:$G$497,MATCH(N344,Data!$A$2:$A$497,1))),"")</f>
        <v>0.0392180650319485</v>
      </c>
      <c r="AR356" s="560">
        <f>IFERROR(LN(INDEX(Data!$H$2:$H$497,MATCH(N356,Data!$A$2:$A$497,1))/INDEX(Data!$H$2:$H$497,MATCH(N344,Data!$A$2:$A$497,1))),"")</f>
      </c>
      <c r="AS356" s="560">
        <f>IFERROR(LN(INDEX(Data!$I$2:$I$497,MATCH(N356,Data!$A$2:$A$497,1))/INDEX(Data!$I$2:$I$497,MATCH(N344,Data!$A$2:$A$497,1))),"")</f>
      </c>
      <c r="AT356" s="560">
        <f>IFERROR(LN(INDEX(Data!$J$2:$J$497,MATCH(N356,Data!$A$2:$A$497,1))/INDEX(Data!$J$2:$J$497,MATCH(N344,Data!$A$2:$A$497,1))),"")</f>
        <v>0.119112625115624</v>
      </c>
      <c r="AU356" s="560">
        <f>IFERROR(LN(INDEX(Data!$K$2:$K$497,MATCH(N356,Data!$A$2:$A$497,1))/INDEX(Data!$K$2:$K$497,MATCH(N344,Data!$A$2:$A$497,1))),"")</f>
        <v>0.105066310744477</v>
      </c>
      <c r="AV356" s="561">
        <f>IFERROR(LN(INDEX(Data!$L$2:$L$497,MATCH(N356,Data!$A$2:$A$497,1))/INDEX(Data!$L$2:$L$497,MATCH(N344,Data!$A$2:$A$497,1))),"")</f>
        <v>0.0678335977473448</v>
      </c>
    </row>
    <row r="357">
      <c r="N357" s="337" t="n">
        <v>35581</v>
      </c>
      <c r="O357" s="116">
        <f>INDEX('Additional data'!$B$2:$B$965,MATCH(DATE(YEAR(N357),MONTH(N357),1),'Additional data'!$A$2:$A$965,0))</f>
        <v>20.83</v>
      </c>
      <c r="P357" s="489">
        <f>LN(O357)</f>
        <v>3.03639425527288</v>
      </c>
      <c r="Q357" s="489">
        <f>Q356+LN(1+INDEX('Additional data'!$H$2:$H$1196,MATCH(N357,'Additional data'!$G$2:$G$1196,1))+INDEX('Additional data'!$I$2:$I$1196,MATCH(N357,'Additional data'!$G$2:$G$1196,1)))</f>
        <v>3.22225343035646</v>
      </c>
      <c r="R357" s="489">
        <f>LN(INDEX(Data!$B$2:$B$497,MATCH(N357,Data!$A$2:$A$497,1)))</f>
        <v>9.29401953664114</v>
      </c>
      <c r="S357" s="116">
        <f>IF(INDEX('Additional data'!$E$2:$E$699,MATCH(DATE(YEAR(N357),MONTH(N357),1),'Additional data'!$D$2:$D$699,0))=0,(INDEX('Additional data'!$E$2:$E$699,MATCH(DATE(YEAR(N357),MONTH(N357),1),'Additional data'!$D$2:$D$699,0)-1)+INDEX('Additional data'!$E$2:$E$699,MATCH(DATE(YEAR(N357),MONTH(N357),1),'Additional data'!$D$2:$D$699,0)+1))/2,INDEX('Additional data'!$E$2:$E$699,MATCH(DATE(YEAR(N357),MONTH(N357),1),'Additional data'!$D$2:$D$699,0)))</f>
        <v>5.87</v>
      </c>
      <c r="T357" s="425">
        <f>P357-P356</f>
        <v>0.0547609060983914</v>
      </c>
      <c r="U357" s="425">
        <f>Q357-Q356</f>
        <v>0.0697126124113003</v>
      </c>
      <c r="V357" s="425">
        <f>R357-R356</f>
        <v>0.0505152182865221</v>
      </c>
      <c r="W357" s="116">
        <f>S357-S356</f>
        <v>-0.17</v>
      </c>
      <c r="X357" s="425">
        <f>P357-P345</f>
        <v>-0.0199626400975452</v>
      </c>
      <c r="Y357" s="425">
        <f>Q357-Q345</f>
        <v>0.203427120653085</v>
      </c>
      <c r="Z357" s="425">
        <f>R357-R345</f>
        <v>0.179518484439145</v>
      </c>
      <c r="AA357" s="116">
        <f>S357-S345</f>
        <v>-1.68</v>
      </c>
      <c r="AB357" s="425">
        <f>P357-P297</f>
        <v>-0.0052669501695104</v>
      </c>
      <c r="AC357" s="425">
        <f>Q357-Q297</f>
        <v>0.814499128943687</v>
      </c>
      <c r="AD357" s="425">
        <f>R357-R297</f>
        <v>0.591725321397362</v>
      </c>
      <c r="AE357" s="235">
        <f>S357-S297</f>
        <v>-0.69</v>
      </c>
      <c r="AG357" s="554">
        <f>N357</f>
        <v>35581.0</v>
      </c>
      <c r="AH357" s="435">
        <f>IFERROR(INDEX('RBA 5Y yield'!$B$5:$B$661,MATCH(N357,'RBA 5Y yield'!$A$5:$A$661,1))*100,"")</f>
        <v>7.1659</v>
      </c>
      <c r="AI357" s="435">
        <f>IF(AND(ISNUMBER(AH357),ISNUMBER(AH356)),AH357-AH356,"")</f>
        <v>-0.2341</v>
      </c>
      <c r="AJ357" s="435">
        <f>IF(AND(ISNUMBER(AH357),ISNUMBER(AH345)),AH357-AH345,"")</f>
        <v>-1.3658</v>
      </c>
      <c r="AK357" s="435">
        <f>IF(AND(ISNUMBER(AH357),ISNUMBER(AH297)),AH357-AH297,"")</f>
        <v>-1.2041</v>
      </c>
      <c r="AL357" s="560">
        <f>IFERROR(LN(INDEX(Data!$B$2:$B$497,MATCH(N357,Data!$A$2:$A$497,1))/INDEX(Data!$B$2:$B$497,MATCH(N345,Data!$A$2:$A$497,1))),"")</f>
        <v>0.179518484439144</v>
      </c>
      <c r="AM357" s="560">
        <f>IFERROR(LN(INDEX(Data!$C$2:$C$497,MATCH(N357,Data!$A$2:$A$497,1))/INDEX(Data!$C$2:$C$497,MATCH(N345,Data!$A$2:$A$497,1))),"")</f>
        <v>0.241659896819868</v>
      </c>
      <c r="AN357" s="560">
        <f>IFERROR(LN(INDEX(Data!$D$2:$D$497,MATCH(N357,Data!$A$2:$A$497,1))/INDEX(Data!$D$2:$D$497,MATCH(N345,Data!$A$2:$A$497,1))),"")</f>
        <v>0.170735687303187</v>
      </c>
      <c r="AO357" s="560">
        <f>IFERROR(LN(INDEX(Data!$E$2:$E$497,MATCH(N357,Data!$A$2:$A$497,1))/INDEX(Data!$E$2:$E$497,MATCH(N345,Data!$A$2:$A$497,1))),"")</f>
        <v>0.287448247340054</v>
      </c>
      <c r="AP357" s="560">
        <f>IFERROR(LN(INDEX(Data!$F$2:$F$497,MATCH(N357,Data!$A$2:$A$497,1))/INDEX(Data!$F$2:$F$497,MATCH(N345,Data!$A$2:$A$497,1))),"")</f>
        <v>0.151379740604138</v>
      </c>
      <c r="AQ357" s="560">
        <f>IFERROR(LN(INDEX(Data!$G$2:$G$497,MATCH(N357,Data!$A$2:$A$497,1))/INDEX(Data!$G$2:$G$497,MATCH(N345,Data!$A$2:$A$497,1))),"")</f>
        <v>0.0392180650319485</v>
      </c>
      <c r="AR357" s="560">
        <f>IFERROR(LN(INDEX(Data!$H$2:$H$497,MATCH(N357,Data!$A$2:$A$497,1))/INDEX(Data!$H$2:$H$497,MATCH(N345,Data!$A$2:$A$497,1))),"")</f>
      </c>
      <c r="AS357" s="560">
        <f>IFERROR(LN(INDEX(Data!$I$2:$I$497,MATCH(N357,Data!$A$2:$A$497,1))/INDEX(Data!$I$2:$I$497,MATCH(N345,Data!$A$2:$A$497,1))),"")</f>
      </c>
      <c r="AT357" s="560">
        <f>IFERROR(LN(INDEX(Data!$J$2:$J$497,MATCH(N357,Data!$A$2:$A$497,1))/INDEX(Data!$J$2:$J$497,MATCH(N345,Data!$A$2:$A$497,1))),"")</f>
        <v>0.141704836619914</v>
      </c>
      <c r="AU357" s="560">
        <f>IFERROR(LN(INDEX(Data!$K$2:$K$497,MATCH(N357,Data!$A$2:$A$497,1))/INDEX(Data!$K$2:$K$497,MATCH(N345,Data!$A$2:$A$497,1))),"")</f>
        <v>0.11053494062088</v>
      </c>
      <c r="AV357" s="561">
        <f>IFERROR(LN(INDEX(Data!$L$2:$L$497,MATCH(N357,Data!$A$2:$A$497,1))/INDEX(Data!$L$2:$L$497,MATCH(N345,Data!$A$2:$A$497,1))),"")</f>
        <v>0.0670285795737783</v>
      </c>
    </row>
    <row r="358">
      <c r="N358" s="337" t="n">
        <v>35611</v>
      </c>
      <c r="O358" s="116">
        <f>INDEX('Additional data'!$B$2:$B$965,MATCH(DATE(YEAR(N358),MONTH(N358),1),'Additional data'!$A$2:$A$965,0))</f>
        <v>19.17</v>
      </c>
      <c r="P358" s="489">
        <f>LN(O358)</f>
        <v>2.95334655705755</v>
      </c>
      <c r="Q358" s="489">
        <f>Q357+LN(1+INDEX('Additional data'!$H$2:$H$1196,MATCH(N358,'Additional data'!$G$2:$G$1196,1))+INDEX('Additional data'!$I$2:$I$1196,MATCH(N358,'Additional data'!$G$2:$G$1196,1)))</f>
        <v>3.26598319321778</v>
      </c>
      <c r="R358" s="489">
        <f>LN(INDEX(Data!$B$2:$B$497,MATCH(N358,Data!$A$2:$A$497,1)))</f>
        <v>9.34431166782909</v>
      </c>
      <c r="S358" s="116">
        <f>IF(INDEX('Additional data'!$E$2:$E$699,MATCH(DATE(YEAR(N358),MONTH(N358),1),'Additional data'!$D$2:$D$699,0))=0,(INDEX('Additional data'!$E$2:$E$699,MATCH(DATE(YEAR(N358),MONTH(N358),1),'Additional data'!$D$2:$D$699,0)-1)+INDEX('Additional data'!$E$2:$E$699,MATCH(DATE(YEAR(N358),MONTH(N358),1),'Additional data'!$D$2:$D$699,0)+1))/2,INDEX('Additional data'!$E$2:$E$699,MATCH(DATE(YEAR(N358),MONTH(N358),1),'Additional data'!$D$2:$D$699,0)))</f>
        <v>5.35</v>
      </c>
      <c r="T358" s="425">
        <f>P358-P357</f>
        <v>-0.0830476982153274</v>
      </c>
      <c r="U358" s="425">
        <f>Q358-Q357</f>
        <v>0.0437297628613251</v>
      </c>
      <c r="V358" s="425">
        <f>R358-R357</f>
        <v>0.0502921311879536</v>
      </c>
      <c r="W358" s="116">
        <f>S358-S357</f>
        <v>-0.520000000000001</v>
      </c>
      <c r="X358" s="425">
        <f>P358-P346</f>
        <v>-0.0646363254312576</v>
      </c>
      <c r="Y358" s="425">
        <f>Q358-Q346</f>
        <v>0.254483658900871</v>
      </c>
      <c r="Z358" s="425">
        <f>R358-R346</f>
        <v>0.237755277116632</v>
      </c>
      <c r="AA358" s="116">
        <f>S358-S346</f>
        <v>-2.22</v>
      </c>
      <c r="AB358" s="425">
        <f>P358-P298</f>
        <v>-0.154597707103366</v>
      </c>
      <c r="AC358" s="425">
        <f>Q358-Q298</f>
        <v>0.878533645145376</v>
      </c>
      <c r="AD358" s="425">
        <f>R358-R298</f>
        <v>0.661383723223297</v>
      </c>
      <c r="AE358" s="235">
        <f>S358-S298</f>
        <v>-1.07</v>
      </c>
      <c r="AG358" s="554">
        <f>N358</f>
        <v>35611.0</v>
      </c>
      <c r="AH358" s="435">
        <f>IFERROR(INDEX('RBA 5Y yield'!$B$5:$B$661,MATCH(N358,'RBA 5Y yield'!$A$5:$A$661,1))*100,"")</f>
        <v>6.5405</v>
      </c>
      <c r="AI358" s="435">
        <f>IF(AND(ISNUMBER(AH358),ISNUMBER(AH357)),AH358-AH357,"")</f>
        <v>-0.625399999999999</v>
      </c>
      <c r="AJ358" s="435">
        <f>IF(AND(ISNUMBER(AH358),ISNUMBER(AH346)),AH358-AH346,"")</f>
        <v>-2.0816</v>
      </c>
      <c r="AK358" s="435">
        <f>IF(AND(ISNUMBER(AH358),ISNUMBER(AH298)),AH358-AH298,"")</f>
        <v>-1.2895</v>
      </c>
      <c r="AL358" s="560">
        <f>IFERROR(LN(INDEX(Data!$B$2:$B$497,MATCH(N358,Data!$A$2:$A$497,1))/INDEX(Data!$B$2:$B$497,MATCH(N346,Data!$A$2:$A$497,1))),"")</f>
        <v>0.237755277116631</v>
      </c>
      <c r="AM358" s="560">
        <f>IFERROR(LN(INDEX(Data!$C$2:$C$497,MATCH(N358,Data!$A$2:$A$497,1))/INDEX(Data!$C$2:$C$497,MATCH(N346,Data!$A$2:$A$497,1))),"")</f>
        <v>0.284137574851475</v>
      </c>
      <c r="AN358" s="560">
        <f>IFERROR(LN(INDEX(Data!$D$2:$D$497,MATCH(N358,Data!$A$2:$A$497,1))/INDEX(Data!$D$2:$D$497,MATCH(N346,Data!$A$2:$A$497,1))),"")</f>
        <v>0.221439838920492</v>
      </c>
      <c r="AO358" s="560">
        <f>IFERROR(LN(INDEX(Data!$E$2:$E$497,MATCH(N358,Data!$A$2:$A$497,1))/INDEX(Data!$E$2:$E$497,MATCH(N346,Data!$A$2:$A$497,1))),"")</f>
        <v>0.306874234241595</v>
      </c>
      <c r="AP358" s="560">
        <f>IFERROR(LN(INDEX(Data!$F$2:$F$497,MATCH(N358,Data!$A$2:$A$497,1))/INDEX(Data!$F$2:$F$497,MATCH(N346,Data!$A$2:$A$497,1))),"")</f>
        <v>0.0593379793264262</v>
      </c>
      <c r="AQ358" s="560">
        <f>IFERROR(LN(INDEX(Data!$G$2:$G$497,MATCH(N358,Data!$A$2:$A$497,1))/INDEX(Data!$G$2:$G$497,MATCH(N346,Data!$A$2:$A$497,1))),"")</f>
        <v>0.0397572376568993</v>
      </c>
      <c r="AR358" s="560">
        <f>IFERROR(LN(INDEX(Data!$H$2:$H$497,MATCH(N358,Data!$A$2:$A$497,1))/INDEX(Data!$H$2:$H$497,MATCH(N346,Data!$A$2:$A$497,1))),"")</f>
      </c>
      <c r="AS358" s="560">
        <f>IFERROR(LN(INDEX(Data!$I$2:$I$497,MATCH(N358,Data!$A$2:$A$497,1))/INDEX(Data!$I$2:$I$497,MATCH(N346,Data!$A$2:$A$497,1))),"")</f>
      </c>
      <c r="AT358" s="560">
        <f>IFERROR(LN(INDEX(Data!$J$2:$J$497,MATCH(N358,Data!$A$2:$A$497,1))/INDEX(Data!$J$2:$J$497,MATCH(N346,Data!$A$2:$A$497,1))),"")</f>
        <v>0.154937903880021</v>
      </c>
      <c r="AU358" s="560">
        <f>IFERROR(LN(INDEX(Data!$K$2:$K$497,MATCH(N358,Data!$A$2:$A$497,1))/INDEX(Data!$K$2:$K$497,MATCH(N346,Data!$A$2:$A$497,1))),"")</f>
        <v>0.111274655919567</v>
      </c>
      <c r="AV358" s="561">
        <f>IFERROR(LN(INDEX(Data!$L$2:$L$497,MATCH(N358,Data!$A$2:$A$497,1))/INDEX(Data!$L$2:$L$497,MATCH(N346,Data!$A$2:$A$497,1))),"")</f>
        <v>0.065474297059842</v>
      </c>
    </row>
    <row r="359">
      <c r="N359" s="337" t="n">
        <v>35642</v>
      </c>
      <c r="O359" s="116">
        <f>INDEX('Additional data'!$B$2:$B$965,MATCH(DATE(YEAR(N359),MONTH(N359),1),'Additional data'!$A$2:$A$965,0))</f>
        <v>19.63</v>
      </c>
      <c r="P359" s="489">
        <f>LN(O359)</f>
        <v>2.97705900828837</v>
      </c>
      <c r="Q359" s="489">
        <f>Q358+LN(1+INDEX('Additional data'!$H$2:$H$1196,MATCH(N359,'Additional data'!$G$2:$G$1196,1))+INDEX('Additional data'!$I$2:$I$1196,MATCH(N359,'Additional data'!$G$2:$G$1196,1)))</f>
        <v>3.34053392448208</v>
      </c>
      <c r="R359" s="489">
        <f>LN(INDEX(Data!$B$2:$B$497,MATCH(N359,Data!$A$2:$A$497,1)))</f>
        <v>9.34523833042414</v>
      </c>
      <c r="S359" s="116">
        <f>IF(INDEX('Additional data'!$E$2:$E$699,MATCH(DATE(YEAR(N359),MONTH(N359),1),'Additional data'!$D$2:$D$699,0))=0,(INDEX('Additional data'!$E$2:$E$699,MATCH(DATE(YEAR(N359),MONTH(N359),1),'Additional data'!$D$2:$D$699,0)-1)+INDEX('Additional data'!$E$2:$E$699,MATCH(DATE(YEAR(N359),MONTH(N359),1),'Additional data'!$D$2:$D$699,0)+1))/2,INDEX('Additional data'!$E$2:$E$699,MATCH(DATE(YEAR(N359),MONTH(N359),1),'Additional data'!$D$2:$D$699,0)))</f>
        <v>5.19</v>
      </c>
      <c r="T359" s="425">
        <f>P359-P358</f>
        <v>0.0237124512308164</v>
      </c>
      <c r="U359" s="425">
        <f>Q359-Q358</f>
        <v>0.0745507312642961</v>
      </c>
      <c r="V359" s="425">
        <f>R359-R358</f>
        <v>0.000926662595050587</v>
      </c>
      <c r="W359" s="116">
        <f>S359-S358</f>
        <v>-0.159999999999999</v>
      </c>
      <c r="X359" s="425">
        <f>P359-P347</f>
        <v>-0.082586591009274</v>
      </c>
      <c r="Y359" s="425">
        <f>Q359-Q347</f>
        <v>0.385710567358724</v>
      </c>
      <c r="Z359" s="425">
        <f>R359-R347</f>
        <v>0.266169050335055</v>
      </c>
      <c r="AA359" s="116">
        <f>S359-S347</f>
        <v>-2.37</v>
      </c>
      <c r="AB359" s="425">
        <f>P359-P299</f>
        <v>-0.102968456761015</v>
      </c>
      <c r="AC359" s="425">
        <f>Q359-Q299</f>
        <v>0.912998652870386</v>
      </c>
      <c r="AD359" s="425">
        <f>R359-R299</f>
        <v>0.680919074117611</v>
      </c>
      <c r="AE359" s="235">
        <f>S359-S299</f>
        <v>-0.449999999999999</v>
      </c>
      <c r="AG359" s="554">
        <f>N359</f>
        <v>35642.0</v>
      </c>
      <c r="AH359" s="435">
        <f>IFERROR(INDEX('RBA 5Y yield'!$B$5:$B$661,MATCH(N359,'RBA 5Y yield'!$A$5:$A$661,1))*100,"")</f>
        <v>6.1517</v>
      </c>
      <c r="AI359" s="435">
        <f>IF(AND(ISNUMBER(AH359),ISNUMBER(AH358)),AH359-AH358,"")</f>
        <v>-0.388800000000001</v>
      </c>
      <c r="AJ359" s="435">
        <f>IF(AND(ISNUMBER(AH359),ISNUMBER(AH347)),AH359-AH347,"")</f>
        <v>-2.1948</v>
      </c>
      <c r="AK359" s="435">
        <f>IF(AND(ISNUMBER(AH359),ISNUMBER(AH299)),AH359-AH299,"")</f>
        <v>-0.898299999999999</v>
      </c>
      <c r="AL359" s="560">
        <f>IFERROR(LN(INDEX(Data!$B$2:$B$497,MATCH(N359,Data!$A$2:$A$497,1))/INDEX(Data!$B$2:$B$497,MATCH(N347,Data!$A$2:$A$497,1))),"")</f>
        <v>0.266169050335055</v>
      </c>
      <c r="AM359" s="560">
        <f>IFERROR(LN(INDEX(Data!$C$2:$C$497,MATCH(N359,Data!$A$2:$A$497,1))/INDEX(Data!$C$2:$C$497,MATCH(N347,Data!$A$2:$A$497,1))),"")</f>
        <v>0.381593899254968</v>
      </c>
      <c r="AN359" s="560">
        <f>IFERROR(LN(INDEX(Data!$D$2:$D$497,MATCH(N359,Data!$A$2:$A$497,1))/INDEX(Data!$D$2:$D$497,MATCH(N347,Data!$A$2:$A$497,1))),"")</f>
        <v>0.315486694859939</v>
      </c>
      <c r="AO359" s="560">
        <f>IFERROR(LN(INDEX(Data!$E$2:$E$497,MATCH(N359,Data!$A$2:$A$497,1))/INDEX(Data!$E$2:$E$497,MATCH(N347,Data!$A$2:$A$497,1))),"")</f>
        <v>0.327528987461634</v>
      </c>
      <c r="AP359" s="560">
        <f>IFERROR(LN(INDEX(Data!$F$2:$F$497,MATCH(N359,Data!$A$2:$A$497,1))/INDEX(Data!$F$2:$F$497,MATCH(N347,Data!$A$2:$A$497,1))),"")</f>
        <v>0.135253720374144</v>
      </c>
      <c r="AQ359" s="560">
        <f>IFERROR(LN(INDEX(Data!$G$2:$G$497,MATCH(N359,Data!$A$2:$A$497,1))/INDEX(Data!$G$2:$G$497,MATCH(N347,Data!$A$2:$A$497,1))),"")</f>
        <v>0.0397572376568993</v>
      </c>
      <c r="AR359" s="560">
        <f>IFERROR(LN(INDEX(Data!$H$2:$H$497,MATCH(N359,Data!$A$2:$A$497,1))/INDEX(Data!$H$2:$H$497,MATCH(N347,Data!$A$2:$A$497,1))),"")</f>
      </c>
      <c r="AS359" s="560">
        <f>IFERROR(LN(INDEX(Data!$I$2:$I$497,MATCH(N359,Data!$A$2:$A$497,1))/INDEX(Data!$I$2:$I$497,MATCH(N347,Data!$A$2:$A$497,1))),"")</f>
      </c>
      <c r="AT359" s="560">
        <f>IFERROR(LN(INDEX(Data!$J$2:$J$497,MATCH(N359,Data!$A$2:$A$497,1))/INDEX(Data!$J$2:$J$497,MATCH(N347,Data!$A$2:$A$497,1))),"")</f>
        <v>0.148518645154227</v>
      </c>
      <c r="AU359" s="560">
        <f>IFERROR(LN(INDEX(Data!$K$2:$K$497,MATCH(N359,Data!$A$2:$A$497,1))/INDEX(Data!$K$2:$K$497,MATCH(N347,Data!$A$2:$A$497,1))),"")</f>
        <v>0.126311056439793</v>
      </c>
      <c r="AV359" s="561">
        <f>IFERROR(LN(INDEX(Data!$L$2:$L$497,MATCH(N359,Data!$A$2:$A$497,1))/INDEX(Data!$L$2:$L$497,MATCH(N347,Data!$A$2:$A$497,1))),"")</f>
        <v>0.0633796432653946</v>
      </c>
    </row>
    <row r="360">
      <c r="N360" s="337" t="n">
        <v>35673</v>
      </c>
      <c r="O360" s="116">
        <f>INDEX('Additional data'!$B$2:$B$965,MATCH(DATE(YEAR(N360),MONTH(N360),1),'Additional data'!$A$2:$A$965,0))</f>
        <v>19.93</v>
      </c>
      <c r="P360" s="489">
        <f>LN(O360)</f>
        <v>2.9922261342247</v>
      </c>
      <c r="Q360" s="489">
        <f>Q359+LN(1+INDEX('Additional data'!$H$2:$H$1196,MATCH(N360,'Additional data'!$G$2:$G$1196,1))+INDEX('Additional data'!$I$2:$I$1196,MATCH(N360,'Additional data'!$G$2:$G$1196,1)))</f>
        <v>3.30293589406676</v>
      </c>
      <c r="R360" s="489">
        <f>LN(INDEX(Data!$B$2:$B$497,MATCH(N360,Data!$A$2:$A$497,1)))</f>
        <v>9.29259294379262</v>
      </c>
      <c r="S360" s="116">
        <f>IF(INDEX('Additional data'!$E$2:$E$699,MATCH(DATE(YEAR(N360),MONTH(N360),1),'Additional data'!$D$2:$D$699,0))=0,(INDEX('Additional data'!$E$2:$E$699,MATCH(DATE(YEAR(N360),MONTH(N360),1),'Additional data'!$D$2:$D$699,0)-1)+INDEX('Additional data'!$E$2:$E$699,MATCH(DATE(YEAR(N360),MONTH(N360),1),'Additional data'!$D$2:$D$699,0)+1))/2,INDEX('Additional data'!$E$2:$E$699,MATCH(DATE(YEAR(N360),MONTH(N360),1),'Additional data'!$D$2:$D$699,0)))</f>
        <v>4.9</v>
      </c>
      <c r="T360" s="425">
        <f>P360-P359</f>
        <v>0.0151671259363337</v>
      </c>
      <c r="U360" s="425">
        <f>Q360-Q359</f>
        <v>-0.0375980304153183</v>
      </c>
      <c r="V360" s="425">
        <f>R360-R359</f>
        <v>-0.0526453866315197</v>
      </c>
      <c r="W360" s="116">
        <f>S360-S359</f>
        <v>-0.29</v>
      </c>
      <c r="X360" s="425">
        <f>P360-P348</f>
        <v>-0.0969964824166265</v>
      </c>
      <c r="Y360" s="425">
        <f>Q360-Q348</f>
        <v>0.316807687114993</v>
      </c>
      <c r="Z360" s="425">
        <f>R360-R348</f>
        <v>0.172352349372884</v>
      </c>
      <c r="AA360" s="116">
        <f>S360-S348</f>
        <v>-2.02</v>
      </c>
      <c r="AB360" s="425">
        <f>P360-P300</f>
        <v>-0.0688256054499301</v>
      </c>
      <c r="AC360" s="425">
        <f>Q360-Q300</f>
        <v>0.896828569868688</v>
      </c>
      <c r="AD360" s="425">
        <f>R360-R300</f>
        <v>0.674306327816332</v>
      </c>
      <c r="AE360" s="235">
        <f>S360-S300</f>
        <v>-0.83</v>
      </c>
      <c r="AG360" s="554">
        <f>N360</f>
        <v>35673.0</v>
      </c>
      <c r="AH360" s="435">
        <f>IFERROR(INDEX('RBA 5Y yield'!$B$5:$B$661,MATCH(N360,'RBA 5Y yield'!$A$5:$A$661,1))*100,"")</f>
        <v>6.1076</v>
      </c>
      <c r="AI360" s="435">
        <f>IF(AND(ISNUMBER(AH360),ISNUMBER(AH359)),AH360-AH359,"")</f>
        <v>-0.0441000000000003</v>
      </c>
      <c r="AJ360" s="435">
        <f>IF(AND(ISNUMBER(AH360),ISNUMBER(AH348)),AH360-AH348,"")</f>
        <v>-1.4851</v>
      </c>
      <c r="AK360" s="435">
        <f>IF(AND(ISNUMBER(AH360),ISNUMBER(AH300)),AH360-AH300,"")</f>
        <v>-2.3024</v>
      </c>
      <c r="AL360" s="560">
        <f>IFERROR(LN(INDEX(Data!$B$2:$B$497,MATCH(N360,Data!$A$2:$A$497,1))/INDEX(Data!$B$2:$B$497,MATCH(N348,Data!$A$2:$A$497,1))),"")</f>
        <v>0.172352349372885</v>
      </c>
      <c r="AM360" s="560">
        <f>IFERROR(LN(INDEX(Data!$C$2:$C$497,MATCH(N360,Data!$A$2:$A$497,1))/INDEX(Data!$C$2:$C$497,MATCH(N348,Data!$A$2:$A$497,1))),"")</f>
        <v>0.336337974357373</v>
      </c>
      <c r="AN360" s="560">
        <f>IFERROR(LN(INDEX(Data!$D$2:$D$497,MATCH(N360,Data!$A$2:$A$497,1))/INDEX(Data!$D$2:$D$497,MATCH(N348,Data!$A$2:$A$497,1))),"")</f>
        <v>0.213702165050067</v>
      </c>
      <c r="AO360" s="560">
        <f>IFERROR(LN(INDEX(Data!$E$2:$E$497,MATCH(N360,Data!$A$2:$A$497,1))/INDEX(Data!$E$2:$E$497,MATCH(N348,Data!$A$2:$A$497,1))),"")</f>
        <v>0.312299946722568</v>
      </c>
      <c r="AP360" s="560">
        <f>IFERROR(LN(INDEX(Data!$F$2:$F$497,MATCH(N360,Data!$A$2:$A$497,1))/INDEX(Data!$F$2:$F$497,MATCH(N348,Data!$A$2:$A$497,1))),"")</f>
        <v>0.166388925361147</v>
      </c>
      <c r="AQ360" s="560">
        <f>IFERROR(LN(INDEX(Data!$G$2:$G$497,MATCH(N360,Data!$A$2:$A$497,1))/INDEX(Data!$G$2:$G$497,MATCH(N348,Data!$A$2:$A$497,1))),"")</f>
        <v>0.0397572376568993</v>
      </c>
      <c r="AR360" s="560">
        <f>IFERROR(LN(INDEX(Data!$H$2:$H$497,MATCH(N360,Data!$A$2:$A$497,1))/INDEX(Data!$H$2:$H$497,MATCH(N348,Data!$A$2:$A$497,1))),"")</f>
      </c>
      <c r="AS360" s="560">
        <f>IFERROR(LN(INDEX(Data!$I$2:$I$497,MATCH(N360,Data!$A$2:$A$497,1))/INDEX(Data!$I$2:$I$497,MATCH(N348,Data!$A$2:$A$497,1))),"")</f>
      </c>
      <c r="AT360" s="560">
        <f>IFERROR(LN(INDEX(Data!$J$2:$J$497,MATCH(N360,Data!$A$2:$A$497,1))/INDEX(Data!$J$2:$J$497,MATCH(N348,Data!$A$2:$A$497,1))),"")</f>
        <v>0.133492666319026</v>
      </c>
      <c r="AU360" s="560">
        <f>IFERROR(LN(INDEX(Data!$K$2:$K$497,MATCH(N360,Data!$A$2:$A$497,1))/INDEX(Data!$K$2:$K$497,MATCH(N348,Data!$A$2:$A$497,1))),"")</f>
        <v>0.116021746390101</v>
      </c>
      <c r="AV360" s="561">
        <f>IFERROR(LN(INDEX(Data!$L$2:$L$497,MATCH(N360,Data!$A$2:$A$497,1))/INDEX(Data!$L$2:$L$497,MATCH(N348,Data!$A$2:$A$497,1))),"")</f>
        <v>0.0616247752533883</v>
      </c>
    </row>
    <row r="361">
      <c r="N361" s="337" t="n">
        <v>35703</v>
      </c>
      <c r="O361" s="116">
        <f>INDEX('Additional data'!$B$2:$B$965,MATCH(DATE(YEAR(N361),MONTH(N361),1),'Additional data'!$A$2:$A$965,0))</f>
        <v>19.79</v>
      </c>
      <c r="P361" s="489">
        <f>LN(O361)</f>
        <v>2.98517675961447</v>
      </c>
      <c r="Q361" s="489">
        <f>Q360+LN(1+INDEX('Additional data'!$H$2:$H$1196,MATCH(N361,'Additional data'!$G$2:$G$1196,1))+INDEX('Additional data'!$I$2:$I$1196,MATCH(N361,'Additional data'!$G$2:$G$1196,1)))</f>
        <v>3.3591271737165</v>
      </c>
      <c r="R361" s="489">
        <f>LN(INDEX(Data!$B$2:$B$497,MATCH(N361,Data!$A$2:$A$497,1)))</f>
        <v>9.36354203019629</v>
      </c>
      <c r="S361" s="116">
        <f>IF(INDEX('Additional data'!$E$2:$E$699,MATCH(DATE(YEAR(N361),MONTH(N361),1),'Additional data'!$D$2:$D$699,0))=0,(INDEX('Additional data'!$E$2:$E$699,MATCH(DATE(YEAR(N361),MONTH(N361),1),'Additional data'!$D$2:$D$699,0)-1)+INDEX('Additional data'!$E$2:$E$699,MATCH(DATE(YEAR(N361),MONTH(N361),1),'Additional data'!$D$2:$D$699,0)+1))/2,INDEX('Additional data'!$E$2:$E$699,MATCH(DATE(YEAR(N361),MONTH(N361),1),'Additional data'!$D$2:$D$699,0)))</f>
        <v>4.77</v>
      </c>
      <c r="T361" s="425">
        <f>P361-P360</f>
        <v>-0.00704937461022892</v>
      </c>
      <c r="U361" s="425">
        <f>Q361-Q360</f>
        <v>0.0561912796497421</v>
      </c>
      <c r="V361" s="425">
        <f>R361-R360</f>
        <v>0.0709490864036635</v>
      </c>
      <c r="W361" s="116">
        <f>S361-S360</f>
        <v>-0.130000000000001</v>
      </c>
      <c r="X361" s="425">
        <f>P361-P349</f>
        <v>-0.192460317237129</v>
      </c>
      <c r="Y361" s="425">
        <f>Q361-Q349</f>
        <v>0.319932245828042</v>
      </c>
      <c r="Z361" s="425">
        <f>R361-R349</f>
        <v>0.229683214327553</v>
      </c>
      <c r="AA361" s="116">
        <f>S361-S349</f>
        <v>-2.14</v>
      </c>
      <c r="AB361" s="425">
        <f>P361-P301</f>
        <v>-0.101401197239093</v>
      </c>
      <c r="AC361" s="425">
        <f>Q361-Q301</f>
        <v>0.938623969234698</v>
      </c>
      <c r="AD361" s="425">
        <f>R361-R301</f>
        <v>0.787250086392842</v>
      </c>
      <c r="AE361" s="235">
        <f>S361-S301</f>
        <v>-1.17</v>
      </c>
      <c r="AG361" s="554">
        <f>N361</f>
        <v>35703.0</v>
      </c>
      <c r="AH361" s="435">
        <f>IFERROR(INDEX('RBA 5Y yield'!$B$5:$B$661,MATCH(N361,'RBA 5Y yield'!$A$5:$A$661,1))*100,"")</f>
        <v>5.8209</v>
      </c>
      <c r="AI361" s="435">
        <f>IF(AND(ISNUMBER(AH361),ISNUMBER(AH360)),AH361-AH360,"")</f>
        <v>-0.2867</v>
      </c>
      <c r="AJ361" s="435">
        <f>IF(AND(ISNUMBER(AH361),ISNUMBER(AH349)),AH361-AH349,"")</f>
        <v>-1.752</v>
      </c>
      <c r="AK361" s="435">
        <f>IF(AND(ISNUMBER(AH361),ISNUMBER(AH301)),AH361-AH301,"")</f>
        <v>-2.4991</v>
      </c>
      <c r="AL361" s="560">
        <f>IFERROR(LN(INDEX(Data!$B$2:$B$497,MATCH(N361,Data!$A$2:$A$497,1))/INDEX(Data!$B$2:$B$497,MATCH(N349,Data!$A$2:$A$497,1))),"")</f>
        <v>0.229683214327552</v>
      </c>
      <c r="AM361" s="560">
        <f>IFERROR(LN(INDEX(Data!$C$2:$C$497,MATCH(N361,Data!$A$2:$A$497,1))/INDEX(Data!$C$2:$C$497,MATCH(N349,Data!$A$2:$A$497,1))),"")</f>
        <v>0.351944214564066</v>
      </c>
      <c r="AN361" s="560">
        <f>IFERROR(LN(INDEX(Data!$D$2:$D$497,MATCH(N361,Data!$A$2:$A$497,1))/INDEX(Data!$D$2:$D$497,MATCH(N349,Data!$A$2:$A$497,1))),"")</f>
        <v>0.256702849484093</v>
      </c>
      <c r="AO361" s="560">
        <f>IFERROR(LN(INDEX(Data!$E$2:$E$497,MATCH(N361,Data!$A$2:$A$497,1))/INDEX(Data!$E$2:$E$497,MATCH(N349,Data!$A$2:$A$497,1))),"")</f>
        <v>0.375054151519795</v>
      </c>
      <c r="AP361" s="560">
        <f>IFERROR(LN(INDEX(Data!$F$2:$F$497,MATCH(N361,Data!$A$2:$A$497,1))/INDEX(Data!$F$2:$F$497,MATCH(N349,Data!$A$2:$A$497,1))),"")</f>
        <v>0.170638967383038</v>
      </c>
      <c r="AQ361" s="560">
        <f>IFERROR(LN(INDEX(Data!$G$2:$G$497,MATCH(N361,Data!$A$2:$A$497,1))/INDEX(Data!$G$2:$G$497,MATCH(N349,Data!$A$2:$A$497,1))),"")</f>
        <v>0.0540691481543283</v>
      </c>
      <c r="AR361" s="560">
        <f>IFERROR(LN(INDEX(Data!$H$2:$H$497,MATCH(N361,Data!$A$2:$A$497,1))/INDEX(Data!$H$2:$H$497,MATCH(N349,Data!$A$2:$A$497,1))),"")</f>
      </c>
      <c r="AS361" s="560">
        <f>IFERROR(LN(INDEX(Data!$I$2:$I$497,MATCH(N361,Data!$A$2:$A$497,1))/INDEX(Data!$I$2:$I$497,MATCH(N349,Data!$A$2:$A$497,1))),"")</f>
      </c>
      <c r="AT361" s="560">
        <f>IFERROR(LN(INDEX(Data!$J$2:$J$497,MATCH(N361,Data!$A$2:$A$497,1))/INDEX(Data!$J$2:$J$497,MATCH(N349,Data!$A$2:$A$497,1))),"")</f>
        <v>0.136252549834457</v>
      </c>
      <c r="AU361" s="560">
        <f>IFERROR(LN(INDEX(Data!$K$2:$K$497,MATCH(N361,Data!$A$2:$A$497,1))/INDEX(Data!$K$2:$K$497,MATCH(N349,Data!$A$2:$A$497,1))),"")</f>
        <v>0.111135752182677</v>
      </c>
      <c r="AV361" s="561">
        <f>IFERROR(LN(INDEX(Data!$L$2:$L$497,MATCH(N361,Data!$A$2:$A$497,1))/INDEX(Data!$L$2:$L$497,MATCH(N349,Data!$A$2:$A$497,1))),"")</f>
        <v>0.0598680829374171</v>
      </c>
    </row>
    <row r="362">
      <c r="N362" s="337" t="n">
        <v>35734</v>
      </c>
      <c r="O362" s="116">
        <f>INDEX('Additional data'!$B$2:$B$965,MATCH(DATE(YEAR(N362),MONTH(N362),1),'Additional data'!$A$2:$A$965,0))</f>
        <v>21.26</v>
      </c>
      <c r="P362" s="489">
        <f>LN(O362)</f>
        <v>3.0568273729138</v>
      </c>
      <c r="Q362" s="489">
        <f>Q361+LN(1+INDEX('Additional data'!$H$2:$H$1196,MATCH(N362,'Additional data'!$G$2:$G$1196,1))+INDEX('Additional data'!$I$2:$I$1196,MATCH(N362,'Additional data'!$G$2:$G$1196,1)))</f>
        <v>3.32474274685467</v>
      </c>
      <c r="R362" s="489">
        <f>LN(INDEX(Data!$B$2:$B$497,MATCH(N362,Data!$A$2:$A$497,1)))</f>
        <v>9.25336154652638</v>
      </c>
      <c r="S362" s="116">
        <f>IF(INDEX('Additional data'!$E$2:$E$699,MATCH(DATE(YEAR(N362),MONTH(N362),1),'Additional data'!$D$2:$D$699,0))=0,(INDEX('Additional data'!$E$2:$E$699,MATCH(DATE(YEAR(N362),MONTH(N362),1),'Additional data'!$D$2:$D$699,0)-1)+INDEX('Additional data'!$E$2:$E$699,MATCH(DATE(YEAR(N362),MONTH(N362),1),'Additional data'!$D$2:$D$699,0)+1))/2,INDEX('Additional data'!$E$2:$E$699,MATCH(DATE(YEAR(N362),MONTH(N362),1),'Additional data'!$D$2:$D$699,0)))</f>
        <v>4.83</v>
      </c>
      <c r="T362" s="425">
        <f>P362-P361</f>
        <v>0.0716506132993273</v>
      </c>
      <c r="U362" s="425">
        <f>Q362-Q361</f>
        <v>-0.034384426861831</v>
      </c>
      <c r="V362" s="425">
        <f>R362-R361</f>
        <v>-0.110180483669907</v>
      </c>
      <c r="W362" s="116">
        <f>S362-S361</f>
        <v>0.0600000000000005</v>
      </c>
      <c r="X362" s="425">
        <f>P362-P350</f>
        <v>-0.15804043055686</v>
      </c>
      <c r="Y362" s="425">
        <f>Q362-Q350</f>
        <v>0.272730315255597</v>
      </c>
      <c r="Z362" s="425">
        <f>R362-R350</f>
        <v>0.0832912380790525</v>
      </c>
      <c r="AA362" s="116">
        <f>S362-S350</f>
        <v>-1.87</v>
      </c>
      <c r="AB362" s="425">
        <f>P362-P302</f>
        <v>-0.0199317392825624</v>
      </c>
      <c r="AC362" s="425">
        <f>Q362-Q302</f>
        <v>0.89181702237431</v>
      </c>
      <c r="AD362" s="425">
        <f>R362-R302</f>
        <v>0.709117549633826</v>
      </c>
      <c r="AE362" s="235">
        <f>S362-S302</f>
        <v>-1.03</v>
      </c>
      <c r="AG362" s="554">
        <f>N362</f>
        <v>35734.0</v>
      </c>
      <c r="AH362" s="435">
        <f>IFERROR(INDEX('RBA 5Y yield'!$B$5:$B$661,MATCH(N362,'RBA 5Y yield'!$A$5:$A$661,1))*100,"")</f>
        <v>5.7757</v>
      </c>
      <c r="AI362" s="435">
        <f>IF(AND(ISNUMBER(AH362),ISNUMBER(AH361)),AH362-AH361,"")</f>
        <v>-0.0451999999999995</v>
      </c>
      <c r="AJ362" s="435">
        <f>IF(AND(ISNUMBER(AH362),ISNUMBER(AH350)),AH362-AH350,"")</f>
        <v>-1.3934</v>
      </c>
      <c r="AK362" s="435">
        <f>IF(AND(ISNUMBER(AH362),ISNUMBER(AH302)),AH362-AH302,"")</f>
        <v>-2.5143</v>
      </c>
      <c r="AL362" s="560">
        <f>IFERROR(LN(INDEX(Data!$B$2:$B$497,MATCH(N362,Data!$A$2:$A$497,1))/INDEX(Data!$B$2:$B$497,MATCH(N350,Data!$A$2:$A$497,1))),"")</f>
        <v>0.0832912380790527</v>
      </c>
      <c r="AM362" s="560">
        <f>IFERROR(LN(INDEX(Data!$C$2:$C$497,MATCH(N362,Data!$A$2:$A$497,1))/INDEX(Data!$C$2:$C$497,MATCH(N350,Data!$A$2:$A$497,1))),"")</f>
        <v>0.312847091125016</v>
      </c>
      <c r="AN362" s="560">
        <f>IFERROR(LN(INDEX(Data!$D$2:$D$497,MATCH(N362,Data!$A$2:$A$497,1))/INDEX(Data!$D$2:$D$497,MATCH(N350,Data!$A$2:$A$497,1))),"")</f>
        <v>0.152946771675875</v>
      </c>
      <c r="AO362" s="560">
        <f>IFERROR(LN(INDEX(Data!$E$2:$E$497,MATCH(N362,Data!$A$2:$A$497,1))/INDEX(Data!$E$2:$E$497,MATCH(N350,Data!$A$2:$A$497,1))),"")</f>
        <v>0.350309367821711</v>
      </c>
      <c r="AP362" s="560">
        <f>IFERROR(LN(INDEX(Data!$F$2:$F$497,MATCH(N362,Data!$A$2:$A$497,1))/INDEX(Data!$F$2:$F$497,MATCH(N350,Data!$A$2:$A$497,1))),"")</f>
        <v>0.229542036672589</v>
      </c>
      <c r="AQ362" s="560">
        <f>IFERROR(LN(INDEX(Data!$G$2:$G$497,MATCH(N362,Data!$A$2:$A$497,1))/INDEX(Data!$G$2:$G$497,MATCH(N350,Data!$A$2:$A$497,1))),"")</f>
        <v>0.0540691481543283</v>
      </c>
      <c r="AR362" s="560">
        <f>IFERROR(LN(INDEX(Data!$H$2:$H$497,MATCH(N362,Data!$A$2:$A$497,1))/INDEX(Data!$H$2:$H$497,MATCH(N350,Data!$A$2:$A$497,1))),"")</f>
      </c>
      <c r="AS362" s="560">
        <f>IFERROR(LN(INDEX(Data!$I$2:$I$497,MATCH(N362,Data!$A$2:$A$497,1))/INDEX(Data!$I$2:$I$497,MATCH(N350,Data!$A$2:$A$497,1))),"")</f>
      </c>
      <c r="AT362" s="560">
        <f>IFERROR(LN(INDEX(Data!$J$2:$J$497,MATCH(N362,Data!$A$2:$A$497,1))/INDEX(Data!$J$2:$J$497,MATCH(N350,Data!$A$2:$A$497,1))),"")</f>
        <v>0.124260172303608</v>
      </c>
      <c r="AU362" s="560">
        <f>IFERROR(LN(INDEX(Data!$K$2:$K$497,MATCH(N362,Data!$A$2:$A$497,1))/INDEX(Data!$K$2:$K$497,MATCH(N350,Data!$A$2:$A$497,1))),"")</f>
        <v>0.100899527868639</v>
      </c>
      <c r="AV362" s="561">
        <f>IFERROR(LN(INDEX(Data!$L$2:$L$497,MATCH(N362,Data!$A$2:$A$497,1))/INDEX(Data!$L$2:$L$497,MATCH(N350,Data!$A$2:$A$497,1))),"")</f>
        <v>0.0580422924676123</v>
      </c>
    </row>
    <row r="363">
      <c r="N363" s="337" t="n">
        <v>35764</v>
      </c>
      <c r="O363" s="116">
        <f>INDEX('Additional data'!$B$2:$B$965,MATCH(DATE(YEAR(N363),MONTH(N363),1),'Additional data'!$A$2:$A$965,0))</f>
        <v>20.17</v>
      </c>
      <c r="P363" s="489">
        <f>LN(O363)</f>
        <v>3.00419635196612</v>
      </c>
      <c r="Q363" s="489">
        <f>Q362+LN(1+INDEX('Additional data'!$H$2:$H$1196,MATCH(N363,'Additional data'!$G$2:$G$1196,1))+INDEX('Additional data'!$I$2:$I$1196,MATCH(N363,'Additional data'!$G$2:$G$1196,1)))</f>
        <v>3.35798408063448</v>
      </c>
      <c r="R363" s="489">
        <f>LN(INDEX(Data!$B$2:$B$497,MATCH(N363,Data!$A$2:$A$497,1)))</f>
        <v>9.26079581546468</v>
      </c>
      <c r="S363" s="116">
        <f>IF(INDEX('Additional data'!$E$2:$E$699,MATCH(DATE(YEAR(N363),MONTH(N363),1),'Additional data'!$D$2:$D$699,0))=0,(INDEX('Additional data'!$E$2:$E$699,MATCH(DATE(YEAR(N363),MONTH(N363),1),'Additional data'!$D$2:$D$699,0)-1)+INDEX('Additional data'!$E$2:$E$699,MATCH(DATE(YEAR(N363),MONTH(N363),1),'Additional data'!$D$2:$D$699,0)+1))/2,INDEX('Additional data'!$E$2:$E$699,MATCH(DATE(YEAR(N363),MONTH(N363),1),'Additional data'!$D$2:$D$699,0)))</f>
        <v>4.95</v>
      </c>
      <c r="T363" s="425">
        <f>P363-P362</f>
        <v>-0.0526310209476812</v>
      </c>
      <c r="U363" s="425">
        <f>Q363-Q362</f>
        <v>0.0332413337798019</v>
      </c>
      <c r="V363" s="425">
        <f>R363-R362</f>
        <v>0.00743426893829735</v>
      </c>
      <c r="W363" s="116">
        <f>S363-S362</f>
        <v>0.12</v>
      </c>
      <c r="X363" s="425">
        <f>P363-P351</f>
        <v>-0.161700548111194</v>
      </c>
      <c r="Y363" s="425">
        <f>Q363-Q351</f>
        <v>0.241495629851034</v>
      </c>
      <c r="Z363" s="425">
        <f>R363-R351</f>
        <v>0.0719140411470622</v>
      </c>
      <c r="AA363" s="116">
        <f>S363-S351</f>
        <v>-1.5</v>
      </c>
      <c r="AB363" s="425">
        <f>P363-P303</f>
        <v>-0.00849136223728397</v>
      </c>
      <c r="AC363" s="425">
        <f>Q363-Q303</f>
        <v>0.882286264310243</v>
      </c>
      <c r="AD363" s="425">
        <f>R363-R303</f>
        <v>0.695174430144244</v>
      </c>
      <c r="AE363" s="235">
        <f>S363-S303</f>
        <v>-0.93</v>
      </c>
      <c r="AG363" s="554">
        <f>N363</f>
        <v>35764.0</v>
      </c>
      <c r="AH363" s="435">
        <f>IFERROR(INDEX('RBA 5Y yield'!$B$5:$B$661,MATCH(N363,'RBA 5Y yield'!$A$5:$A$661,1))*100,"")</f>
        <v>5.72</v>
      </c>
      <c r="AI363" s="435">
        <f>IF(AND(ISNUMBER(AH363),ISNUMBER(AH362)),AH363-AH362,"")</f>
        <v>-0.0557000000000008</v>
      </c>
      <c r="AJ363" s="435">
        <f>IF(AND(ISNUMBER(AH363),ISNUMBER(AH351)),AH363-AH351,"")</f>
        <v>-1.1186</v>
      </c>
      <c r="AK363" s="435">
        <f>IF(AND(ISNUMBER(AH363),ISNUMBER(AH303)),AH363-AH303,"")</f>
        <v>-2.76</v>
      </c>
      <c r="AL363" s="560">
        <f>IFERROR(LN(INDEX(Data!$B$2:$B$497,MATCH(N363,Data!$A$2:$A$497,1))/INDEX(Data!$B$2:$B$497,MATCH(N351,Data!$A$2:$A$497,1))),"")</f>
        <v>0.0719140411470625</v>
      </c>
      <c r="AM363" s="560">
        <f>IFERROR(LN(INDEX(Data!$C$2:$C$497,MATCH(N363,Data!$A$2:$A$497,1))/INDEX(Data!$C$2:$C$497,MATCH(N351,Data!$A$2:$A$497,1))),"")</f>
        <v>0.345349245017587</v>
      </c>
      <c r="AN363" s="560">
        <f>IFERROR(LN(INDEX(Data!$D$2:$D$497,MATCH(N363,Data!$A$2:$A$497,1))/INDEX(Data!$D$2:$D$497,MATCH(N351,Data!$A$2:$A$497,1))),"")</f>
        <v>0.175817751686754</v>
      </c>
      <c r="AO363" s="560">
        <f>IFERROR(LN(INDEX(Data!$E$2:$E$497,MATCH(N363,Data!$A$2:$A$497,1))/INDEX(Data!$E$2:$E$497,MATCH(N351,Data!$A$2:$A$497,1))),"")</f>
        <v>0.390908124503442</v>
      </c>
      <c r="AP363" s="560">
        <f>IFERROR(LN(INDEX(Data!$F$2:$F$497,MATCH(N363,Data!$A$2:$A$497,1))/INDEX(Data!$F$2:$F$497,MATCH(N351,Data!$A$2:$A$497,1))),"")</f>
        <v>0.10208986950098</v>
      </c>
      <c r="AQ363" s="560">
        <f>IFERROR(LN(INDEX(Data!$G$2:$G$497,MATCH(N363,Data!$A$2:$A$497,1))/INDEX(Data!$G$2:$G$497,MATCH(N351,Data!$A$2:$A$497,1))),"")</f>
        <v>0.0540691481543283</v>
      </c>
      <c r="AR363" s="560">
        <f>IFERROR(LN(INDEX(Data!$H$2:$H$497,MATCH(N363,Data!$A$2:$A$497,1))/INDEX(Data!$H$2:$H$497,MATCH(N351,Data!$A$2:$A$497,1))),"")</f>
      </c>
      <c r="AS363" s="560">
        <f>IFERROR(LN(INDEX(Data!$I$2:$I$497,MATCH(N363,Data!$A$2:$A$497,1))/INDEX(Data!$I$2:$I$497,MATCH(N351,Data!$A$2:$A$497,1))),"")</f>
      </c>
      <c r="AT363" s="560">
        <f>IFERROR(LN(INDEX(Data!$J$2:$J$497,MATCH(N363,Data!$A$2:$A$497,1))/INDEX(Data!$J$2:$J$497,MATCH(N351,Data!$A$2:$A$497,1))),"")</f>
        <v>0.106883488369309</v>
      </c>
      <c r="AU363" s="560">
        <f>IFERROR(LN(INDEX(Data!$K$2:$K$497,MATCH(N363,Data!$A$2:$A$497,1))/INDEX(Data!$K$2:$K$497,MATCH(N351,Data!$A$2:$A$497,1))),"")</f>
        <v>0.087204988934952</v>
      </c>
      <c r="AV363" s="561">
        <f>IFERROR(LN(INDEX(Data!$L$2:$L$497,MATCH(N363,Data!$A$2:$A$497,1))/INDEX(Data!$L$2:$L$497,MATCH(N351,Data!$A$2:$A$497,1))),"")</f>
        <v>0.0562837213555136</v>
      </c>
    </row>
    <row r="364">
      <c r="N364" s="337" t="n">
        <v>35795</v>
      </c>
      <c r="O364" s="116">
        <f>INDEX('Additional data'!$B$2:$B$965,MATCH(DATE(YEAR(N364),MONTH(N364),1),'Additional data'!$A$2:$A$965,0))</f>
        <v>18.32</v>
      </c>
      <c r="P364" s="489">
        <f>LN(O364)</f>
        <v>2.90799335924598</v>
      </c>
      <c r="Q364" s="489">
        <f>Q363+LN(1+INDEX('Additional data'!$H$2:$H$1196,MATCH(N364,'Additional data'!$G$2:$G$1196,1))+INDEX('Additional data'!$I$2:$I$1196,MATCH(N364,'Additional data'!$G$2:$G$1196,1)))</f>
        <v>3.37592222576549</v>
      </c>
      <c r="R364" s="489">
        <f>LN(INDEX(Data!$B$2:$B$497,MATCH(N364,Data!$A$2:$A$497,1)))</f>
        <v>9.32002850995373</v>
      </c>
      <c r="S364" s="116">
        <f>IF(INDEX('Additional data'!$E$2:$E$699,MATCH(DATE(YEAR(N364),MONTH(N364),1),'Additional data'!$D$2:$D$699,0))=0,(INDEX('Additional data'!$E$2:$E$699,MATCH(DATE(YEAR(N364),MONTH(N364),1),'Additional data'!$D$2:$D$699,0)-1)+INDEX('Additional data'!$E$2:$E$699,MATCH(DATE(YEAR(N364),MONTH(N364),1),'Additional data'!$D$2:$D$699,0)+1))/2,INDEX('Additional data'!$E$2:$E$699,MATCH(DATE(YEAR(N364),MONTH(N364),1),'Additional data'!$D$2:$D$699,0)))</f>
        <v>5.07</v>
      </c>
      <c r="T364" s="425">
        <f>P364-P363</f>
        <v>-0.0962029927201362</v>
      </c>
      <c r="U364" s="425">
        <f>Q364-Q363</f>
        <v>0.017938145131013</v>
      </c>
      <c r="V364" s="425">
        <f>R364-R363</f>
        <v>0.0592326944890562</v>
      </c>
      <c r="W364" s="116">
        <f>S364-S363</f>
        <v>0.12</v>
      </c>
      <c r="X364" s="425">
        <f>P364-P352</f>
        <v>-0.326362036470603</v>
      </c>
      <c r="Y364" s="425">
        <f>Q364-Q352</f>
        <v>0.27191129649316</v>
      </c>
      <c r="Z364" s="425">
        <f>R364-R352</f>
        <v>0.108129353513556</v>
      </c>
      <c r="AA364" s="116">
        <f>S364-S352</f>
        <v>-1.06</v>
      </c>
      <c r="AB364" s="425">
        <f>P364-P304</f>
        <v>-0.0576404664839738</v>
      </c>
      <c r="AC364" s="425">
        <f>Q364-Q304</f>
        <v>0.882286264310243</v>
      </c>
      <c r="AD364" s="425">
        <f>R364-R304</f>
        <v>0.67798398889809</v>
      </c>
      <c r="AE364" s="235">
        <f>S364-S304</f>
        <v>-0.83</v>
      </c>
      <c r="AG364" s="554">
        <f>N364</f>
        <v>35795.0</v>
      </c>
      <c r="AH364" s="435">
        <f>IFERROR(INDEX('RBA 5Y yield'!$B$5:$B$661,MATCH(N364,'RBA 5Y yield'!$A$5:$A$661,1))*100,"")</f>
        <v>5.8257</v>
      </c>
      <c r="AI364" s="435">
        <f>IF(AND(ISNUMBER(AH364),ISNUMBER(AH363)),AH364-AH363,"")</f>
        <v>0.105700000000001</v>
      </c>
      <c r="AJ364" s="435">
        <f>IF(AND(ISNUMBER(AH364),ISNUMBER(AH352)),AH364-AH352,"")</f>
        <v>-1.1008</v>
      </c>
      <c r="AK364" s="435">
        <f>IF(AND(ISNUMBER(AH364),ISNUMBER(AH304)),AH364-AH304,"")</f>
        <v>-2.4143</v>
      </c>
      <c r="AL364" s="560">
        <f>IFERROR(LN(INDEX(Data!$B$2:$B$497,MATCH(N364,Data!$A$2:$A$497,1))/INDEX(Data!$B$2:$B$497,MATCH(N352,Data!$A$2:$A$497,1))),"")</f>
        <v>0.108129353513556</v>
      </c>
      <c r="AM364" s="560">
        <f>IFERROR(LN(INDEX(Data!$C$2:$C$497,MATCH(N364,Data!$A$2:$A$497,1))/INDEX(Data!$C$2:$C$497,MATCH(N352,Data!$A$2:$A$497,1))),"")</f>
        <v>0.404564286845085</v>
      </c>
      <c r="AN364" s="560">
        <f>IFERROR(LN(INDEX(Data!$D$2:$D$497,MATCH(N364,Data!$A$2:$A$497,1))/INDEX(Data!$D$2:$D$497,MATCH(N352,Data!$A$2:$A$497,1))),"")</f>
        <v>0.245052003030191</v>
      </c>
      <c r="AO364" s="560">
        <f>IFERROR(LN(INDEX(Data!$E$2:$E$497,MATCH(N364,Data!$A$2:$A$497,1))/INDEX(Data!$E$2:$E$497,MATCH(N352,Data!$A$2:$A$497,1))),"")</f>
        <v>0.370927090630568</v>
      </c>
      <c r="AP364" s="560">
        <f>IFERROR(LN(INDEX(Data!$F$2:$F$497,MATCH(N364,Data!$A$2:$A$497,1))/INDEX(Data!$F$2:$F$497,MATCH(N352,Data!$A$2:$A$497,1))),"")</f>
        <v>0.046377989267771</v>
      </c>
      <c r="AQ364" s="560">
        <f>IFERROR(LN(INDEX(Data!$G$2:$G$497,MATCH(N364,Data!$A$2:$A$497,1))/INDEX(Data!$G$2:$G$497,MATCH(N352,Data!$A$2:$A$497,1))),"")</f>
        <v>0.0706449676254512</v>
      </c>
      <c r="AR364" s="560">
        <f>IFERROR(LN(INDEX(Data!$H$2:$H$497,MATCH(N364,Data!$A$2:$A$497,1))/INDEX(Data!$H$2:$H$497,MATCH(N352,Data!$A$2:$A$497,1))),"")</f>
      </c>
      <c r="AS364" s="560">
        <f>IFERROR(LN(INDEX(Data!$I$2:$I$497,MATCH(N364,Data!$A$2:$A$497,1))/INDEX(Data!$I$2:$I$497,MATCH(N352,Data!$A$2:$A$497,1))),"")</f>
      </c>
      <c r="AT364" s="560">
        <f>IFERROR(LN(INDEX(Data!$J$2:$J$497,MATCH(N364,Data!$A$2:$A$497,1))/INDEX(Data!$J$2:$J$497,MATCH(N352,Data!$A$2:$A$497,1))),"")</f>
        <v>0.11536114505272</v>
      </c>
      <c r="AU364" s="560">
        <f>IFERROR(LN(INDEX(Data!$K$2:$K$497,MATCH(N364,Data!$A$2:$A$497,1))/INDEX(Data!$K$2:$K$497,MATCH(N352,Data!$A$2:$A$497,1))),"")</f>
        <v>0.101736966436509</v>
      </c>
      <c r="AV364" s="561">
        <f>IFERROR(LN(INDEX(Data!$L$2:$L$497,MATCH(N364,Data!$A$2:$A$497,1))/INDEX(Data!$L$2:$L$497,MATCH(N352,Data!$A$2:$A$497,1))),"")</f>
        <v>0.0548173494502695</v>
      </c>
    </row>
    <row r="365">
      <c r="N365" s="337" t="n">
        <v>35826</v>
      </c>
      <c r="O365" s="116">
        <f>INDEX('Additional data'!$B$2:$B$965,MATCH(DATE(YEAR(N365),MONTH(N365),1),'Additional data'!$A$2:$A$965,0))</f>
        <v>16.71</v>
      </c>
      <c r="P365" s="489">
        <f>LN(O365)</f>
        <v>2.8160073426073</v>
      </c>
      <c r="Q365" s="489">
        <f>Q364+LN(1+INDEX('Additional data'!$H$2:$H$1196,MATCH(N365,'Additional data'!$G$2:$G$1196,1))+INDEX('Additional data'!$I$2:$I$1196,MATCH(N365,'Additional data'!$G$2:$G$1196,1)))</f>
        <v>3.38170547052122</v>
      </c>
      <c r="R365" s="489">
        <f>LN(INDEX(Data!$B$2:$B$497,MATCH(N365,Data!$A$2:$A$497,1)))</f>
        <v>9.33247835551082</v>
      </c>
      <c r="S365" s="116">
        <f>IF(INDEX('Additional data'!$E$2:$E$699,MATCH(DATE(YEAR(N365),MONTH(N365),1),'Additional data'!$D$2:$D$699,0))=0,(INDEX('Additional data'!$E$2:$E$699,MATCH(DATE(YEAR(N365),MONTH(N365),1),'Additional data'!$D$2:$D$699,0)-1)+INDEX('Additional data'!$E$2:$E$699,MATCH(DATE(YEAR(N365),MONTH(N365),1),'Additional data'!$D$2:$D$699,0)+1))/2,INDEX('Additional data'!$E$2:$E$699,MATCH(DATE(YEAR(N365),MONTH(N365),1),'Additional data'!$D$2:$D$699,0)))</f>
        <v>4.99</v>
      </c>
      <c r="T365" s="425">
        <f>P365-P364</f>
        <v>-0.0919860166386819</v>
      </c>
      <c r="U365" s="425">
        <f>Q365-Q364</f>
        <v>0.00578324475572734</v>
      </c>
      <c r="V365" s="425">
        <f>R365-R364</f>
        <v>0.0124498455570894</v>
      </c>
      <c r="W365" s="116">
        <f>S365-S364</f>
        <v>-0.0800000000000001</v>
      </c>
      <c r="X365" s="425">
        <f>P365-P353</f>
        <v>-0.409645466539922</v>
      </c>
      <c r="Y365" s="425">
        <f>Q365-Q353</f>
        <v>0.225007218969881</v>
      </c>
      <c r="Z365" s="425">
        <f>R365-R353</f>
        <v>0.119202296882545</v>
      </c>
      <c r="AA365" s="116">
        <f>S365-S353</f>
        <v>-0.83</v>
      </c>
      <c r="AB365" s="425">
        <f>P365-P305</f>
        <v>-0.132371234563218</v>
      </c>
      <c r="AC365" s="425">
        <f>Q365-Q305</f>
        <v>0.876536273252297</v>
      </c>
      <c r="AD365" s="425">
        <f>R365-R305</f>
        <v>0.708369857750459</v>
      </c>
      <c r="AE365" s="235">
        <f>S365-S305</f>
        <v>-0.89</v>
      </c>
      <c r="AG365" s="554">
        <f>N365</f>
        <v>35826.0</v>
      </c>
      <c r="AH365" s="435">
        <f>IFERROR(INDEX('RBA 5Y yield'!$B$5:$B$661,MATCH(N365,'RBA 5Y yield'!$A$5:$A$661,1))*100,"")</f>
        <v>5.5055</v>
      </c>
      <c r="AI365" s="435">
        <f>IF(AND(ISNUMBER(AH365),ISNUMBER(AH364)),AH365-AH364,"")</f>
        <v>-0.320200000000001</v>
      </c>
      <c r="AJ365" s="435">
        <f>IF(AND(ISNUMBER(AH365),ISNUMBER(AH353)),AH365-AH353,"")</f>
        <v>-1.484</v>
      </c>
      <c r="AK365" s="435">
        <f>IF(AND(ISNUMBER(AH365),ISNUMBER(AH305)),AH365-AH305,"")</f>
        <v>-2.4945</v>
      </c>
      <c r="AL365" s="560">
        <f>IFERROR(LN(INDEX(Data!$B$2:$B$497,MATCH(N365,Data!$A$2:$A$497,1))/INDEX(Data!$B$2:$B$497,MATCH(N353,Data!$A$2:$A$497,1))),"")</f>
        <v>0.119202296882544</v>
      </c>
      <c r="AM365" s="560">
        <f>IFERROR(LN(INDEX(Data!$C$2:$C$497,MATCH(N365,Data!$A$2:$A$497,1))/INDEX(Data!$C$2:$C$497,MATCH(N353,Data!$A$2:$A$497,1))),"")</f>
        <v>0.303791526326196</v>
      </c>
      <c r="AN365" s="560">
        <f>IFERROR(LN(INDEX(Data!$D$2:$D$497,MATCH(N365,Data!$A$2:$A$497,1))/INDEX(Data!$D$2:$D$497,MATCH(N353,Data!$A$2:$A$497,1))),"")</f>
        <v>0.0333393751764288</v>
      </c>
      <c r="AO365" s="560">
        <f>IFERROR(LN(INDEX(Data!$E$2:$E$497,MATCH(N365,Data!$A$2:$A$497,1))/INDEX(Data!$E$2:$E$497,MATCH(N353,Data!$A$2:$A$497,1))),"")</f>
        <v>0.259295493819303</v>
      </c>
      <c r="AP365" s="560">
        <f>IFERROR(LN(INDEX(Data!$F$2:$F$497,MATCH(N365,Data!$A$2:$A$497,1))/INDEX(Data!$F$2:$F$497,MATCH(N353,Data!$A$2:$A$497,1))),"")</f>
        <v>-0.0467539208767195</v>
      </c>
      <c r="AQ365" s="560">
        <f>IFERROR(LN(INDEX(Data!$G$2:$G$497,MATCH(N365,Data!$A$2:$A$497,1))/INDEX(Data!$G$2:$G$497,MATCH(N353,Data!$A$2:$A$497,1))),"")</f>
        <v>0.0706449676254512</v>
      </c>
      <c r="AR365" s="560">
        <f>IFERROR(LN(INDEX(Data!$H$2:$H$497,MATCH(N365,Data!$A$2:$A$497,1))/INDEX(Data!$H$2:$H$497,MATCH(N353,Data!$A$2:$A$497,1))),"")</f>
      </c>
      <c r="AS365" s="560">
        <f>IFERROR(LN(INDEX(Data!$I$2:$I$497,MATCH(N365,Data!$A$2:$A$497,1))/INDEX(Data!$I$2:$I$497,MATCH(N353,Data!$A$2:$A$497,1))),"")</f>
      </c>
      <c r="AT365" s="560">
        <f>IFERROR(LN(INDEX(Data!$J$2:$J$497,MATCH(N365,Data!$A$2:$A$497,1))/INDEX(Data!$J$2:$J$497,MATCH(N353,Data!$A$2:$A$497,1))),"")</f>
        <v>0.119731591042568</v>
      </c>
      <c r="AU365" s="560">
        <f>IFERROR(LN(INDEX(Data!$K$2:$K$497,MATCH(N365,Data!$A$2:$A$497,1))/INDEX(Data!$K$2:$K$497,MATCH(N353,Data!$A$2:$A$497,1))),"")</f>
        <v>0.106780039562101</v>
      </c>
      <c r="AV365" s="561">
        <f>IFERROR(LN(INDEX(Data!$L$2:$L$497,MATCH(N365,Data!$A$2:$A$497,1))/INDEX(Data!$L$2:$L$497,MATCH(N353,Data!$A$2:$A$497,1))),"")</f>
        <v>0.0538792285358456</v>
      </c>
    </row>
    <row r="366">
      <c r="N366" s="337" t="n">
        <v>35854</v>
      </c>
      <c r="O366" s="116">
        <f>INDEX('Additional data'!$B$2:$B$965,MATCH(DATE(YEAR(N366),MONTH(N366),1),'Additional data'!$A$2:$A$965,0))</f>
        <v>16.06</v>
      </c>
      <c r="P366" s="489">
        <f>LN(O366)</f>
        <v>2.77633170851862</v>
      </c>
      <c r="Q366" s="489">
        <f>Q365+LN(1+INDEX('Additional data'!$H$2:$H$1196,MATCH(N366,'Additional data'!$G$2:$G$1196,1))+INDEX('Additional data'!$I$2:$I$1196,MATCH(N366,'Additional data'!$G$2:$G$1196,1)))</f>
        <v>3.45328166901044</v>
      </c>
      <c r="R366" s="489">
        <f>LN(INDEX(Data!$B$2:$B$497,MATCH(N366,Data!$A$2:$A$497,1)))</f>
        <v>9.34330535422063</v>
      </c>
      <c r="S366" s="116">
        <f>IF(INDEX('Additional data'!$E$2:$E$699,MATCH(DATE(YEAR(N366),MONTH(N366),1),'Additional data'!$D$2:$D$699,0))=0,(INDEX('Additional data'!$E$2:$E$699,MATCH(DATE(YEAR(N366),MONTH(N366),1),'Additional data'!$D$2:$D$699,0)-1)+INDEX('Additional data'!$E$2:$E$699,MATCH(DATE(YEAR(N366),MONTH(N366),1),'Additional data'!$D$2:$D$699,0)+1))/2,INDEX('Additional data'!$E$2:$E$699,MATCH(DATE(YEAR(N366),MONTH(N366),1),'Additional data'!$D$2:$D$699,0)))</f>
        <v>4.97</v>
      </c>
      <c r="T366" s="425">
        <f>P366-P365</f>
        <v>-0.0396756340886868</v>
      </c>
      <c r="U366" s="425">
        <f>Q366-Q365</f>
        <v>0.0715761984892218</v>
      </c>
      <c r="V366" s="425">
        <f>R366-R365</f>
        <v>0.0108269987098062</v>
      </c>
      <c r="W366" s="116">
        <f>S366-S365</f>
        <v>-0.0200000000000005</v>
      </c>
      <c r="X366" s="425">
        <f>P366-P354</f>
        <v>-0.32421092938772</v>
      </c>
      <c r="Y366" s="425">
        <f>Q366-Q354</f>
        <v>0.297483822702267</v>
      </c>
      <c r="Z366" s="425">
        <f>R366-R354</f>
        <v>0.119357978838227</v>
      </c>
      <c r="AA366" s="116">
        <f>S366-S354</f>
        <v>-0.94</v>
      </c>
      <c r="AB366" s="425">
        <f>P366-P306</f>
        <v>-0.222047059976281</v>
      </c>
      <c r="AC366" s="425">
        <f>Q366-Q306</f>
        <v>0.944718238673503</v>
      </c>
      <c r="AD366" s="425">
        <f>R366-R306</f>
        <v>0.664418573806403</v>
      </c>
      <c r="AE366" s="235">
        <f>S366-S306</f>
        <v>-0.850000000000001</v>
      </c>
      <c r="AG366" s="554">
        <f>N366</f>
        <v>35854.0</v>
      </c>
      <c r="AH366" s="435">
        <f>IFERROR(INDEX('RBA 5Y yield'!$B$5:$B$661,MATCH(N366,'RBA 5Y yield'!$A$5:$A$661,1))*100,"")</f>
        <v>5.533</v>
      </c>
      <c r="AI366" s="435">
        <f>IF(AND(ISNUMBER(AH366),ISNUMBER(AH365)),AH366-AH365,"")</f>
        <v>0.0274999999999999</v>
      </c>
      <c r="AJ366" s="435">
        <f>IF(AND(ISNUMBER(AH366),ISNUMBER(AH354)),AH366-AH354,"")</f>
        <v>-1.5005</v>
      </c>
      <c r="AK366" s="435">
        <f>IF(AND(ISNUMBER(AH366),ISNUMBER(AH306)),AH366-AH306,"")</f>
        <v>-1.727</v>
      </c>
      <c r="AL366" s="560">
        <f>IFERROR(LN(INDEX(Data!$B$2:$B$497,MATCH(N366,Data!$A$2:$A$497,1))/INDEX(Data!$B$2:$B$497,MATCH(N354,Data!$A$2:$A$497,1))),"")</f>
        <v>0.119357978838228</v>
      </c>
      <c r="AM366" s="560">
        <f>IFERROR(LN(INDEX(Data!$C$2:$C$497,MATCH(N366,Data!$A$2:$A$497,1))/INDEX(Data!$C$2:$C$497,MATCH(N354,Data!$A$2:$A$497,1))),"")</f>
        <v>0.373714679487012</v>
      </c>
      <c r="AN366" s="560">
        <f>IFERROR(LN(INDEX(Data!$D$2:$D$497,MATCH(N366,Data!$A$2:$A$497,1))/INDEX(Data!$D$2:$D$497,MATCH(N354,Data!$A$2:$A$497,1))),"")</f>
        <v>0.0914106431897582</v>
      </c>
      <c r="AO366" s="560">
        <f>IFERROR(LN(INDEX(Data!$E$2:$E$497,MATCH(N366,Data!$A$2:$A$497,1))/INDEX(Data!$E$2:$E$497,MATCH(N354,Data!$A$2:$A$497,1))),"")</f>
        <v>0.258873596938622</v>
      </c>
      <c r="AP366" s="560">
        <f>IFERROR(LN(INDEX(Data!$F$2:$F$497,MATCH(N366,Data!$A$2:$A$497,1))/INDEX(Data!$F$2:$F$497,MATCH(N354,Data!$A$2:$A$497,1))),"")</f>
        <v>-0.0195174262317542</v>
      </c>
      <c r="AQ366" s="560">
        <f>IFERROR(LN(INDEX(Data!$G$2:$G$497,MATCH(N366,Data!$A$2:$A$497,1))/INDEX(Data!$G$2:$G$497,MATCH(N354,Data!$A$2:$A$497,1))),"")</f>
        <v>0.0706449676254512</v>
      </c>
      <c r="AR366" s="560">
        <f>IFERROR(LN(INDEX(Data!$H$2:$H$497,MATCH(N366,Data!$A$2:$A$497,1))/INDEX(Data!$H$2:$H$497,MATCH(N354,Data!$A$2:$A$497,1))),"")</f>
      </c>
      <c r="AS366" s="560">
        <f>IFERROR(LN(INDEX(Data!$I$2:$I$497,MATCH(N366,Data!$A$2:$A$497,1))/INDEX(Data!$I$2:$I$497,MATCH(N354,Data!$A$2:$A$497,1))),"")</f>
      </c>
      <c r="AT366" s="560">
        <f>IFERROR(LN(INDEX(Data!$J$2:$J$497,MATCH(N366,Data!$A$2:$A$497,1))/INDEX(Data!$J$2:$J$497,MATCH(N354,Data!$A$2:$A$497,1))),"")</f>
        <v>0.127544910547702</v>
      </c>
      <c r="AU366" s="560">
        <f>IFERROR(LN(INDEX(Data!$K$2:$K$497,MATCH(N366,Data!$A$2:$A$497,1))/INDEX(Data!$K$2:$K$497,MATCH(N354,Data!$A$2:$A$497,1))),"")</f>
        <v>0.104904264901728</v>
      </c>
      <c r="AV366" s="561">
        <f>IFERROR(LN(INDEX(Data!$L$2:$L$497,MATCH(N366,Data!$A$2:$A$497,1))/INDEX(Data!$L$2:$L$497,MATCH(N354,Data!$A$2:$A$497,1))),"")</f>
        <v>0.0534563692689434</v>
      </c>
    </row>
    <row r="367">
      <c r="N367" s="337" t="n">
        <v>35885</v>
      </c>
      <c r="O367" s="116">
        <f>INDEX('Additional data'!$B$2:$B$965,MATCH(DATE(YEAR(N367),MONTH(N367),1),'Additional data'!$A$2:$A$965,0))</f>
        <v>15.02</v>
      </c>
      <c r="P367" s="489">
        <f>LN(O367)</f>
        <v>2.70938264633599</v>
      </c>
      <c r="Q367" s="489">
        <f>Q366+LN(1+INDEX('Additional data'!$H$2:$H$1196,MATCH(N367,'Additional data'!$G$2:$G$1196,1))+INDEX('Additional data'!$I$2:$I$1196,MATCH(N367,'Additional data'!$G$2:$G$1196,1)))</f>
        <v>3.50349938517105</v>
      </c>
      <c r="R367" s="489">
        <f>LN(INDEX(Data!$B$2:$B$497,MATCH(N367,Data!$A$2:$A$497,1)))</f>
        <v>9.36988789120378</v>
      </c>
      <c r="S367" s="116">
        <f>IF(INDEX('Additional data'!$E$2:$E$699,MATCH(DATE(YEAR(N367),MONTH(N367),1),'Additional data'!$D$2:$D$699,0))=0,(INDEX('Additional data'!$E$2:$E$699,MATCH(DATE(YEAR(N367),MONTH(N367),1),'Additional data'!$D$2:$D$699,0)-1)+INDEX('Additional data'!$E$2:$E$699,MATCH(DATE(YEAR(N367),MONTH(N367),1),'Additional data'!$D$2:$D$699,0)+1))/2,INDEX('Additional data'!$E$2:$E$699,MATCH(DATE(YEAR(N367),MONTH(N367),1),'Additional data'!$D$2:$D$699,0)))</f>
        <v>4.96</v>
      </c>
      <c r="T367" s="425">
        <f>P367-P366</f>
        <v>-0.0669490621826272</v>
      </c>
      <c r="U367" s="425">
        <f>Q367-Q366</f>
        <v>0.0502177161606174</v>
      </c>
      <c r="V367" s="425">
        <f>R367-R366</f>
        <v>0.026582536983156</v>
      </c>
      <c r="W367" s="116">
        <f>S367-S366</f>
        <v>-0.00999999999999979</v>
      </c>
      <c r="X367" s="425">
        <f>P367-P355</f>
        <v>-0.334663487496553</v>
      </c>
      <c r="Y367" s="425">
        <f>Q367-Q355</f>
        <v>0.394688330087221</v>
      </c>
      <c r="Z367" s="425">
        <f>R367-R355</f>
        <v>0.15286986447436</v>
      </c>
      <c r="AA367" s="116">
        <f>S367-S355</f>
        <v>-1.09</v>
      </c>
      <c r="AB367" s="425">
        <f>P367-P307</f>
        <v>-0.303550834537778</v>
      </c>
      <c r="AC367" s="425">
        <f>Q367-Q307</f>
        <v>0.969560648502892</v>
      </c>
      <c r="AD367" s="425">
        <f>R367-R307</f>
        <v>0.651862199234726</v>
      </c>
      <c r="AE367" s="235">
        <f>S367-S307</f>
        <v>-0.42</v>
      </c>
      <c r="AG367" s="554">
        <f>N367</f>
        <v>35885.0</v>
      </c>
      <c r="AH367" s="435">
        <f>IFERROR(INDEX('RBA 5Y yield'!$B$5:$B$661,MATCH(N367,'RBA 5Y yield'!$A$5:$A$661,1))*100,"")</f>
        <v>5.4877</v>
      </c>
      <c r="AI367" s="435">
        <f>IF(AND(ISNUMBER(AH367),ISNUMBER(AH366)),AH367-AH366,"")</f>
        <v>-0.0452999999999992</v>
      </c>
      <c r="AJ367" s="435">
        <f>IF(AND(ISNUMBER(AH367),ISNUMBER(AH355)),AH367-AH355,"")</f>
        <v>-2.007</v>
      </c>
      <c r="AK367" s="435">
        <f>IF(AND(ISNUMBER(AH367),ISNUMBER(AH307)),AH367-AH307,"")</f>
        <v>-1.5623</v>
      </c>
      <c r="AL367" s="560">
        <f>IFERROR(LN(INDEX(Data!$B$2:$B$497,MATCH(N367,Data!$A$2:$A$497,1))/INDEX(Data!$B$2:$B$497,MATCH(N355,Data!$A$2:$A$497,1))),"")</f>
        <v>0.15286986447436</v>
      </c>
      <c r="AM367" s="560">
        <f>IFERROR(LN(INDEX(Data!$C$2:$C$497,MATCH(N367,Data!$A$2:$A$497,1))/INDEX(Data!$C$2:$C$497,MATCH(N355,Data!$A$2:$A$497,1))),"")</f>
        <v>0.480478485198836</v>
      </c>
      <c r="AN367" s="560">
        <f>IFERROR(LN(INDEX(Data!$D$2:$D$497,MATCH(N367,Data!$A$2:$A$497,1))/INDEX(Data!$D$2:$D$497,MATCH(N355,Data!$A$2:$A$497,1))),"")</f>
        <v>0.199149295301781</v>
      </c>
      <c r="AO367" s="560">
        <f>IFERROR(LN(INDEX(Data!$E$2:$E$497,MATCH(N367,Data!$A$2:$A$497,1))/INDEX(Data!$E$2:$E$497,MATCH(N355,Data!$A$2:$A$497,1))),"")</f>
        <v>0.309149069886655</v>
      </c>
      <c r="AP367" s="560">
        <f>IFERROR(LN(INDEX(Data!$F$2:$F$497,MATCH(N367,Data!$A$2:$A$497,1))/INDEX(Data!$F$2:$F$497,MATCH(N355,Data!$A$2:$A$497,1))),"")</f>
        <v>-0.00465381940440486</v>
      </c>
      <c r="AQ367" s="560">
        <f>IFERROR(LN(INDEX(Data!$G$2:$G$497,MATCH(N367,Data!$A$2:$A$497,1))/INDEX(Data!$G$2:$G$497,MATCH(N355,Data!$A$2:$A$497,1))),"")</f>
        <v>0.0863326429853913</v>
      </c>
      <c r="AR367" s="560">
        <f>IFERROR(LN(INDEX(Data!$H$2:$H$497,MATCH(N367,Data!$A$2:$A$497,1))/INDEX(Data!$H$2:$H$497,MATCH(N355,Data!$A$2:$A$497,1))),"")</f>
      </c>
      <c r="AS367" s="560">
        <f>IFERROR(LN(INDEX(Data!$I$2:$I$497,MATCH(N367,Data!$A$2:$A$497,1))/INDEX(Data!$I$2:$I$497,MATCH(N355,Data!$A$2:$A$497,1))),"")</f>
      </c>
      <c r="AT367" s="560">
        <f>IFERROR(LN(INDEX(Data!$J$2:$J$497,MATCH(N367,Data!$A$2:$A$497,1))/INDEX(Data!$J$2:$J$497,MATCH(N355,Data!$A$2:$A$497,1))),"")</f>
        <v>0.14565831997559</v>
      </c>
      <c r="AU367" s="560">
        <f>IFERROR(LN(INDEX(Data!$K$2:$K$497,MATCH(N367,Data!$A$2:$A$497,1))/INDEX(Data!$K$2:$K$497,MATCH(N355,Data!$A$2:$A$497,1))),"")</f>
        <v>0.118222952837692</v>
      </c>
      <c r="AV367" s="561">
        <f>IFERROR(LN(INDEX(Data!$L$2:$L$497,MATCH(N367,Data!$A$2:$A$497,1))/INDEX(Data!$L$2:$L$497,MATCH(N355,Data!$A$2:$A$497,1))),"")</f>
        <v>0.0526497946477877</v>
      </c>
    </row>
    <row r="368">
      <c r="N368" s="337" t="n">
        <v>35915</v>
      </c>
      <c r="O368" s="116">
        <f>INDEX('Additional data'!$B$2:$B$965,MATCH(DATE(YEAR(N368),MONTH(N368),1),'Additional data'!$A$2:$A$965,0))</f>
        <v>15.44</v>
      </c>
      <c r="P368" s="489">
        <f>LN(O368)</f>
        <v>2.73696154459663</v>
      </c>
      <c r="Q368" s="489">
        <f>Q367+LN(1+INDEX('Additional data'!$H$2:$H$1196,MATCH(N368,'Additional data'!$G$2:$G$1196,1))+INDEX('Additional data'!$I$2:$I$1196,MATCH(N368,'Additional data'!$G$2:$G$1196,1)))</f>
        <v>3.51513146940076</v>
      </c>
      <c r="R368" s="489">
        <f>LN(INDEX(Data!$B$2:$B$497,MATCH(N368,Data!$A$2:$A$497,1)))</f>
        <v>9.38070742423526</v>
      </c>
      <c r="S368" s="116">
        <f>IF(INDEX('Additional data'!$E$2:$E$699,MATCH(DATE(YEAR(N368),MONTH(N368),1),'Additional data'!$D$2:$D$699,0))=0,(INDEX('Additional data'!$E$2:$E$699,MATCH(DATE(YEAR(N368),MONTH(N368),1),'Additional data'!$D$2:$D$699,0)-1)+INDEX('Additional data'!$E$2:$E$699,MATCH(DATE(YEAR(N368),MONTH(N368),1),'Additional data'!$D$2:$D$699,0)+1))/2,INDEX('Additional data'!$E$2:$E$699,MATCH(DATE(YEAR(N368),MONTH(N368),1),'Additional data'!$D$2:$D$699,0)))</f>
        <v>4.92</v>
      </c>
      <c r="T368" s="425">
        <f>P368-P367</f>
        <v>0.0275788982606415</v>
      </c>
      <c r="U368" s="425">
        <f>Q368-Q367</f>
        <v>0.0116320842297077</v>
      </c>
      <c r="V368" s="425">
        <f>R368-R367</f>
        <v>0.0108195330314729</v>
      </c>
      <c r="W368" s="116">
        <f>S368-S367</f>
        <v>-0.04</v>
      </c>
      <c r="X368" s="425">
        <f>P368-P356</f>
        <v>-0.244671804577859</v>
      </c>
      <c r="Y368" s="425">
        <f>Q368-Q356</f>
        <v>0.362590651455604</v>
      </c>
      <c r="Z368" s="425">
        <f>R368-R356</f>
        <v>0.137203105880641</v>
      </c>
      <c r="AA368" s="116">
        <f>S368-S356</f>
        <v>-1.12</v>
      </c>
      <c r="AB368" s="425">
        <f>P368-P308</f>
        <v>-0.272180415867279</v>
      </c>
      <c r="AC368" s="425">
        <f>Q368-Q308</f>
        <v>1.00969509320531</v>
      </c>
      <c r="AD368" s="425">
        <f>R368-R308</f>
        <v>0.652734803208579</v>
      </c>
      <c r="AE368" s="235">
        <f>S368-S308</f>
        <v>-0.35</v>
      </c>
      <c r="AG368" s="554">
        <f>N368</f>
        <v>35915.0</v>
      </c>
      <c r="AH368" s="435">
        <f>IFERROR(INDEX('RBA 5Y yield'!$B$5:$B$661,MATCH(N368,'RBA 5Y yield'!$A$5:$A$661,1))*100,"")</f>
        <v>5.315</v>
      </c>
      <c r="AI368" s="435">
        <f>IF(AND(ISNUMBER(AH368),ISNUMBER(AH367)),AH368-AH367,"")</f>
        <v>-0.1727</v>
      </c>
      <c r="AJ368" s="435">
        <f>IF(AND(ISNUMBER(AH368),ISNUMBER(AH356)),AH368-AH356,"")</f>
        <v>-2.085</v>
      </c>
      <c r="AK368" s="435">
        <f>IF(AND(ISNUMBER(AH368),ISNUMBER(AH308)),AH368-AH308,"")</f>
        <v>-1.375</v>
      </c>
      <c r="AL368" s="560">
        <f>IFERROR(LN(INDEX(Data!$B$2:$B$497,MATCH(N368,Data!$A$2:$A$497,1))/INDEX(Data!$B$2:$B$497,MATCH(N356,Data!$A$2:$A$497,1))),"")</f>
        <v>0.137203105880641</v>
      </c>
      <c r="AM368" s="560">
        <f>IFERROR(LN(INDEX(Data!$C$2:$C$497,MATCH(N368,Data!$A$2:$A$497,1))/INDEX(Data!$C$2:$C$497,MATCH(N356,Data!$A$2:$A$497,1))),"")</f>
        <v>0.45226388843583</v>
      </c>
      <c r="AN368" s="560">
        <f>IFERROR(LN(INDEX(Data!$D$2:$D$497,MATCH(N368,Data!$A$2:$A$497,1))/INDEX(Data!$D$2:$D$497,MATCH(N356,Data!$A$2:$A$497,1))),"")</f>
        <v>0.195272782485619</v>
      </c>
      <c r="AO368" s="560">
        <f>IFERROR(LN(INDEX(Data!$E$2:$E$497,MATCH(N368,Data!$A$2:$A$497,1))/INDEX(Data!$E$2:$E$497,MATCH(N356,Data!$A$2:$A$497,1))),"")</f>
        <v>0.333201624902862</v>
      </c>
      <c r="AP368" s="560">
        <f>IFERROR(LN(INDEX(Data!$F$2:$F$497,MATCH(N368,Data!$A$2:$A$497,1))/INDEX(Data!$F$2:$F$497,MATCH(N356,Data!$A$2:$A$497,1))),"")</f>
        <v>-0.0409489113377864</v>
      </c>
      <c r="AQ368" s="560">
        <f>IFERROR(LN(INDEX(Data!$G$2:$G$497,MATCH(N368,Data!$A$2:$A$497,1))/INDEX(Data!$G$2:$G$497,MATCH(N356,Data!$A$2:$A$497,1))),"")</f>
        <v>0.0863326429853913</v>
      </c>
      <c r="AR368" s="560">
        <f>IFERROR(LN(INDEX(Data!$H$2:$H$497,MATCH(N368,Data!$A$2:$A$497,1))/INDEX(Data!$H$2:$H$497,MATCH(N356,Data!$A$2:$A$497,1))),"")</f>
      </c>
      <c r="AS368" s="560">
        <f>IFERROR(LN(INDEX(Data!$I$2:$I$497,MATCH(N368,Data!$A$2:$A$497,1))/INDEX(Data!$I$2:$I$497,MATCH(N356,Data!$A$2:$A$497,1))),"")</f>
      </c>
      <c r="AT368" s="560">
        <f>IFERROR(LN(INDEX(Data!$J$2:$J$497,MATCH(N368,Data!$A$2:$A$497,1))/INDEX(Data!$J$2:$J$497,MATCH(N356,Data!$A$2:$A$497,1))),"")</f>
        <v>0.130906420058794</v>
      </c>
      <c r="AU368" s="560">
        <f>IFERROR(LN(INDEX(Data!$K$2:$K$497,MATCH(N368,Data!$A$2:$A$497,1))/INDEX(Data!$K$2:$K$497,MATCH(N356,Data!$A$2:$A$497,1))),"")</f>
        <v>0.108810726316892</v>
      </c>
      <c r="AV368" s="561">
        <f>IFERROR(LN(INDEX(Data!$L$2:$L$497,MATCH(N368,Data!$A$2:$A$497,1))/INDEX(Data!$L$2:$L$497,MATCH(N356,Data!$A$2:$A$497,1))),"")</f>
        <v>0.0516988437805241</v>
      </c>
    </row>
    <row r="369">
      <c r="N369" s="337" t="n">
        <v>35946</v>
      </c>
      <c r="O369" s="116">
        <f>INDEX('Additional data'!$B$2:$B$965,MATCH(DATE(YEAR(N369),MONTH(N369),1),'Additional data'!$A$2:$A$965,0))</f>
        <v>14.86</v>
      </c>
      <c r="P369" s="489">
        <f>LN(O369)</f>
        <v>2.69867303928961</v>
      </c>
      <c r="Q369" s="489">
        <f>Q368+LN(1+INDEX('Additional data'!$H$2:$H$1196,MATCH(N369,'Additional data'!$G$2:$G$1196,1))+INDEX('Additional data'!$I$2:$I$1196,MATCH(N369,'Additional data'!$G$2:$G$1196,1)))</f>
        <v>3.48806854985107</v>
      </c>
      <c r="R369" s="489">
        <f>LN(INDEX(Data!$B$2:$B$497,MATCH(N369,Data!$A$2:$A$497,1)))</f>
        <v>9.36137763873037</v>
      </c>
      <c r="S369" s="116">
        <f>IF(INDEX('Additional data'!$E$2:$E$699,MATCH(DATE(YEAR(N369),MONTH(N369),1),'Additional data'!$D$2:$D$699,0))=0,(INDEX('Additional data'!$E$2:$E$699,MATCH(DATE(YEAR(N369),MONTH(N369),1),'Additional data'!$D$2:$D$699,0)-1)+INDEX('Additional data'!$E$2:$E$699,MATCH(DATE(YEAR(N369),MONTH(N369),1),'Additional data'!$D$2:$D$699,0)+1))/2,INDEX('Additional data'!$E$2:$E$699,MATCH(DATE(YEAR(N369),MONTH(N369),1),'Additional data'!$D$2:$D$699,0)))</f>
        <v>4.96</v>
      </c>
      <c r="T369" s="425">
        <f>P369-P368</f>
        <v>-0.0382885053070168</v>
      </c>
      <c r="U369" s="425">
        <f>Q369-Q368</f>
        <v>-0.0270629195496892</v>
      </c>
      <c r="V369" s="425">
        <f>R369-R368</f>
        <v>-0.0193297855048851</v>
      </c>
      <c r="W369" s="116">
        <f>S369-S368</f>
        <v>0.04</v>
      </c>
      <c r="X369" s="425">
        <f>P369-P357</f>
        <v>-0.337721215983267</v>
      </c>
      <c r="Y369" s="425">
        <f>Q369-Q357</f>
        <v>0.265815119494614</v>
      </c>
      <c r="Z369" s="425">
        <f>R369-R357</f>
        <v>0.0673581020892335</v>
      </c>
      <c r="AA369" s="116">
        <f>S369-S357</f>
        <v>-0.91</v>
      </c>
      <c r="AB369" s="425">
        <f>P369-P309</f>
        <v>-0.294054725244079</v>
      </c>
      <c r="AC369" s="425">
        <f>Q369-Q309</f>
        <v>0.952005980113862</v>
      </c>
      <c r="AD369" s="425">
        <f>R369-R309</f>
        <v>0.599216783869908</v>
      </c>
      <c r="AE369" s="235">
        <f>S369-S309</f>
        <v>-0.19</v>
      </c>
      <c r="AG369" s="554">
        <f>N369</f>
        <v>35946.0</v>
      </c>
      <c r="AH369" s="435">
        <f>IFERROR(INDEX('RBA 5Y yield'!$B$5:$B$661,MATCH(N369,'RBA 5Y yield'!$A$5:$A$661,1))*100,"")</f>
        <v>5.3119</v>
      </c>
      <c r="AI369" s="435">
        <f>IF(AND(ISNUMBER(AH369),ISNUMBER(AH368)),AH369-AH368,"")</f>
        <v>-0.00310000000000077</v>
      </c>
      <c r="AJ369" s="435">
        <f>IF(AND(ISNUMBER(AH369),ISNUMBER(AH357)),AH369-AH357,"")</f>
        <v>-1.854</v>
      </c>
      <c r="AK369" s="435">
        <f>IF(AND(ISNUMBER(AH369),ISNUMBER(AH309)),AH369-AH309,"")</f>
        <v>-1.7781</v>
      </c>
      <c r="AL369" s="560">
        <f>IFERROR(LN(INDEX(Data!$B$2:$B$497,MATCH(N369,Data!$A$2:$A$497,1))/INDEX(Data!$B$2:$B$497,MATCH(N357,Data!$A$2:$A$497,1))),"")</f>
        <v>0.0673581020892334</v>
      </c>
      <c r="AM369" s="560">
        <f>IFERROR(LN(INDEX(Data!$C$2:$C$497,MATCH(N369,Data!$A$2:$A$497,1))/INDEX(Data!$C$2:$C$497,MATCH(N357,Data!$A$2:$A$497,1))),"")</f>
        <v>0.418778322150988</v>
      </c>
      <c r="AN369" s="560">
        <f>IFERROR(LN(INDEX(Data!$D$2:$D$497,MATCH(N369,Data!$A$2:$A$497,1))/INDEX(Data!$D$2:$D$497,MATCH(N357,Data!$A$2:$A$497,1))),"")</f>
        <v>0.0522121234134114</v>
      </c>
      <c r="AO369" s="560">
        <f>IFERROR(LN(INDEX(Data!$E$2:$E$497,MATCH(N369,Data!$A$2:$A$497,1))/INDEX(Data!$E$2:$E$497,MATCH(N357,Data!$A$2:$A$497,1))),"")</f>
        <v>0.319819508969365</v>
      </c>
      <c r="AP369" s="560">
        <f>IFERROR(LN(INDEX(Data!$F$2:$F$497,MATCH(N369,Data!$A$2:$A$497,1))/INDEX(Data!$F$2:$F$497,MATCH(N357,Data!$A$2:$A$497,1))),"")</f>
        <v>-0.0827912639437944</v>
      </c>
      <c r="AQ369" s="560">
        <f>IFERROR(LN(INDEX(Data!$G$2:$G$497,MATCH(N369,Data!$A$2:$A$497,1))/INDEX(Data!$G$2:$G$497,MATCH(N357,Data!$A$2:$A$497,1))),"")</f>
        <v>0.0863326429853913</v>
      </c>
      <c r="AR369" s="560">
        <f>IFERROR(LN(INDEX(Data!$H$2:$H$497,MATCH(N369,Data!$A$2:$A$497,1))/INDEX(Data!$H$2:$H$497,MATCH(N357,Data!$A$2:$A$497,1))),"")</f>
      </c>
      <c r="AS369" s="560">
        <f>IFERROR(LN(INDEX(Data!$I$2:$I$497,MATCH(N369,Data!$A$2:$A$497,1))/INDEX(Data!$I$2:$I$497,MATCH(N357,Data!$A$2:$A$497,1))),"")</f>
      </c>
      <c r="AT369" s="560">
        <f>IFERROR(LN(INDEX(Data!$J$2:$J$497,MATCH(N369,Data!$A$2:$A$497,1))/INDEX(Data!$J$2:$J$497,MATCH(N357,Data!$A$2:$A$497,1))),"")</f>
        <v>0.130312633636534</v>
      </c>
      <c r="AU369" s="560">
        <f>IFERROR(LN(INDEX(Data!$K$2:$K$497,MATCH(N369,Data!$A$2:$A$497,1))/INDEX(Data!$K$2:$K$497,MATCH(N357,Data!$A$2:$A$497,1))),"")</f>
        <v>0.111295883015109</v>
      </c>
      <c r="AV369" s="561">
        <f>IFERROR(LN(INDEX(Data!$L$2:$L$497,MATCH(N369,Data!$A$2:$A$497,1))/INDEX(Data!$L$2:$L$497,MATCH(N357,Data!$A$2:$A$497,1))),"")</f>
        <v>0.0502904702191793</v>
      </c>
    </row>
    <row r="370">
      <c r="N370" s="337" t="n">
        <v>35976</v>
      </c>
      <c r="O370" s="116">
        <f>INDEX('Additional data'!$B$2:$B$965,MATCH(DATE(YEAR(N370),MONTH(N370),1),'Additional data'!$A$2:$A$965,0))</f>
        <v>13.66</v>
      </c>
      <c r="P370" s="489">
        <f>LN(O370)</f>
        <v>2.61447185414264</v>
      </c>
      <c r="Q370" s="489">
        <f>Q369+LN(1+INDEX('Additional data'!$H$2:$H$1196,MATCH(N370,'Additional data'!$G$2:$G$1196,1))+INDEX('Additional data'!$I$2:$I$1196,MATCH(N370,'Additional data'!$G$2:$G$1196,1)))</f>
        <v>3.52343569368836</v>
      </c>
      <c r="R370" s="489">
        <f>LN(INDEX(Data!$B$2:$B$497,MATCH(N370,Data!$A$2:$A$497,1)))</f>
        <v>9.35388644981873</v>
      </c>
      <c r="S370" s="116">
        <f>IF(INDEX('Additional data'!$E$2:$E$699,MATCH(DATE(YEAR(N370),MONTH(N370),1),'Additional data'!$D$2:$D$699,0))=0,(INDEX('Additional data'!$E$2:$E$699,MATCH(DATE(YEAR(N370),MONTH(N370),1),'Additional data'!$D$2:$D$699,0)-1)+INDEX('Additional data'!$E$2:$E$699,MATCH(DATE(YEAR(N370),MONTH(N370),1),'Additional data'!$D$2:$D$699,0)+1))/2,INDEX('Additional data'!$E$2:$E$699,MATCH(DATE(YEAR(N370),MONTH(N370),1),'Additional data'!$D$2:$D$699,0)))</f>
        <v>5.32</v>
      </c>
      <c r="T370" s="425">
        <f>P370-P369</f>
        <v>-0.0842011851469691</v>
      </c>
      <c r="U370" s="425">
        <f>Q370-Q369</f>
        <v>0.0353671438372913</v>
      </c>
      <c r="V370" s="425">
        <f>R370-R369</f>
        <v>-0.00749118891164002</v>
      </c>
      <c r="W370" s="116">
        <f>S370-S369</f>
        <v>0.36</v>
      </c>
      <c r="X370" s="425">
        <f>P370-P358</f>
        <v>-0.338874702914909</v>
      </c>
      <c r="Y370" s="425">
        <f>Q370-Q358</f>
        <v>0.25745250047058</v>
      </c>
      <c r="Z370" s="425">
        <f>R370-R358</f>
        <v>0.0095747819896399</v>
      </c>
      <c r="AA370" s="116">
        <f>S370-S358</f>
        <v>-0.0299999999999994</v>
      </c>
      <c r="AB370" s="425">
        <f>P370-P310</f>
        <v>-0.333644565469684</v>
      </c>
      <c r="AC370" s="425">
        <f>Q370-Q310</f>
        <v>0.981888193720584</v>
      </c>
      <c r="AD370" s="425">
        <f>R370-R310</f>
        <v>0.587881960339706</v>
      </c>
      <c r="AE370" s="235">
        <f>S370-S310</f>
        <v>0.100000000000001</v>
      </c>
      <c r="AG370" s="554">
        <f>N370</f>
        <v>35976.0</v>
      </c>
      <c r="AH370" s="435">
        <f>IFERROR(INDEX('RBA 5Y yield'!$B$5:$B$661,MATCH(N370,'RBA 5Y yield'!$A$5:$A$661,1))*100,"")</f>
        <v>5.4067</v>
      </c>
      <c r="AI370" s="435">
        <f>IF(AND(ISNUMBER(AH370),ISNUMBER(AH369)),AH370-AH369,"")</f>
        <v>0.0948000000000002</v>
      </c>
      <c r="AJ370" s="435">
        <f>IF(AND(ISNUMBER(AH370),ISNUMBER(AH358)),AH370-AH358,"")</f>
        <v>-1.1338</v>
      </c>
      <c r="AK370" s="435">
        <f>IF(AND(ISNUMBER(AH370),ISNUMBER(AH310)),AH370-AH310,"")</f>
        <v>-1.4233</v>
      </c>
      <c r="AL370" s="560">
        <f>IFERROR(LN(INDEX(Data!$B$2:$B$497,MATCH(N370,Data!$A$2:$A$497,1))/INDEX(Data!$B$2:$B$497,MATCH(N358,Data!$A$2:$A$497,1))),"")</f>
        <v>0.00957478198963983</v>
      </c>
      <c r="AM370" s="560">
        <f>IFERROR(LN(INDEX(Data!$C$2:$C$497,MATCH(N370,Data!$A$2:$A$497,1))/INDEX(Data!$C$2:$C$497,MATCH(N358,Data!$A$2:$A$497,1))),"")</f>
        <v>0.391477026554964</v>
      </c>
      <c r="AN370" s="560">
        <f>IFERROR(LN(INDEX(Data!$D$2:$D$497,MATCH(N370,Data!$A$2:$A$497,1))/INDEX(Data!$D$2:$D$497,MATCH(N358,Data!$A$2:$A$497,1))),"")</f>
        <v>-0.0892004671924151</v>
      </c>
      <c r="AO370" s="560">
        <f>IFERROR(LN(INDEX(Data!$E$2:$E$497,MATCH(N370,Data!$A$2:$A$497,1))/INDEX(Data!$E$2:$E$497,MATCH(N358,Data!$A$2:$A$497,1))),"")</f>
        <v>0.266978224171308</v>
      </c>
      <c r="AP370" s="560">
        <f>IFERROR(LN(INDEX(Data!$F$2:$F$497,MATCH(N370,Data!$A$2:$A$497,1))/INDEX(Data!$F$2:$F$497,MATCH(N358,Data!$A$2:$A$497,1))),"")</f>
        <v>-0.0678935701957436</v>
      </c>
      <c r="AQ370" s="560">
        <f>IFERROR(LN(INDEX(Data!$G$2:$G$497,MATCH(N370,Data!$A$2:$A$497,1))/INDEX(Data!$G$2:$G$497,MATCH(N358,Data!$A$2:$A$497,1))),"")</f>
        <v>0.0949583398669199</v>
      </c>
      <c r="AR370" s="560">
        <f>IFERROR(LN(INDEX(Data!$H$2:$H$497,MATCH(N370,Data!$A$2:$A$497,1))/INDEX(Data!$H$2:$H$497,MATCH(N358,Data!$A$2:$A$497,1))),"")</f>
      </c>
      <c r="AS370" s="560">
        <f>IFERROR(LN(INDEX(Data!$I$2:$I$497,MATCH(N370,Data!$A$2:$A$497,1))/INDEX(Data!$I$2:$I$497,MATCH(N358,Data!$A$2:$A$497,1))),"")</f>
      </c>
      <c r="AT370" s="560">
        <f>IFERROR(LN(INDEX(Data!$J$2:$J$497,MATCH(N370,Data!$A$2:$A$497,1))/INDEX(Data!$J$2:$J$497,MATCH(N358,Data!$A$2:$A$497,1))),"")</f>
        <v>0.103302091469459</v>
      </c>
      <c r="AU370" s="560">
        <f>IFERROR(LN(INDEX(Data!$K$2:$K$497,MATCH(N370,Data!$A$2:$A$497,1))/INDEX(Data!$K$2:$K$497,MATCH(N358,Data!$A$2:$A$497,1))),"")</f>
        <v>0.103450798571551</v>
      </c>
      <c r="AV370" s="561">
        <f>IFERROR(LN(INDEX(Data!$L$2:$L$497,MATCH(N370,Data!$A$2:$A$497,1))/INDEX(Data!$L$2:$L$497,MATCH(N358,Data!$A$2:$A$497,1))),"")</f>
        <v>0.049836118845615</v>
      </c>
    </row>
    <row r="371">
      <c r="N371" s="337" t="n">
        <v>36007</v>
      </c>
      <c r="O371" s="116">
        <f>INDEX('Additional data'!$B$2:$B$965,MATCH(DATE(YEAR(N371),MONTH(N371),1),'Additional data'!$A$2:$A$965,0))</f>
        <v>14.08</v>
      </c>
      <c r="P371" s="489">
        <f>LN(O371)</f>
        <v>2.6447553507299</v>
      </c>
      <c r="Q371" s="489">
        <f>Q370+LN(1+INDEX('Additional data'!$H$2:$H$1196,MATCH(N371,'Additional data'!$G$2:$G$1196,1))+INDEX('Additional data'!$I$2:$I$1196,MATCH(N371,'Additional data'!$G$2:$G$1196,1)))</f>
        <v>3.5030288839107</v>
      </c>
      <c r="R371" s="489">
        <f>LN(INDEX(Data!$B$2:$B$497,MATCH(N371,Data!$A$2:$A$497,1)))</f>
        <v>9.36970884399026</v>
      </c>
      <c r="S371" s="116">
        <f>IF(INDEX('Additional data'!$E$2:$E$699,MATCH(DATE(YEAR(N371),MONTH(N371),1),'Additional data'!$D$2:$D$699,0))=0,(INDEX('Additional data'!$E$2:$E$699,MATCH(DATE(YEAR(N371),MONTH(N371),1),'Additional data'!$D$2:$D$699,0)-1)+INDEX('Additional data'!$E$2:$E$699,MATCH(DATE(YEAR(N371),MONTH(N371),1),'Additional data'!$D$2:$D$699,0)+1))/2,INDEX('Additional data'!$E$2:$E$699,MATCH(DATE(YEAR(N371),MONTH(N371),1),'Additional data'!$D$2:$D$699,0)))</f>
        <v>5.17</v>
      </c>
      <c r="T371" s="425">
        <f>P371-P370</f>
        <v>0.030283496587252</v>
      </c>
      <c r="U371" s="425">
        <f>Q371-Q370</f>
        <v>-0.0204068097776626</v>
      </c>
      <c r="V371" s="425">
        <f>R371-R370</f>
        <v>0.0158223941715292</v>
      </c>
      <c r="W371" s="116">
        <f>S371-S370</f>
        <v>-0.15</v>
      </c>
      <c r="X371" s="425">
        <f>P371-P359</f>
        <v>-0.332303657558473</v>
      </c>
      <c r="Y371" s="425">
        <f>Q371-Q359</f>
        <v>0.162494959428622</v>
      </c>
      <c r="Z371" s="425">
        <f>R371-R359</f>
        <v>0.0244705135661185</v>
      </c>
      <c r="AA371" s="116">
        <f>S371-S359</f>
        <v>-0.0200000000000005</v>
      </c>
      <c r="AB371" s="425">
        <f>P371-P311</f>
        <v>-0.238144114549751</v>
      </c>
      <c r="AC371" s="425">
        <f>Q371-Q311</f>
        <v>0.962481884276505</v>
      </c>
      <c r="AD371" s="425">
        <f>R371-R311</f>
        <v>0.545428090498319</v>
      </c>
      <c r="AE371" s="235">
        <f>S371-S311</f>
        <v>0.12</v>
      </c>
      <c r="AG371" s="554">
        <f>N371</f>
        <v>36007.0</v>
      </c>
      <c r="AH371" s="435">
        <f>IFERROR(INDEX('RBA 5Y yield'!$B$5:$B$661,MATCH(N371,'RBA 5Y yield'!$A$5:$A$661,1))*100,"")</f>
        <v>5.3461</v>
      </c>
      <c r="AI371" s="435">
        <f>IF(AND(ISNUMBER(AH371),ISNUMBER(AH370)),AH371-AH370,"")</f>
        <v>-0.0606</v>
      </c>
      <c r="AJ371" s="435">
        <f>IF(AND(ISNUMBER(AH371),ISNUMBER(AH359)),AH371-AH359,"")</f>
        <v>-0.8056</v>
      </c>
      <c r="AK371" s="435">
        <f>IF(AND(ISNUMBER(AH371),ISNUMBER(AH311)),AH371-AH311,"")</f>
        <v>-1.0839</v>
      </c>
      <c r="AL371" s="560">
        <f>IFERROR(LN(INDEX(Data!$B$2:$B$497,MATCH(N371,Data!$A$2:$A$497,1))/INDEX(Data!$B$2:$B$497,MATCH(N359,Data!$A$2:$A$497,1))),"")</f>
        <v>0.0244705135661188</v>
      </c>
      <c r="AM371" s="560">
        <f>IFERROR(LN(INDEX(Data!$C$2:$C$497,MATCH(N371,Data!$A$2:$A$497,1))/INDEX(Data!$C$2:$C$497,MATCH(N359,Data!$A$2:$A$497,1))),"")</f>
        <v>0.344422716381687</v>
      </c>
      <c r="AN371" s="560">
        <f>IFERROR(LN(INDEX(Data!$D$2:$D$497,MATCH(N371,Data!$A$2:$A$497,1))/INDEX(Data!$D$2:$D$497,MATCH(N359,Data!$A$2:$A$497,1))),"")</f>
        <v>-0.0872375688584433</v>
      </c>
      <c r="AO371" s="560">
        <f>IFERROR(LN(INDEX(Data!$E$2:$E$497,MATCH(N371,Data!$A$2:$A$497,1))/INDEX(Data!$E$2:$E$497,MATCH(N359,Data!$A$2:$A$497,1))),"")</f>
        <v>0.195428091118799</v>
      </c>
      <c r="AP371" s="560">
        <f>IFERROR(LN(INDEX(Data!$F$2:$F$497,MATCH(N371,Data!$A$2:$A$497,1))/INDEX(Data!$F$2:$F$497,MATCH(N359,Data!$A$2:$A$497,1))),"")</f>
        <v>-0.1758364571568</v>
      </c>
      <c r="AQ371" s="560">
        <f>IFERROR(LN(INDEX(Data!$G$2:$G$497,MATCH(N371,Data!$A$2:$A$497,1))/INDEX(Data!$G$2:$G$497,MATCH(N359,Data!$A$2:$A$497,1))),"")</f>
        <v>0.0949583398669199</v>
      </c>
      <c r="AR371" s="560">
        <f>IFERROR(LN(INDEX(Data!$H$2:$H$497,MATCH(N371,Data!$A$2:$A$497,1))/INDEX(Data!$H$2:$H$497,MATCH(N359,Data!$A$2:$A$497,1))),"")</f>
      </c>
      <c r="AS371" s="560">
        <f>IFERROR(LN(INDEX(Data!$I$2:$I$497,MATCH(N371,Data!$A$2:$A$497,1))/INDEX(Data!$I$2:$I$497,MATCH(N359,Data!$A$2:$A$497,1))),"")</f>
      </c>
      <c r="AT371" s="560">
        <f>IFERROR(LN(INDEX(Data!$J$2:$J$497,MATCH(N371,Data!$A$2:$A$497,1))/INDEX(Data!$J$2:$J$497,MATCH(N359,Data!$A$2:$A$497,1))),"")</f>
        <v>0.0835945207430739</v>
      </c>
      <c r="AU371" s="560">
        <f>IFERROR(LN(INDEX(Data!$K$2:$K$497,MATCH(N371,Data!$A$2:$A$497,1))/INDEX(Data!$K$2:$K$497,MATCH(N359,Data!$A$2:$A$497,1))),"")</f>
        <v>0.0869183906621295</v>
      </c>
      <c r="AV371" s="561">
        <f>IFERROR(LN(INDEX(Data!$L$2:$L$497,MATCH(N371,Data!$A$2:$A$497,1))/INDEX(Data!$L$2:$L$497,MATCH(N359,Data!$A$2:$A$497,1))),"")</f>
        <v>0.0494184265818842</v>
      </c>
    </row>
    <row r="372">
      <c r="N372" s="337" t="n">
        <v>36038</v>
      </c>
      <c r="O372" s="116">
        <f>INDEX('Additional data'!$B$2:$B$965,MATCH(DATE(YEAR(N372),MONTH(N372),1),'Additional data'!$A$2:$A$965,0))</f>
        <v>13.36</v>
      </c>
      <c r="P372" s="489">
        <f>LN(O372)</f>
        <v>2.5922651681085</v>
      </c>
      <c r="Q372" s="489">
        <f>Q371+LN(1+INDEX('Additional data'!$H$2:$H$1196,MATCH(N372,'Additional data'!$G$2:$G$1196,1))+INDEX('Additional data'!$I$2:$I$1196,MATCH(N372,'Additional data'!$G$2:$G$1196,1)))</f>
        <v>3.3331891046188</v>
      </c>
      <c r="R372" s="489">
        <f>LN(INDEX(Data!$B$2:$B$497,MATCH(N372,Data!$A$2:$A$497,1)))</f>
        <v>9.27947456680985</v>
      </c>
      <c r="S372" s="116">
        <f>IF(INDEX('Additional data'!$E$2:$E$699,MATCH(DATE(YEAR(N372),MONTH(N372),1),'Additional data'!$D$2:$D$699,0))=0,(INDEX('Additional data'!$E$2:$E$699,MATCH(DATE(YEAR(N372),MONTH(N372),1),'Additional data'!$D$2:$D$699,0)-1)+INDEX('Additional data'!$E$2:$E$699,MATCH(DATE(YEAR(N372),MONTH(N372),1),'Additional data'!$D$2:$D$699,0)+1))/2,INDEX('Additional data'!$E$2:$E$699,MATCH(DATE(YEAR(N372),MONTH(N372),1),'Additional data'!$D$2:$D$699,0)))</f>
        <v>5.19</v>
      </c>
      <c r="T372" s="425">
        <f>P372-P371</f>
        <v>-0.0524901826213964</v>
      </c>
      <c r="U372" s="425">
        <f>Q372-Q371</f>
        <v>-0.169839779291899</v>
      </c>
      <c r="V372" s="425">
        <f>R372-R371</f>
        <v>-0.0902342771804072</v>
      </c>
      <c r="W372" s="116">
        <f>S372-S371</f>
        <v>0.0200000000000005</v>
      </c>
      <c r="X372" s="425">
        <f>P372-P360</f>
        <v>-0.399960966116204</v>
      </c>
      <c r="Y372" s="425">
        <f>Q372-Q360</f>
        <v>0.0302532105520412</v>
      </c>
      <c r="Z372" s="425">
        <f>R372-R360</f>
        <v>-0.013118376982769</v>
      </c>
      <c r="AA372" s="116">
        <f>S372-S360</f>
        <v>0.29</v>
      </c>
      <c r="AB372" s="425">
        <f>P372-P312</f>
        <v>-0.298606464829316</v>
      </c>
      <c r="AC372" s="425">
        <f>Q372-Q312</f>
        <v>0.753709894982819</v>
      </c>
      <c r="AD372" s="425">
        <f>R372-R312</f>
        <v>0.387962996282289</v>
      </c>
      <c r="AE372" s="235">
        <f>S372-S312</f>
        <v>0.41</v>
      </c>
      <c r="AG372" s="554">
        <f>N372</f>
        <v>36038.0</v>
      </c>
      <c r="AH372" s="435">
        <f>IFERROR(INDEX('RBA 5Y yield'!$B$5:$B$661,MATCH(N372,'RBA 5Y yield'!$A$5:$A$661,1))*100,"")</f>
        <v>5.48</v>
      </c>
      <c r="AI372" s="435">
        <f>IF(AND(ISNUMBER(AH372),ISNUMBER(AH371)),AH372-AH371,"")</f>
        <v>0.133900000000001</v>
      </c>
      <c r="AJ372" s="435">
        <f>IF(AND(ISNUMBER(AH372),ISNUMBER(AH360)),AH372-AH360,"")</f>
        <v>-0.627599999999999</v>
      </c>
      <c r="AK372" s="435">
        <f>IF(AND(ISNUMBER(AH372),ISNUMBER(AH312)),AH372-AH312,"")</f>
        <v>-0.68</v>
      </c>
      <c r="AL372" s="560">
        <f>IFERROR(LN(INDEX(Data!$B$2:$B$497,MATCH(N372,Data!$A$2:$A$497,1))/INDEX(Data!$B$2:$B$497,MATCH(N360,Data!$A$2:$A$497,1))),"")</f>
        <v>-0.0131183769827697</v>
      </c>
      <c r="AM372" s="560">
        <f>IFERROR(LN(INDEX(Data!$C$2:$C$497,MATCH(N372,Data!$A$2:$A$497,1))/INDEX(Data!$C$2:$C$497,MATCH(N360,Data!$A$2:$A$497,1))),"")</f>
        <v>0.30927529976074</v>
      </c>
      <c r="AN372" s="560">
        <f>IFERROR(LN(INDEX(Data!$D$2:$D$497,MATCH(N372,Data!$A$2:$A$497,1))/INDEX(Data!$D$2:$D$497,MATCH(N360,Data!$A$2:$A$497,1))),"")</f>
        <v>-0.237126745680369</v>
      </c>
      <c r="AO372" s="560">
        <f>IFERROR(LN(INDEX(Data!$E$2:$E$497,MATCH(N372,Data!$A$2:$A$497,1))/INDEX(Data!$E$2:$E$497,MATCH(N360,Data!$A$2:$A$497,1))),"")</f>
        <v>0.160746165386824</v>
      </c>
      <c r="AP372" s="560">
        <f>IFERROR(LN(INDEX(Data!$F$2:$F$497,MATCH(N372,Data!$A$2:$A$497,1))/INDEX(Data!$F$2:$F$497,MATCH(N360,Data!$A$2:$A$497,1))),"")</f>
        <v>-0.216611568017767</v>
      </c>
      <c r="AQ372" s="560">
        <f>IFERROR(LN(INDEX(Data!$G$2:$G$497,MATCH(N372,Data!$A$2:$A$497,1))/INDEX(Data!$G$2:$G$497,MATCH(N360,Data!$A$2:$A$497,1))),"")</f>
        <v>0.0949583398669199</v>
      </c>
      <c r="AR372" s="560">
        <f>IFERROR(LN(INDEX(Data!$H$2:$H$497,MATCH(N372,Data!$A$2:$A$497,1))/INDEX(Data!$H$2:$H$497,MATCH(N360,Data!$A$2:$A$497,1))),"")</f>
      </c>
      <c r="AS372" s="560">
        <f>IFERROR(LN(INDEX(Data!$I$2:$I$497,MATCH(N372,Data!$A$2:$A$497,1))/INDEX(Data!$I$2:$I$497,MATCH(N360,Data!$A$2:$A$497,1))),"")</f>
      </c>
      <c r="AT372" s="560">
        <f>IFERROR(LN(INDEX(Data!$J$2:$J$497,MATCH(N372,Data!$A$2:$A$497,1))/INDEX(Data!$J$2:$J$497,MATCH(N360,Data!$A$2:$A$497,1))),"")</f>
        <v>0.0677350408262731</v>
      </c>
      <c r="AU372" s="560">
        <f>IFERROR(LN(INDEX(Data!$K$2:$K$497,MATCH(N372,Data!$A$2:$A$497,1))/INDEX(Data!$K$2:$K$497,MATCH(N360,Data!$A$2:$A$497,1))),"")</f>
        <v>0.109376248243127</v>
      </c>
      <c r="AV372" s="561">
        <f>IFERROR(LN(INDEX(Data!$L$2:$L$497,MATCH(N372,Data!$A$2:$A$497,1))/INDEX(Data!$L$2:$L$497,MATCH(N360,Data!$A$2:$A$497,1))),"")</f>
        <v>0.0492725139940851</v>
      </c>
    </row>
    <row r="373">
      <c r="N373" s="337" t="n">
        <v>36068</v>
      </c>
      <c r="O373" s="116">
        <f>INDEX('Additional data'!$B$2:$B$965,MATCH(DATE(YEAR(N373),MONTH(N373),1),'Additional data'!$A$2:$A$965,0))</f>
        <v>14.95</v>
      </c>
      <c r="P373" s="489">
        <f>LN(O373)</f>
        <v>2.7047112998367</v>
      </c>
      <c r="Q373" s="489">
        <f>Q372+LN(1+INDEX('Additional data'!$H$2:$H$1196,MATCH(N373,'Additional data'!$G$2:$G$1196,1))+INDEX('Additional data'!$I$2:$I$1196,MATCH(N373,'Additional data'!$G$2:$G$1196,1)))</f>
        <v>3.39757136354807</v>
      </c>
      <c r="R373" s="489">
        <f>LN(INDEX(Data!$B$2:$B$497,MATCH(N373,Data!$A$2:$A$497,1)))</f>
        <v>9.31522277335559</v>
      </c>
      <c r="S373" s="116">
        <f>IF(INDEX('Additional data'!$E$2:$E$699,MATCH(DATE(YEAR(N373),MONTH(N373),1),'Additional data'!$D$2:$D$699,0))=0,(INDEX('Additional data'!$E$2:$E$699,MATCH(DATE(YEAR(N373),MONTH(N373),1),'Additional data'!$D$2:$D$699,0)-1)+INDEX('Additional data'!$E$2:$E$699,MATCH(DATE(YEAR(N373),MONTH(N373),1),'Additional data'!$D$2:$D$699,0)+1))/2,INDEX('Additional data'!$E$2:$E$699,MATCH(DATE(YEAR(N373),MONTH(N373),1),'Additional data'!$D$2:$D$699,0)))</f>
        <v>5.03</v>
      </c>
      <c r="T373" s="425">
        <f>P373-P372</f>
        <v>0.112446131728196</v>
      </c>
      <c r="U373" s="425">
        <f>Q373-Q372</f>
        <v>0.0643822589292684</v>
      </c>
      <c r="V373" s="425">
        <f>R373-R372</f>
        <v>0.0357482065457386</v>
      </c>
      <c r="W373" s="116">
        <f>S373-S372</f>
        <v>-0.16</v>
      </c>
      <c r="X373" s="425">
        <f>P373-P361</f>
        <v>-0.280465459777779</v>
      </c>
      <c r="Y373" s="425">
        <f>Q373-Q361</f>
        <v>0.0384441898315675</v>
      </c>
      <c r="Z373" s="425">
        <f>R373-R361</f>
        <v>-0.0483192568406938</v>
      </c>
      <c r="AA373" s="116">
        <f>S373-S361</f>
        <v>0.260000000000001</v>
      </c>
      <c r="AB373" s="425">
        <f>P373-P313</f>
        <v>-0.158289261263337</v>
      </c>
      <c r="AC373" s="425">
        <f>Q373-Q313</f>
        <v>0.81669313299838</v>
      </c>
      <c r="AD373" s="425">
        <f>R373-R313</f>
        <v>0.441642679480585</v>
      </c>
      <c r="AE373" s="235">
        <f>S373-S313</f>
        <v>0.17</v>
      </c>
      <c r="AG373" s="554">
        <f>N373</f>
        <v>36068.0</v>
      </c>
      <c r="AH373" s="435">
        <f>IFERROR(INDEX('RBA 5Y yield'!$B$5:$B$661,MATCH(N373,'RBA 5Y yield'!$A$5:$A$661,1))*100,"")</f>
        <v>5.13</v>
      </c>
      <c r="AI373" s="435">
        <f>IF(AND(ISNUMBER(AH373),ISNUMBER(AH372)),AH373-AH372,"")</f>
        <v>-0.350000000000001</v>
      </c>
      <c r="AJ373" s="435">
        <f>IF(AND(ISNUMBER(AH373),ISNUMBER(AH361)),AH373-AH361,"")</f>
        <v>-0.6909</v>
      </c>
      <c r="AK373" s="435">
        <f>IF(AND(ISNUMBER(AH373),ISNUMBER(AH313)),AH373-AH313,"")</f>
        <v>-1.22</v>
      </c>
      <c r="AL373" s="560">
        <f>IFERROR(LN(INDEX(Data!$B$2:$B$497,MATCH(N373,Data!$A$2:$A$497,1))/INDEX(Data!$B$2:$B$497,MATCH(N361,Data!$A$2:$A$497,1))),"")</f>
        <v>-0.0483192568406944</v>
      </c>
      <c r="AM373" s="560">
        <f>IFERROR(LN(INDEX(Data!$C$2:$C$497,MATCH(N373,Data!$A$2:$A$497,1))/INDEX(Data!$C$2:$C$497,MATCH(N361,Data!$A$2:$A$497,1))),"")</f>
        <v>0.209345203726665</v>
      </c>
      <c r="AN373" s="560">
        <f>IFERROR(LN(INDEX(Data!$D$2:$D$497,MATCH(N373,Data!$A$2:$A$497,1))/INDEX(Data!$D$2:$D$497,MATCH(N361,Data!$A$2:$A$497,1))),"")</f>
        <v>-0.268596619383756</v>
      </c>
      <c r="AO373" s="560">
        <f>IFERROR(LN(INDEX(Data!$E$2:$E$497,MATCH(N373,Data!$A$2:$A$497,1))/INDEX(Data!$E$2:$E$497,MATCH(N361,Data!$A$2:$A$497,1))),"")</f>
        <v>0.113684502021962</v>
      </c>
      <c r="AP373" s="560">
        <f>IFERROR(LN(INDEX(Data!$F$2:$F$497,MATCH(N373,Data!$A$2:$A$497,1))/INDEX(Data!$F$2:$F$497,MATCH(N361,Data!$A$2:$A$497,1))),"")</f>
        <v>-0.192748208414709</v>
      </c>
      <c r="AQ373" s="560">
        <f>IFERROR(LN(INDEX(Data!$G$2:$G$497,MATCH(N373,Data!$A$2:$A$497,1))/INDEX(Data!$G$2:$G$497,MATCH(N361,Data!$A$2:$A$497,1))),"")</f>
        <v>0.0770815998147644</v>
      </c>
      <c r="AR373" s="560">
        <f>IFERROR(LN(INDEX(Data!$H$2:$H$497,MATCH(N373,Data!$A$2:$A$497,1))/INDEX(Data!$H$2:$H$497,MATCH(N361,Data!$A$2:$A$497,1))),"")</f>
      </c>
      <c r="AS373" s="560">
        <f>IFERROR(LN(INDEX(Data!$I$2:$I$497,MATCH(N373,Data!$A$2:$A$497,1))/INDEX(Data!$I$2:$I$497,MATCH(N361,Data!$A$2:$A$497,1))),"")</f>
      </c>
      <c r="AT373" s="560">
        <f>IFERROR(LN(INDEX(Data!$J$2:$J$497,MATCH(N373,Data!$A$2:$A$497,1))/INDEX(Data!$J$2:$J$497,MATCH(N361,Data!$A$2:$A$497,1))),"")</f>
        <v>0.0890641241043833</v>
      </c>
      <c r="AU373" s="560">
        <f>IFERROR(LN(INDEX(Data!$K$2:$K$497,MATCH(N373,Data!$A$2:$A$497,1))/INDEX(Data!$K$2:$K$497,MATCH(N361,Data!$A$2:$A$497,1))),"")</f>
        <v>0.115029650632255</v>
      </c>
      <c r="AV373" s="561">
        <f>IFERROR(LN(INDEX(Data!$L$2:$L$497,MATCH(N373,Data!$A$2:$A$497,1))/INDEX(Data!$L$2:$L$497,MATCH(N361,Data!$A$2:$A$497,1))),"")</f>
        <v>0.0499067076321083</v>
      </c>
    </row>
    <row r="374">
      <c r="N374" s="337" t="n">
        <v>36099</v>
      </c>
      <c r="O374" s="116">
        <f>INDEX('Additional data'!$B$2:$B$965,MATCH(DATE(YEAR(N374),MONTH(N374),1),'Additional data'!$A$2:$A$965,0))</f>
        <v>14.39</v>
      </c>
      <c r="P374" s="489">
        <f>LN(O374)</f>
        <v>2.66653352089928</v>
      </c>
      <c r="Q374" s="489">
        <f>Q373+LN(1+INDEX('Additional data'!$H$2:$H$1196,MATCH(N374,'Additional data'!$G$2:$G$1196,1))+INDEX('Additional data'!$I$2:$I$1196,MATCH(N374,'Additional data'!$G$2:$G$1196,1)))</f>
        <v>3.46802982719663</v>
      </c>
      <c r="R374" s="489">
        <f>LN(INDEX(Data!$B$2:$B$497,MATCH(N374,Data!$A$2:$A$497,1)))</f>
        <v>9.33867201932604</v>
      </c>
      <c r="S374" s="116">
        <f>IF(INDEX('Additional data'!$E$2:$E$699,MATCH(DATE(YEAR(N374),MONTH(N374),1),'Additional data'!$D$2:$D$699,0))=0,(INDEX('Additional data'!$E$2:$E$699,MATCH(DATE(YEAR(N374),MONTH(N374),1),'Additional data'!$D$2:$D$699,0)-1)+INDEX('Additional data'!$E$2:$E$699,MATCH(DATE(YEAR(N374),MONTH(N374),1),'Additional data'!$D$2:$D$699,0)+1))/2,INDEX('Additional data'!$E$2:$E$699,MATCH(DATE(YEAR(N374),MONTH(N374),1),'Additional data'!$D$2:$D$699,0)))</f>
        <v>4.83</v>
      </c>
      <c r="T374" s="425">
        <f>P374-P373</f>
        <v>-0.0381777789374191</v>
      </c>
      <c r="U374" s="425">
        <f>Q374-Q373</f>
        <v>0.0704584636485617</v>
      </c>
      <c r="V374" s="425">
        <f>R374-R373</f>
        <v>0.0234492459704487</v>
      </c>
      <c r="W374" s="116">
        <f>S374-S373</f>
        <v>-0.2</v>
      </c>
      <c r="X374" s="425">
        <f>P374-P362</f>
        <v>-0.390293852014525</v>
      </c>
      <c r="Y374" s="425">
        <f>Q374-Q362</f>
        <v>0.14328708034196</v>
      </c>
      <c r="Z374" s="425">
        <f>R374-R362</f>
        <v>0.0853104727996623</v>
      </c>
      <c r="AA374" s="116">
        <f>S374-S362</f>
        <v>0</v>
      </c>
      <c r="AB374" s="425">
        <f>P374-P314</f>
        <v>-0.231861519765757</v>
      </c>
      <c r="AC374" s="425">
        <f>Q374-Q314</f>
        <v>0.870884624183069</v>
      </c>
      <c r="AD374" s="425">
        <f>R374-R314</f>
        <v>0.383365842536312</v>
      </c>
      <c r="AE374" s="235">
        <f>S374-S314</f>
        <v>0.0200000000000005</v>
      </c>
      <c r="AG374" s="554">
        <f>N374</f>
        <v>36099.0</v>
      </c>
      <c r="AH374" s="435">
        <f>IFERROR(INDEX('RBA 5Y yield'!$B$5:$B$661,MATCH(N374,'RBA 5Y yield'!$A$5:$A$661,1))*100,"")</f>
        <v>4.6282</v>
      </c>
      <c r="AI374" s="435">
        <f>IF(AND(ISNUMBER(AH374),ISNUMBER(AH373)),AH374-AH373,"")</f>
        <v>-0.5018</v>
      </c>
      <c r="AJ374" s="435">
        <f>IF(AND(ISNUMBER(AH374),ISNUMBER(AH362)),AH374-AH362,"")</f>
        <v>-1.1475</v>
      </c>
      <c r="AK374" s="435">
        <f>IF(AND(ISNUMBER(AH374),ISNUMBER(AH314)),AH374-AH314,"")</f>
        <v>-1.3818</v>
      </c>
      <c r="AL374" s="560">
        <f>IFERROR(LN(INDEX(Data!$B$2:$B$497,MATCH(N374,Data!$A$2:$A$497,1))/INDEX(Data!$B$2:$B$497,MATCH(N362,Data!$A$2:$A$497,1))),"")</f>
        <v>0.0853104727996623</v>
      </c>
      <c r="AM374" s="560">
        <f>IFERROR(LN(INDEX(Data!$C$2:$C$497,MATCH(N374,Data!$A$2:$A$497,1))/INDEX(Data!$C$2:$C$497,MATCH(N362,Data!$A$2:$A$497,1))),"")</f>
        <v>0.264869153416603</v>
      </c>
      <c r="AN374" s="560">
        <f>IFERROR(LN(INDEX(Data!$D$2:$D$497,MATCH(N374,Data!$A$2:$A$497,1))/INDEX(Data!$D$2:$D$497,MATCH(N362,Data!$A$2:$A$497,1))),"")</f>
        <v>-0.119332167851599</v>
      </c>
      <c r="AO374" s="560">
        <f>IFERROR(LN(INDEX(Data!$E$2:$E$497,MATCH(N374,Data!$A$2:$A$497,1))/INDEX(Data!$E$2:$E$497,MATCH(N362,Data!$A$2:$A$497,1))),"")</f>
        <v>0.0598325542856854</v>
      </c>
      <c r="AP374" s="560">
        <f>IFERROR(LN(INDEX(Data!$F$2:$F$497,MATCH(N374,Data!$A$2:$A$497,1))/INDEX(Data!$F$2:$F$497,MATCH(N362,Data!$A$2:$A$497,1))),"")</f>
        <v>-0.344355831255524</v>
      </c>
      <c r="AQ374" s="560">
        <f>IFERROR(LN(INDEX(Data!$G$2:$G$497,MATCH(N374,Data!$A$2:$A$497,1))/INDEX(Data!$G$2:$G$497,MATCH(N362,Data!$A$2:$A$497,1))),"")</f>
        <v>0.0770815998147644</v>
      </c>
      <c r="AR374" s="560">
        <f>IFERROR(LN(INDEX(Data!$H$2:$H$497,MATCH(N374,Data!$A$2:$A$497,1))/INDEX(Data!$H$2:$H$497,MATCH(N362,Data!$A$2:$A$497,1))),"")</f>
      </c>
      <c r="AS374" s="560">
        <f>IFERROR(LN(INDEX(Data!$I$2:$I$497,MATCH(N374,Data!$A$2:$A$497,1))/INDEX(Data!$I$2:$I$497,MATCH(N362,Data!$A$2:$A$497,1))),"")</f>
      </c>
      <c r="AT374" s="560">
        <f>IFERROR(LN(INDEX(Data!$J$2:$J$497,MATCH(N374,Data!$A$2:$A$497,1))/INDEX(Data!$J$2:$J$497,MATCH(N362,Data!$A$2:$A$497,1))),"")</f>
        <v>0.0920983330680321</v>
      </c>
      <c r="AU374" s="560">
        <f>IFERROR(LN(INDEX(Data!$K$2:$K$497,MATCH(N374,Data!$A$2:$A$497,1))/INDEX(Data!$K$2:$K$497,MATCH(N362,Data!$A$2:$A$497,1))),"")</f>
        <v>0.101560461848454</v>
      </c>
      <c r="AV374" s="561">
        <f>IFERROR(LN(INDEX(Data!$L$2:$L$497,MATCH(N374,Data!$A$2:$A$497,1))/INDEX(Data!$L$2:$L$497,MATCH(N362,Data!$A$2:$A$497,1))),"")</f>
        <v>0.0501185158231078</v>
      </c>
    </row>
    <row r="375">
      <c r="N375" s="337" t="n">
        <v>36129</v>
      </c>
      <c r="O375" s="116">
        <f>INDEX('Additional data'!$B$2:$B$965,MATCH(DATE(YEAR(N375),MONTH(N375),1),'Additional data'!$A$2:$A$965,0))</f>
        <v>12.85</v>
      </c>
      <c r="P375" s="489">
        <f>LN(O375)</f>
        <v>2.55334381134123</v>
      </c>
      <c r="Q375" s="489">
        <f>Q374+LN(1+INDEX('Additional data'!$H$2:$H$1196,MATCH(N375,'Additional data'!$G$2:$G$1196,1))+INDEX('Additional data'!$I$2:$I$1196,MATCH(N375,'Additional data'!$G$2:$G$1196,1)))</f>
        <v>3.52987723052271</v>
      </c>
      <c r="R375" s="489">
        <f>LN(INDEX(Data!$B$2:$B$497,MATCH(N375,Data!$A$2:$A$497,1)))</f>
        <v>9.38969921091937</v>
      </c>
      <c r="S375" s="116">
        <f>IF(INDEX('Additional data'!$E$2:$E$699,MATCH(DATE(YEAR(N375),MONTH(N375),1),'Additional data'!$D$2:$D$699,0))=0,(INDEX('Additional data'!$E$2:$E$699,MATCH(DATE(YEAR(N375),MONTH(N375),1),'Additional data'!$D$2:$D$699,0)-1)+INDEX('Additional data'!$E$2:$E$699,MATCH(DATE(YEAR(N375),MONTH(N375),1),'Additional data'!$D$2:$D$699,0)+1))/2,INDEX('Additional data'!$E$2:$E$699,MATCH(DATE(YEAR(N375),MONTH(N375),1),'Additional data'!$D$2:$D$699,0)))</f>
        <v>4.88</v>
      </c>
      <c r="T375" s="425">
        <f>P375-P374</f>
        <v>-0.113189709558048</v>
      </c>
      <c r="U375" s="425">
        <f>Q375-Q374</f>
        <v>0.0618474033260803</v>
      </c>
      <c r="V375" s="425">
        <f>R375-R374</f>
        <v>0.0510271915933309</v>
      </c>
      <c r="W375" s="116">
        <f>S375-S374</f>
        <v>0.0499999999999998</v>
      </c>
      <c r="X375" s="425">
        <f>P375-P363</f>
        <v>-0.450852540624892</v>
      </c>
      <c r="Y375" s="425">
        <f>Q375-Q363</f>
        <v>0.171893149888239</v>
      </c>
      <c r="Z375" s="425">
        <f>R375-R363</f>
        <v>0.128903395454696</v>
      </c>
      <c r="AA375" s="116">
        <f>S375-S363</f>
        <v>-0.0700000000000003</v>
      </c>
      <c r="AB375" s="425">
        <f>P375-P315</f>
        <v>-0.262005026049067</v>
      </c>
      <c r="AC375" s="425">
        <f>Q375-Q315</f>
        <v>0.949064682130048</v>
      </c>
      <c r="AD375" s="425">
        <f>R375-R315</f>
        <v>0.490596171016506</v>
      </c>
      <c r="AE375" s="235">
        <f>S375-S315</f>
        <v>0.0999999999999996</v>
      </c>
      <c r="AG375" s="554">
        <f>N375</f>
        <v>36129.0</v>
      </c>
      <c r="AH375" s="435">
        <f>IFERROR(INDEX('RBA 5Y yield'!$B$5:$B$661,MATCH(N375,'RBA 5Y yield'!$A$5:$A$661,1))*100,"")</f>
        <v>4.8267</v>
      </c>
      <c r="AI375" s="435">
        <f>IF(AND(ISNUMBER(AH375),ISNUMBER(AH374)),AH375-AH374,"")</f>
        <v>0.1985</v>
      </c>
      <c r="AJ375" s="435">
        <f>IF(AND(ISNUMBER(AH375),ISNUMBER(AH363)),AH375-AH363,"")</f>
        <v>-0.8933</v>
      </c>
      <c r="AK375" s="435">
        <f>IF(AND(ISNUMBER(AH375),ISNUMBER(AH315)),AH375-AH315,"")</f>
        <v>-1.5333</v>
      </c>
      <c r="AL375" s="560">
        <f>IFERROR(LN(INDEX(Data!$B$2:$B$497,MATCH(N375,Data!$A$2:$A$497,1))/INDEX(Data!$B$2:$B$497,MATCH(N363,Data!$A$2:$A$497,1))),"")</f>
        <v>0.128903395454695</v>
      </c>
      <c r="AM375" s="560">
        <f>IFERROR(LN(INDEX(Data!$C$2:$C$497,MATCH(N375,Data!$A$2:$A$497,1))/INDEX(Data!$C$2:$C$497,MATCH(N363,Data!$A$2:$A$497,1))),"")</f>
        <v>0.263696896502734</v>
      </c>
      <c r="AN375" s="560">
        <f>IFERROR(LN(INDEX(Data!$D$2:$D$497,MATCH(N375,Data!$A$2:$A$497,1))/INDEX(Data!$D$2:$D$497,MATCH(N363,Data!$A$2:$A$497,1))),"")</f>
        <v>-0.0642660299891484</v>
      </c>
      <c r="AO375" s="560">
        <f>IFERROR(LN(INDEX(Data!$E$2:$E$497,MATCH(N375,Data!$A$2:$A$497,1))/INDEX(Data!$E$2:$E$497,MATCH(N363,Data!$A$2:$A$497,1))),"")</f>
        <v>0.00624724292924296</v>
      </c>
      <c r="AP375" s="560">
        <f>IFERROR(LN(INDEX(Data!$F$2:$F$497,MATCH(N375,Data!$A$2:$A$497,1))/INDEX(Data!$F$2:$F$497,MATCH(N363,Data!$A$2:$A$497,1))),"")</f>
        <v>-0.410343417656963</v>
      </c>
      <c r="AQ375" s="560">
        <f>IFERROR(LN(INDEX(Data!$G$2:$G$497,MATCH(N375,Data!$A$2:$A$497,1))/INDEX(Data!$G$2:$G$497,MATCH(N363,Data!$A$2:$A$497,1))),"")</f>
        <v>0.0770815998147644</v>
      </c>
      <c r="AR375" s="560">
        <f>IFERROR(LN(INDEX(Data!$H$2:$H$497,MATCH(N375,Data!$A$2:$A$497,1))/INDEX(Data!$H$2:$H$497,MATCH(N363,Data!$A$2:$A$497,1))),"")</f>
      </c>
      <c r="AS375" s="560">
        <f>IFERROR(LN(INDEX(Data!$I$2:$I$497,MATCH(N375,Data!$A$2:$A$497,1))/INDEX(Data!$I$2:$I$497,MATCH(N363,Data!$A$2:$A$497,1))),"")</f>
      </c>
      <c r="AT375" s="560">
        <f>IFERROR(LN(INDEX(Data!$J$2:$J$497,MATCH(N375,Data!$A$2:$A$497,1))/INDEX(Data!$J$2:$J$497,MATCH(N363,Data!$A$2:$A$497,1))),"")</f>
        <v>0.0980217112231195</v>
      </c>
      <c r="AU375" s="560">
        <f>IFERROR(LN(INDEX(Data!$K$2:$K$497,MATCH(N375,Data!$A$2:$A$497,1))/INDEX(Data!$K$2:$K$497,MATCH(N363,Data!$A$2:$A$497,1))),"")</f>
        <v>0.103517405170106</v>
      </c>
      <c r="AV375" s="561">
        <f>IFERROR(LN(INDEX(Data!$L$2:$L$497,MATCH(N375,Data!$A$2:$A$497,1))/INDEX(Data!$L$2:$L$497,MATCH(N363,Data!$A$2:$A$497,1))),"")</f>
        <v>0.0502590375437419</v>
      </c>
    </row>
    <row r="376">
      <c r="N376" s="337" t="n">
        <v>36160</v>
      </c>
      <c r="O376" s="116">
        <f>INDEX('Additional data'!$B$2:$B$965,MATCH(DATE(YEAR(N376),MONTH(N376),1),'Additional data'!$A$2:$A$965,0))</f>
        <v>11.28</v>
      </c>
      <c r="P376" s="489">
        <f>LN(O376)</f>
        <v>2.42303124606991</v>
      </c>
      <c r="Q376" s="489">
        <f>Q375+LN(1+INDEX('Additional data'!$H$2:$H$1196,MATCH(N376,'Additional data'!$G$2:$G$1196,1))+INDEX('Additional data'!$I$2:$I$1196,MATCH(N376,'Additional data'!$G$2:$G$1196,1)))</f>
        <v>3.59313368015773</v>
      </c>
      <c r="R376" s="489">
        <f>LN(INDEX(Data!$B$2:$B$497,MATCH(N376,Data!$A$2:$A$497,1)))</f>
        <v>9.40141517376489</v>
      </c>
      <c r="S376" s="116">
        <f>IF(INDEX('Additional data'!$E$2:$E$699,MATCH(DATE(YEAR(N376),MONTH(N376),1),'Additional data'!$D$2:$D$699,0))=0,(INDEX('Additional data'!$E$2:$E$699,MATCH(DATE(YEAR(N376),MONTH(N376),1),'Additional data'!$D$2:$D$699,0)-1)+INDEX('Additional data'!$E$2:$E$699,MATCH(DATE(YEAR(N376),MONTH(N376),1),'Additional data'!$D$2:$D$699,0)+1))/2,INDEX('Additional data'!$E$2:$E$699,MATCH(DATE(YEAR(N376),MONTH(N376),1),'Additional data'!$D$2:$D$699,0)))</f>
        <v>4.8</v>
      </c>
      <c r="T376" s="425">
        <f>P376-P375</f>
        <v>-0.130312565271316</v>
      </c>
      <c r="U376" s="425">
        <f>Q376-Q375</f>
        <v>0.063256449635015</v>
      </c>
      <c r="V376" s="425">
        <f>R376-R375</f>
        <v>0.0117159628455159</v>
      </c>
      <c r="W376" s="116">
        <f>S376-S375</f>
        <v>-0.0800000000000001</v>
      </c>
      <c r="X376" s="425">
        <f>P376-P364</f>
        <v>-0.484962113176072</v>
      </c>
      <c r="Y376" s="425">
        <f>Q376-Q364</f>
        <v>0.217211454392241</v>
      </c>
      <c r="Z376" s="425">
        <f>R376-R364</f>
        <v>0.0813866638111556</v>
      </c>
      <c r="AA376" s="116">
        <f>S376-S364</f>
        <v>-0.27</v>
      </c>
      <c r="AB376" s="425">
        <f>P376-P316</f>
        <v>-0.251806820826184</v>
      </c>
      <c r="AC376" s="425">
        <f>Q376-Q316</f>
        <v>0.993695667641898</v>
      </c>
      <c r="AD376" s="425">
        <f>R376-R316</f>
        <v>0.419645553749868</v>
      </c>
      <c r="AE376" s="235">
        <f>S376-S316</f>
        <v>-0.0200000000000005</v>
      </c>
      <c r="AG376" s="554">
        <f>N376</f>
        <v>36160.0</v>
      </c>
      <c r="AH376" s="435">
        <f>IFERROR(INDEX('RBA 5Y yield'!$B$5:$B$661,MATCH(N376,'RBA 5Y yield'!$A$5:$A$661,1))*100,"")</f>
        <v>4.6105</v>
      </c>
      <c r="AI376" s="435">
        <f>IF(AND(ISNUMBER(AH376),ISNUMBER(AH375)),AH376-AH375,"")</f>
        <v>-0.2162</v>
      </c>
      <c r="AJ376" s="435">
        <f>IF(AND(ISNUMBER(AH376),ISNUMBER(AH364)),AH376-AH364,"")</f>
        <v>-1.2152</v>
      </c>
      <c r="AK376" s="435">
        <f>IF(AND(ISNUMBER(AH376),ISNUMBER(AH316)),AH376-AH316,"")</f>
        <v>-1.5595</v>
      </c>
      <c r="AL376" s="560">
        <f>IFERROR(LN(INDEX(Data!$B$2:$B$497,MATCH(N376,Data!$A$2:$A$497,1))/INDEX(Data!$B$2:$B$497,MATCH(N364,Data!$A$2:$A$497,1))),"")</f>
        <v>0.0813866638111553</v>
      </c>
      <c r="AM376" s="560">
        <f>IFERROR(LN(INDEX(Data!$C$2:$C$497,MATCH(N376,Data!$A$2:$A$497,1))/INDEX(Data!$C$2:$C$497,MATCH(N364,Data!$A$2:$A$497,1))),"")</f>
        <v>0.251911183553948</v>
      </c>
      <c r="AN376" s="560">
        <f>IFERROR(LN(INDEX(Data!$D$2:$D$497,MATCH(N376,Data!$A$2:$A$497,1))/INDEX(Data!$D$2:$D$497,MATCH(N364,Data!$A$2:$A$497,1))),"")</f>
        <v>-0.158296515834866</v>
      </c>
      <c r="AO376" s="560">
        <f>IFERROR(LN(INDEX(Data!$E$2:$E$497,MATCH(N376,Data!$A$2:$A$497,1))/INDEX(Data!$E$2:$E$497,MATCH(N364,Data!$A$2:$A$497,1))),"")</f>
        <v>-0.0442887443287329</v>
      </c>
      <c r="AP376" s="560">
        <f>IFERROR(LN(INDEX(Data!$F$2:$F$497,MATCH(N376,Data!$A$2:$A$497,1))/INDEX(Data!$F$2:$F$497,MATCH(N364,Data!$A$2:$A$497,1))),"")</f>
        <v>-0.381907887542707</v>
      </c>
      <c r="AQ376" s="560">
        <f>IFERROR(LN(INDEX(Data!$G$2:$G$497,MATCH(N376,Data!$A$2:$A$497,1))/INDEX(Data!$G$2:$G$497,MATCH(N364,Data!$A$2:$A$497,1))),"")</f>
        <v>0.0743163975531294</v>
      </c>
      <c r="AR376" s="560">
        <f>IFERROR(LN(INDEX(Data!$H$2:$H$497,MATCH(N376,Data!$A$2:$A$497,1))/INDEX(Data!$H$2:$H$497,MATCH(N364,Data!$A$2:$A$497,1))),"")</f>
      </c>
      <c r="AS376" s="560">
        <f>IFERROR(LN(INDEX(Data!$I$2:$I$497,MATCH(N376,Data!$A$2:$A$497,1))/INDEX(Data!$I$2:$I$497,MATCH(N364,Data!$A$2:$A$497,1))),"")</f>
      </c>
      <c r="AT376" s="560">
        <f>IFERROR(LN(INDEX(Data!$J$2:$J$497,MATCH(N376,Data!$A$2:$A$497,1))/INDEX(Data!$J$2:$J$497,MATCH(N364,Data!$A$2:$A$497,1))),"")</f>
        <v>0.0911154360695612</v>
      </c>
      <c r="AU376" s="560">
        <f>IFERROR(LN(INDEX(Data!$K$2:$K$497,MATCH(N376,Data!$A$2:$A$497,1))/INDEX(Data!$K$2:$K$497,MATCH(N364,Data!$A$2:$A$497,1))),"")</f>
        <v>0.0960571193575955</v>
      </c>
      <c r="AV376" s="561">
        <f>IFERROR(LN(INDEX(Data!$L$2:$L$497,MATCH(N376,Data!$A$2:$A$497,1))/INDEX(Data!$L$2:$L$497,MATCH(N364,Data!$A$2:$A$497,1))),"")</f>
        <v>0.0501325753074368</v>
      </c>
    </row>
    <row r="377">
      <c r="N377" s="337" t="n">
        <v>36191</v>
      </c>
      <c r="O377" s="116">
        <f>INDEX('Additional data'!$B$2:$B$965,MATCH(DATE(YEAR(N377),MONTH(N377),1),'Additional data'!$A$2:$A$965,0))</f>
        <v>12.47</v>
      </c>
      <c r="P377" s="489">
        <f>LN(O377)</f>
        <v>2.52332575969195</v>
      </c>
      <c r="Q377" s="489">
        <f>Q376+LN(1+INDEX('Additional data'!$H$2:$H$1196,MATCH(N377,'Additional data'!$G$2:$G$1196,1))+INDEX('Additional data'!$I$2:$I$1196,MATCH(N377,'Additional data'!$G$2:$G$1196,1)))</f>
        <v>3.630718440485</v>
      </c>
      <c r="R377" s="489">
        <f>LN(INDEX(Data!$B$2:$B$497,MATCH(N377,Data!$A$2:$A$497,1)))</f>
        <v>9.42145182706655</v>
      </c>
      <c r="S377" s="116">
        <f>IF(INDEX('Additional data'!$E$2:$E$699,MATCH(DATE(YEAR(N377),MONTH(N377),1),'Additional data'!$D$2:$D$699,0))=0,(INDEX('Additional data'!$E$2:$E$699,MATCH(DATE(YEAR(N377),MONTH(N377),1),'Additional data'!$D$2:$D$699,0)-1)+INDEX('Additional data'!$E$2:$E$699,MATCH(DATE(YEAR(N377),MONTH(N377),1),'Additional data'!$D$2:$D$699,0)+1))/2,INDEX('Additional data'!$E$2:$E$699,MATCH(DATE(YEAR(N377),MONTH(N377),1),'Additional data'!$D$2:$D$699,0)))</f>
        <v>4.79</v>
      </c>
      <c r="T377" s="425">
        <f>P377-P376</f>
        <v>0.100294513622032</v>
      </c>
      <c r="U377" s="425">
        <f>Q377-Q376</f>
        <v>0.0375847603272712</v>
      </c>
      <c r="V377" s="425">
        <f>R377-R376</f>
        <v>0.0200366533016663</v>
      </c>
      <c r="W377" s="116">
        <f>S377-S376</f>
        <v>-0.00999999999999979</v>
      </c>
      <c r="X377" s="425">
        <f>P377-P365</f>
        <v>-0.292681582915357</v>
      </c>
      <c r="Y377" s="425">
        <f>Q377-Q365</f>
        <v>0.249012969963784</v>
      </c>
      <c r="Z377" s="425">
        <f>R377-R365</f>
        <v>0.0889734715557324</v>
      </c>
      <c r="AA377" s="116">
        <f>S377-S365</f>
        <v>-0.2</v>
      </c>
      <c r="AB377" s="425">
        <f>P377-P317</f>
        <v>-0.184724441410265</v>
      </c>
      <c r="AC377" s="425">
        <f>Q377-Q317</f>
        <v>1.00055725532633</v>
      </c>
      <c r="AD377" s="425">
        <f>R377-R317</f>
        <v>0.378690222830178</v>
      </c>
      <c r="AE377" s="235">
        <f>S377-S317</f>
        <v>-0.0199999999999996</v>
      </c>
      <c r="AG377" s="554">
        <f>N377</f>
        <v>36191.0</v>
      </c>
      <c r="AH377" s="435">
        <f>IFERROR(INDEX('RBA 5Y yield'!$B$5:$B$661,MATCH(N377,'RBA 5Y yield'!$A$5:$A$661,1))*100,"")</f>
        <v>4.9147</v>
      </c>
      <c r="AI377" s="435">
        <f>IF(AND(ISNUMBER(AH377),ISNUMBER(AH376)),AH377-AH376,"")</f>
        <v>0.304200000000001</v>
      </c>
      <c r="AJ377" s="435">
        <f>IF(AND(ISNUMBER(AH377),ISNUMBER(AH365)),AH377-AH365,"")</f>
        <v>-0.590799999999999</v>
      </c>
      <c r="AK377" s="435">
        <f>IF(AND(ISNUMBER(AH377),ISNUMBER(AH317)),AH377-AH317,"")</f>
        <v>-1.1353</v>
      </c>
      <c r="AL377" s="560">
        <f>IFERROR(LN(INDEX(Data!$B$2:$B$497,MATCH(N377,Data!$A$2:$A$497,1))/INDEX(Data!$B$2:$B$497,MATCH(N365,Data!$A$2:$A$497,1))),"")</f>
        <v>0.0889734715557333</v>
      </c>
      <c r="AM377" s="560">
        <f>IFERROR(LN(INDEX(Data!$C$2:$C$497,MATCH(N377,Data!$A$2:$A$497,1))/INDEX(Data!$C$2:$C$497,MATCH(N365,Data!$A$2:$A$497,1))),"")</f>
        <v>0.282411515132152</v>
      </c>
      <c r="AN377" s="560">
        <f>IFERROR(LN(INDEX(Data!$D$2:$D$497,MATCH(N377,Data!$A$2:$A$497,1))/INDEX(Data!$D$2:$D$497,MATCH(N365,Data!$A$2:$A$497,1))),"")</f>
        <v>-0.0303669934510385</v>
      </c>
      <c r="AO377" s="560">
        <f>IFERROR(LN(INDEX(Data!$E$2:$E$497,MATCH(N377,Data!$A$2:$A$497,1))/INDEX(Data!$E$2:$E$497,MATCH(N365,Data!$A$2:$A$497,1))),"")</f>
        <v>-0.0315955585506947</v>
      </c>
      <c r="AP377" s="560">
        <f>IFERROR(LN(INDEX(Data!$F$2:$F$497,MATCH(N377,Data!$A$2:$A$497,1))/INDEX(Data!$F$2:$F$497,MATCH(N365,Data!$A$2:$A$497,1))),"")</f>
        <v>-0.334733145363792</v>
      </c>
      <c r="AQ377" s="560">
        <f>IFERROR(LN(INDEX(Data!$G$2:$G$497,MATCH(N377,Data!$A$2:$A$497,1))/INDEX(Data!$G$2:$G$497,MATCH(N365,Data!$A$2:$A$497,1))),"")</f>
        <v>0.0743163975531294</v>
      </c>
      <c r="AR377" s="560">
        <f>IFERROR(LN(INDEX(Data!$H$2:$H$497,MATCH(N377,Data!$A$2:$A$497,1))/INDEX(Data!$H$2:$H$497,MATCH(N365,Data!$A$2:$A$497,1))),"")</f>
      </c>
      <c r="AS377" s="560">
        <f>IFERROR(LN(INDEX(Data!$I$2:$I$497,MATCH(N377,Data!$A$2:$A$497,1))/INDEX(Data!$I$2:$I$497,MATCH(N365,Data!$A$2:$A$497,1))),"")</f>
      </c>
      <c r="AT377" s="560">
        <f>IFERROR(LN(INDEX(Data!$J$2:$J$497,MATCH(N377,Data!$A$2:$A$497,1))/INDEX(Data!$J$2:$J$497,MATCH(N365,Data!$A$2:$A$497,1))),"")</f>
        <v>0.0848675200261513</v>
      </c>
      <c r="AU377" s="560">
        <f>IFERROR(LN(INDEX(Data!$K$2:$K$497,MATCH(N377,Data!$A$2:$A$497,1))/INDEX(Data!$K$2:$K$497,MATCH(N365,Data!$A$2:$A$497,1))),"")</f>
        <v>0.0948391526039958</v>
      </c>
      <c r="AV377" s="561">
        <f>IFERROR(LN(INDEX(Data!$L$2:$L$497,MATCH(N377,Data!$A$2:$A$497,1))/INDEX(Data!$L$2:$L$497,MATCH(N365,Data!$A$2:$A$497,1))),"")</f>
        <v>0.0500297908916012</v>
      </c>
    </row>
    <row r="378">
      <c r="N378" s="337" t="n">
        <v>36219</v>
      </c>
      <c r="O378" s="116">
        <f>INDEX('Additional data'!$B$2:$B$965,MATCH(DATE(YEAR(N378),MONTH(N378),1),'Additional data'!$A$2:$A$965,0))</f>
        <v>12.01</v>
      </c>
      <c r="P378" s="489">
        <f>LN(O378)</f>
        <v>2.48573963609189</v>
      </c>
      <c r="Q378" s="489">
        <f>Q377+LN(1+INDEX('Additional data'!$H$2:$H$1196,MATCH(N378,'Additional data'!$G$2:$G$1196,1))+INDEX('Additional data'!$I$2:$I$1196,MATCH(N378,'Additional data'!$G$2:$G$1196,1)))</f>
        <v>3.59270499828678</v>
      </c>
      <c r="R378" s="489">
        <f>LN(INDEX(Data!$B$2:$B$497,MATCH(N378,Data!$A$2:$A$497,1)))</f>
        <v>9.42105500327136</v>
      </c>
      <c r="S378" s="116">
        <f>IF(INDEX('Additional data'!$E$2:$E$699,MATCH(DATE(YEAR(N378),MONTH(N378),1),'Additional data'!$D$2:$D$699,0))=0,(INDEX('Additional data'!$E$2:$E$699,MATCH(DATE(YEAR(N378),MONTH(N378),1),'Additional data'!$D$2:$D$699,0)-1)+INDEX('Additional data'!$E$2:$E$699,MATCH(DATE(YEAR(N378),MONTH(N378),1),'Additional data'!$D$2:$D$699,0)+1))/2,INDEX('Additional data'!$E$2:$E$699,MATCH(DATE(YEAR(N378),MONTH(N378),1),'Additional data'!$D$2:$D$699,0)))</f>
        <v>4.77</v>
      </c>
      <c r="T378" s="425">
        <f>P378-P377</f>
        <v>-0.037586123600053</v>
      </c>
      <c r="U378" s="425">
        <f>Q378-Q377</f>
        <v>-0.0380134421982161</v>
      </c>
      <c r="V378" s="425">
        <f>R378-R377</f>
        <v>-0.000396823795197676</v>
      </c>
      <c r="W378" s="116">
        <f>S378-S377</f>
        <v>-0.0200000000000005</v>
      </c>
      <c r="X378" s="425">
        <f>P378-P366</f>
        <v>-0.290592072426723</v>
      </c>
      <c r="Y378" s="425">
        <f>Q378-Q366</f>
        <v>0.139423329276346</v>
      </c>
      <c r="Z378" s="425">
        <f>R378-R366</f>
        <v>0.0777496490507286</v>
      </c>
      <c r="AA378" s="116">
        <f>S378-S366</f>
        <v>-0.2</v>
      </c>
      <c r="AB378" s="425">
        <f>P378-P318</f>
        <v>-0.207535279428163</v>
      </c>
      <c r="AC378" s="425">
        <f>Q378-Q318</f>
        <v>0.986221940482689</v>
      </c>
      <c r="AD378" s="425">
        <f>R378-R318</f>
        <v>0.437151098310176</v>
      </c>
      <c r="AE378" s="235">
        <f>S378-S318</f>
        <v>-0.0300000000000003</v>
      </c>
      <c r="AG378" s="554">
        <f>N378</f>
        <v>36219.0</v>
      </c>
      <c r="AH378" s="435">
        <f>IFERROR(INDEX('RBA 5Y yield'!$B$5:$B$661,MATCH(N378,'RBA 5Y yield'!$A$5:$A$661,1))*100,"")</f>
        <v>5.0595</v>
      </c>
      <c r="AI378" s="435">
        <f>IF(AND(ISNUMBER(AH378),ISNUMBER(AH377)),AH378-AH377,"")</f>
        <v>0.144799999999999</v>
      </c>
      <c r="AJ378" s="435">
        <f>IF(AND(ISNUMBER(AH378),ISNUMBER(AH366)),AH378-AH366,"")</f>
        <v>-0.4735</v>
      </c>
      <c r="AK378" s="435">
        <f>IF(AND(ISNUMBER(AH378),ISNUMBER(AH318)),AH378-AH318,"")</f>
        <v>-1.6605</v>
      </c>
      <c r="AL378" s="560">
        <f>IFERROR(LN(INDEX(Data!$B$2:$B$497,MATCH(N378,Data!$A$2:$A$497,1))/INDEX(Data!$B$2:$B$497,MATCH(N366,Data!$A$2:$A$497,1))),"")</f>
        <v>0.0777496490507274</v>
      </c>
      <c r="AM378" s="560">
        <f>IFERROR(LN(INDEX(Data!$C$2:$C$497,MATCH(N378,Data!$A$2:$A$497,1))/INDEX(Data!$C$2:$C$497,MATCH(N366,Data!$A$2:$A$497,1))),"")</f>
        <v>0.212232101607756</v>
      </c>
      <c r="AN378" s="560">
        <f>IFERROR(LN(INDEX(Data!$D$2:$D$497,MATCH(N378,Data!$A$2:$A$497,1))/INDEX(Data!$D$2:$D$497,MATCH(N366,Data!$A$2:$A$497,1))),"")</f>
        <v>-0.0823013930509542</v>
      </c>
      <c r="AO378" s="560">
        <f>IFERROR(LN(INDEX(Data!$E$2:$E$497,MATCH(N378,Data!$A$2:$A$497,1))/INDEX(Data!$E$2:$E$497,MATCH(N366,Data!$A$2:$A$497,1))),"")</f>
        <v>-0.0461350424175726</v>
      </c>
      <c r="AP378" s="560">
        <f>IFERROR(LN(INDEX(Data!$F$2:$F$497,MATCH(N378,Data!$A$2:$A$497,1))/INDEX(Data!$F$2:$F$497,MATCH(N366,Data!$A$2:$A$497,1))),"")</f>
        <v>-0.307942677470038</v>
      </c>
      <c r="AQ378" s="560">
        <f>IFERROR(LN(INDEX(Data!$G$2:$G$497,MATCH(N378,Data!$A$2:$A$497,1))/INDEX(Data!$G$2:$G$497,MATCH(N366,Data!$A$2:$A$497,1))),"")</f>
        <v>0.0743163975531294</v>
      </c>
      <c r="AR378" s="560">
        <f>IFERROR(LN(INDEX(Data!$H$2:$H$497,MATCH(N378,Data!$A$2:$A$497,1))/INDEX(Data!$H$2:$H$497,MATCH(N366,Data!$A$2:$A$497,1))),"")</f>
      </c>
      <c r="AS378" s="560">
        <f>IFERROR(LN(INDEX(Data!$I$2:$I$497,MATCH(N378,Data!$A$2:$A$497,1))/INDEX(Data!$I$2:$I$497,MATCH(N366,Data!$A$2:$A$497,1))),"")</f>
      </c>
      <c r="AT378" s="560">
        <f>IFERROR(LN(INDEX(Data!$J$2:$J$497,MATCH(N378,Data!$A$2:$A$497,1))/INDEX(Data!$J$2:$J$497,MATCH(N366,Data!$A$2:$A$497,1))),"")</f>
        <v>0.0686374811384423</v>
      </c>
      <c r="AU378" s="560">
        <f>IFERROR(LN(INDEX(Data!$K$2:$K$497,MATCH(N378,Data!$A$2:$A$497,1))/INDEX(Data!$K$2:$K$497,MATCH(N366,Data!$A$2:$A$497,1))),"")</f>
        <v>0.0789065626505953</v>
      </c>
      <c r="AV378" s="561">
        <f>IFERROR(LN(INDEX(Data!$L$2:$L$497,MATCH(N378,Data!$A$2:$A$497,1))/INDEX(Data!$L$2:$L$497,MATCH(N366,Data!$A$2:$A$497,1))),"")</f>
        <v>0.0498069882514213</v>
      </c>
    </row>
    <row r="379">
      <c r="N379" s="337" t="n">
        <v>36250</v>
      </c>
      <c r="O379" s="116">
        <f>INDEX('Additional data'!$B$2:$B$965,MATCH(DATE(YEAR(N379),MONTH(N379),1),'Additional data'!$A$2:$A$965,0))</f>
        <v>14.66</v>
      </c>
      <c r="P379" s="489">
        <f>LN(O379)</f>
        <v>2.68512269645851</v>
      </c>
      <c r="Q379" s="489">
        <f>Q378+LN(1+INDEX('Additional data'!$H$2:$H$1196,MATCH(N379,'Additional data'!$G$2:$G$1196,1))+INDEX('Additional data'!$I$2:$I$1196,MATCH(N379,'Additional data'!$G$2:$G$1196,1)))</f>
        <v>3.63105995216325</v>
      </c>
      <c r="R379" s="489">
        <f>LN(INDEX(Data!$B$2:$B$497,MATCH(N379,Data!$A$2:$A$497,1)))</f>
        <v>9.46277861298739</v>
      </c>
      <c r="S379" s="116">
        <f>IF(INDEX('Additional data'!$E$2:$E$699,MATCH(DATE(YEAR(N379),MONTH(N379),1),'Additional data'!$D$2:$D$699,0))=0,(INDEX('Additional data'!$E$2:$E$699,MATCH(DATE(YEAR(N379),MONTH(N379),1),'Additional data'!$D$2:$D$699,0)-1)+INDEX('Additional data'!$E$2:$E$699,MATCH(DATE(YEAR(N379),MONTH(N379),1),'Additional data'!$D$2:$D$699,0)+1))/2,INDEX('Additional data'!$E$2:$E$699,MATCH(DATE(YEAR(N379),MONTH(N379),1),'Additional data'!$D$2:$D$699,0)))</f>
        <v>4.81</v>
      </c>
      <c r="T379" s="425">
        <f>P379-P378</f>
        <v>0.199383060366613</v>
      </c>
      <c r="U379" s="425">
        <f>Q379-Q378</f>
        <v>0.038354953876464</v>
      </c>
      <c r="V379" s="425">
        <f>R379-R378</f>
        <v>0.0417236097160298</v>
      </c>
      <c r="W379" s="116">
        <f>S379-S378</f>
        <v>0.04</v>
      </c>
      <c r="X379" s="425">
        <f>P379-P367</f>
        <v>-0.0242599498774831</v>
      </c>
      <c r="Y379" s="425">
        <f>Q379-Q367</f>
        <v>0.127560566992193</v>
      </c>
      <c r="Z379" s="425">
        <f>R379-R367</f>
        <v>0.0928907217836024</v>
      </c>
      <c r="AA379" s="116">
        <f>S379-S367</f>
        <v>-0.15</v>
      </c>
      <c r="AB379" s="425">
        <f>P379-P319</f>
        <v>0</v>
      </c>
      <c r="AC379" s="425">
        <f>Q379-Q319</f>
        <v>1.07083027887662</v>
      </c>
      <c r="AD379" s="425">
        <f>R379-R319</f>
        <v>0.538055779414105</v>
      </c>
      <c r="AE379" s="235">
        <f>S379-S319</f>
        <v>-0.0700000000000003</v>
      </c>
      <c r="AG379" s="554">
        <f>N379</f>
        <v>36250.0</v>
      </c>
      <c r="AH379" s="435">
        <f>IFERROR(INDEX('RBA 5Y yield'!$B$5:$B$661,MATCH(N379,'RBA 5Y yield'!$A$5:$A$661,1))*100,"")</f>
        <v>5.2409</v>
      </c>
      <c r="AI379" s="435">
        <f>IF(AND(ISNUMBER(AH379),ISNUMBER(AH378)),AH379-AH378,"")</f>
        <v>0.1814</v>
      </c>
      <c r="AJ379" s="435">
        <f>IF(AND(ISNUMBER(AH379),ISNUMBER(AH367)),AH379-AH367,"")</f>
        <v>-0.2468</v>
      </c>
      <c r="AK379" s="435">
        <f>IF(AND(ISNUMBER(AH379),ISNUMBER(AH319)),AH379-AH319,"")</f>
        <v>-2.3291</v>
      </c>
      <c r="AL379" s="560">
        <f>IFERROR(LN(INDEX(Data!$B$2:$B$497,MATCH(N379,Data!$A$2:$A$497,1))/INDEX(Data!$B$2:$B$497,MATCH(N367,Data!$A$2:$A$497,1))),"")</f>
        <v>0.0928907217836035</v>
      </c>
      <c r="AM379" s="560">
        <f>IFERROR(LN(INDEX(Data!$C$2:$C$497,MATCH(N379,Data!$A$2:$A$497,1))/INDEX(Data!$C$2:$C$497,MATCH(N367,Data!$A$2:$A$497,1))),"")</f>
        <v>0.161048044687153</v>
      </c>
      <c r="AN379" s="560">
        <f>IFERROR(LN(INDEX(Data!$D$2:$D$497,MATCH(N379,Data!$A$2:$A$497,1))/INDEX(Data!$D$2:$D$497,MATCH(N367,Data!$A$2:$A$497,1))),"")</f>
        <v>-0.0662649274686969</v>
      </c>
      <c r="AO379" s="560">
        <f>IFERROR(LN(INDEX(Data!$E$2:$E$497,MATCH(N379,Data!$A$2:$A$497,1))/INDEX(Data!$E$2:$E$497,MATCH(N367,Data!$A$2:$A$497,1))),"")</f>
        <v>-0.110352028034662</v>
      </c>
      <c r="AP379" s="560">
        <f>IFERROR(LN(INDEX(Data!$F$2:$F$497,MATCH(N379,Data!$A$2:$A$497,1))/INDEX(Data!$F$2:$F$497,MATCH(N367,Data!$A$2:$A$497,1))),"")</f>
        <v>-0.1903430869865</v>
      </c>
      <c r="AQ379" s="560">
        <f>IFERROR(LN(INDEX(Data!$G$2:$G$497,MATCH(N379,Data!$A$2:$A$497,1))/INDEX(Data!$G$2:$G$497,MATCH(N367,Data!$A$2:$A$497,1))),"")</f>
        <v>0.0676387713149078</v>
      </c>
      <c r="AR379" s="560">
        <f>IFERROR(LN(INDEX(Data!$H$2:$H$497,MATCH(N379,Data!$A$2:$A$497,1))/INDEX(Data!$H$2:$H$497,MATCH(N367,Data!$A$2:$A$497,1))),"")</f>
      </c>
      <c r="AS379" s="560">
        <f>IFERROR(LN(INDEX(Data!$I$2:$I$497,MATCH(N379,Data!$A$2:$A$497,1))/INDEX(Data!$I$2:$I$497,MATCH(N367,Data!$A$2:$A$497,1))),"")</f>
      </c>
      <c r="AT379" s="560">
        <f>IFERROR(LN(INDEX(Data!$J$2:$J$497,MATCH(N379,Data!$A$2:$A$497,1))/INDEX(Data!$J$2:$J$497,MATCH(N367,Data!$A$2:$A$497,1))),"")</f>
        <v>0.0643832568595441</v>
      </c>
      <c r="AU379" s="560">
        <f>IFERROR(LN(INDEX(Data!$K$2:$K$497,MATCH(N379,Data!$A$2:$A$497,1))/INDEX(Data!$K$2:$K$497,MATCH(N367,Data!$A$2:$A$497,1))),"")</f>
        <v>0.0809569294826301</v>
      </c>
      <c r="AV379" s="561">
        <f>IFERROR(LN(INDEX(Data!$L$2:$L$497,MATCH(N379,Data!$A$2:$A$497,1))/INDEX(Data!$L$2:$L$497,MATCH(N367,Data!$A$2:$A$497,1))),"")</f>
        <v>0.0496554815054909</v>
      </c>
    </row>
    <row r="380">
      <c r="N380" s="337" t="n">
        <v>36280</v>
      </c>
      <c r="O380" s="116">
        <f>INDEX('Additional data'!$B$2:$B$965,MATCH(DATE(YEAR(N380),MONTH(N380),1),'Additional data'!$A$2:$A$965,0))</f>
        <v>17.34</v>
      </c>
      <c r="P380" s="489">
        <f>LN(O380)</f>
        <v>2.8530159713524</v>
      </c>
      <c r="Q380" s="489">
        <f>Q379+LN(1+INDEX('Additional data'!$H$2:$H$1196,MATCH(N380,'Additional data'!$G$2:$G$1196,1))+INDEX('Additional data'!$I$2:$I$1196,MATCH(N380,'Additional data'!$G$2:$G$1196,1)))</f>
        <v>3.67708439047453</v>
      </c>
      <c r="R380" s="489">
        <f>LN(INDEX(Data!$B$2:$B$497,MATCH(N380,Data!$A$2:$A$497,1)))</f>
        <v>9.52336118969307</v>
      </c>
      <c r="S380" s="116">
        <f>IF(INDEX('Additional data'!$E$2:$E$699,MATCH(DATE(YEAR(N380),MONTH(N380),1),'Additional data'!$D$2:$D$699,0))=0,(INDEX('Additional data'!$E$2:$E$699,MATCH(DATE(YEAR(N380),MONTH(N380),1),'Additional data'!$D$2:$D$699,0)-1)+INDEX('Additional data'!$E$2:$E$699,MATCH(DATE(YEAR(N380),MONTH(N380),1),'Additional data'!$D$2:$D$699,0)+1))/2,INDEX('Additional data'!$E$2:$E$699,MATCH(DATE(YEAR(N380),MONTH(N380),1),'Additional data'!$D$2:$D$699,0)))</f>
        <v>4.76</v>
      </c>
      <c r="T380" s="425">
        <f>P380-P379</f>
        <v>0.167893274893891</v>
      </c>
      <c r="U380" s="425">
        <f>Q380-Q379</f>
        <v>0.0460244383112793</v>
      </c>
      <c r="V380" s="425">
        <f>R380-R379</f>
        <v>0.0605825767056825</v>
      </c>
      <c r="W380" s="116">
        <f>S380-S379</f>
        <v>-0.0499999999999998</v>
      </c>
      <c r="X380" s="425">
        <f>P380-P368</f>
        <v>0.116054426755766</v>
      </c>
      <c r="Y380" s="425">
        <f>Q380-Q368</f>
        <v>0.161952921073765</v>
      </c>
      <c r="Z380" s="425">
        <f>R380-R368</f>
        <v>0.142653765457812</v>
      </c>
      <c r="AA380" s="116">
        <f>S380-S368</f>
        <v>-0.16</v>
      </c>
      <c r="AB380" s="425">
        <f>P380-P320</f>
        <v>0.0569548929274726</v>
      </c>
      <c r="AC380" s="425">
        <f>Q380-Q320</f>
        <v>1.10739955841714</v>
      </c>
      <c r="AD380" s="425">
        <f>R380-R320</f>
        <v>0.585302093592643</v>
      </c>
      <c r="AE380" s="235">
        <f>S380-S320</f>
        <v>-0.16</v>
      </c>
      <c r="AG380" s="554">
        <f>N380</f>
        <v>36280.0</v>
      </c>
      <c r="AH380" s="435">
        <f>IFERROR(INDEX('RBA 5Y yield'!$B$5:$B$661,MATCH(N380,'RBA 5Y yield'!$A$5:$A$661,1))*100,"")</f>
        <v>5.0425</v>
      </c>
      <c r="AI380" s="435">
        <f>IF(AND(ISNUMBER(AH380),ISNUMBER(AH379)),AH380-AH379,"")</f>
        <v>-0.1984</v>
      </c>
      <c r="AJ380" s="435">
        <f>IF(AND(ISNUMBER(AH380),ISNUMBER(AH368)),AH380-AH368,"")</f>
        <v>-0.272500000000001</v>
      </c>
      <c r="AK380" s="435">
        <f>IF(AND(ISNUMBER(AH380),ISNUMBER(AH320)),AH380-AH320,"")</f>
        <v>-2.8975</v>
      </c>
      <c r="AL380" s="560">
        <f>IFERROR(LN(INDEX(Data!$B$2:$B$497,MATCH(N380,Data!$A$2:$A$497,1))/INDEX(Data!$B$2:$B$497,MATCH(N368,Data!$A$2:$A$497,1))),"")</f>
        <v>0.142653765457812</v>
      </c>
      <c r="AM380" s="560">
        <f>IFERROR(LN(INDEX(Data!$C$2:$C$497,MATCH(N380,Data!$A$2:$A$497,1))/INDEX(Data!$C$2:$C$497,MATCH(N368,Data!$A$2:$A$497,1))),"")</f>
        <v>0.136142893253385</v>
      </c>
      <c r="AN380" s="560">
        <f>IFERROR(LN(INDEX(Data!$D$2:$D$497,MATCH(N380,Data!$A$2:$A$497,1))/INDEX(Data!$D$2:$D$497,MATCH(N368,Data!$A$2:$A$497,1))),"")</f>
        <v>-0.0176694148160683</v>
      </c>
      <c r="AO380" s="560">
        <f>IFERROR(LN(INDEX(Data!$E$2:$E$497,MATCH(N380,Data!$A$2:$A$497,1))/INDEX(Data!$E$2:$E$497,MATCH(N368,Data!$A$2:$A$497,1))),"")</f>
        <v>-0.0726198367227674</v>
      </c>
      <c r="AP380" s="560">
        <f>IFERROR(LN(INDEX(Data!$F$2:$F$497,MATCH(N380,Data!$A$2:$A$497,1))/INDEX(Data!$F$2:$F$497,MATCH(N368,Data!$A$2:$A$497,1))),"")</f>
        <v>-0.187607832187669</v>
      </c>
      <c r="AQ380" s="560">
        <f>IFERROR(LN(INDEX(Data!$G$2:$G$497,MATCH(N380,Data!$A$2:$A$497,1))/INDEX(Data!$G$2:$G$497,MATCH(N368,Data!$A$2:$A$497,1))),"")</f>
        <v>0.0676387713149078</v>
      </c>
      <c r="AR380" s="560">
        <f>IFERROR(LN(INDEX(Data!$H$2:$H$497,MATCH(N380,Data!$A$2:$A$497,1))/INDEX(Data!$H$2:$H$497,MATCH(N368,Data!$A$2:$A$497,1))),"")</f>
      </c>
      <c r="AS380" s="560">
        <f>IFERROR(LN(INDEX(Data!$I$2:$I$497,MATCH(N380,Data!$A$2:$A$497,1))/INDEX(Data!$I$2:$I$497,MATCH(N368,Data!$A$2:$A$497,1))),"")</f>
      </c>
      <c r="AT380" s="560">
        <f>IFERROR(LN(INDEX(Data!$J$2:$J$497,MATCH(N380,Data!$A$2:$A$497,1))/INDEX(Data!$J$2:$J$497,MATCH(N368,Data!$A$2:$A$497,1))),"")</f>
        <v>0.0670968938083984</v>
      </c>
      <c r="AU380" s="560">
        <f>IFERROR(LN(INDEX(Data!$K$2:$K$497,MATCH(N380,Data!$A$2:$A$497,1))/INDEX(Data!$K$2:$K$497,MATCH(N368,Data!$A$2:$A$497,1))),"")</f>
        <v>0.0835667769795771</v>
      </c>
      <c r="AV380" s="561">
        <f>IFERROR(LN(INDEX(Data!$L$2:$L$497,MATCH(N380,Data!$A$2:$A$497,1))/INDEX(Data!$L$2:$L$497,MATCH(N368,Data!$A$2:$A$497,1))),"")</f>
        <v>0.0494869345475936</v>
      </c>
    </row>
    <row r="381">
      <c r="N381" s="337" t="n">
        <v>36311</v>
      </c>
      <c r="O381" s="116">
        <f>INDEX('Additional data'!$B$2:$B$965,MATCH(DATE(YEAR(N381),MONTH(N381),1),'Additional data'!$A$2:$A$965,0))</f>
        <v>17.75</v>
      </c>
      <c r="P381" s="489">
        <f>LN(O381)</f>
        <v>2.87638551592142</v>
      </c>
      <c r="Q381" s="489">
        <f>Q380+LN(1+INDEX('Additional data'!$H$2:$H$1196,MATCH(N381,'Additional data'!$G$2:$G$1196,1))+INDEX('Additional data'!$I$2:$I$1196,MATCH(N381,'Additional data'!$G$2:$G$1196,1)))</f>
        <v>3.65565644306091</v>
      </c>
      <c r="R381" s="489">
        <f>LN(INDEX(Data!$B$2:$B$497,MATCH(N381,Data!$A$2:$A$497,1)))</f>
        <v>9.45885532983825</v>
      </c>
      <c r="S381" s="116">
        <f>IF(INDEX('Additional data'!$E$2:$E$699,MATCH(DATE(YEAR(N381),MONTH(N381),1),'Additional data'!$D$2:$D$699,0))=0,(INDEX('Additional data'!$E$2:$E$699,MATCH(DATE(YEAR(N381),MONTH(N381),1),'Additional data'!$D$2:$D$699,0)-1)+INDEX('Additional data'!$E$2:$E$699,MATCH(DATE(YEAR(N381),MONTH(N381),1),'Additional data'!$D$2:$D$699,0)+1))/2,INDEX('Additional data'!$E$2:$E$699,MATCH(DATE(YEAR(N381),MONTH(N381),1),'Additional data'!$D$2:$D$699,0)))</f>
        <v>4.86</v>
      </c>
      <c r="T381" s="425">
        <f>P381-P380</f>
        <v>0.0233695445690287</v>
      </c>
      <c r="U381" s="425">
        <f>Q381-Q380</f>
        <v>-0.0214279474136205</v>
      </c>
      <c r="V381" s="425">
        <f>R381-R380</f>
        <v>-0.0645058598548136</v>
      </c>
      <c r="W381" s="116">
        <f>S381-S380</f>
        <v>0.100000000000001</v>
      </c>
      <c r="X381" s="425">
        <f>P381-P369</f>
        <v>0.177712476631811</v>
      </c>
      <c r="Y381" s="425">
        <f>Q381-Q369</f>
        <v>0.167587893209833</v>
      </c>
      <c r="Z381" s="425">
        <f>R381-R369</f>
        <v>0.0974776911078834</v>
      </c>
      <c r="AA381" s="116">
        <f>S381-S369</f>
        <v>-0.0999999999999996</v>
      </c>
      <c r="AB381" s="425">
        <f>P381-P321</f>
        <v>-0.00729725382394353</v>
      </c>
      <c r="AC381" s="425">
        <f>Q381-Q321</f>
        <v>1.07701186963205</v>
      </c>
      <c r="AD381" s="425">
        <f>R381-R321</f>
        <v>0.508413265302359</v>
      </c>
      <c r="AE381" s="235">
        <f>S381-S321</f>
        <v>0.0100000000000007</v>
      </c>
      <c r="AG381" s="554">
        <f>N381</f>
        <v>36311.0</v>
      </c>
      <c r="AH381" s="435">
        <f>IFERROR(INDEX('RBA 5Y yield'!$B$5:$B$661,MATCH(N381,'RBA 5Y yield'!$A$5:$A$661,1))*100,"")</f>
        <v>5.5757</v>
      </c>
      <c r="AI381" s="435">
        <f>IF(AND(ISNUMBER(AH381),ISNUMBER(AH380)),AH381-AH380,"")</f>
        <v>0.533200000000001</v>
      </c>
      <c r="AJ381" s="435">
        <f>IF(AND(ISNUMBER(AH381),ISNUMBER(AH369)),AH381-AH369,"")</f>
        <v>0.263800000000001</v>
      </c>
      <c r="AK381" s="435">
        <f>IF(AND(ISNUMBER(AH381),ISNUMBER(AH321)),AH381-AH321,"")</f>
        <v>-2.5643</v>
      </c>
      <c r="AL381" s="560">
        <f>IFERROR(LN(INDEX(Data!$B$2:$B$497,MATCH(N381,Data!$A$2:$A$497,1))/INDEX(Data!$B$2:$B$497,MATCH(N369,Data!$A$2:$A$497,1))),"")</f>
        <v>0.0974776911078828</v>
      </c>
      <c r="AM381" s="560">
        <f>IFERROR(LN(INDEX(Data!$C$2:$C$497,MATCH(N381,Data!$A$2:$A$497,1))/INDEX(Data!$C$2:$C$497,MATCH(N369,Data!$A$2:$A$497,1))),"")</f>
        <v>0.0916919494567885</v>
      </c>
      <c r="AN381" s="560">
        <f>IFERROR(LN(INDEX(Data!$D$2:$D$497,MATCH(N381,Data!$A$2:$A$497,1))/INDEX(Data!$D$2:$D$497,MATCH(N369,Data!$A$2:$A$497,1))),"")</f>
        <v>0.097597058666645</v>
      </c>
      <c r="AO381" s="560">
        <f>IFERROR(LN(INDEX(Data!$E$2:$E$497,MATCH(N381,Data!$A$2:$A$497,1))/INDEX(Data!$E$2:$E$497,MATCH(N369,Data!$A$2:$A$497,1))),"")</f>
        <v>-0.0682087977990415</v>
      </c>
      <c r="AP381" s="560">
        <f>IFERROR(LN(INDEX(Data!$F$2:$F$497,MATCH(N381,Data!$A$2:$A$497,1))/INDEX(Data!$F$2:$F$497,MATCH(N369,Data!$A$2:$A$497,1))),"")</f>
        <v>-0.214102066267135</v>
      </c>
      <c r="AQ381" s="560">
        <f>IFERROR(LN(INDEX(Data!$G$2:$G$497,MATCH(N381,Data!$A$2:$A$497,1))/INDEX(Data!$G$2:$G$497,MATCH(N369,Data!$A$2:$A$497,1))),"")</f>
        <v>0.0676387713149078</v>
      </c>
      <c r="AR381" s="560">
        <f>IFERROR(LN(INDEX(Data!$H$2:$H$497,MATCH(N381,Data!$A$2:$A$497,1))/INDEX(Data!$H$2:$H$497,MATCH(N369,Data!$A$2:$A$497,1))),"")</f>
      </c>
      <c r="AS381" s="560">
        <f>IFERROR(LN(INDEX(Data!$I$2:$I$497,MATCH(N381,Data!$A$2:$A$497,1))/INDEX(Data!$I$2:$I$497,MATCH(N369,Data!$A$2:$A$497,1))),"")</f>
      </c>
      <c r="AT381" s="560">
        <f>IFERROR(LN(INDEX(Data!$J$2:$J$497,MATCH(N381,Data!$A$2:$A$497,1))/INDEX(Data!$J$2:$J$497,MATCH(N369,Data!$A$2:$A$497,1))),"")</f>
        <v>0.0300269557420224</v>
      </c>
      <c r="AU381" s="560">
        <f>IFERROR(LN(INDEX(Data!$K$2:$K$497,MATCH(N381,Data!$A$2:$A$497,1))/INDEX(Data!$K$2:$K$497,MATCH(N369,Data!$A$2:$A$497,1))),"")</f>
        <v>0.0661120973201875</v>
      </c>
      <c r="AV381" s="561">
        <f>IFERROR(LN(INDEX(Data!$L$2:$L$497,MATCH(N381,Data!$A$2:$A$497,1))/INDEX(Data!$L$2:$L$497,MATCH(N369,Data!$A$2:$A$497,1))),"")</f>
        <v>0.0493423903443945</v>
      </c>
    </row>
    <row r="382">
      <c r="N382" s="337" t="n">
        <v>36341</v>
      </c>
      <c r="O382" s="116">
        <f>INDEX('Additional data'!$B$2:$B$965,MATCH(DATE(YEAR(N382),MONTH(N382),1),'Additional data'!$A$2:$A$965,0))</f>
        <v>17.89</v>
      </c>
      <c r="P382" s="489">
        <f>LN(O382)</f>
        <v>2.88424189752063</v>
      </c>
      <c r="Q382" s="489">
        <f>Q381+LN(1+INDEX('Additional data'!$H$2:$H$1196,MATCH(N382,'Additional data'!$G$2:$G$1196,1))+INDEX('Additional data'!$I$2:$I$1196,MATCH(N382,'Additional data'!$G$2:$G$1196,1)))</f>
        <v>3.70606434560475</v>
      </c>
      <c r="R382" s="489">
        <f>LN(INDEX(Data!$B$2:$B$497,MATCH(N382,Data!$A$2:$A$497,1)))</f>
        <v>9.48611432335359</v>
      </c>
      <c r="S382" s="116">
        <f>IF(INDEX('Additional data'!$E$2:$E$699,MATCH(DATE(YEAR(N382),MONTH(N382),1),'Additional data'!$D$2:$D$699,0))=0,(INDEX('Additional data'!$E$2:$E$699,MATCH(DATE(YEAR(N382),MONTH(N382),1),'Additional data'!$D$2:$D$699,0)-1)+INDEX('Additional data'!$E$2:$E$699,MATCH(DATE(YEAR(N382),MONTH(N382),1),'Additional data'!$D$2:$D$699,0)+1))/2,INDEX('Additional data'!$E$2:$E$699,MATCH(DATE(YEAR(N382),MONTH(N382),1),'Additional data'!$D$2:$D$699,0)))</f>
        <v>4.93</v>
      </c>
      <c r="T382" s="425">
        <f>P382-P381</f>
        <v>0.00785638159920321</v>
      </c>
      <c r="U382" s="425">
        <f>Q382-Q381</f>
        <v>0.0504079025438458</v>
      </c>
      <c r="V382" s="425">
        <f>R382-R381</f>
        <v>0.0272589935153373</v>
      </c>
      <c r="W382" s="116">
        <f>S382-S381</f>
        <v>0.0699999999999994</v>
      </c>
      <c r="X382" s="425">
        <f>P382-P370</f>
        <v>0.269770043377984</v>
      </c>
      <c r="Y382" s="425">
        <f>Q382-Q370</f>
        <v>0.182628651916388</v>
      </c>
      <c r="Z382" s="425">
        <f>R382-R370</f>
        <v>0.132227873534861</v>
      </c>
      <c r="AA382" s="116">
        <f>S382-S370</f>
        <v>-0.390000000000001</v>
      </c>
      <c r="AB382" s="425">
        <f>P382-P322</f>
        <v>-0.0638745220916999</v>
      </c>
      <c r="AC382" s="425">
        <f>Q382-Q322</f>
        <v>1.15509934128264</v>
      </c>
      <c r="AD382" s="425">
        <f>R382-R322</f>
        <v>0.575852544165741</v>
      </c>
      <c r="AE382" s="235">
        <f>S382-S322</f>
        <v>-0.19</v>
      </c>
      <c r="AG382" s="554">
        <f>N382</f>
        <v>36341.0</v>
      </c>
      <c r="AH382" s="435">
        <f>IFERROR(INDEX('RBA 5Y yield'!$B$5:$B$661,MATCH(N382,'RBA 5Y yield'!$A$5:$A$661,1))*100,"")</f>
        <v>5.8357</v>
      </c>
      <c r="AI382" s="435">
        <f>IF(AND(ISNUMBER(AH382),ISNUMBER(AH381)),AH382-AH381,"")</f>
        <v>0.26</v>
      </c>
      <c r="AJ382" s="435">
        <f>IF(AND(ISNUMBER(AH382),ISNUMBER(AH370)),AH382-AH370,"")</f>
        <v>0.429</v>
      </c>
      <c r="AK382" s="435">
        <f>IF(AND(ISNUMBER(AH382),ISNUMBER(AH322)),AH382-AH322,"")</f>
        <v>-3.2043</v>
      </c>
      <c r="AL382" s="560">
        <f>IFERROR(LN(INDEX(Data!$B$2:$B$497,MATCH(N382,Data!$A$2:$A$497,1))/INDEX(Data!$B$2:$B$497,MATCH(N370,Data!$A$2:$A$497,1))),"")</f>
        <v>0.132227873534861</v>
      </c>
      <c r="AM382" s="560">
        <f>IFERROR(LN(INDEX(Data!$C$2:$C$497,MATCH(N382,Data!$A$2:$A$497,1))/INDEX(Data!$C$2:$C$497,MATCH(N370,Data!$A$2:$A$497,1))),"")</f>
        <v>0.0837232981406892</v>
      </c>
      <c r="AN382" s="560">
        <f>IFERROR(LN(INDEX(Data!$D$2:$D$497,MATCH(N382,Data!$A$2:$A$497,1))/INDEX(Data!$D$2:$D$497,MATCH(N370,Data!$A$2:$A$497,1))),"")</f>
        <v>0.242664379540797</v>
      </c>
      <c r="AO382" s="560">
        <f>IFERROR(LN(INDEX(Data!$E$2:$E$497,MATCH(N382,Data!$A$2:$A$497,1))/INDEX(Data!$E$2:$E$497,MATCH(N370,Data!$A$2:$A$497,1))),"")</f>
        <v>-0.100927918774381</v>
      </c>
      <c r="AP382" s="560">
        <f>IFERROR(LN(INDEX(Data!$F$2:$F$497,MATCH(N382,Data!$A$2:$A$497,1))/INDEX(Data!$F$2:$F$497,MATCH(N370,Data!$A$2:$A$497,1))),"")</f>
        <v>-0.147058978344987</v>
      </c>
      <c r="AQ382" s="560">
        <f>IFERROR(LN(INDEX(Data!$G$2:$G$497,MATCH(N382,Data!$A$2:$A$497,1))/INDEX(Data!$G$2:$G$497,MATCH(N370,Data!$A$2:$A$497,1))),"")</f>
        <v>0.0686662109706816</v>
      </c>
      <c r="AR382" s="560">
        <f>IFERROR(LN(INDEX(Data!$H$2:$H$497,MATCH(N382,Data!$A$2:$A$497,1))/INDEX(Data!$H$2:$H$497,MATCH(N370,Data!$A$2:$A$497,1))),"")</f>
      </c>
      <c r="AS382" s="560">
        <f>IFERROR(LN(INDEX(Data!$I$2:$I$497,MATCH(N382,Data!$A$2:$A$497,1))/INDEX(Data!$I$2:$I$497,MATCH(N370,Data!$A$2:$A$497,1))),"")</f>
        <v>-0.0790432073404529</v>
      </c>
      <c r="AT382" s="560">
        <f>IFERROR(LN(INDEX(Data!$J$2:$J$497,MATCH(N382,Data!$A$2:$A$497,1))/INDEX(Data!$J$2:$J$497,MATCH(N370,Data!$A$2:$A$497,1))),"")</f>
        <v>0.0323035519255485</v>
      </c>
      <c r="AU382" s="560">
        <f>IFERROR(LN(INDEX(Data!$K$2:$K$497,MATCH(N382,Data!$A$2:$A$497,1))/INDEX(Data!$K$2:$K$497,MATCH(N370,Data!$A$2:$A$497,1))),"")</f>
        <v>0.0505870929404574</v>
      </c>
      <c r="AV382" s="561">
        <f>IFERROR(LN(INDEX(Data!$L$2:$L$497,MATCH(N382,Data!$A$2:$A$497,1))/INDEX(Data!$L$2:$L$497,MATCH(N370,Data!$A$2:$A$497,1))),"")</f>
        <v>0.0491502632483596</v>
      </c>
    </row>
    <row r="383">
      <c r="N383" s="337" t="n">
        <v>36372</v>
      </c>
      <c r="O383" s="116">
        <f>INDEX('Additional data'!$B$2:$B$965,MATCH(DATE(YEAR(N383),MONTH(N383),1),'Additional data'!$A$2:$A$965,0))</f>
        <v>20.07</v>
      </c>
      <c r="P383" s="489">
        <f>LN(O383)</f>
        <v>2.99922616280825</v>
      </c>
      <c r="Q383" s="489">
        <f>Q382+LN(1+INDEX('Additional data'!$H$2:$H$1196,MATCH(N383,'Additional data'!$G$2:$G$1196,1))+INDEX('Additional data'!$I$2:$I$1196,MATCH(N383,'Additional data'!$G$2:$G$1196,1)))</f>
        <v>3.67447047401357</v>
      </c>
      <c r="R383" s="489">
        <f>LN(INDEX(Data!$B$2:$B$497,MATCH(N383,Data!$A$2:$A$497,1)))</f>
        <v>9.50389019545585</v>
      </c>
      <c r="S383" s="116">
        <f>IF(INDEX('Additional data'!$E$2:$E$699,MATCH(DATE(YEAR(N383),MONTH(N383),1),'Additional data'!$D$2:$D$699,0))=0,(INDEX('Additional data'!$E$2:$E$699,MATCH(DATE(YEAR(N383),MONTH(N383),1),'Additional data'!$D$2:$D$699,0)-1)+INDEX('Additional data'!$E$2:$E$699,MATCH(DATE(YEAR(N383),MONTH(N383),1),'Additional data'!$D$2:$D$699,0)+1))/2,INDEX('Additional data'!$E$2:$E$699,MATCH(DATE(YEAR(N383),MONTH(N383),1),'Additional data'!$D$2:$D$699,0)))</f>
        <v>4.89</v>
      </c>
      <c r="T383" s="425">
        <f>P383-P382</f>
        <v>0.114984265287619</v>
      </c>
      <c r="U383" s="425">
        <f>Q383-Q382</f>
        <v>-0.0315938715911788</v>
      </c>
      <c r="V383" s="425">
        <f>R383-R382</f>
        <v>0.0177758721022556</v>
      </c>
      <c r="W383" s="116">
        <f>S383-S382</f>
        <v>-0.04</v>
      </c>
      <c r="X383" s="425">
        <f>P383-P371</f>
        <v>0.35447081207835</v>
      </c>
      <c r="Y383" s="425">
        <f>Q383-Q371</f>
        <v>0.171441590102872</v>
      </c>
      <c r="Z383" s="425">
        <f>R383-R371</f>
        <v>0.134181351465587</v>
      </c>
      <c r="AA383" s="116">
        <f>S383-S371</f>
        <v>-0.28</v>
      </c>
      <c r="AB383" s="425">
        <f>P383-P323</f>
        <v>0.0211488244929763</v>
      </c>
      <c r="AC383" s="425">
        <f>Q383-Q323</f>
        <v>1.09297626465663</v>
      </c>
      <c r="AD383" s="425">
        <f>R383-R323</f>
        <v>0.556773457099071</v>
      </c>
      <c r="AE383" s="235">
        <f>S383-S323</f>
        <v>-0.520000000000001</v>
      </c>
      <c r="AG383" s="554">
        <f>N383</f>
        <v>36372.0</v>
      </c>
      <c r="AH383" s="435">
        <f>IFERROR(INDEX('RBA 5Y yield'!$B$5:$B$661,MATCH(N383,'RBA 5Y yield'!$A$5:$A$661,1))*100,"")</f>
        <v>5.7632</v>
      </c>
      <c r="AI383" s="435">
        <f>IF(AND(ISNUMBER(AH383),ISNUMBER(AH382)),AH383-AH382,"")</f>
        <v>-0.0724999999999998</v>
      </c>
      <c r="AJ383" s="435">
        <f>IF(AND(ISNUMBER(AH383),ISNUMBER(AH371)),AH383-AH371,"")</f>
        <v>0.4171</v>
      </c>
      <c r="AK383" s="435">
        <f>IF(AND(ISNUMBER(AH383),ISNUMBER(AH323)),AH383-AH323,"")</f>
        <v>-3.1968</v>
      </c>
      <c r="AL383" s="560">
        <f>IFERROR(LN(INDEX(Data!$B$2:$B$497,MATCH(N383,Data!$A$2:$A$497,1))/INDEX(Data!$B$2:$B$497,MATCH(N371,Data!$A$2:$A$497,1))),"")</f>
        <v>0.134181351465587</v>
      </c>
      <c r="AM383" s="560">
        <f>IFERROR(LN(INDEX(Data!$C$2:$C$497,MATCH(N383,Data!$A$2:$A$497,1))/INDEX(Data!$C$2:$C$497,MATCH(N371,Data!$A$2:$A$497,1))),"")</f>
        <v>0.056470425036088</v>
      </c>
      <c r="AN383" s="560">
        <f>IFERROR(LN(INDEX(Data!$D$2:$D$497,MATCH(N383,Data!$A$2:$A$497,1))/INDEX(Data!$D$2:$D$497,MATCH(N371,Data!$A$2:$A$497,1))),"")</f>
        <v>0.187206937840788</v>
      </c>
      <c r="AO383" s="560">
        <f>IFERROR(LN(INDEX(Data!$E$2:$E$497,MATCH(N383,Data!$A$2:$A$497,1))/INDEX(Data!$E$2:$E$497,MATCH(N371,Data!$A$2:$A$497,1))),"")</f>
        <v>-0.0870869294016999</v>
      </c>
      <c r="AP383" s="560">
        <f>IFERROR(LN(INDEX(Data!$F$2:$F$497,MATCH(N383,Data!$A$2:$A$497,1))/INDEX(Data!$F$2:$F$497,MATCH(N371,Data!$A$2:$A$497,1))),"")</f>
        <v>-0.0359732152959234</v>
      </c>
      <c r="AQ383" s="560">
        <f>IFERROR(LN(INDEX(Data!$G$2:$G$497,MATCH(N383,Data!$A$2:$A$497,1))/INDEX(Data!$G$2:$G$497,MATCH(N371,Data!$A$2:$A$497,1))),"")</f>
        <v>0.0686662109706816</v>
      </c>
      <c r="AR383" s="560">
        <f>IFERROR(LN(INDEX(Data!$H$2:$H$497,MATCH(N383,Data!$A$2:$A$497,1))/INDEX(Data!$H$2:$H$497,MATCH(N371,Data!$A$2:$A$497,1))),"")</f>
      </c>
      <c r="AS383" s="560">
        <f>IFERROR(LN(INDEX(Data!$I$2:$I$497,MATCH(N383,Data!$A$2:$A$497,1))/INDEX(Data!$I$2:$I$497,MATCH(N371,Data!$A$2:$A$497,1))),"")</f>
        <v>-0.0790432073404529</v>
      </c>
      <c r="AT383" s="560">
        <f>IFERROR(LN(INDEX(Data!$J$2:$J$497,MATCH(N383,Data!$A$2:$A$497,1))/INDEX(Data!$J$2:$J$497,MATCH(N371,Data!$A$2:$A$497,1))),"")</f>
        <v>0.0323561478010099</v>
      </c>
      <c r="AU383" s="560">
        <f>IFERROR(LN(INDEX(Data!$K$2:$K$497,MATCH(N383,Data!$A$2:$A$497,1))/INDEX(Data!$K$2:$K$497,MATCH(N371,Data!$A$2:$A$497,1))),"")</f>
        <v>0.0410454332431156</v>
      </c>
      <c r="AV383" s="561">
        <f>IFERROR(LN(INDEX(Data!$L$2:$L$497,MATCH(N383,Data!$A$2:$A$497,1))/INDEX(Data!$L$2:$L$497,MATCH(N371,Data!$A$2:$A$497,1))),"")</f>
        <v>0.0488711821744793</v>
      </c>
    </row>
    <row r="384">
      <c r="N384" s="337" t="n">
        <v>36403</v>
      </c>
      <c r="O384" s="116">
        <f>INDEX('Additional data'!$B$2:$B$965,MATCH(DATE(YEAR(N384),MONTH(N384),1),'Additional data'!$A$2:$A$965,0))</f>
        <v>21.26</v>
      </c>
      <c r="P384" s="489">
        <f>LN(O384)</f>
        <v>3.0568273729138</v>
      </c>
      <c r="Q384" s="489">
        <f>Q383+LN(1+INDEX('Additional data'!$H$2:$H$1196,MATCH(N384,'Additional data'!$G$2:$G$1196,1))+INDEX('Additional data'!$I$2:$I$1196,MATCH(N384,'Additional data'!$G$2:$G$1196,1)))</f>
        <v>3.66462213795876</v>
      </c>
      <c r="R384" s="489">
        <f>LN(INDEX(Data!$B$2:$B$497,MATCH(N384,Data!$A$2:$A$497,1)))</f>
        <v>9.47821251710514</v>
      </c>
      <c r="S384" s="116">
        <f>IF(INDEX('Additional data'!$E$2:$E$699,MATCH(DATE(YEAR(N384),MONTH(N384),1),'Additional data'!$D$2:$D$699,0))=0,(INDEX('Additional data'!$E$2:$E$699,MATCH(DATE(YEAR(N384),MONTH(N384),1),'Additional data'!$D$2:$D$699,0)-1)+INDEX('Additional data'!$E$2:$E$699,MATCH(DATE(YEAR(N384),MONTH(N384),1),'Additional data'!$D$2:$D$699,0)+1))/2,INDEX('Additional data'!$E$2:$E$699,MATCH(DATE(YEAR(N384),MONTH(N384),1),'Additional data'!$D$2:$D$699,0)))</f>
        <v>4.92</v>
      </c>
      <c r="T384" s="425">
        <f>P384-P383</f>
        <v>0.0576012101055552</v>
      </c>
      <c r="U384" s="425">
        <f>Q384-Q383</f>
        <v>-0.0098483360548145</v>
      </c>
      <c r="V384" s="425">
        <f>R384-R383</f>
        <v>-0.0256776783507089</v>
      </c>
      <c r="W384" s="116">
        <f>S384-S383</f>
        <v>0.0300000000000003</v>
      </c>
      <c r="X384" s="425">
        <f>P384-P372</f>
        <v>0.464562204805302</v>
      </c>
      <c r="Y384" s="425">
        <f>Q384-Q372</f>
        <v>0.331433033339956</v>
      </c>
      <c r="Z384" s="425">
        <f>R384-R372</f>
        <v>0.198737950295286</v>
      </c>
      <c r="AA384" s="116">
        <f>S384-S372</f>
        <v>-0.27</v>
      </c>
      <c r="AB384" s="425">
        <f>P384-P324</f>
        <v>0.145564255986261</v>
      </c>
      <c r="AC384" s="425">
        <f>Q384-Q324</f>
        <v>1.0401642291697</v>
      </c>
      <c r="AD384" s="425">
        <f>R384-R324</f>
        <v>0.50082616207793</v>
      </c>
      <c r="AE384" s="235">
        <f>S384-S324</f>
        <v>-0.68</v>
      </c>
      <c r="AG384" s="554">
        <f>N384</f>
        <v>36403.0</v>
      </c>
      <c r="AH384" s="435">
        <f>IFERROR(INDEX('RBA 5Y yield'!$B$5:$B$661,MATCH(N384,'RBA 5Y yield'!$A$5:$A$661,1))*100,"")</f>
        <v>5.9409</v>
      </c>
      <c r="AI384" s="435">
        <f>IF(AND(ISNUMBER(AH384),ISNUMBER(AH383)),AH384-AH383,"")</f>
        <v>0.1777</v>
      </c>
      <c r="AJ384" s="435">
        <f>IF(AND(ISNUMBER(AH384),ISNUMBER(AH372)),AH384-AH372,"")</f>
        <v>0.4609</v>
      </c>
      <c r="AK384" s="435">
        <f>IF(AND(ISNUMBER(AH384),ISNUMBER(AH324)),AH384-AH324,"")</f>
        <v>-2.8691</v>
      </c>
      <c r="AL384" s="560">
        <f>IFERROR(LN(INDEX(Data!$B$2:$B$497,MATCH(N384,Data!$A$2:$A$497,1))/INDEX(Data!$B$2:$B$497,MATCH(N372,Data!$A$2:$A$497,1))),"")</f>
        <v>0.198737950295286</v>
      </c>
      <c r="AM384" s="560">
        <f>IFERROR(LN(INDEX(Data!$C$2:$C$497,MATCH(N384,Data!$A$2:$A$497,1))/INDEX(Data!$C$2:$C$497,MATCH(N372,Data!$A$2:$A$497,1))),"")</f>
        <v>0.166621539842397</v>
      </c>
      <c r="AN384" s="560">
        <f>IFERROR(LN(INDEX(Data!$D$2:$D$497,MATCH(N384,Data!$A$2:$A$497,1))/INDEX(Data!$D$2:$D$497,MATCH(N372,Data!$A$2:$A$497,1))),"")</f>
        <v>0.476487822280552</v>
      </c>
      <c r="AO384" s="560">
        <f>IFERROR(LN(INDEX(Data!$E$2:$E$497,MATCH(N384,Data!$A$2:$A$497,1))/INDEX(Data!$E$2:$E$497,MATCH(N372,Data!$A$2:$A$497,1))),"")</f>
        <v>-0.0377832067637488</v>
      </c>
      <c r="AP384" s="560">
        <f>IFERROR(LN(INDEX(Data!$F$2:$F$497,MATCH(N384,Data!$A$2:$A$497,1))/INDEX(Data!$F$2:$F$497,MATCH(N372,Data!$A$2:$A$497,1))),"")</f>
        <v>0.0580061816142357</v>
      </c>
      <c r="AQ384" s="560">
        <f>IFERROR(LN(INDEX(Data!$G$2:$G$497,MATCH(N384,Data!$A$2:$A$497,1))/INDEX(Data!$G$2:$G$497,MATCH(N372,Data!$A$2:$A$497,1))),"")</f>
        <v>0.0686662109706816</v>
      </c>
      <c r="AR384" s="560">
        <f>IFERROR(LN(INDEX(Data!$H$2:$H$497,MATCH(N384,Data!$A$2:$A$497,1))/INDEX(Data!$H$2:$H$497,MATCH(N372,Data!$A$2:$A$497,1))),"")</f>
      </c>
      <c r="AS384" s="560">
        <f>IFERROR(LN(INDEX(Data!$I$2:$I$497,MATCH(N384,Data!$A$2:$A$497,1))/INDEX(Data!$I$2:$I$497,MATCH(N372,Data!$A$2:$A$497,1))),"")</f>
        <v>-0.0790432073404529</v>
      </c>
      <c r="AT384" s="560">
        <f>IFERROR(LN(INDEX(Data!$J$2:$J$497,MATCH(N384,Data!$A$2:$A$497,1))/INDEX(Data!$J$2:$J$497,MATCH(N372,Data!$A$2:$A$497,1))),"")</f>
        <v>0.0454495020412598</v>
      </c>
      <c r="AU384" s="560">
        <f>IFERROR(LN(INDEX(Data!$K$2:$K$497,MATCH(N384,Data!$A$2:$A$497,1))/INDEX(Data!$K$2:$K$497,MATCH(N372,Data!$A$2:$A$497,1))),"")</f>
        <v>0.0237992782480086</v>
      </c>
      <c r="AV384" s="561">
        <f>IFERROR(LN(INDEX(Data!$L$2:$L$497,MATCH(N384,Data!$A$2:$A$497,1))/INDEX(Data!$L$2:$L$497,MATCH(N372,Data!$A$2:$A$497,1))),"")</f>
        <v>0.0489108248246827</v>
      </c>
    </row>
    <row r="385">
      <c r="N385" s="337" t="n">
        <v>36433</v>
      </c>
      <c r="O385" s="116">
        <f>INDEX('Additional data'!$B$2:$B$965,MATCH(DATE(YEAR(N385),MONTH(N385),1),'Additional data'!$A$2:$A$965,0))</f>
        <v>23.88</v>
      </c>
      <c r="P385" s="489">
        <f>LN(O385)</f>
        <v>3.1730412885244</v>
      </c>
      <c r="Q385" s="489">
        <f>Q384+LN(1+INDEX('Additional data'!$H$2:$H$1196,MATCH(N385,'Additional data'!$G$2:$G$1196,1))+INDEX('Additional data'!$I$2:$I$1196,MATCH(N385,'Additional data'!$G$2:$G$1196,1)))</f>
        <v>3.64053434242967</v>
      </c>
      <c r="R385" s="489">
        <f>LN(INDEX(Data!$B$2:$B$497,MATCH(N385,Data!$A$2:$A$497,1)))</f>
        <v>9.46591239050973</v>
      </c>
      <c r="S385" s="116">
        <f>IF(INDEX('Additional data'!$E$2:$E$699,MATCH(DATE(YEAR(N385),MONTH(N385),1),'Additional data'!$D$2:$D$699,0))=0,(INDEX('Additional data'!$E$2:$E$699,MATCH(DATE(YEAR(N385),MONTH(N385),1),'Additional data'!$D$2:$D$699,0)-1)+INDEX('Additional data'!$E$2:$E$699,MATCH(DATE(YEAR(N385),MONTH(N385),1),'Additional data'!$D$2:$D$699,0)+1))/2,INDEX('Additional data'!$E$2:$E$699,MATCH(DATE(YEAR(N385),MONTH(N385),1),'Additional data'!$D$2:$D$699,0)))</f>
        <v>5.01</v>
      </c>
      <c r="T385" s="425">
        <f>P385-P384</f>
        <v>0.116213915610599</v>
      </c>
      <c r="U385" s="425">
        <f>Q385-Q384</f>
        <v>-0.0240877955290899</v>
      </c>
      <c r="V385" s="425">
        <f>R385-R384</f>
        <v>-0.0123001265954077</v>
      </c>
      <c r="W385" s="116">
        <f>S385-S384</f>
        <v>0.0899999999999999</v>
      </c>
      <c r="X385" s="425">
        <f>P385-P373</f>
        <v>0.468329988687706</v>
      </c>
      <c r="Y385" s="425">
        <f>Q385-Q373</f>
        <v>0.242962978881597</v>
      </c>
      <c r="Z385" s="425">
        <f>R385-R373</f>
        <v>0.150689617154139</v>
      </c>
      <c r="AA385" s="116">
        <f>S385-S373</f>
        <v>-0.0200000000000005</v>
      </c>
      <c r="AB385" s="425">
        <f>P385-P325</f>
        <v>0.313128738112945</v>
      </c>
      <c r="AC385" s="425">
        <f>Q385-Q325</f>
        <v>1.03536119505248</v>
      </c>
      <c r="AD385" s="425">
        <f>R385-R325</f>
        <v>0.531062050219967</v>
      </c>
      <c r="AE385" s="235">
        <f>S385-S325</f>
        <v>-0.92</v>
      </c>
      <c r="AG385" s="554">
        <f>N385</f>
        <v>36433.0</v>
      </c>
      <c r="AH385" s="435">
        <f>IFERROR(INDEX('RBA 5Y yield'!$B$5:$B$661,MATCH(N385,'RBA 5Y yield'!$A$5:$A$661,1))*100,"")</f>
        <v>5.9982</v>
      </c>
      <c r="AI385" s="435">
        <f>IF(AND(ISNUMBER(AH385),ISNUMBER(AH384)),AH385-AH384,"")</f>
        <v>0.0572999999999997</v>
      </c>
      <c r="AJ385" s="435">
        <f>IF(AND(ISNUMBER(AH385),ISNUMBER(AH373)),AH385-AH373,"")</f>
        <v>0.8682</v>
      </c>
      <c r="AK385" s="435">
        <f>IF(AND(ISNUMBER(AH385),ISNUMBER(AH325)),AH385-AH325,"")</f>
        <v>-3.7418</v>
      </c>
      <c r="AL385" s="560">
        <f>IFERROR(LN(INDEX(Data!$B$2:$B$497,MATCH(N385,Data!$A$2:$A$497,1))/INDEX(Data!$B$2:$B$497,MATCH(N373,Data!$A$2:$A$497,1))),"")</f>
        <v>0.150689617154139</v>
      </c>
      <c r="AM385" s="560">
        <f>IFERROR(LN(INDEX(Data!$C$2:$C$497,MATCH(N385,Data!$A$2:$A$497,1))/INDEX(Data!$C$2:$C$497,MATCH(N373,Data!$A$2:$A$497,1))),"")</f>
        <v>0.159564226379442</v>
      </c>
      <c r="AN385" s="560">
        <f>IFERROR(LN(INDEX(Data!$D$2:$D$497,MATCH(N385,Data!$A$2:$A$497,1))/INDEX(Data!$D$2:$D$497,MATCH(N373,Data!$A$2:$A$497,1))),"")</f>
        <v>0.403386782785564</v>
      </c>
      <c r="AO385" s="560">
        <f>IFERROR(LN(INDEX(Data!$E$2:$E$497,MATCH(N385,Data!$A$2:$A$497,1))/INDEX(Data!$E$2:$E$497,MATCH(N373,Data!$A$2:$A$497,1))),"")</f>
        <v>-0.133861447431804</v>
      </c>
      <c r="AP385" s="560">
        <f>IFERROR(LN(INDEX(Data!$F$2:$F$497,MATCH(N385,Data!$A$2:$A$497,1))/INDEX(Data!$F$2:$F$497,MATCH(N373,Data!$A$2:$A$497,1))),"")</f>
        <v>0.0228424568513496</v>
      </c>
      <c r="AQ385" s="560">
        <f>IFERROR(LN(INDEX(Data!$G$2:$G$497,MATCH(N385,Data!$A$2:$A$497,1))/INDEX(Data!$G$2:$G$497,MATCH(N373,Data!$A$2:$A$497,1))),"")</f>
        <v>0.0871176234836995</v>
      </c>
      <c r="AR385" s="560">
        <f>IFERROR(LN(INDEX(Data!$H$2:$H$497,MATCH(N385,Data!$A$2:$A$497,1))/INDEX(Data!$H$2:$H$497,MATCH(N373,Data!$A$2:$A$497,1))),"")</f>
      </c>
      <c r="AS385" s="560">
        <f>IFERROR(LN(INDEX(Data!$I$2:$I$497,MATCH(N385,Data!$A$2:$A$497,1))/INDEX(Data!$I$2:$I$497,MATCH(N373,Data!$A$2:$A$497,1))),"")</f>
        <v>-0.0423453031635894</v>
      </c>
      <c r="AT385" s="560">
        <f>IFERROR(LN(INDEX(Data!$J$2:$J$497,MATCH(N385,Data!$A$2:$A$497,1))/INDEX(Data!$J$2:$J$497,MATCH(N373,Data!$A$2:$A$497,1))),"")</f>
        <v>0.0135293747625523</v>
      </c>
      <c r="AU385" s="560">
        <f>IFERROR(LN(INDEX(Data!$K$2:$K$497,MATCH(N385,Data!$A$2:$A$497,1))/INDEX(Data!$K$2:$K$497,MATCH(N373,Data!$A$2:$A$497,1))),"")</f>
        <v>0.00772612055527422</v>
      </c>
      <c r="AV385" s="561">
        <f>IFERROR(LN(INDEX(Data!$L$2:$L$497,MATCH(N385,Data!$A$2:$A$497,1))/INDEX(Data!$L$2:$L$497,MATCH(N373,Data!$A$2:$A$497,1))),"")</f>
        <v>0.0483000337016226</v>
      </c>
    </row>
    <row r="386">
      <c r="N386" s="337" t="n">
        <v>36464</v>
      </c>
      <c r="O386" s="116">
        <f>INDEX('Additional data'!$B$2:$B$965,MATCH(DATE(YEAR(N386),MONTH(N386),1),'Additional data'!$A$2:$A$965,0))</f>
        <v>22.64</v>
      </c>
      <c r="P386" s="489">
        <f>LN(O386)</f>
        <v>3.11971825333498</v>
      </c>
      <c r="Q386" s="489">
        <f>Q385+LN(1+INDEX('Additional data'!$H$2:$H$1196,MATCH(N386,'Additional data'!$G$2:$G$1196,1))+INDEX('Additional data'!$I$2:$I$1196,MATCH(N386,'Additional data'!$G$2:$G$1196,1)))</f>
        <v>3.70332133052843</v>
      </c>
      <c r="R386" s="489">
        <f>LN(INDEX(Data!$B$2:$B$497,MATCH(N386,Data!$A$2:$A$497,1)))</f>
        <v>9.47083365648251</v>
      </c>
      <c r="S386" s="116">
        <f>IF(INDEX('Additional data'!$E$2:$E$699,MATCH(DATE(YEAR(N386),MONTH(N386),1),'Additional data'!$D$2:$D$699,0))=0,(INDEX('Additional data'!$E$2:$E$699,MATCH(DATE(YEAR(N386),MONTH(N386),1),'Additional data'!$D$2:$D$699,0)-1)+INDEX('Additional data'!$E$2:$E$699,MATCH(DATE(YEAR(N386),MONTH(N386),1),'Additional data'!$D$2:$D$699,0)+1))/2,INDEX('Additional data'!$E$2:$E$699,MATCH(DATE(YEAR(N386),MONTH(N386),1),'Additional data'!$D$2:$D$699,0)))</f>
        <v>5.31</v>
      </c>
      <c r="T386" s="425">
        <f>P386-P385</f>
        <v>-0.0533230351894192</v>
      </c>
      <c r="U386" s="425">
        <f>Q386-Q385</f>
        <v>0.0627869880987646</v>
      </c>
      <c r="V386" s="425">
        <f>R386-R385</f>
        <v>0.00492126597277576</v>
      </c>
      <c r="W386" s="116">
        <f>S386-S385</f>
        <v>0.3</v>
      </c>
      <c r="X386" s="425">
        <f>P386-P374</f>
        <v>0.453184732435706</v>
      </c>
      <c r="Y386" s="425">
        <f>Q386-Q374</f>
        <v>0.2352915033318</v>
      </c>
      <c r="Z386" s="425">
        <f>R386-R374</f>
        <v>0.132161637156466</v>
      </c>
      <c r="AA386" s="116">
        <f>S386-S374</f>
        <v>0.48</v>
      </c>
      <c r="AB386" s="425">
        <f>P386-P326</f>
        <v>0.24558880154024</v>
      </c>
      <c r="AC386" s="425">
        <f>Q386-Q326</f>
        <v>1.08099612433368</v>
      </c>
      <c r="AD386" s="425">
        <f>R386-R326</f>
        <v>0.525553178921825</v>
      </c>
      <c r="AE386" s="235">
        <f>S386-S326</f>
        <v>-1.14</v>
      </c>
      <c r="AG386" s="554">
        <f>N386</f>
        <v>36464.0</v>
      </c>
      <c r="AH386" s="435">
        <f>IFERROR(INDEX('RBA 5Y yield'!$B$5:$B$661,MATCH(N386,'RBA 5Y yield'!$A$5:$A$661,1))*100,"")</f>
        <v>6.2857</v>
      </c>
      <c r="AI386" s="435">
        <f>IF(AND(ISNUMBER(AH386),ISNUMBER(AH385)),AH386-AH385,"")</f>
        <v>0.2875</v>
      </c>
      <c r="AJ386" s="435">
        <f>IF(AND(ISNUMBER(AH386),ISNUMBER(AH374)),AH386-AH374,"")</f>
        <v>1.6575</v>
      </c>
      <c r="AK386" s="435">
        <f>IF(AND(ISNUMBER(AH386),ISNUMBER(AH326)),AH386-AH326,"")</f>
        <v>-3.7743</v>
      </c>
      <c r="AL386" s="560">
        <f>IFERROR(LN(INDEX(Data!$B$2:$B$497,MATCH(N386,Data!$A$2:$A$497,1))/INDEX(Data!$B$2:$B$497,MATCH(N374,Data!$A$2:$A$497,1))),"")</f>
        <v>0.132161637156467</v>
      </c>
      <c r="AM386" s="560">
        <f>IFERROR(LN(INDEX(Data!$C$2:$C$497,MATCH(N386,Data!$A$2:$A$497,1))/INDEX(Data!$C$2:$C$497,MATCH(N374,Data!$A$2:$A$497,1))),"")</f>
        <v>0.214755111419192</v>
      </c>
      <c r="AN386" s="560">
        <f>IFERROR(LN(INDEX(Data!$D$2:$D$497,MATCH(N386,Data!$A$2:$A$497,1))/INDEX(Data!$D$2:$D$497,MATCH(N374,Data!$A$2:$A$497,1))),"")</f>
        <v>0.420420202651306</v>
      </c>
      <c r="AO386" s="560">
        <f>IFERROR(LN(INDEX(Data!$E$2:$E$497,MATCH(N386,Data!$A$2:$A$497,1))/INDEX(Data!$E$2:$E$497,MATCH(N374,Data!$A$2:$A$497,1))),"")</f>
        <v>-0.0685495789693827</v>
      </c>
      <c r="AP386" s="560">
        <f>IFERROR(LN(INDEX(Data!$F$2:$F$497,MATCH(N386,Data!$A$2:$A$497,1))/INDEX(Data!$F$2:$F$497,MATCH(N374,Data!$A$2:$A$497,1))),"")</f>
        <v>0.0910730839075002</v>
      </c>
      <c r="AQ386" s="560">
        <f>IFERROR(LN(INDEX(Data!$G$2:$G$497,MATCH(N386,Data!$A$2:$A$497,1))/INDEX(Data!$G$2:$G$497,MATCH(N374,Data!$A$2:$A$497,1))),"")</f>
        <v>0.0871176234836995</v>
      </c>
      <c r="AR386" s="560">
        <f>IFERROR(LN(INDEX(Data!$H$2:$H$497,MATCH(N386,Data!$A$2:$A$497,1))/INDEX(Data!$H$2:$H$497,MATCH(N374,Data!$A$2:$A$497,1))),"")</f>
      </c>
      <c r="AS386" s="560">
        <f>IFERROR(LN(INDEX(Data!$I$2:$I$497,MATCH(N386,Data!$A$2:$A$497,1))/INDEX(Data!$I$2:$I$497,MATCH(N374,Data!$A$2:$A$497,1))),"")</f>
        <v>-0.0423453031635894</v>
      </c>
      <c r="AT386" s="560">
        <f>IFERROR(LN(INDEX(Data!$J$2:$J$497,MATCH(N386,Data!$A$2:$A$497,1))/INDEX(Data!$J$2:$J$497,MATCH(N374,Data!$A$2:$A$497,1))),"")</f>
        <v>-0.00615044417367209</v>
      </c>
      <c r="AU386" s="560">
        <f>IFERROR(LN(INDEX(Data!$K$2:$K$497,MATCH(N386,Data!$A$2:$A$497,1))/INDEX(Data!$K$2:$K$497,MATCH(N374,Data!$A$2:$A$497,1))),"")</f>
        <v>0.0128567005528246</v>
      </c>
      <c r="AV386" s="561">
        <f>IFERROR(LN(INDEX(Data!$L$2:$L$497,MATCH(N386,Data!$A$2:$A$497,1))/INDEX(Data!$L$2:$L$497,MATCH(N374,Data!$A$2:$A$497,1))),"")</f>
        <v>0.0482517124103983</v>
      </c>
    </row>
    <row r="387">
      <c r="N387" s="337" t="n">
        <v>36494</v>
      </c>
      <c r="O387" s="116">
        <f>INDEX('Additional data'!$B$2:$B$965,MATCH(DATE(YEAR(N387),MONTH(N387),1),'Additional data'!$A$2:$A$965,0))</f>
        <v>24.97</v>
      </c>
      <c r="P387" s="489">
        <f>LN(O387)</f>
        <v>3.21767510429168</v>
      </c>
      <c r="Q387" s="489">
        <f>Q386+LN(1+INDEX('Additional data'!$H$2:$H$1196,MATCH(N387,'Additional data'!$G$2:$G$1196,1))+INDEX('Additional data'!$I$2:$I$1196,MATCH(N387,'Additional data'!$G$2:$G$1196,1)))</f>
        <v>3.74032805615753</v>
      </c>
      <c r="R387" s="489">
        <f>LN(INDEX(Data!$B$2:$B$497,MATCH(N387,Data!$A$2:$A$497,1)))</f>
        <v>9.52331000195471</v>
      </c>
      <c r="S387" s="116">
        <f>IF(INDEX('Additional data'!$E$2:$E$699,MATCH(DATE(YEAR(N387),MONTH(N387),1),'Additional data'!$D$2:$D$699,0))=0,(INDEX('Additional data'!$E$2:$E$699,MATCH(DATE(YEAR(N387),MONTH(N387),1),'Additional data'!$D$2:$D$699,0)-1)+INDEX('Additional data'!$E$2:$E$699,MATCH(DATE(YEAR(N387),MONTH(N387),1),'Additional data'!$D$2:$D$699,0)+1))/2,INDEX('Additional data'!$E$2:$E$699,MATCH(DATE(YEAR(N387),MONTH(N387),1),'Additional data'!$D$2:$D$699,0)))</f>
        <v>5.44</v>
      </c>
      <c r="T387" s="425">
        <f>P387-P386</f>
        <v>0.0979568509566997</v>
      </c>
      <c r="U387" s="425">
        <f>Q387-Q386</f>
        <v>0.0370067256290958</v>
      </c>
      <c r="V387" s="425">
        <f>R387-R386</f>
        <v>0.0524763454722059</v>
      </c>
      <c r="W387" s="116">
        <f>S387-S386</f>
        <v>0.130000000000001</v>
      </c>
      <c r="X387" s="425">
        <f>P387-P375</f>
        <v>0.664331292950453</v>
      </c>
      <c r="Y387" s="425">
        <f>Q387-Q375</f>
        <v>0.210450825634816</v>
      </c>
      <c r="Z387" s="425">
        <f>R387-R375</f>
        <v>0.133610791035341</v>
      </c>
      <c r="AA387" s="116">
        <f>S387-S375</f>
        <v>0.560000000000001</v>
      </c>
      <c r="AB387" s="425">
        <f>P387-P327</f>
        <v>0.321763166019902</v>
      </c>
      <c r="AC387" s="425">
        <f>Q387-Q327</f>
        <v>1.15528943474879</v>
      </c>
      <c r="AD387" s="425">
        <f>R387-R327</f>
        <v>0.651187389138205</v>
      </c>
      <c r="AE387" s="235">
        <f>S387-S327</f>
        <v>-1.72</v>
      </c>
      <c r="AG387" s="554">
        <f>N387</f>
        <v>36494.0</v>
      </c>
      <c r="AH387" s="435">
        <f>IFERROR(INDEX('RBA 5Y yield'!$B$5:$B$661,MATCH(N387,'RBA 5Y yield'!$A$5:$A$661,1))*100,"")</f>
        <v>6.3114</v>
      </c>
      <c r="AI387" s="435">
        <f>IF(AND(ISNUMBER(AH387),ISNUMBER(AH386)),AH387-AH386,"")</f>
        <v>0.0257000000000014</v>
      </c>
      <c r="AJ387" s="435">
        <f>IF(AND(ISNUMBER(AH387),ISNUMBER(AH375)),AH387-AH375,"")</f>
        <v>1.4847</v>
      </c>
      <c r="AK387" s="435">
        <f>IF(AND(ISNUMBER(AH387),ISNUMBER(AH327)),AH387-AH327,"")</f>
        <v>-3.9586</v>
      </c>
      <c r="AL387" s="560">
        <f>IFERROR(LN(INDEX(Data!$B$2:$B$497,MATCH(N387,Data!$A$2:$A$497,1))/INDEX(Data!$B$2:$B$497,MATCH(N375,Data!$A$2:$A$497,1))),"")</f>
        <v>0.133610791035342</v>
      </c>
      <c r="AM387" s="560">
        <f>IFERROR(LN(INDEX(Data!$C$2:$C$497,MATCH(N387,Data!$A$2:$A$497,1))/INDEX(Data!$C$2:$C$497,MATCH(N375,Data!$A$2:$A$497,1))),"")</f>
        <v>0.194683322399598</v>
      </c>
      <c r="AN387" s="560">
        <f>IFERROR(LN(INDEX(Data!$D$2:$D$497,MATCH(N387,Data!$A$2:$A$497,1))/INDEX(Data!$D$2:$D$497,MATCH(N375,Data!$A$2:$A$497,1))),"")</f>
        <v>0.440189264486462</v>
      </c>
      <c r="AO387" s="560">
        <f>IFERROR(LN(INDEX(Data!$E$2:$E$497,MATCH(N387,Data!$A$2:$A$497,1))/INDEX(Data!$E$2:$E$497,MATCH(N375,Data!$A$2:$A$497,1))),"")</f>
        <v>-0.0888474994879887</v>
      </c>
      <c r="AP387" s="560">
        <f>IFERROR(LN(INDEX(Data!$F$2:$F$497,MATCH(N387,Data!$A$2:$A$497,1))/INDEX(Data!$F$2:$F$497,MATCH(N375,Data!$A$2:$A$497,1))),"")</f>
        <v>0.273382285430749</v>
      </c>
      <c r="AQ387" s="560">
        <f>IFERROR(LN(INDEX(Data!$G$2:$G$497,MATCH(N387,Data!$A$2:$A$497,1))/INDEX(Data!$G$2:$G$497,MATCH(N375,Data!$A$2:$A$497,1))),"")</f>
        <v>0.0871176234836995</v>
      </c>
      <c r="AR387" s="560">
        <f>IFERROR(LN(INDEX(Data!$H$2:$H$497,MATCH(N387,Data!$A$2:$A$497,1))/INDEX(Data!$H$2:$H$497,MATCH(N375,Data!$A$2:$A$497,1))),"")</f>
      </c>
      <c r="AS387" s="560">
        <f>IFERROR(LN(INDEX(Data!$I$2:$I$497,MATCH(N387,Data!$A$2:$A$497,1))/INDEX(Data!$I$2:$I$497,MATCH(N375,Data!$A$2:$A$497,1))),"")</f>
        <v>-0.0423453031635894</v>
      </c>
      <c r="AT387" s="560">
        <f>IFERROR(LN(INDEX(Data!$J$2:$J$497,MATCH(N387,Data!$A$2:$A$497,1))/INDEX(Data!$J$2:$J$497,MATCH(N375,Data!$A$2:$A$497,1))),"")</f>
        <v>-0.00284101568370715</v>
      </c>
      <c r="AU387" s="560">
        <f>IFERROR(LN(INDEX(Data!$K$2:$K$497,MATCH(N387,Data!$A$2:$A$497,1))/INDEX(Data!$K$2:$K$497,MATCH(N375,Data!$A$2:$A$497,1))),"")</f>
        <v>0.00817402376446961</v>
      </c>
      <c r="AV387" s="561">
        <f>IFERROR(LN(INDEX(Data!$L$2:$L$497,MATCH(N387,Data!$A$2:$A$497,1))/INDEX(Data!$L$2:$L$497,MATCH(N375,Data!$A$2:$A$497,1))),"")</f>
        <v>0.0485463526338609</v>
      </c>
    </row>
    <row r="388">
      <c r="N388" s="337" t="n">
        <v>36525</v>
      </c>
      <c r="O388" s="116">
        <f>INDEX('Additional data'!$B$2:$B$965,MATCH(DATE(YEAR(N388),MONTH(N388),1),'Additional data'!$A$2:$A$965,0))</f>
        <v>26.08</v>
      </c>
      <c r="P388" s="489">
        <f>LN(O388)</f>
        <v>3.26116873705845</v>
      </c>
      <c r="Q388" s="489">
        <f>Q387+LN(1+INDEX('Additional data'!$H$2:$H$1196,MATCH(N388,'Additional data'!$G$2:$G$1196,1))+INDEX('Additional data'!$I$2:$I$1196,MATCH(N388,'Additional data'!$G$2:$G$1196,1)))</f>
        <v>3.8182145948146</v>
      </c>
      <c r="R388" s="489">
        <f>LN(INDEX(Data!$B$2:$B$497,MATCH(N388,Data!$A$2:$A$497,1)))</f>
        <v>9.5778474360954</v>
      </c>
      <c r="S388" s="116">
        <f>IF(INDEX('Additional data'!$E$2:$E$699,MATCH(DATE(YEAR(N388),MONTH(N388),1),'Additional data'!$D$2:$D$699,0))=0,(INDEX('Additional data'!$E$2:$E$699,MATCH(DATE(YEAR(N388),MONTH(N388),1),'Additional data'!$D$2:$D$699,0)-1)+INDEX('Additional data'!$E$2:$E$699,MATCH(DATE(YEAR(N388),MONTH(N388),1),'Additional data'!$D$2:$D$699,0)+1))/2,INDEX('Additional data'!$E$2:$E$699,MATCH(DATE(YEAR(N388),MONTH(N388),1),'Additional data'!$D$2:$D$699,0)))</f>
        <v>5.65</v>
      </c>
      <c r="T388" s="425">
        <f>P388-P387</f>
        <v>0.0434936327667703</v>
      </c>
      <c r="U388" s="425">
        <f>Q388-Q387</f>
        <v>0.0778865386570713</v>
      </c>
      <c r="V388" s="425">
        <f>R388-R387</f>
        <v>0.0545374341406859</v>
      </c>
      <c r="W388" s="116">
        <f>S388-S387</f>
        <v>0.21</v>
      </c>
      <c r="X388" s="425">
        <f>P388-P376</f>
        <v>0.838137490988539</v>
      </c>
      <c r="Y388" s="425">
        <f>Q388-Q376</f>
        <v>0.225080914656872</v>
      </c>
      <c r="Z388" s="425">
        <f>R388-R376</f>
        <v>0.176432262330511</v>
      </c>
      <c r="AA388" s="116">
        <f>S388-S376</f>
        <v>0.850000000000001</v>
      </c>
      <c r="AB388" s="425">
        <f>P388-P328</f>
        <v>0.418587642998636</v>
      </c>
      <c r="AC388" s="425">
        <f>Q388-Q328</f>
        <v>1.22025974813932</v>
      </c>
      <c r="AD388" s="425">
        <f>R388-R328</f>
        <v>0.688304790248873</v>
      </c>
      <c r="AE388" s="235">
        <f>S388-S328</f>
        <v>-2.3</v>
      </c>
      <c r="AG388" s="554">
        <f>N388</f>
        <v>36525.0</v>
      </c>
      <c r="AH388" s="435">
        <f>IFERROR(INDEX('RBA 5Y yield'!$B$5:$B$661,MATCH(N388,'RBA 5Y yield'!$A$5:$A$661,1))*100,"")</f>
        <v>6.4881</v>
      </c>
      <c r="AI388" s="435">
        <f>IF(AND(ISNUMBER(AH388),ISNUMBER(AH387)),AH388-AH387,"")</f>
        <v>0.176699999999999</v>
      </c>
      <c r="AJ388" s="435">
        <f>IF(AND(ISNUMBER(AH388),ISNUMBER(AH376)),AH388-AH376,"")</f>
        <v>1.8776</v>
      </c>
      <c r="AK388" s="435">
        <f>IF(AND(ISNUMBER(AH388),ISNUMBER(AH328)),AH388-AH328,"")</f>
        <v>-3.5719</v>
      </c>
      <c r="AL388" s="560">
        <f>IFERROR(LN(INDEX(Data!$B$2:$B$497,MATCH(N388,Data!$A$2:$A$497,1))/INDEX(Data!$B$2:$B$497,MATCH(N376,Data!$A$2:$A$497,1))),"")</f>
        <v>0.176432262330511</v>
      </c>
      <c r="AM388" s="560">
        <f>IFERROR(LN(INDEX(Data!$C$2:$C$497,MATCH(N388,Data!$A$2:$A$497,1))/INDEX(Data!$C$2:$C$497,MATCH(N376,Data!$A$2:$A$497,1))),"")</f>
        <v>0.182881277110711</v>
      </c>
      <c r="AN388" s="560">
        <f>IFERROR(LN(INDEX(Data!$D$2:$D$497,MATCH(N388,Data!$A$2:$A$497,1))/INDEX(Data!$D$2:$D$497,MATCH(N376,Data!$A$2:$A$497,1))),"")</f>
        <v>0.508926051672797</v>
      </c>
      <c r="AO388" s="560">
        <f>IFERROR(LN(INDEX(Data!$E$2:$E$497,MATCH(N388,Data!$A$2:$A$497,1))/INDEX(Data!$E$2:$E$497,MATCH(N376,Data!$A$2:$A$497,1))),"")</f>
        <v>-0.1134510214564</v>
      </c>
      <c r="AP388" s="560">
        <f>IFERROR(LN(INDEX(Data!$F$2:$F$497,MATCH(N388,Data!$A$2:$A$497,1))/INDEX(Data!$F$2:$F$497,MATCH(N376,Data!$A$2:$A$497,1))),"")</f>
        <v>0.278325137292301</v>
      </c>
      <c r="AQ388" s="560">
        <f>IFERROR(LN(INDEX(Data!$G$2:$G$497,MATCH(N388,Data!$A$2:$A$497,1))/INDEX(Data!$G$2:$G$497,MATCH(N376,Data!$A$2:$A$497,1))),"")</f>
        <v>0.103068038061022</v>
      </c>
      <c r="AR388" s="560">
        <f>IFERROR(LN(INDEX(Data!$H$2:$H$497,MATCH(N388,Data!$A$2:$A$497,1))/INDEX(Data!$H$2:$H$497,MATCH(N376,Data!$A$2:$A$497,1))),"")</f>
      </c>
      <c r="AS388" s="560">
        <f>IFERROR(LN(INDEX(Data!$I$2:$I$497,MATCH(N388,Data!$A$2:$A$497,1))/INDEX(Data!$I$2:$I$497,MATCH(N376,Data!$A$2:$A$497,1))),"")</f>
        <v>-0.0320207257366217</v>
      </c>
      <c r="AT388" s="560">
        <f>IFERROR(LN(INDEX(Data!$J$2:$J$497,MATCH(N388,Data!$A$2:$A$497,1))/INDEX(Data!$J$2:$J$497,MATCH(N376,Data!$A$2:$A$497,1))),"")</f>
        <v>-0.0122648738237909</v>
      </c>
      <c r="AU388" s="560">
        <f>IFERROR(LN(INDEX(Data!$K$2:$K$497,MATCH(N388,Data!$A$2:$A$497,1))/INDEX(Data!$K$2:$K$497,MATCH(N376,Data!$A$2:$A$497,1))),"")</f>
        <v>0.00277267965857887</v>
      </c>
      <c r="AV388" s="561">
        <f>IFERROR(LN(INDEX(Data!$L$2:$L$497,MATCH(N388,Data!$A$2:$A$497,1))/INDEX(Data!$L$2:$L$497,MATCH(N376,Data!$A$2:$A$497,1))),"")</f>
        <v>0.04887087342425</v>
      </c>
    </row>
    <row r="389">
      <c r="N389" s="337" t="n">
        <v>36556</v>
      </c>
      <c r="O389" s="116">
        <f>INDEX('Additional data'!$B$2:$B$965,MATCH(DATE(YEAR(N389),MONTH(N389),1),'Additional data'!$A$2:$A$965,0))</f>
        <v>27.18</v>
      </c>
      <c r="P389" s="489">
        <f>LN(O389)</f>
        <v>3.302481408723</v>
      </c>
      <c r="Q389" s="489">
        <f>Q388+LN(1+INDEX('Additional data'!$H$2:$H$1196,MATCH(N389,'Additional data'!$G$2:$G$1196,1))+INDEX('Additional data'!$I$2:$I$1196,MATCH(N389,'Additional data'!$G$2:$G$1196,1)))</f>
        <v>3.77394917851659</v>
      </c>
      <c r="R389" s="489">
        <f>LN(INDEX(Data!$B$2:$B$497,MATCH(N389,Data!$A$2:$A$497,1)))</f>
        <v>9.57067560886192</v>
      </c>
      <c r="S389" s="116">
        <f>IF(INDEX('Additional data'!$E$2:$E$699,MATCH(DATE(YEAR(N389),MONTH(N389),1),'Additional data'!$D$2:$D$699,0))=0,(INDEX('Additional data'!$E$2:$E$699,MATCH(DATE(YEAR(N389),MONTH(N389),1),'Additional data'!$D$2:$D$699,0)-1)+INDEX('Additional data'!$E$2:$E$699,MATCH(DATE(YEAR(N389),MONTH(N389),1),'Additional data'!$D$2:$D$699,0)+1))/2,INDEX('Additional data'!$E$2:$E$699,MATCH(DATE(YEAR(N389),MONTH(N389),1),'Additional data'!$D$2:$D$699,0)))</f>
        <v>5.66</v>
      </c>
      <c r="T389" s="425">
        <f>P389-P388</f>
        <v>0.0413126716645453</v>
      </c>
      <c r="U389" s="425">
        <f>Q389-Q388</f>
        <v>-0.0442654162980154</v>
      </c>
      <c r="V389" s="425">
        <f>R389-R388</f>
        <v>-0.0071718272334742</v>
      </c>
      <c r="W389" s="116">
        <f>S389-S388</f>
        <v>0.00999999999999979</v>
      </c>
      <c r="X389" s="425">
        <f>P389-P377</f>
        <v>0.779155649031052</v>
      </c>
      <c r="Y389" s="425">
        <f>Q389-Q377</f>
        <v>0.143230738031586</v>
      </c>
      <c r="Z389" s="425">
        <f>R389-R377</f>
        <v>0.149223781795371</v>
      </c>
      <c r="AA389" s="116">
        <f>S389-S377</f>
        <v>0.87</v>
      </c>
      <c r="AB389" s="425">
        <f>P389-P329</f>
        <v>0.412665360760556</v>
      </c>
      <c r="AC389" s="425">
        <f>Q389-Q329</f>
        <v>1.15403716448926</v>
      </c>
      <c r="AD389" s="425">
        <f>R389-R329</f>
        <v>0.720114995777953</v>
      </c>
      <c r="AE389" s="235">
        <f>S389-S329</f>
        <v>-2.71</v>
      </c>
      <c r="AG389" s="554">
        <f>N389</f>
        <v>36556.0</v>
      </c>
      <c r="AH389" s="435">
        <f>IFERROR(INDEX('RBA 5Y yield'!$B$5:$B$661,MATCH(N389,'RBA 5Y yield'!$A$5:$A$661,1))*100,"")</f>
        <v>6.9942</v>
      </c>
      <c r="AI389" s="435">
        <f>IF(AND(ISNUMBER(AH389),ISNUMBER(AH388)),AH389-AH388,"")</f>
        <v>0.506100000000001</v>
      </c>
      <c r="AJ389" s="435">
        <f>IF(AND(ISNUMBER(AH389),ISNUMBER(AH377)),AH389-AH377,"")</f>
        <v>2.0795</v>
      </c>
      <c r="AK389" s="435">
        <f>IF(AND(ISNUMBER(AH389),ISNUMBER(AH329)),AH389-AH329,"")</f>
        <v>-3.3108</v>
      </c>
      <c r="AL389" s="560">
        <f>IFERROR(LN(INDEX(Data!$B$2:$B$497,MATCH(N389,Data!$A$2:$A$497,1))/INDEX(Data!$B$2:$B$497,MATCH(N377,Data!$A$2:$A$497,1))),"")</f>
        <v>0.14922378179537</v>
      </c>
      <c r="AM389" s="560">
        <f>IFERROR(LN(INDEX(Data!$C$2:$C$497,MATCH(N389,Data!$A$2:$A$497,1))/INDEX(Data!$C$2:$C$497,MATCH(N377,Data!$A$2:$A$497,1))),"")</f>
        <v>0.152855558691583</v>
      </c>
      <c r="AN389" s="560">
        <f>IFERROR(LN(INDEX(Data!$D$2:$D$497,MATCH(N389,Data!$A$2:$A$497,1))/INDEX(Data!$D$2:$D$497,MATCH(N377,Data!$A$2:$A$497,1))),"")</f>
        <v>0.519145550097462</v>
      </c>
      <c r="AO389" s="560">
        <f>IFERROR(LN(INDEX(Data!$E$2:$E$497,MATCH(N389,Data!$A$2:$A$497,1))/INDEX(Data!$E$2:$E$497,MATCH(N377,Data!$A$2:$A$497,1))),"")</f>
        <v>-0.0482036513142099</v>
      </c>
      <c r="AP389" s="560">
        <f>IFERROR(LN(INDEX(Data!$F$2:$F$497,MATCH(N389,Data!$A$2:$A$497,1))/INDEX(Data!$F$2:$F$497,MATCH(N377,Data!$A$2:$A$497,1))),"")</f>
        <v>0.393476645319037</v>
      </c>
      <c r="AQ389" s="560">
        <f>IFERROR(LN(INDEX(Data!$G$2:$G$497,MATCH(N389,Data!$A$2:$A$497,1))/INDEX(Data!$G$2:$G$497,MATCH(N377,Data!$A$2:$A$497,1))),"")</f>
        <v>0.103068038061022</v>
      </c>
      <c r="AR389" s="560">
        <f>IFERROR(LN(INDEX(Data!$H$2:$H$497,MATCH(N389,Data!$A$2:$A$497,1))/INDEX(Data!$H$2:$H$497,MATCH(N377,Data!$A$2:$A$497,1))),"")</f>
      </c>
      <c r="AS389" s="560">
        <f>IFERROR(LN(INDEX(Data!$I$2:$I$497,MATCH(N389,Data!$A$2:$A$497,1))/INDEX(Data!$I$2:$I$497,MATCH(N377,Data!$A$2:$A$497,1))),"")</f>
        <v>-0.0320207257366217</v>
      </c>
      <c r="AT389" s="560">
        <f>IFERROR(LN(INDEX(Data!$J$2:$J$497,MATCH(N389,Data!$A$2:$A$497,1))/INDEX(Data!$J$2:$J$497,MATCH(N377,Data!$A$2:$A$497,1))),"")</f>
        <v>-0.0191045563500571</v>
      </c>
      <c r="AU389" s="560">
        <f>IFERROR(LN(INDEX(Data!$K$2:$K$497,MATCH(N389,Data!$A$2:$A$497,1))/INDEX(Data!$K$2:$K$497,MATCH(N377,Data!$A$2:$A$497,1))),"")</f>
        <v>-0.0111166139021436</v>
      </c>
      <c r="AV389" s="561">
        <f>IFERROR(LN(INDEX(Data!$L$2:$L$497,MATCH(N389,Data!$A$2:$A$497,1))/INDEX(Data!$L$2:$L$497,MATCH(N377,Data!$A$2:$A$497,1))),"")</f>
        <v>0.0496933435039877</v>
      </c>
    </row>
    <row r="390">
      <c r="N390" s="337" t="n">
        <v>36585</v>
      </c>
      <c r="O390" s="116">
        <f>INDEX('Additional data'!$B$2:$B$965,MATCH(DATE(YEAR(N390),MONTH(N390),1),'Additional data'!$A$2:$A$965,0))</f>
        <v>29.35</v>
      </c>
      <c r="P390" s="489">
        <f>LN(O390)</f>
        <v>3.37929254627411</v>
      </c>
      <c r="Q390" s="489">
        <f>Q389+LN(1+INDEX('Additional data'!$H$2:$H$1196,MATCH(N390,'Additional data'!$G$2:$G$1196,1))+INDEX('Additional data'!$I$2:$I$1196,MATCH(N390,'Additional data'!$G$2:$G$1196,1)))</f>
        <v>3.80243944891621</v>
      </c>
      <c r="R390" s="489">
        <f>LN(INDEX(Data!$B$2:$B$497,MATCH(N390,Data!$A$2:$A$497,1)))</f>
        <v>9.58959838791517</v>
      </c>
      <c r="S390" s="116">
        <f>IF(INDEX('Additional data'!$E$2:$E$699,MATCH(DATE(YEAR(N390),MONTH(N390),1),'Additional data'!$D$2:$D$699,0))=0,(INDEX('Additional data'!$E$2:$E$699,MATCH(DATE(YEAR(N390),MONTH(N390),1),'Additional data'!$D$2:$D$699,0)-1)+INDEX('Additional data'!$E$2:$E$699,MATCH(DATE(YEAR(N390),MONTH(N390),1),'Additional data'!$D$2:$D$699,0)+1))/2,INDEX('Additional data'!$E$2:$E$699,MATCH(DATE(YEAR(N390),MONTH(N390),1),'Additional data'!$D$2:$D$699,0)))</f>
        <v>5.8</v>
      </c>
      <c r="T390" s="425">
        <f>P390-P389</f>
        <v>0.076811137551108</v>
      </c>
      <c r="U390" s="425">
        <f>Q390-Q389</f>
        <v>0.0284902703996273</v>
      </c>
      <c r="V390" s="425">
        <f>R390-R389</f>
        <v>0.0189227790532485</v>
      </c>
      <c r="W390" s="116">
        <f>S390-S389</f>
        <v>0.14</v>
      </c>
      <c r="X390" s="425">
        <f>P390-P378</f>
        <v>0.893552910182213</v>
      </c>
      <c r="Y390" s="425">
        <f>Q390-Q378</f>
        <v>0.209734450629429</v>
      </c>
      <c r="Z390" s="425">
        <f>R390-R378</f>
        <v>0.168543384643817</v>
      </c>
      <c r="AA390" s="116">
        <f>S390-S378</f>
        <v>1.03</v>
      </c>
      <c r="AB390" s="425">
        <f>P390-P330</f>
        <v>0.459901505976837</v>
      </c>
      <c r="AC390" s="425">
        <f>Q390-Q330</f>
        <v>1.14301830179417</v>
      </c>
      <c r="AD390" s="425">
        <f>R390-R330</f>
        <v>0.686122907807544</v>
      </c>
      <c r="AE390" s="235">
        <f>S390-S330</f>
        <v>-2.28</v>
      </c>
      <c r="AG390" s="554">
        <f>N390</f>
        <v>36585.0</v>
      </c>
      <c r="AH390" s="435">
        <f>IFERROR(INDEX('RBA 5Y yield'!$B$5:$B$661,MATCH(N390,'RBA 5Y yield'!$A$5:$A$661,1))*100,"")</f>
        <v>6.8995</v>
      </c>
      <c r="AI390" s="435">
        <f>IF(AND(ISNUMBER(AH390),ISNUMBER(AH389)),AH390-AH389,"")</f>
        <v>-0.0947000000000005</v>
      </c>
      <c r="AJ390" s="435">
        <f>IF(AND(ISNUMBER(AH390),ISNUMBER(AH378)),AH390-AH378,"")</f>
        <v>1.84</v>
      </c>
      <c r="AK390" s="435">
        <f>IF(AND(ISNUMBER(AH390),ISNUMBER(AH330)),AH390-AH330,"")</f>
        <v>-3.061</v>
      </c>
      <c r="AL390" s="560">
        <f>IFERROR(LN(INDEX(Data!$B$2:$B$497,MATCH(N390,Data!$A$2:$A$497,1))/INDEX(Data!$B$2:$B$497,MATCH(N378,Data!$A$2:$A$497,1))),"")</f>
        <v>0.168543384643818</v>
      </c>
      <c r="AM390" s="560">
        <f>IFERROR(LN(INDEX(Data!$C$2:$C$497,MATCH(N390,Data!$A$2:$A$497,1))/INDEX(Data!$C$2:$C$497,MATCH(N378,Data!$A$2:$A$497,1))),"")</f>
        <v>0.206055113930118</v>
      </c>
      <c r="AN390" s="560">
        <f>IFERROR(LN(INDEX(Data!$D$2:$D$497,MATCH(N390,Data!$A$2:$A$497,1))/INDEX(Data!$D$2:$D$497,MATCH(N378,Data!$A$2:$A$497,1))),"")</f>
        <v>0.536740428524168</v>
      </c>
      <c r="AO390" s="560">
        <f>IFERROR(LN(INDEX(Data!$E$2:$E$497,MATCH(N390,Data!$A$2:$A$497,1))/INDEX(Data!$E$2:$E$497,MATCH(N378,Data!$A$2:$A$497,1))),"")</f>
        <v>-0.0106942508449085</v>
      </c>
      <c r="AP390" s="560">
        <f>IFERROR(LN(INDEX(Data!$F$2:$F$497,MATCH(N390,Data!$A$2:$A$497,1))/INDEX(Data!$F$2:$F$497,MATCH(N378,Data!$A$2:$A$497,1))),"")</f>
        <v>0.527253688971505</v>
      </c>
      <c r="AQ390" s="560">
        <f>IFERROR(LN(INDEX(Data!$G$2:$G$497,MATCH(N390,Data!$A$2:$A$497,1))/INDEX(Data!$G$2:$G$497,MATCH(N378,Data!$A$2:$A$497,1))),"")</f>
        <v>0.103068038061022</v>
      </c>
      <c r="AR390" s="560">
        <f>IFERROR(LN(INDEX(Data!$H$2:$H$497,MATCH(N390,Data!$A$2:$A$497,1))/INDEX(Data!$H$2:$H$497,MATCH(N378,Data!$A$2:$A$497,1))),"")</f>
      </c>
      <c r="AS390" s="560">
        <f>IFERROR(LN(INDEX(Data!$I$2:$I$497,MATCH(N390,Data!$A$2:$A$497,1))/INDEX(Data!$I$2:$I$497,MATCH(N378,Data!$A$2:$A$497,1))),"")</f>
        <v>-0.0320207257366217</v>
      </c>
      <c r="AT390" s="560">
        <f>IFERROR(LN(INDEX(Data!$J$2:$J$497,MATCH(N390,Data!$A$2:$A$497,1))/INDEX(Data!$J$2:$J$497,MATCH(N378,Data!$A$2:$A$497,1))),"")</f>
        <v>0.015235816940337</v>
      </c>
      <c r="AU390" s="560">
        <f>IFERROR(LN(INDEX(Data!$K$2:$K$497,MATCH(N390,Data!$A$2:$A$497,1))/INDEX(Data!$K$2:$K$497,MATCH(N378,Data!$A$2:$A$497,1))),"")</f>
        <v>0.0108763756484224</v>
      </c>
      <c r="AV390" s="561">
        <f>IFERROR(LN(INDEX(Data!$L$2:$L$497,MATCH(N390,Data!$A$2:$A$497,1))/INDEX(Data!$L$2:$L$497,MATCH(N378,Data!$A$2:$A$497,1))),"")</f>
        <v>0.0504184806778182</v>
      </c>
    </row>
    <row r="391">
      <c r="N391" s="337" t="n">
        <v>36616</v>
      </c>
      <c r="O391" s="116">
        <f>INDEX('Additional data'!$B$2:$B$965,MATCH(DATE(YEAR(N391),MONTH(N391),1),'Additional data'!$A$2:$A$965,0))</f>
        <v>29.89</v>
      </c>
      <c r="P391" s="489">
        <f>LN(O391)</f>
        <v>3.39752397629585</v>
      </c>
      <c r="Q391" s="489">
        <f>Q390+LN(1+INDEX('Additional data'!$H$2:$H$1196,MATCH(N391,'Additional data'!$G$2:$G$1196,1))+INDEX('Additional data'!$I$2:$I$1196,MATCH(N391,'Additional data'!$G$2:$G$1196,1)))</f>
        <v>3.85768492314219</v>
      </c>
      <c r="R391" s="489">
        <f>LN(INDEX(Data!$B$2:$B$497,MATCH(N391,Data!$A$2:$A$497,1)))</f>
        <v>9.59492512825165</v>
      </c>
      <c r="S391" s="116">
        <f>IF(INDEX('Additional data'!$E$2:$E$699,MATCH(DATE(YEAR(N391),MONTH(N391),1),'Additional data'!$D$2:$D$699,0))=0,(INDEX('Additional data'!$E$2:$E$699,MATCH(DATE(YEAR(N391),MONTH(N391),1),'Additional data'!$D$2:$D$699,0)-1)+INDEX('Additional data'!$E$2:$E$699,MATCH(DATE(YEAR(N391),MONTH(N391),1),'Additional data'!$D$2:$D$699,0)+1))/2,INDEX('Additional data'!$E$2:$E$699,MATCH(DATE(YEAR(N391),MONTH(N391),1),'Additional data'!$D$2:$D$699,0)))</f>
        <v>5.89</v>
      </c>
      <c r="T391" s="425">
        <f>P391-P390</f>
        <v>0.018231430021741</v>
      </c>
      <c r="U391" s="425">
        <f>Q391-Q390</f>
        <v>0.0552454742259783</v>
      </c>
      <c r="V391" s="425">
        <f>R391-R390</f>
        <v>0.00532674033647851</v>
      </c>
      <c r="W391" s="116">
        <f>S391-S390</f>
        <v>0.0899999999999999</v>
      </c>
      <c r="X391" s="425">
        <f>P391-P379</f>
        <v>0.712401279837341</v>
      </c>
      <c r="Y391" s="425">
        <f>Q391-Q379</f>
        <v>0.226624970978943</v>
      </c>
      <c r="Z391" s="425">
        <f>R391-R379</f>
        <v>0.132146515264266</v>
      </c>
      <c r="AA391" s="116">
        <f>S391-S379</f>
        <v>1.08</v>
      </c>
      <c r="AB391" s="425">
        <f>P391-P331</f>
        <v>0.477054187242402</v>
      </c>
      <c r="AC391" s="425">
        <f>Q391-Q331</f>
        <v>1.1721088185433</v>
      </c>
      <c r="AD391" s="425">
        <f>R391-R331</f>
        <v>0.692156659825569</v>
      </c>
      <c r="AE391" s="235">
        <f>S391-S331</f>
        <v>-2.24</v>
      </c>
      <c r="AG391" s="554">
        <f>N391</f>
        <v>36616.0</v>
      </c>
      <c r="AH391" s="435">
        <f>IFERROR(INDEX('RBA 5Y yield'!$B$5:$B$661,MATCH(N391,'RBA 5Y yield'!$A$5:$A$661,1))*100,"")</f>
        <v>6.5648</v>
      </c>
      <c r="AI391" s="435">
        <f>IF(AND(ISNUMBER(AH391),ISNUMBER(AH390)),AH391-AH390,"")</f>
        <v>-0.3347</v>
      </c>
      <c r="AJ391" s="435">
        <f>IF(AND(ISNUMBER(AH391),ISNUMBER(AH379)),AH391-AH379,"")</f>
        <v>1.3239</v>
      </c>
      <c r="AK391" s="435">
        <f>IF(AND(ISNUMBER(AH391),ISNUMBER(AH331)),AH391-AH331,"")</f>
        <v>-3.244</v>
      </c>
      <c r="AL391" s="560">
        <f>IFERROR(LN(INDEX(Data!$B$2:$B$497,MATCH(N391,Data!$A$2:$A$497,1))/INDEX(Data!$B$2:$B$497,MATCH(N379,Data!$A$2:$A$497,1))),"")</f>
        <v>0.132146515264264</v>
      </c>
      <c r="AM391" s="560">
        <f>IFERROR(LN(INDEX(Data!$C$2:$C$497,MATCH(N391,Data!$A$2:$A$497,1))/INDEX(Data!$C$2:$C$497,MATCH(N379,Data!$A$2:$A$497,1))),"")</f>
        <v>0.249156312157043</v>
      </c>
      <c r="AN391" s="560">
        <f>IFERROR(LN(INDEX(Data!$D$2:$D$497,MATCH(N391,Data!$A$2:$A$497,1))/INDEX(Data!$D$2:$D$497,MATCH(N379,Data!$A$2:$A$497,1))),"")</f>
        <v>0.462041511766089</v>
      </c>
      <c r="AO391" s="560">
        <f>IFERROR(LN(INDEX(Data!$E$2:$E$497,MATCH(N391,Data!$A$2:$A$497,1))/INDEX(Data!$E$2:$E$497,MATCH(N379,Data!$A$2:$A$497,1))),"")</f>
        <v>0.0499588053871717</v>
      </c>
      <c r="AP391" s="560">
        <f>IFERROR(LN(INDEX(Data!$F$2:$F$497,MATCH(N391,Data!$A$2:$A$497,1))/INDEX(Data!$F$2:$F$497,MATCH(N379,Data!$A$2:$A$497,1))),"")</f>
        <v>0.388052081387794</v>
      </c>
      <c r="AQ391" s="560">
        <f>IFERROR(LN(INDEX(Data!$G$2:$G$497,MATCH(N391,Data!$A$2:$A$497,1))/INDEX(Data!$G$2:$G$497,MATCH(N379,Data!$A$2:$A$497,1))),"")</f>
        <v>0.103573130406297</v>
      </c>
      <c r="AR391" s="560">
        <f>IFERROR(LN(INDEX(Data!$H$2:$H$497,MATCH(N391,Data!$A$2:$A$497,1))/INDEX(Data!$H$2:$H$497,MATCH(N379,Data!$A$2:$A$497,1))),"")</f>
      </c>
      <c r="AS391" s="560">
        <f>IFERROR(LN(INDEX(Data!$I$2:$I$497,MATCH(N391,Data!$A$2:$A$497,1))/INDEX(Data!$I$2:$I$497,MATCH(N379,Data!$A$2:$A$497,1))),"")</f>
        <v>-0.0364722684661134</v>
      </c>
      <c r="AT391" s="560">
        <f>IFERROR(LN(INDEX(Data!$J$2:$J$497,MATCH(N391,Data!$A$2:$A$497,1))/INDEX(Data!$J$2:$J$497,MATCH(N379,Data!$A$2:$A$497,1))),"")</f>
        <v>0.0177354067533704</v>
      </c>
      <c r="AU391" s="560">
        <f>IFERROR(LN(INDEX(Data!$K$2:$K$497,MATCH(N391,Data!$A$2:$A$497,1))/INDEX(Data!$K$2:$K$497,MATCH(N379,Data!$A$2:$A$497,1))),"")</f>
        <v>0.0164247394488796</v>
      </c>
      <c r="AV391" s="561">
        <f>IFERROR(LN(INDEX(Data!$L$2:$L$497,MATCH(N391,Data!$A$2:$A$497,1))/INDEX(Data!$L$2:$L$497,MATCH(N379,Data!$A$2:$A$497,1))),"")</f>
        <v>0.051067974483709</v>
      </c>
    </row>
    <row r="392">
      <c r="N392" s="337" t="n">
        <v>36646</v>
      </c>
      <c r="O392" s="116">
        <f>INDEX('Additional data'!$B$2:$B$965,MATCH(DATE(YEAR(N392),MONTH(N392),1),'Additional data'!$A$2:$A$965,0))</f>
        <v>25.74</v>
      </c>
      <c r="P392" s="489">
        <f>LN(O392)</f>
        <v>3.24804620216798</v>
      </c>
      <c r="Q392" s="489">
        <f>Q391+LN(1+INDEX('Additional data'!$H$2:$H$1196,MATCH(N392,'Additional data'!$G$2:$G$1196,1))+INDEX('Additional data'!$I$2:$I$1196,MATCH(N392,'Additional data'!$G$2:$G$1196,1)))</f>
        <v>3.79655392313796</v>
      </c>
      <c r="R392" s="489">
        <f>LN(INDEX(Data!$B$2:$B$497,MATCH(N392,Data!$A$2:$A$497,1)))</f>
        <v>9.57992949774403</v>
      </c>
      <c r="S392" s="116">
        <f>IF(INDEX('Additional data'!$E$2:$E$699,MATCH(DATE(YEAR(N392),MONTH(N392),1),'Additional data'!$D$2:$D$699,0))=0,(INDEX('Additional data'!$E$2:$E$699,MATCH(DATE(YEAR(N392),MONTH(N392),1),'Additional data'!$D$2:$D$699,0)-1)+INDEX('Additional data'!$E$2:$E$699,MATCH(DATE(YEAR(N392),MONTH(N392),1),'Additional data'!$D$2:$D$699,0)+1))/2,INDEX('Additional data'!$E$2:$E$699,MATCH(DATE(YEAR(N392),MONTH(N392),1),'Additional data'!$D$2:$D$699,0)))</f>
        <v>6.04</v>
      </c>
      <c r="T392" s="425">
        <f>P392-P391</f>
        <v>-0.149477774127866</v>
      </c>
      <c r="U392" s="425">
        <f>Q392-Q391</f>
        <v>-0.0611310000042313</v>
      </c>
      <c r="V392" s="425">
        <f>R392-R391</f>
        <v>-0.0149956305076184</v>
      </c>
      <c r="W392" s="116">
        <f>S392-S391</f>
        <v>0.15</v>
      </c>
      <c r="X392" s="425">
        <f>P392-P380</f>
        <v>0.395030230815585</v>
      </c>
      <c r="Y392" s="425">
        <f>Q392-Q380</f>
        <v>0.119469532663433</v>
      </c>
      <c r="Z392" s="425">
        <f>R392-R380</f>
        <v>0.0565683080509647</v>
      </c>
      <c r="AA392" s="116">
        <f>S392-S380</f>
        <v>1.28</v>
      </c>
      <c r="AB392" s="425">
        <f>P392-P332</f>
        <v>0.258835145604255</v>
      </c>
      <c r="AC392" s="425">
        <f>Q392-Q332</f>
        <v>1.08579752000877</v>
      </c>
      <c r="AD392" s="425">
        <f>R392-R332</f>
        <v>0.603641967590095</v>
      </c>
      <c r="AE392" s="235">
        <f>S392-S332</f>
        <v>-1.85</v>
      </c>
      <c r="AG392" s="554">
        <f>N392</f>
        <v>36646.0</v>
      </c>
      <c r="AH392" s="435">
        <f>IFERROR(INDEX('RBA 5Y yield'!$B$5:$B$661,MATCH(N392,'RBA 5Y yield'!$A$5:$A$661,1))*100,"")</f>
        <v>6.2971</v>
      </c>
      <c r="AI392" s="435">
        <f>IF(AND(ISNUMBER(AH392),ISNUMBER(AH391)),AH392-AH391,"")</f>
        <v>-0.2677</v>
      </c>
      <c r="AJ392" s="435">
        <f>IF(AND(ISNUMBER(AH392),ISNUMBER(AH380)),AH392-AH380,"")</f>
        <v>1.2546</v>
      </c>
      <c r="AK392" s="435">
        <f>IF(AND(ISNUMBER(AH392),ISNUMBER(AH332)),AH392-AH332,"")</f>
        <v>-3.1634</v>
      </c>
      <c r="AL392" s="560">
        <f>IFERROR(LN(INDEX(Data!$B$2:$B$497,MATCH(N392,Data!$A$2:$A$497,1))/INDEX(Data!$B$2:$B$497,MATCH(N380,Data!$A$2:$A$497,1))),"")</f>
        <v>0.0565683080509658</v>
      </c>
      <c r="AM392" s="560">
        <f>IFERROR(LN(INDEX(Data!$C$2:$C$497,MATCH(N392,Data!$A$2:$A$497,1))/INDEX(Data!$C$2:$C$497,MATCH(N380,Data!$A$2:$A$497,1))),"")</f>
        <v>0.270858842707121</v>
      </c>
      <c r="AN392" s="560">
        <f>IFERROR(LN(INDEX(Data!$D$2:$D$497,MATCH(N392,Data!$A$2:$A$497,1))/INDEX(Data!$D$2:$D$497,MATCH(N380,Data!$A$2:$A$497,1))),"")</f>
        <v>0.363086487167695</v>
      </c>
      <c r="AO392" s="560">
        <f>IFERROR(LN(INDEX(Data!$E$2:$E$497,MATCH(N392,Data!$A$2:$A$497,1))/INDEX(Data!$E$2:$E$497,MATCH(N380,Data!$A$2:$A$497,1))),"")</f>
        <v>0.118857470657326</v>
      </c>
      <c r="AP392" s="560">
        <f>IFERROR(LN(INDEX(Data!$F$2:$F$497,MATCH(N392,Data!$A$2:$A$497,1))/INDEX(Data!$F$2:$F$497,MATCH(N380,Data!$A$2:$A$497,1))),"")</f>
        <v>0.426264888755629</v>
      </c>
      <c r="AQ392" s="560">
        <f>IFERROR(LN(INDEX(Data!$G$2:$G$497,MATCH(N392,Data!$A$2:$A$497,1))/INDEX(Data!$G$2:$G$497,MATCH(N380,Data!$A$2:$A$497,1))),"")</f>
        <v>0.103573130406297</v>
      </c>
      <c r="AR392" s="560">
        <f>IFERROR(LN(INDEX(Data!$H$2:$H$497,MATCH(N392,Data!$A$2:$A$497,1))/INDEX(Data!$H$2:$H$497,MATCH(N380,Data!$A$2:$A$497,1))),"")</f>
      </c>
      <c r="AS392" s="560">
        <f>IFERROR(LN(INDEX(Data!$I$2:$I$497,MATCH(N392,Data!$A$2:$A$497,1))/INDEX(Data!$I$2:$I$497,MATCH(N380,Data!$A$2:$A$497,1))),"")</f>
        <v>-0.0364722684661134</v>
      </c>
      <c r="AT392" s="560">
        <f>IFERROR(LN(INDEX(Data!$J$2:$J$497,MATCH(N392,Data!$A$2:$A$497,1))/INDEX(Data!$J$2:$J$497,MATCH(N380,Data!$A$2:$A$497,1))),"")</f>
        <v>0.0184591947726089</v>
      </c>
      <c r="AU392" s="560">
        <f>IFERROR(LN(INDEX(Data!$K$2:$K$497,MATCH(N392,Data!$A$2:$A$497,1))/INDEX(Data!$K$2:$K$497,MATCH(N380,Data!$A$2:$A$497,1))),"")</f>
        <v>0.00954511660205058</v>
      </c>
      <c r="AV392" s="561">
        <f>IFERROR(LN(INDEX(Data!$L$2:$L$497,MATCH(N392,Data!$A$2:$A$497,1))/INDEX(Data!$L$2:$L$497,MATCH(N380,Data!$A$2:$A$497,1))),"")</f>
        <v>0.05175860674238</v>
      </c>
    </row>
    <row r="393">
      <c r="N393" s="337" t="n">
        <v>36677</v>
      </c>
      <c r="O393" s="116">
        <f>INDEX('Additional data'!$B$2:$B$965,MATCH(DATE(YEAR(N393),MONTH(N393),1),'Additional data'!$A$2:$A$965,0))</f>
        <v>28.78</v>
      </c>
      <c r="P393" s="489">
        <f>LN(O393)</f>
        <v>3.35968070145922</v>
      </c>
      <c r="Q393" s="489">
        <f>Q392+LN(1+INDEX('Additional data'!$H$2:$H$1196,MATCH(N393,'Additional data'!$G$2:$G$1196,1))+INDEX('Additional data'!$I$2:$I$1196,MATCH(N393,'Additional data'!$G$2:$G$1196,1)))</f>
        <v>3.75687710598506</v>
      </c>
      <c r="R393" s="489">
        <f>LN(INDEX(Data!$B$2:$B$497,MATCH(N393,Data!$A$2:$A$497,1)))</f>
        <v>9.56693059232597</v>
      </c>
      <c r="S393" s="116">
        <f>IF(INDEX('Additional data'!$E$2:$E$699,MATCH(DATE(YEAR(N393),MONTH(N393),1),'Additional data'!$D$2:$D$699,0))=0,(INDEX('Additional data'!$E$2:$E$699,MATCH(DATE(YEAR(N393),MONTH(N393),1),'Additional data'!$D$2:$D$699,0)-1)+INDEX('Additional data'!$E$2:$E$699,MATCH(DATE(YEAR(N393),MONTH(N393),1),'Additional data'!$D$2:$D$699,0)+1))/2,INDEX('Additional data'!$E$2:$E$699,MATCH(DATE(YEAR(N393),MONTH(N393),1),'Additional data'!$D$2:$D$699,0)))</f>
        <v>6.31</v>
      </c>
      <c r="T393" s="425">
        <f>P393-P392</f>
        <v>0.111634499291241</v>
      </c>
      <c r="U393" s="425">
        <f>Q393-Q392</f>
        <v>-0.0396768171528983</v>
      </c>
      <c r="V393" s="425">
        <f>R393-R392</f>
        <v>-0.0129989054180601</v>
      </c>
      <c r="W393" s="116">
        <f>S393-S392</f>
        <v>0.27</v>
      </c>
      <c r="X393" s="425">
        <f>P393-P381</f>
        <v>0.483295185537797</v>
      </c>
      <c r="Y393" s="425">
        <f>Q393-Q381</f>
        <v>0.101220662924155</v>
      </c>
      <c r="Z393" s="425">
        <f>R393-R381</f>
        <v>0.108075262487718</v>
      </c>
      <c r="AA393" s="116">
        <f>S393-S381</f>
        <v>1.45</v>
      </c>
      <c r="AB393" s="425">
        <f>P393-P333</f>
        <v>0.377033667453886</v>
      </c>
      <c r="AC393" s="425">
        <f>Q393-Q333</f>
        <v>1.01229915438036</v>
      </c>
      <c r="AD393" s="425">
        <f>R393-R333</f>
        <v>0.5998216896517</v>
      </c>
      <c r="AE393" s="235">
        <f>S393-S333</f>
        <v>-1.39</v>
      </c>
      <c r="AG393" s="554">
        <f>N393</f>
        <v>36677.0</v>
      </c>
      <c r="AH393" s="435">
        <f>IFERROR(INDEX('RBA 5Y yield'!$B$5:$B$661,MATCH(N393,'RBA 5Y yield'!$A$5:$A$661,1))*100,"")</f>
        <v>6.447</v>
      </c>
      <c r="AI393" s="435">
        <f>IF(AND(ISNUMBER(AH393),ISNUMBER(AH392)),AH393-AH392,"")</f>
        <v>0.1499</v>
      </c>
      <c r="AJ393" s="435">
        <f>IF(AND(ISNUMBER(AH393),ISNUMBER(AH381)),AH393-AH381,"")</f>
        <v>0.8713</v>
      </c>
      <c r="AK393" s="435">
        <f>IF(AND(ISNUMBER(AH393),ISNUMBER(AH333)),AH393-AH333,"")</f>
        <v>-2.2347</v>
      </c>
      <c r="AL393" s="560">
        <f>IFERROR(LN(INDEX(Data!$B$2:$B$497,MATCH(N393,Data!$A$2:$A$497,1))/INDEX(Data!$B$2:$B$497,MATCH(N381,Data!$A$2:$A$497,1))),"")</f>
        <v>0.108075262487719</v>
      </c>
      <c r="AM393" s="560">
        <f>IFERROR(LN(INDEX(Data!$C$2:$C$497,MATCH(N393,Data!$A$2:$A$497,1))/INDEX(Data!$C$2:$C$497,MATCH(N381,Data!$A$2:$A$497,1))),"")</f>
        <v>0.278498513277387</v>
      </c>
      <c r="AN393" s="560">
        <f>IFERROR(LN(INDEX(Data!$D$2:$D$497,MATCH(N393,Data!$A$2:$A$497,1))/INDEX(Data!$D$2:$D$497,MATCH(N381,Data!$A$2:$A$497,1))),"")</f>
        <v>0.327304798914886</v>
      </c>
      <c r="AO393" s="560">
        <f>IFERROR(LN(INDEX(Data!$E$2:$E$497,MATCH(N393,Data!$A$2:$A$497,1))/INDEX(Data!$E$2:$E$497,MATCH(N381,Data!$A$2:$A$497,1))),"")</f>
        <v>0.116191828625514</v>
      </c>
      <c r="AP393" s="560">
        <f>IFERROR(LN(INDEX(Data!$F$2:$F$497,MATCH(N393,Data!$A$2:$A$497,1))/INDEX(Data!$F$2:$F$497,MATCH(N381,Data!$A$2:$A$497,1))),"")</f>
        <v>0.589698976239481</v>
      </c>
      <c r="AQ393" s="560">
        <f>IFERROR(LN(INDEX(Data!$G$2:$G$497,MATCH(N393,Data!$A$2:$A$497,1))/INDEX(Data!$G$2:$G$497,MATCH(N381,Data!$A$2:$A$497,1))),"")</f>
        <v>0.103573130406297</v>
      </c>
      <c r="AR393" s="560">
        <f>IFERROR(LN(INDEX(Data!$H$2:$H$497,MATCH(N393,Data!$A$2:$A$497,1))/INDEX(Data!$H$2:$H$497,MATCH(N381,Data!$A$2:$A$497,1))),"")</f>
      </c>
      <c r="AS393" s="560">
        <f>IFERROR(LN(INDEX(Data!$I$2:$I$497,MATCH(N393,Data!$A$2:$A$497,1))/INDEX(Data!$I$2:$I$497,MATCH(N381,Data!$A$2:$A$497,1))),"")</f>
        <v>-0.0364722684661134</v>
      </c>
      <c r="AT393" s="560">
        <f>IFERROR(LN(INDEX(Data!$J$2:$J$497,MATCH(N393,Data!$A$2:$A$497,1))/INDEX(Data!$J$2:$J$497,MATCH(N381,Data!$A$2:$A$497,1))),"")</f>
        <v>0.0443550173840112</v>
      </c>
      <c r="AU393" s="560">
        <f>IFERROR(LN(INDEX(Data!$K$2:$K$497,MATCH(N393,Data!$A$2:$A$497,1))/INDEX(Data!$K$2:$K$497,MATCH(N381,Data!$A$2:$A$497,1))),"")</f>
        <v>0.0180557640209113</v>
      </c>
      <c r="AV393" s="561">
        <f>IFERROR(LN(INDEX(Data!$L$2:$L$497,MATCH(N393,Data!$A$2:$A$497,1))/INDEX(Data!$L$2:$L$497,MATCH(N381,Data!$A$2:$A$497,1))),"")</f>
        <v>0.053036898250112</v>
      </c>
    </row>
    <row r="394">
      <c r="N394" s="337" t="n">
        <v>36707</v>
      </c>
      <c r="O394" s="116">
        <f>INDEX('Additional data'!$B$2:$B$965,MATCH(DATE(YEAR(N394),MONTH(N394),1),'Additional data'!$A$2:$A$965,0))</f>
        <v>31.83</v>
      </c>
      <c r="P394" s="489">
        <f>LN(O394)</f>
        <v>3.460409241294</v>
      </c>
      <c r="Q394" s="489">
        <f>Q393+LN(1+INDEX('Additional data'!$H$2:$H$1196,MATCH(N394,'Additional data'!$G$2:$G$1196,1))+INDEX('Additional data'!$I$2:$I$1196,MATCH(N394,'Additional data'!$G$2:$G$1196,1)))</f>
        <v>3.80642888481431</v>
      </c>
      <c r="R394" s="489">
        <f>LN(INDEX(Data!$B$2:$B$497,MATCH(N394,Data!$A$2:$A$497,1)))</f>
        <v>9.64109752273671</v>
      </c>
      <c r="S394" s="116">
        <f>IF(INDEX('Additional data'!$E$2:$E$699,MATCH(DATE(YEAR(N394),MONTH(N394),1),'Additional data'!$D$2:$D$699,0))=0,(INDEX('Additional data'!$E$2:$E$699,MATCH(DATE(YEAR(N394),MONTH(N394),1),'Additional data'!$D$2:$D$699,0)-1)+INDEX('Additional data'!$E$2:$E$699,MATCH(DATE(YEAR(N394),MONTH(N394),1),'Additional data'!$D$2:$D$699,0)+1))/2,INDEX('Additional data'!$E$2:$E$699,MATCH(DATE(YEAR(N394),MONTH(N394),1),'Additional data'!$D$2:$D$699,0)))</f>
        <v>6.23</v>
      </c>
      <c r="T394" s="425">
        <f>P394-P393</f>
        <v>0.10072853983478</v>
      </c>
      <c r="U394" s="425">
        <f>Q394-Q393</f>
        <v>0.0495517788292479</v>
      </c>
      <c r="V394" s="425">
        <f>R394-R393</f>
        <v>0.0741669304107404</v>
      </c>
      <c r="W394" s="116">
        <f>S394-S393</f>
        <v>-0.0799999999999992</v>
      </c>
      <c r="X394" s="425">
        <f>P394-P382</f>
        <v>0.576167343773374</v>
      </c>
      <c r="Y394" s="425">
        <f>Q394-Q382</f>
        <v>0.100364539209557</v>
      </c>
      <c r="Z394" s="425">
        <f>R394-R382</f>
        <v>0.154983199383121</v>
      </c>
      <c r="AA394" s="116">
        <f>S394-S382</f>
        <v>1.3</v>
      </c>
      <c r="AB394" s="425">
        <f>P394-P334</f>
        <v>0.546972210466841</v>
      </c>
      <c r="AC394" s="425">
        <f>Q394-Q334</f>
        <v>1.03044917007008</v>
      </c>
      <c r="AD394" s="425">
        <f>R394-R334</f>
        <v>0.668405388277622</v>
      </c>
      <c r="AE394" s="235">
        <f>S394-S334</f>
        <v>-1.32</v>
      </c>
      <c r="AG394" s="554">
        <f>N394</f>
        <v>36707.0</v>
      </c>
      <c r="AH394" s="435">
        <f>IFERROR(INDEX('RBA 5Y yield'!$B$5:$B$661,MATCH(N394,'RBA 5Y yield'!$A$5:$A$661,1))*100,"")</f>
        <v>6.1029</v>
      </c>
      <c r="AI394" s="435">
        <f>IF(AND(ISNUMBER(AH394),ISNUMBER(AH393)),AH394-AH393,"")</f>
        <v>-0.3441</v>
      </c>
      <c r="AJ394" s="435">
        <f>IF(AND(ISNUMBER(AH394),ISNUMBER(AH382)),AH394-AH382,"")</f>
        <v>0.2672</v>
      </c>
      <c r="AK394" s="435">
        <f>IF(AND(ISNUMBER(AH394),ISNUMBER(AH334)),AH394-AH334,"")</f>
        <v>-2.1661</v>
      </c>
      <c r="AL394" s="560">
        <f>IFERROR(LN(INDEX(Data!$B$2:$B$497,MATCH(N394,Data!$A$2:$A$497,1))/INDEX(Data!$B$2:$B$497,MATCH(N382,Data!$A$2:$A$497,1))),"")</f>
        <v>0.154983199383122</v>
      </c>
      <c r="AM394" s="560">
        <f>IFERROR(LN(INDEX(Data!$C$2:$C$497,MATCH(N394,Data!$A$2:$A$497,1))/INDEX(Data!$C$2:$C$497,MATCH(N382,Data!$A$2:$A$497,1))),"")</f>
        <v>0.219427160987627</v>
      </c>
      <c r="AN394" s="560">
        <f>IFERROR(LN(INDEX(Data!$D$2:$D$497,MATCH(N394,Data!$A$2:$A$497,1))/INDEX(Data!$D$2:$D$497,MATCH(N382,Data!$A$2:$A$497,1))),"")</f>
        <v>0.228955820211529</v>
      </c>
      <c r="AO394" s="560">
        <f>IFERROR(LN(INDEX(Data!$E$2:$E$497,MATCH(N394,Data!$A$2:$A$497,1))/INDEX(Data!$E$2:$E$497,MATCH(N382,Data!$A$2:$A$497,1))),"")</f>
        <v>0.128114731339271</v>
      </c>
      <c r="AP394" s="560">
        <f>IFERROR(LN(INDEX(Data!$F$2:$F$497,MATCH(N394,Data!$A$2:$A$497,1))/INDEX(Data!$F$2:$F$497,MATCH(N382,Data!$A$2:$A$497,1))),"")</f>
        <v>0.565114910454431</v>
      </c>
      <c r="AQ394" s="560">
        <f>IFERROR(LN(INDEX(Data!$G$2:$G$497,MATCH(N394,Data!$A$2:$A$497,1))/INDEX(Data!$G$2:$G$497,MATCH(N382,Data!$A$2:$A$497,1))),"")</f>
        <v>0.104374252109661</v>
      </c>
      <c r="AR394" s="560">
        <f>IFERROR(LN(INDEX(Data!$H$2:$H$497,MATCH(N394,Data!$A$2:$A$497,1))/INDEX(Data!$H$2:$H$497,MATCH(N382,Data!$A$2:$A$497,1))),"")</f>
      </c>
      <c r="AS394" s="560">
        <f>IFERROR(LN(INDEX(Data!$I$2:$I$497,MATCH(N394,Data!$A$2:$A$497,1))/INDEX(Data!$I$2:$I$497,MATCH(N382,Data!$A$2:$A$497,1))),"")</f>
        <v>0.00539666717215426</v>
      </c>
      <c r="AT394" s="560">
        <f>IFERROR(LN(INDEX(Data!$J$2:$J$497,MATCH(N394,Data!$A$2:$A$497,1))/INDEX(Data!$J$2:$J$497,MATCH(N382,Data!$A$2:$A$497,1))),"")</f>
        <v>0.0598721379624532</v>
      </c>
      <c r="AU394" s="560">
        <f>IFERROR(LN(INDEX(Data!$K$2:$K$497,MATCH(N394,Data!$A$2:$A$497,1))/INDEX(Data!$K$2:$K$497,MATCH(N382,Data!$A$2:$A$497,1))),"")</f>
        <v>0.0386464523174928</v>
      </c>
      <c r="AV394" s="561">
        <f>IFERROR(LN(INDEX(Data!$L$2:$L$497,MATCH(N394,Data!$A$2:$A$497,1))/INDEX(Data!$L$2:$L$497,MATCH(N382,Data!$A$2:$A$497,1))),"")</f>
        <v>0.0542898264092218</v>
      </c>
    </row>
    <row r="395">
      <c r="N395" s="337" t="n">
        <v>36738</v>
      </c>
      <c r="O395" s="116">
        <f>INDEX('Additional data'!$B$2:$B$965,MATCH(DATE(YEAR(N395),MONTH(N395),1),'Additional data'!$A$2:$A$965,0))</f>
        <v>29.77</v>
      </c>
      <c r="P395" s="489">
        <f>LN(O395)</f>
        <v>3.39350117502769</v>
      </c>
      <c r="Q395" s="489">
        <f>Q394+LN(1+INDEX('Additional data'!$H$2:$H$1196,MATCH(N395,'Additional data'!$G$2:$G$1196,1))+INDEX('Additional data'!$I$2:$I$1196,MATCH(N395,'Additional data'!$G$2:$G$1196,1)))</f>
        <v>3.78622617749679</v>
      </c>
      <c r="R395" s="489">
        <f>LN(INDEX(Data!$B$2:$B$497,MATCH(N395,Data!$A$2:$A$497,1)))</f>
        <v>9.62765690699914</v>
      </c>
      <c r="S395" s="116">
        <f>IF(INDEX('Additional data'!$E$2:$E$699,MATCH(DATE(YEAR(N395),MONTH(N395),1),'Additional data'!$D$2:$D$699,0))=0,(INDEX('Additional data'!$E$2:$E$699,MATCH(DATE(YEAR(N395),MONTH(N395),1),'Additional data'!$D$2:$D$699,0)-1)+INDEX('Additional data'!$E$2:$E$699,MATCH(DATE(YEAR(N395),MONTH(N395),1),'Additional data'!$D$2:$D$699,0)+1))/2,INDEX('Additional data'!$E$2:$E$699,MATCH(DATE(YEAR(N395),MONTH(N395),1),'Additional data'!$D$2:$D$699,0)))</f>
        <v>6.2</v>
      </c>
      <c r="T395" s="425">
        <f>P395-P394</f>
        <v>-0.0669080662663166</v>
      </c>
      <c r="U395" s="425">
        <f>Q395-Q394</f>
        <v>-0.0202027073175195</v>
      </c>
      <c r="V395" s="425">
        <f>R395-R394</f>
        <v>-0.0134406157375775</v>
      </c>
      <c r="W395" s="116">
        <f>S395-S394</f>
        <v>-0.0300000000000003</v>
      </c>
      <c r="X395" s="425">
        <f>P395-P383</f>
        <v>0.394275012219438</v>
      </c>
      <c r="Y395" s="425">
        <f>Q395-Q383</f>
        <v>0.111755703483216</v>
      </c>
      <c r="Z395" s="425">
        <f>R395-R383</f>
        <v>0.123766711543288</v>
      </c>
      <c r="AA395" s="116">
        <f>S395-S383</f>
        <v>1.31</v>
      </c>
      <c r="AB395" s="425">
        <f>P395-P335</f>
        <v>0.542794673523952</v>
      </c>
      <c r="AC395" s="425">
        <f>Q395-Q335</f>
        <v>0.969488470280393</v>
      </c>
      <c r="AD395" s="425">
        <f>R395-R335</f>
        <v>0.603838902881517</v>
      </c>
      <c r="AE395" s="235">
        <f>S395-S335</f>
        <v>-1.36</v>
      </c>
      <c r="AG395" s="554">
        <f>N395</f>
        <v>36738.0</v>
      </c>
      <c r="AH395" s="435">
        <f>IFERROR(INDEX('RBA 5Y yield'!$B$5:$B$661,MATCH(N395,'RBA 5Y yield'!$A$5:$A$661,1))*100,"")</f>
        <v>6.0652</v>
      </c>
      <c r="AI395" s="435">
        <f>IF(AND(ISNUMBER(AH395),ISNUMBER(AH394)),AH395-AH394,"")</f>
        <v>-0.0377000000000001</v>
      </c>
      <c r="AJ395" s="435">
        <f>IF(AND(ISNUMBER(AH395),ISNUMBER(AH383)),AH395-AH383,"")</f>
        <v>0.302</v>
      </c>
      <c r="AK395" s="435">
        <f>IF(AND(ISNUMBER(AH395),ISNUMBER(AH335)),AH395-AH335,"")</f>
        <v>-2.3777</v>
      </c>
      <c r="AL395" s="560">
        <f>IFERROR(LN(INDEX(Data!$B$2:$B$497,MATCH(N395,Data!$A$2:$A$497,1))/INDEX(Data!$B$2:$B$497,MATCH(N383,Data!$A$2:$A$497,1))),"")</f>
        <v>0.123766711543289</v>
      </c>
      <c r="AM395" s="560">
        <f>IFERROR(LN(INDEX(Data!$C$2:$C$497,MATCH(N395,Data!$A$2:$A$497,1))/INDEX(Data!$C$2:$C$497,MATCH(N383,Data!$A$2:$A$497,1))),"")</f>
        <v>0.246965017916698</v>
      </c>
      <c r="AN395" s="560">
        <f>IFERROR(LN(INDEX(Data!$D$2:$D$497,MATCH(N395,Data!$A$2:$A$497,1))/INDEX(Data!$D$2:$D$497,MATCH(N383,Data!$A$2:$A$497,1))),"")</f>
        <v>0.221169368880729</v>
      </c>
      <c r="AO395" s="560">
        <f>IFERROR(LN(INDEX(Data!$E$2:$E$497,MATCH(N395,Data!$A$2:$A$497,1))/INDEX(Data!$E$2:$E$497,MATCH(N383,Data!$A$2:$A$497,1))),"")</f>
        <v>0.253568979640201</v>
      </c>
      <c r="AP395" s="560">
        <f>IFERROR(LN(INDEX(Data!$F$2:$F$497,MATCH(N395,Data!$A$2:$A$497,1))/INDEX(Data!$F$2:$F$497,MATCH(N383,Data!$A$2:$A$497,1))),"")</f>
        <v>0.472718819885674</v>
      </c>
      <c r="AQ395" s="560">
        <f>IFERROR(LN(INDEX(Data!$G$2:$G$497,MATCH(N395,Data!$A$2:$A$497,1))/INDEX(Data!$G$2:$G$497,MATCH(N383,Data!$A$2:$A$497,1))),"")</f>
        <v>0.104374252109661</v>
      </c>
      <c r="AR395" s="560">
        <f>IFERROR(LN(INDEX(Data!$H$2:$H$497,MATCH(N395,Data!$A$2:$A$497,1))/INDEX(Data!$H$2:$H$497,MATCH(N383,Data!$A$2:$A$497,1))),"")</f>
      </c>
      <c r="AS395" s="560">
        <f>IFERROR(LN(INDEX(Data!$I$2:$I$497,MATCH(N395,Data!$A$2:$A$497,1))/INDEX(Data!$I$2:$I$497,MATCH(N383,Data!$A$2:$A$497,1))),"")</f>
        <v>0.00539666717215426</v>
      </c>
      <c r="AT395" s="560">
        <f>IFERROR(LN(INDEX(Data!$J$2:$J$497,MATCH(N395,Data!$A$2:$A$497,1))/INDEX(Data!$J$2:$J$497,MATCH(N383,Data!$A$2:$A$497,1))),"")</f>
        <v>0.053243476641131</v>
      </c>
      <c r="AU395" s="560">
        <f>IFERROR(LN(INDEX(Data!$K$2:$K$497,MATCH(N395,Data!$A$2:$A$497,1))/INDEX(Data!$K$2:$K$497,MATCH(N383,Data!$A$2:$A$497,1))),"")</f>
        <v>0.0503299486702989</v>
      </c>
      <c r="AV395" s="561">
        <f>IFERROR(LN(INDEX(Data!$L$2:$L$497,MATCH(N395,Data!$A$2:$A$497,1))/INDEX(Data!$L$2:$L$497,MATCH(N383,Data!$A$2:$A$497,1))),"")</f>
        <v>0.055110583774632</v>
      </c>
    </row>
    <row r="396">
      <c r="N396" s="337" t="n">
        <v>36769</v>
      </c>
      <c r="O396" s="116">
        <f>INDEX('Additional data'!$B$2:$B$965,MATCH(DATE(YEAR(N396),MONTH(N396),1),'Additional data'!$A$2:$A$965,0))</f>
        <v>31.22</v>
      </c>
      <c r="P396" s="489">
        <f>LN(O396)</f>
        <v>3.44105891508729</v>
      </c>
      <c r="Q396" s="489">
        <f>Q395+LN(1+INDEX('Additional data'!$H$2:$H$1196,MATCH(N396,'Additional data'!$G$2:$G$1196,1))+INDEX('Additional data'!$I$2:$I$1196,MATCH(N396,'Additional data'!$G$2:$G$1196,1)))</f>
        <v>3.85882586991113</v>
      </c>
      <c r="R396" s="489">
        <f>LN(INDEX(Data!$B$2:$B$497,MATCH(N396,Data!$A$2:$A$497,1)))</f>
        <v>9.6447530923511</v>
      </c>
      <c r="S396" s="116">
        <f>IF(INDEX('Additional data'!$E$2:$E$699,MATCH(DATE(YEAR(N396),MONTH(N396),1),'Additional data'!$D$2:$D$699,0))=0,(INDEX('Additional data'!$E$2:$E$699,MATCH(DATE(YEAR(N396),MONTH(N396),1),'Additional data'!$D$2:$D$699,0)-1)+INDEX('Additional data'!$E$2:$E$699,MATCH(DATE(YEAR(N396),MONTH(N396),1),'Additional data'!$D$2:$D$699,0)+1))/2,INDEX('Additional data'!$E$2:$E$699,MATCH(DATE(YEAR(N396),MONTH(N396),1),'Additional data'!$D$2:$D$699,0)))</f>
        <v>6.49</v>
      </c>
      <c r="T396" s="425">
        <f>P396-P395</f>
        <v>0.047557740059601</v>
      </c>
      <c r="U396" s="425">
        <f>Q396-Q395</f>
        <v>0.0725996924143435</v>
      </c>
      <c r="V396" s="425">
        <f>R396-R395</f>
        <v>0.0170961853519636</v>
      </c>
      <c r="W396" s="116">
        <f>S396-S395</f>
        <v>0.29</v>
      </c>
      <c r="X396" s="425">
        <f>P396-P384</f>
        <v>0.384231542173484</v>
      </c>
      <c r="Y396" s="425">
        <f>Q396-Q384</f>
        <v>0.194203731952374</v>
      </c>
      <c r="Z396" s="425">
        <f>R396-R384</f>
        <v>0.166540575245961</v>
      </c>
      <c r="AA396" s="116">
        <f>S396-S384</f>
        <v>1.57</v>
      </c>
      <c r="AB396" s="425">
        <f>P396-P336</f>
        <v>0.54902187787206</v>
      </c>
      <c r="AC396" s="425">
        <f>Q396-Q336</f>
        <v>1.03193983164292</v>
      </c>
      <c r="AD396" s="425">
        <f>R396-R336</f>
        <v>0.612929524429006</v>
      </c>
      <c r="AE396" s="235">
        <f>S396-S336</f>
        <v>-1.09</v>
      </c>
      <c r="AG396" s="554">
        <f>N396</f>
        <v>36769.0</v>
      </c>
      <c r="AH396" s="435">
        <f>IFERROR(INDEX('RBA 5Y yield'!$B$5:$B$661,MATCH(N396,'RBA 5Y yield'!$A$5:$A$661,1))*100,"")</f>
        <v>6.2761</v>
      </c>
      <c r="AI396" s="435">
        <f>IF(AND(ISNUMBER(AH396),ISNUMBER(AH395)),AH396-AH395,"")</f>
        <v>0.2109</v>
      </c>
      <c r="AJ396" s="435">
        <f>IF(AND(ISNUMBER(AH396),ISNUMBER(AH384)),AH396-AH384,"")</f>
        <v>0.3352</v>
      </c>
      <c r="AK396" s="435">
        <f>IF(AND(ISNUMBER(AH396),ISNUMBER(AH336)),AH396-AH336,"")</f>
        <v>-2.3056</v>
      </c>
      <c r="AL396" s="560">
        <f>IFERROR(LN(INDEX(Data!$B$2:$B$497,MATCH(N396,Data!$A$2:$A$497,1))/INDEX(Data!$B$2:$B$497,MATCH(N384,Data!$A$2:$A$497,1))),"")</f>
        <v>0.16654057524596</v>
      </c>
      <c r="AM396" s="560">
        <f>IFERROR(LN(INDEX(Data!$C$2:$C$497,MATCH(N396,Data!$A$2:$A$497,1))/INDEX(Data!$C$2:$C$497,MATCH(N384,Data!$A$2:$A$497,1))),"")</f>
        <v>0.268341678694683</v>
      </c>
      <c r="AN396" s="560">
        <f>IFERROR(LN(INDEX(Data!$D$2:$D$497,MATCH(N396,Data!$A$2:$A$497,1))/INDEX(Data!$D$2:$D$497,MATCH(N384,Data!$A$2:$A$497,1))),"")</f>
        <v>0.191753209828988</v>
      </c>
      <c r="AO396" s="560">
        <f>IFERROR(LN(INDEX(Data!$E$2:$E$497,MATCH(N396,Data!$A$2:$A$497,1))/INDEX(Data!$E$2:$E$497,MATCH(N384,Data!$A$2:$A$497,1))),"")</f>
        <v>0.2079497789178</v>
      </c>
      <c r="AP396" s="560">
        <f>IFERROR(LN(INDEX(Data!$F$2:$F$497,MATCH(N396,Data!$A$2:$A$497,1))/INDEX(Data!$F$2:$F$497,MATCH(N384,Data!$A$2:$A$497,1))),"")</f>
        <v>0.525594795318167</v>
      </c>
      <c r="AQ396" s="560">
        <f>IFERROR(LN(INDEX(Data!$G$2:$G$497,MATCH(N396,Data!$A$2:$A$497,1))/INDEX(Data!$G$2:$G$497,MATCH(N384,Data!$A$2:$A$497,1))),"")</f>
        <v>0.104374252109661</v>
      </c>
      <c r="AR396" s="560">
        <f>IFERROR(LN(INDEX(Data!$H$2:$H$497,MATCH(N396,Data!$A$2:$A$497,1))/INDEX(Data!$H$2:$H$497,MATCH(N384,Data!$A$2:$A$497,1))),"")</f>
      </c>
      <c r="AS396" s="560">
        <f>IFERROR(LN(INDEX(Data!$I$2:$I$497,MATCH(N396,Data!$A$2:$A$497,1))/INDEX(Data!$I$2:$I$497,MATCH(N384,Data!$A$2:$A$497,1))),"")</f>
        <v>0.00539666717215426</v>
      </c>
      <c r="AT396" s="560">
        <f>IFERROR(LN(INDEX(Data!$J$2:$J$497,MATCH(N396,Data!$A$2:$A$497,1))/INDEX(Data!$J$2:$J$497,MATCH(N384,Data!$A$2:$A$497,1))),"")</f>
        <v>0.0565789182803476</v>
      </c>
      <c r="AU396" s="560">
        <f>IFERROR(LN(INDEX(Data!$K$2:$K$497,MATCH(N396,Data!$A$2:$A$497,1))/INDEX(Data!$K$2:$K$497,MATCH(N384,Data!$A$2:$A$497,1))),"")</f>
        <v>0.056936083014961</v>
      </c>
      <c r="AV396" s="561">
        <f>IFERROR(LN(INDEX(Data!$L$2:$L$497,MATCH(N396,Data!$A$2:$A$497,1))/INDEX(Data!$L$2:$L$497,MATCH(N384,Data!$A$2:$A$497,1))),"")</f>
        <v>0.0561752612599525</v>
      </c>
    </row>
    <row r="397">
      <c r="N397" s="337" t="n">
        <v>36799</v>
      </c>
      <c r="O397" s="116">
        <f>INDEX('Additional data'!$B$2:$B$965,MATCH(DATE(YEAR(N397),MONTH(N397),1),'Additional data'!$A$2:$A$965,0))</f>
        <v>33.88</v>
      </c>
      <c r="P397" s="489">
        <f>LN(O397)</f>
        <v>3.52282486978385</v>
      </c>
      <c r="Q397" s="489">
        <f>Q396+LN(1+INDEX('Additional data'!$H$2:$H$1196,MATCH(N397,'Additional data'!$G$2:$G$1196,1))+INDEX('Additional data'!$I$2:$I$1196,MATCH(N397,'Additional data'!$G$2:$G$1196,1)))</f>
        <v>3.80826914629398</v>
      </c>
      <c r="R397" s="489">
        <f>LN(INDEX(Data!$B$2:$B$497,MATCH(N397,Data!$A$2:$A$497,1)))</f>
        <v>9.64680583179077</v>
      </c>
      <c r="S397" s="116">
        <f>IF(INDEX('Additional data'!$E$2:$E$699,MATCH(DATE(YEAR(N397),MONTH(N397),1),'Additional data'!$D$2:$D$699,0))=0,(INDEX('Additional data'!$E$2:$E$699,MATCH(DATE(YEAR(N397),MONTH(N397),1),'Additional data'!$D$2:$D$699,0)-1)+INDEX('Additional data'!$E$2:$E$699,MATCH(DATE(YEAR(N397),MONTH(N397),1),'Additional data'!$D$2:$D$699,0)+1))/2,INDEX('Additional data'!$E$2:$E$699,MATCH(DATE(YEAR(N397),MONTH(N397),1),'Additional data'!$D$2:$D$699,0)))</f>
        <v>6.57</v>
      </c>
      <c r="T397" s="425">
        <f>P397-P396</f>
        <v>0.0817659546965679</v>
      </c>
      <c r="U397" s="425">
        <f>Q397-Q396</f>
        <v>-0.0505567236171522</v>
      </c>
      <c r="V397" s="425">
        <f>R397-R396</f>
        <v>0.00205273943967477</v>
      </c>
      <c r="W397" s="116">
        <f>S397-S396</f>
        <v>0.0800000000000001</v>
      </c>
      <c r="X397" s="425">
        <f>P397-P385</f>
        <v>0.349783581259453</v>
      </c>
      <c r="Y397" s="425">
        <f>Q397-Q385</f>
        <v>0.167734803864312</v>
      </c>
      <c r="Z397" s="425">
        <f>R397-R385</f>
        <v>0.180893441281043</v>
      </c>
      <c r="AA397" s="116">
        <f>S397-S385</f>
        <v>1.56</v>
      </c>
      <c r="AB397" s="425">
        <f>P397-P337</f>
        <v>0.619756281093282</v>
      </c>
      <c r="AC397" s="425">
        <f>Q397-Q337</f>
        <v>0.944183667036662</v>
      </c>
      <c r="AD397" s="425">
        <f>R397-R337</f>
        <v>0.611366616005062</v>
      </c>
      <c r="AE397" s="235">
        <f>S397-S337</f>
        <v>-0.92</v>
      </c>
      <c r="AG397" s="554">
        <f>N397</f>
        <v>36799.0</v>
      </c>
      <c r="AH397" s="435">
        <f>IFERROR(INDEX('RBA 5Y yield'!$B$5:$B$661,MATCH(N397,'RBA 5Y yield'!$A$5:$A$661,1))*100,"")</f>
        <v>6.1783</v>
      </c>
      <c r="AI397" s="435">
        <f>IF(AND(ISNUMBER(AH397),ISNUMBER(AH396)),AH397-AH396,"")</f>
        <v>-0.0977999999999994</v>
      </c>
      <c r="AJ397" s="435">
        <f>IF(AND(ISNUMBER(AH397),ISNUMBER(AH385)),AH397-AH385,"")</f>
        <v>0.1801</v>
      </c>
      <c r="AK397" s="435">
        <f>IF(AND(ISNUMBER(AH397),ISNUMBER(AH337)),AH397-AH337,"")</f>
        <v>-1.9907</v>
      </c>
      <c r="AL397" s="560">
        <f>IFERROR(LN(INDEX(Data!$B$2:$B$497,MATCH(N397,Data!$A$2:$A$497,1))/INDEX(Data!$B$2:$B$497,MATCH(N385,Data!$A$2:$A$497,1))),"")</f>
        <v>0.180893441281043</v>
      </c>
      <c r="AM397" s="560">
        <f>IFERROR(LN(INDEX(Data!$C$2:$C$497,MATCH(N397,Data!$A$2:$A$497,1))/INDEX(Data!$C$2:$C$497,MATCH(N385,Data!$A$2:$A$497,1))),"")</f>
        <v>0.323895010557855</v>
      </c>
      <c r="AN397" s="560">
        <f>IFERROR(LN(INDEX(Data!$D$2:$D$497,MATCH(N397,Data!$A$2:$A$497,1))/INDEX(Data!$D$2:$D$497,MATCH(N385,Data!$A$2:$A$497,1))),"")</f>
        <v>0.225049277132372</v>
      </c>
      <c r="AO397" s="560">
        <f>IFERROR(LN(INDEX(Data!$E$2:$E$497,MATCH(N397,Data!$A$2:$A$497,1))/INDEX(Data!$E$2:$E$497,MATCH(N385,Data!$A$2:$A$497,1))),"")</f>
        <v>0.367313075411436</v>
      </c>
      <c r="AP397" s="560">
        <f>IFERROR(LN(INDEX(Data!$F$2:$F$497,MATCH(N397,Data!$A$2:$A$497,1))/INDEX(Data!$F$2:$F$497,MATCH(N385,Data!$A$2:$A$497,1))),"")</f>
        <v>0.548708888879959</v>
      </c>
      <c r="AQ397" s="560">
        <f>IFERROR(LN(INDEX(Data!$G$2:$G$497,MATCH(N397,Data!$A$2:$A$497,1))/INDEX(Data!$G$2:$G$497,MATCH(N385,Data!$A$2:$A$497,1))),"")</f>
        <v>0.0845470838019361</v>
      </c>
      <c r="AR397" s="560">
        <f>IFERROR(LN(INDEX(Data!$H$2:$H$497,MATCH(N397,Data!$A$2:$A$497,1))/INDEX(Data!$H$2:$H$497,MATCH(N385,Data!$A$2:$A$497,1))),"")</f>
      </c>
      <c r="AS397" s="560">
        <f>IFERROR(LN(INDEX(Data!$I$2:$I$497,MATCH(N397,Data!$A$2:$A$497,1))/INDEX(Data!$I$2:$I$497,MATCH(N385,Data!$A$2:$A$497,1))),"")</f>
        <v>0.109180624208128</v>
      </c>
      <c r="AT397" s="560">
        <f>IFERROR(LN(INDEX(Data!$J$2:$J$497,MATCH(N397,Data!$A$2:$A$497,1))/INDEX(Data!$J$2:$J$497,MATCH(N385,Data!$A$2:$A$497,1))),"")</f>
        <v>0.0573674861217729</v>
      </c>
      <c r="AU397" s="560">
        <f>IFERROR(LN(INDEX(Data!$K$2:$K$497,MATCH(N397,Data!$A$2:$A$497,1))/INDEX(Data!$K$2:$K$497,MATCH(N385,Data!$A$2:$A$497,1))),"")</f>
        <v>0.0594667385802319</v>
      </c>
      <c r="AV397" s="561">
        <f>IFERROR(LN(INDEX(Data!$L$2:$L$497,MATCH(N397,Data!$A$2:$A$497,1))/INDEX(Data!$L$2:$L$497,MATCH(N385,Data!$A$2:$A$497,1))),"")</f>
        <v>0.0574798629966748</v>
      </c>
    </row>
    <row r="398">
      <c r="N398" s="337" t="n">
        <v>36830</v>
      </c>
      <c r="O398" s="116">
        <f>INDEX('Additional data'!$B$2:$B$965,MATCH(DATE(YEAR(N398),MONTH(N398),1),'Additional data'!$A$2:$A$965,0))</f>
        <v>33.08</v>
      </c>
      <c r="P398" s="489">
        <f>LN(O398)</f>
        <v>3.49892887015549</v>
      </c>
      <c r="Q398" s="489">
        <f>Q397+LN(1+INDEX('Additional data'!$H$2:$H$1196,MATCH(N398,'Additional data'!$G$2:$G$1196,1))+INDEX('Additional data'!$I$2:$I$1196,MATCH(N398,'Additional data'!$G$2:$G$1196,1)))</f>
        <v>3.78581901745639</v>
      </c>
      <c r="R398" s="489">
        <f>LN(INDEX(Data!$B$2:$B$497,MATCH(N398,Data!$A$2:$A$497,1)))</f>
        <v>9.6354373084815</v>
      </c>
      <c r="S398" s="116">
        <f>IF(INDEX('Additional data'!$E$2:$E$699,MATCH(DATE(YEAR(N398),MONTH(N398),1),'Additional data'!$D$2:$D$699,0))=0,(INDEX('Additional data'!$E$2:$E$699,MATCH(DATE(YEAR(N398),MONTH(N398),1),'Additional data'!$D$2:$D$699,0)-1)+INDEX('Additional data'!$E$2:$E$699,MATCH(DATE(YEAR(N398),MONTH(N398),1),'Additional data'!$D$2:$D$699,0)+1))/2,INDEX('Additional data'!$E$2:$E$699,MATCH(DATE(YEAR(N398),MONTH(N398),1),'Additional data'!$D$2:$D$699,0)))</f>
        <v>6.41</v>
      </c>
      <c r="T398" s="425">
        <f>P398-P397</f>
        <v>-0.0238959996283632</v>
      </c>
      <c r="U398" s="425">
        <f>Q398-Q397</f>
        <v>-0.0224501288375918</v>
      </c>
      <c r="V398" s="425">
        <f>R398-R397</f>
        <v>-0.0113685233092742</v>
      </c>
      <c r="W398" s="116">
        <f>S398-S397</f>
        <v>-0.16</v>
      </c>
      <c r="X398" s="425">
        <f>P398-P386</f>
        <v>0.379210616820509</v>
      </c>
      <c r="Y398" s="425">
        <f>Q398-Q386</f>
        <v>0.0824976869279555</v>
      </c>
      <c r="Z398" s="425">
        <f>R398-R386</f>
        <v>0.164603651998993</v>
      </c>
      <c r="AA398" s="116">
        <f>S398-S386</f>
        <v>1.1</v>
      </c>
      <c r="AB398" s="425">
        <f>P398-P338</f>
        <v>0.640162451674657</v>
      </c>
      <c r="AC398" s="425">
        <f>Q398-Q338</f>
        <v>0.932187996102929</v>
      </c>
      <c r="AD398" s="425">
        <f>R398-R338</f>
        <v>0.624755921696716</v>
      </c>
      <c r="AE398" s="235">
        <f>S398-S338</f>
        <v>-1.06</v>
      </c>
      <c r="AG398" s="554">
        <f>N398</f>
        <v>36830.0</v>
      </c>
      <c r="AH398" s="435">
        <f>IFERROR(INDEX('RBA 5Y yield'!$B$5:$B$661,MATCH(N398,'RBA 5Y yield'!$A$5:$A$661,1))*100,"")</f>
        <v>6.0598</v>
      </c>
      <c r="AI398" s="435">
        <f>IF(AND(ISNUMBER(AH398),ISNUMBER(AH397)),AH398-AH397,"")</f>
        <v>-0.1185</v>
      </c>
      <c r="AJ398" s="435">
        <f>IF(AND(ISNUMBER(AH398),ISNUMBER(AH386)),AH398-AH386,"")</f>
        <v>-0.225899999999999</v>
      </c>
      <c r="AK398" s="435">
        <f>IF(AND(ISNUMBER(AH398),ISNUMBER(AH338)),AH398-AH338,"")</f>
        <v>-1.9838</v>
      </c>
      <c r="AL398" s="560">
        <f>IFERROR(LN(INDEX(Data!$B$2:$B$497,MATCH(N398,Data!$A$2:$A$497,1))/INDEX(Data!$B$2:$B$497,MATCH(N386,Data!$A$2:$A$497,1))),"")</f>
        <v>0.164603651998993</v>
      </c>
      <c r="AM398" s="560">
        <f>IFERROR(LN(INDEX(Data!$C$2:$C$497,MATCH(N398,Data!$A$2:$A$497,1))/INDEX(Data!$C$2:$C$497,MATCH(N386,Data!$A$2:$A$497,1))),"")</f>
        <v>0.288467619797746</v>
      </c>
      <c r="AN398" s="560">
        <f>IFERROR(LN(INDEX(Data!$D$2:$D$497,MATCH(N398,Data!$A$2:$A$497,1))/INDEX(Data!$D$2:$D$497,MATCH(N386,Data!$A$2:$A$497,1))),"")</f>
        <v>0.170743771991567</v>
      </c>
      <c r="AO398" s="560">
        <f>IFERROR(LN(INDEX(Data!$E$2:$E$497,MATCH(N398,Data!$A$2:$A$497,1))/INDEX(Data!$E$2:$E$497,MATCH(N386,Data!$A$2:$A$497,1))),"")</f>
        <v>0.371388187763871</v>
      </c>
      <c r="AP398" s="560">
        <f>IFERROR(LN(INDEX(Data!$F$2:$F$497,MATCH(N398,Data!$A$2:$A$497,1))/INDEX(Data!$F$2:$F$497,MATCH(N386,Data!$A$2:$A$497,1))),"")</f>
        <v>0.624350317530286</v>
      </c>
      <c r="AQ398" s="560">
        <f>IFERROR(LN(INDEX(Data!$G$2:$G$497,MATCH(N398,Data!$A$2:$A$497,1))/INDEX(Data!$G$2:$G$497,MATCH(N386,Data!$A$2:$A$497,1))),"")</f>
        <v>0.0845470838019361</v>
      </c>
      <c r="AR398" s="560">
        <f>IFERROR(LN(INDEX(Data!$H$2:$H$497,MATCH(N398,Data!$A$2:$A$497,1))/INDEX(Data!$H$2:$H$497,MATCH(N386,Data!$A$2:$A$497,1))),"")</f>
      </c>
      <c r="AS398" s="560">
        <f>IFERROR(LN(INDEX(Data!$I$2:$I$497,MATCH(N398,Data!$A$2:$A$497,1))/INDEX(Data!$I$2:$I$497,MATCH(N386,Data!$A$2:$A$497,1))),"")</f>
        <v>0.109180624208128</v>
      </c>
      <c r="AT398" s="560">
        <f>IFERROR(LN(INDEX(Data!$J$2:$J$497,MATCH(N398,Data!$A$2:$A$497,1))/INDEX(Data!$J$2:$J$497,MATCH(N386,Data!$A$2:$A$497,1))),"")</f>
        <v>0.0732776949317835</v>
      </c>
      <c r="AU398" s="560">
        <f>IFERROR(LN(INDEX(Data!$K$2:$K$497,MATCH(N398,Data!$A$2:$A$497,1))/INDEX(Data!$K$2:$K$497,MATCH(N386,Data!$A$2:$A$497,1))),"")</f>
        <v>0.0646930383068432</v>
      </c>
      <c r="AV398" s="561">
        <f>IFERROR(LN(INDEX(Data!$L$2:$L$497,MATCH(N398,Data!$A$2:$A$497,1))/INDEX(Data!$L$2:$L$497,MATCH(N386,Data!$A$2:$A$497,1))),"")</f>
        <v>0.0589153559616072</v>
      </c>
    </row>
    <row r="399">
      <c r="N399" s="337" t="n">
        <v>36860</v>
      </c>
      <c r="O399" s="116">
        <f>INDEX('Additional data'!$B$2:$B$965,MATCH(DATE(YEAR(N399),MONTH(N399),1),'Additional data'!$A$2:$A$965,0))</f>
        <v>34.4</v>
      </c>
      <c r="P399" s="489">
        <f>LN(O399)</f>
        <v>3.53805656437935</v>
      </c>
      <c r="Q399" s="489">
        <f>Q398+LN(1+INDEX('Additional data'!$H$2:$H$1196,MATCH(N399,'Additional data'!$G$2:$G$1196,1))+INDEX('Additional data'!$I$2:$I$1196,MATCH(N399,'Additional data'!$G$2:$G$1196,1)))</f>
        <v>3.67834515915116</v>
      </c>
      <c r="R399" s="489">
        <f>LN(INDEX(Data!$B$2:$B$497,MATCH(N399,Data!$A$2:$A$497,1)))</f>
        <v>9.6466216791733</v>
      </c>
      <c r="S399" s="116">
        <f>IF(INDEX('Additional data'!$E$2:$E$699,MATCH(DATE(YEAR(N399),MONTH(N399),1),'Additional data'!$D$2:$D$699,0))=0,(INDEX('Additional data'!$E$2:$E$699,MATCH(DATE(YEAR(N399),MONTH(N399),1),'Additional data'!$D$2:$D$699,0)-1)+INDEX('Additional data'!$E$2:$E$699,MATCH(DATE(YEAR(N399),MONTH(N399),1),'Additional data'!$D$2:$D$699,0)+1))/2,INDEX('Additional data'!$E$2:$E$699,MATCH(DATE(YEAR(N399),MONTH(N399),1),'Additional data'!$D$2:$D$699,0)))</f>
        <v>6.33</v>
      </c>
      <c r="T399" s="425">
        <f>P399-P398</f>
        <v>0.0391276942238621</v>
      </c>
      <c r="U399" s="425">
        <f>Q399-Q398</f>
        <v>-0.107473858305233</v>
      </c>
      <c r="V399" s="425">
        <f>R399-R398</f>
        <v>0.0111843706918027</v>
      </c>
      <c r="W399" s="116">
        <f>S399-S398</f>
        <v>-0.0800000000000001</v>
      </c>
      <c r="X399" s="425">
        <f>P399-P387</f>
        <v>0.320381460087671</v>
      </c>
      <c r="Y399" s="425">
        <f>Q399-Q387</f>
        <v>-0.0619828970063732</v>
      </c>
      <c r="Z399" s="425">
        <f>R399-R387</f>
        <v>0.12331167721859</v>
      </c>
      <c r="AA399" s="116">
        <f>S399-S387</f>
        <v>0.89</v>
      </c>
      <c r="AB399" s="425">
        <f>P399-P339</f>
        <v>0.648240516416911</v>
      </c>
      <c r="AC399" s="425">
        <f>Q399-Q339</f>
        <v>0.781846237570521</v>
      </c>
      <c r="AD399" s="425">
        <f>R399-R339</f>
        <v>0.592619377619814</v>
      </c>
      <c r="AE399" s="235">
        <f>S399-S339</f>
        <v>-1.13</v>
      </c>
      <c r="AG399" s="554">
        <f>N399</f>
        <v>36860.0</v>
      </c>
      <c r="AH399" s="435">
        <f>IFERROR(INDEX('RBA 5Y yield'!$B$5:$B$661,MATCH(N399,'RBA 5Y yield'!$A$5:$A$661,1))*100,"")</f>
        <v>5.9339</v>
      </c>
      <c r="AI399" s="435">
        <f>IF(AND(ISNUMBER(AH399),ISNUMBER(AH398)),AH399-AH398,"")</f>
        <v>-0.1259</v>
      </c>
      <c r="AJ399" s="435">
        <f>IF(AND(ISNUMBER(AH399),ISNUMBER(AH387)),AH399-AH387,"")</f>
        <v>-0.3775</v>
      </c>
      <c r="AK399" s="435">
        <f>IF(AND(ISNUMBER(AH399),ISNUMBER(AH339)),AH399-AH339,"")</f>
        <v>-2.1038</v>
      </c>
      <c r="AL399" s="560">
        <f>IFERROR(LN(INDEX(Data!$B$2:$B$497,MATCH(N399,Data!$A$2:$A$497,1))/INDEX(Data!$B$2:$B$497,MATCH(N387,Data!$A$2:$A$497,1))),"")</f>
        <v>0.12331167721859</v>
      </c>
      <c r="AM399" s="560">
        <f>IFERROR(LN(INDEX(Data!$C$2:$C$497,MATCH(N399,Data!$A$2:$A$497,1))/INDEX(Data!$C$2:$C$497,MATCH(N387,Data!$A$2:$A$497,1))),"")</f>
        <v>0.170084130520802</v>
      </c>
      <c r="AN399" s="560">
        <f>IFERROR(LN(INDEX(Data!$D$2:$D$497,MATCH(N399,Data!$A$2:$A$497,1))/INDEX(Data!$D$2:$D$497,MATCH(N387,Data!$A$2:$A$497,1))),"")</f>
        <v>-0.012609538392534</v>
      </c>
      <c r="AO399" s="560">
        <f>IFERROR(LN(INDEX(Data!$E$2:$E$497,MATCH(N399,Data!$A$2:$A$497,1))/INDEX(Data!$E$2:$E$497,MATCH(N387,Data!$A$2:$A$497,1))),"")</f>
        <v>0.389399413147499</v>
      </c>
      <c r="AP399" s="560">
        <f>IFERROR(LN(INDEX(Data!$F$2:$F$497,MATCH(N399,Data!$A$2:$A$497,1))/INDEX(Data!$F$2:$F$497,MATCH(N387,Data!$A$2:$A$497,1))),"")</f>
        <v>0.655761860567952</v>
      </c>
      <c r="AQ399" s="560">
        <f>IFERROR(LN(INDEX(Data!$G$2:$G$497,MATCH(N399,Data!$A$2:$A$497,1))/INDEX(Data!$G$2:$G$497,MATCH(N387,Data!$A$2:$A$497,1))),"")</f>
        <v>0.0845470838019361</v>
      </c>
      <c r="AR399" s="560">
        <f>IFERROR(LN(INDEX(Data!$H$2:$H$497,MATCH(N399,Data!$A$2:$A$497,1))/INDEX(Data!$H$2:$H$497,MATCH(N387,Data!$A$2:$A$497,1))),"")</f>
      </c>
      <c r="AS399" s="560">
        <f>IFERROR(LN(INDEX(Data!$I$2:$I$497,MATCH(N399,Data!$A$2:$A$497,1))/INDEX(Data!$I$2:$I$497,MATCH(N387,Data!$A$2:$A$497,1))),"")</f>
        <v>0.109180624208128</v>
      </c>
      <c r="AT399" s="560">
        <f>IFERROR(LN(INDEX(Data!$J$2:$J$497,MATCH(N399,Data!$A$2:$A$497,1))/INDEX(Data!$J$2:$J$497,MATCH(N387,Data!$A$2:$A$497,1))),"")</f>
        <v>0.0896563097821384</v>
      </c>
      <c r="AU399" s="560">
        <f>IFERROR(LN(INDEX(Data!$K$2:$K$497,MATCH(N399,Data!$A$2:$A$497,1))/INDEX(Data!$K$2:$K$497,MATCH(N387,Data!$A$2:$A$497,1))),"")</f>
        <v>0.0776758290494551</v>
      </c>
      <c r="AV399" s="561">
        <f>IFERROR(LN(INDEX(Data!$L$2:$L$497,MATCH(N399,Data!$A$2:$A$497,1))/INDEX(Data!$L$2:$L$497,MATCH(N387,Data!$A$2:$A$497,1))),"")</f>
        <v>0.0599959855461227</v>
      </c>
    </row>
    <row r="400">
      <c r="N400" s="337" t="n">
        <v>36891</v>
      </c>
      <c r="O400" s="116">
        <f>INDEX('Additional data'!$B$2:$B$965,MATCH(DATE(YEAR(N400),MONTH(N400),1),'Additional data'!$A$2:$A$965,0))</f>
        <v>28.46</v>
      </c>
      <c r="P400" s="489">
        <f>LN(O400)</f>
        <v>3.34849959266171</v>
      </c>
      <c r="Q400" s="489">
        <f>Q399+LN(1+INDEX('Additional data'!$H$2:$H$1196,MATCH(N400,'Additional data'!$G$2:$G$1196,1))+INDEX('Additional data'!$I$2:$I$1196,MATCH(N400,'Additional data'!$G$2:$G$1196,1)))</f>
        <v>3.69500560004426</v>
      </c>
      <c r="R400" s="489">
        <f>LN(INDEX(Data!$B$2:$B$497,MATCH(N400,Data!$A$2:$A$497,1)))</f>
        <v>9.62685210747458</v>
      </c>
      <c r="S400" s="116">
        <f>IF(INDEX('Additional data'!$E$2:$E$699,MATCH(DATE(YEAR(N400),MONTH(N400),1),'Additional data'!$D$2:$D$699,0))=0,(INDEX('Additional data'!$E$2:$E$699,MATCH(DATE(YEAR(N400),MONTH(N400),1),'Additional data'!$D$2:$D$699,0)-1)+INDEX('Additional data'!$E$2:$E$699,MATCH(DATE(YEAR(N400),MONTH(N400),1),'Additional data'!$D$2:$D$699,0)+1))/2,INDEX('Additional data'!$E$2:$E$699,MATCH(DATE(YEAR(N400),MONTH(N400),1),'Additional data'!$D$2:$D$699,0)))</f>
        <v>6.2</v>
      </c>
      <c r="T400" s="425">
        <f>P400-P399</f>
        <v>-0.189556971717646</v>
      </c>
      <c r="U400" s="425">
        <f>Q400-Q399</f>
        <v>0.0166604408931073</v>
      </c>
      <c r="V400" s="425">
        <f>R400-R399</f>
        <v>-0.0197695716987276</v>
      </c>
      <c r="W400" s="116">
        <f>S400-S399</f>
        <v>-0.13</v>
      </c>
      <c r="X400" s="425">
        <f>P400-P388</f>
        <v>0.0873308556032542</v>
      </c>
      <c r="Y400" s="425">
        <f>Q400-Q388</f>
        <v>-0.123208994770337</v>
      </c>
      <c r="Z400" s="425">
        <f>R400-R388</f>
        <v>0.0490046713791763</v>
      </c>
      <c r="AA400" s="116">
        <f>S400-S388</f>
        <v>0.55</v>
      </c>
      <c r="AB400" s="425">
        <f>P400-P340</f>
        <v>0.401957563298487</v>
      </c>
      <c r="AC400" s="425">
        <f>Q400-Q340</f>
        <v>0.783322543138588</v>
      </c>
      <c r="AD400" s="425">
        <f>R400-R340</f>
        <v>0.548980835412804</v>
      </c>
      <c r="AE400" s="235">
        <f>S400-S340</f>
        <v>-1.23</v>
      </c>
      <c r="AG400" s="554">
        <f>N400</f>
        <v>36891.0</v>
      </c>
      <c r="AH400" s="435">
        <f>IFERROR(INDEX('RBA 5Y yield'!$B$5:$B$661,MATCH(N400,'RBA 5Y yield'!$A$5:$A$661,1))*100,"")</f>
        <v>5.4371</v>
      </c>
      <c r="AI400" s="435">
        <f>IF(AND(ISNUMBER(AH400),ISNUMBER(AH399)),AH400-AH399,"")</f>
        <v>-0.4968</v>
      </c>
      <c r="AJ400" s="435">
        <f>IF(AND(ISNUMBER(AH400),ISNUMBER(AH388)),AH400-AH388,"")</f>
        <v>-1.051</v>
      </c>
      <c r="AK400" s="435">
        <f>IF(AND(ISNUMBER(AH400),ISNUMBER(AH340)),AH400-AH340,"")</f>
        <v>-2.4155</v>
      </c>
      <c r="AL400" s="560">
        <f>IFERROR(LN(INDEX(Data!$B$2:$B$497,MATCH(N400,Data!$A$2:$A$497,1))/INDEX(Data!$B$2:$B$497,MATCH(N388,Data!$A$2:$A$497,1))),"")</f>
        <v>0.0490046713791772</v>
      </c>
      <c r="AM400" s="560">
        <f>IFERROR(LN(INDEX(Data!$C$2:$C$497,MATCH(N400,Data!$A$2:$A$497,1))/INDEX(Data!$C$2:$C$497,MATCH(N388,Data!$A$2:$A$497,1))),"")</f>
        <v>0.062566886917435</v>
      </c>
      <c r="AN400" s="560">
        <f>IFERROR(LN(INDEX(Data!$D$2:$D$497,MATCH(N400,Data!$A$2:$A$497,1))/INDEX(Data!$D$2:$D$497,MATCH(N388,Data!$A$2:$A$497,1))),"")</f>
        <v>-0.128144720534066</v>
      </c>
      <c r="AO400" s="560">
        <f>IFERROR(LN(INDEX(Data!$E$2:$E$497,MATCH(N400,Data!$A$2:$A$497,1))/INDEX(Data!$E$2:$E$497,MATCH(N388,Data!$A$2:$A$497,1))),"")</f>
        <v>0.396289009104852</v>
      </c>
      <c r="AP400" s="560">
        <f>IFERROR(LN(INDEX(Data!$F$2:$F$497,MATCH(N400,Data!$A$2:$A$497,1))/INDEX(Data!$F$2:$F$497,MATCH(N388,Data!$A$2:$A$497,1))),"")</f>
        <v>0.56724367050956</v>
      </c>
      <c r="AQ400" s="560">
        <f>IFERROR(LN(INDEX(Data!$G$2:$G$497,MATCH(N400,Data!$A$2:$A$497,1))/INDEX(Data!$G$2:$G$497,MATCH(N388,Data!$A$2:$A$497,1))),"")</f>
        <v>0.0757579060866315</v>
      </c>
      <c r="AR400" s="560">
        <f>IFERROR(LN(INDEX(Data!$H$2:$H$497,MATCH(N400,Data!$A$2:$A$497,1))/INDEX(Data!$H$2:$H$497,MATCH(N388,Data!$A$2:$A$497,1))),"")</f>
      </c>
      <c r="AS400" s="560">
        <f>IFERROR(LN(INDEX(Data!$I$2:$I$497,MATCH(N400,Data!$A$2:$A$497,1))/INDEX(Data!$I$2:$I$497,MATCH(N388,Data!$A$2:$A$497,1))),"")</f>
        <v>0.0459930611597288</v>
      </c>
      <c r="AT400" s="560">
        <f>IFERROR(LN(INDEX(Data!$J$2:$J$497,MATCH(N400,Data!$A$2:$A$497,1))/INDEX(Data!$J$2:$J$497,MATCH(N388,Data!$A$2:$A$497,1))),"")</f>
        <v>0.114034841456491</v>
      </c>
      <c r="AU400" s="560">
        <f>IFERROR(LN(INDEX(Data!$K$2:$K$497,MATCH(N400,Data!$A$2:$A$497,1))/INDEX(Data!$K$2:$K$497,MATCH(N388,Data!$A$2:$A$497,1))),"")</f>
        <v>0.0929740086304899</v>
      </c>
      <c r="AV400" s="561">
        <f>IFERROR(LN(INDEX(Data!$L$2:$L$497,MATCH(N400,Data!$A$2:$A$497,1))/INDEX(Data!$L$2:$L$497,MATCH(N388,Data!$A$2:$A$497,1))),"")</f>
        <v>0.060848716052792</v>
      </c>
    </row>
    <row r="401">
      <c r="N401" s="337" t="n">
        <v>36922</v>
      </c>
      <c r="O401" s="116">
        <f>INDEX('Additional data'!$B$2:$B$965,MATCH(DATE(YEAR(N401),MONTH(N401),1),'Additional data'!$A$2:$A$965,0))</f>
        <v>29.58</v>
      </c>
      <c r="P401" s="489">
        <f>LN(O401)</f>
        <v>3.38709845728265</v>
      </c>
      <c r="Q401" s="489">
        <f>Q400+LN(1+INDEX('Additional data'!$H$2:$H$1196,MATCH(N401,'Additional data'!$G$2:$G$1196,1))+INDEX('Additional data'!$I$2:$I$1196,MATCH(N401,'Additional data'!$G$2:$G$1196,1)))</f>
        <v>3.73220504103337</v>
      </c>
      <c r="R401" s="489">
        <f>LN(INDEX(Data!$B$2:$B$497,MATCH(N401,Data!$A$2:$A$497,1)))</f>
        <v>9.66947211586781</v>
      </c>
      <c r="S401" s="116">
        <f>IF(INDEX('Additional data'!$E$2:$E$699,MATCH(DATE(YEAR(N401),MONTH(N401),1),'Additional data'!$D$2:$D$699,0))=0,(INDEX('Additional data'!$E$2:$E$699,MATCH(DATE(YEAR(N401),MONTH(N401),1),'Additional data'!$D$2:$D$699,0)-1)+INDEX('Additional data'!$E$2:$E$699,MATCH(DATE(YEAR(N401),MONTH(N401),1),'Additional data'!$D$2:$D$699,0)+1))/2,INDEX('Additional data'!$E$2:$E$699,MATCH(DATE(YEAR(N401),MONTH(N401),1),'Additional data'!$D$2:$D$699,0)))</f>
        <v>5.91</v>
      </c>
      <c r="T401" s="425">
        <f>P401-P400</f>
        <v>0.0385988646209472</v>
      </c>
      <c r="U401" s="425">
        <f>Q401-Q400</f>
        <v>0.0371994409891063</v>
      </c>
      <c r="V401" s="425">
        <f>R401-R400</f>
        <v>0.0426200083932375</v>
      </c>
      <c r="W401" s="116">
        <f>S401-S400</f>
        <v>-0.29</v>
      </c>
      <c r="X401" s="425">
        <f>P401-P389</f>
        <v>0.084617048559656</v>
      </c>
      <c r="Y401" s="425">
        <f>Q401-Q389</f>
        <v>-0.0417441374832155</v>
      </c>
      <c r="Z401" s="425">
        <f>R401-R389</f>
        <v>0.0987965070058881</v>
      </c>
      <c r="AA401" s="116">
        <f>S401-S389</f>
        <v>0.25</v>
      </c>
      <c r="AB401" s="425">
        <f>P401-P341</f>
        <v>0.448995296565299</v>
      </c>
      <c r="AC401" s="425">
        <f>Q401-Q341</f>
        <v>0.793977428905583</v>
      </c>
      <c r="AD401" s="425">
        <f>R401-R341</f>
        <v>0.5586095963913</v>
      </c>
      <c r="AE401" s="235">
        <f>S401-S341</f>
        <v>-1.55</v>
      </c>
      <c r="AG401" s="554">
        <f>N401</f>
        <v>36922.0</v>
      </c>
      <c r="AH401" s="435">
        <f>IFERROR(INDEX('RBA 5Y yield'!$B$5:$B$661,MATCH(N401,'RBA 5Y yield'!$A$5:$A$661,1))*100,"")</f>
        <v>5.1517</v>
      </c>
      <c r="AI401" s="435">
        <f>IF(AND(ISNUMBER(AH401),ISNUMBER(AH400)),AH401-AH400,"")</f>
        <v>-0.2854</v>
      </c>
      <c r="AJ401" s="435">
        <f>IF(AND(ISNUMBER(AH401),ISNUMBER(AH389)),AH401-AH389,"")</f>
        <v>-1.8425</v>
      </c>
      <c r="AK401" s="435">
        <f>IF(AND(ISNUMBER(AH401),ISNUMBER(AH341)),AH401-AH341,"")</f>
        <v>-2.6073</v>
      </c>
      <c r="AL401" s="560">
        <f>IFERROR(LN(INDEX(Data!$B$2:$B$497,MATCH(N401,Data!$A$2:$A$497,1))/INDEX(Data!$B$2:$B$497,MATCH(N389,Data!$A$2:$A$497,1))),"")</f>
        <v>0.098796507005888</v>
      </c>
      <c r="AM401" s="560">
        <f>IFERROR(LN(INDEX(Data!$C$2:$C$497,MATCH(N401,Data!$A$2:$A$497,1))/INDEX(Data!$C$2:$C$497,MATCH(N389,Data!$A$2:$A$497,1))),"")</f>
        <v>0.121415042374527</v>
      </c>
      <c r="AN401" s="560">
        <f>IFERROR(LN(INDEX(Data!$D$2:$D$497,MATCH(N401,Data!$A$2:$A$497,1))/INDEX(Data!$D$2:$D$497,MATCH(N389,Data!$A$2:$A$497,1))),"")</f>
        <v>-0.0207212740599438</v>
      </c>
      <c r="AO401" s="560">
        <f>IFERROR(LN(INDEX(Data!$E$2:$E$497,MATCH(N401,Data!$A$2:$A$497,1))/INDEX(Data!$E$2:$E$497,MATCH(N389,Data!$A$2:$A$497,1))),"")</f>
        <v>0.394268365214884</v>
      </c>
      <c r="AP401" s="560">
        <f>IFERROR(LN(INDEX(Data!$F$2:$F$497,MATCH(N401,Data!$A$2:$A$497,1))/INDEX(Data!$F$2:$F$497,MATCH(N389,Data!$A$2:$A$497,1))),"")</f>
        <v>0.42896832557762</v>
      </c>
      <c r="AQ401" s="560">
        <f>IFERROR(LN(INDEX(Data!$G$2:$G$497,MATCH(N401,Data!$A$2:$A$497,1))/INDEX(Data!$G$2:$G$497,MATCH(N389,Data!$A$2:$A$497,1))),"")</f>
        <v>0.0757579060866315</v>
      </c>
      <c r="AR401" s="560">
        <f>IFERROR(LN(INDEX(Data!$H$2:$H$497,MATCH(N401,Data!$A$2:$A$497,1))/INDEX(Data!$H$2:$H$497,MATCH(N389,Data!$A$2:$A$497,1))),"")</f>
      </c>
      <c r="AS401" s="560">
        <f>IFERROR(LN(INDEX(Data!$I$2:$I$497,MATCH(N401,Data!$A$2:$A$497,1))/INDEX(Data!$I$2:$I$497,MATCH(N389,Data!$A$2:$A$497,1))),"")</f>
        <v>0.0459930611597288</v>
      </c>
      <c r="AT401" s="560">
        <f>IFERROR(LN(INDEX(Data!$J$2:$J$497,MATCH(N401,Data!$A$2:$A$497,1))/INDEX(Data!$J$2:$J$497,MATCH(N389,Data!$A$2:$A$497,1))),"")</f>
        <v>0.131233058416007</v>
      </c>
      <c r="AU401" s="560">
        <f>IFERROR(LN(INDEX(Data!$K$2:$K$497,MATCH(N401,Data!$A$2:$A$497,1))/INDEX(Data!$K$2:$K$497,MATCH(N389,Data!$A$2:$A$497,1))),"")</f>
        <v>0.108865507113396</v>
      </c>
      <c r="AV401" s="561">
        <f>IFERROR(LN(INDEX(Data!$L$2:$L$497,MATCH(N401,Data!$A$2:$A$497,1))/INDEX(Data!$L$2:$L$497,MATCH(N389,Data!$A$2:$A$497,1))),"")</f>
        <v>0.0612378559819145</v>
      </c>
    </row>
    <row r="402">
      <c r="N402" s="337" t="n">
        <v>36950</v>
      </c>
      <c r="O402" s="116">
        <f>INDEX('Additional data'!$B$2:$B$965,MATCH(DATE(YEAR(N402),MONTH(N402),1),'Additional data'!$A$2:$A$965,0))</f>
        <v>29.61</v>
      </c>
      <c r="P402" s="489">
        <f>LN(O402)</f>
        <v>3.3881121421135</v>
      </c>
      <c r="Q402" s="489">
        <f>Q401+LN(1+INDEX('Additional data'!$H$2:$H$1196,MATCH(N402,'Additional data'!$G$2:$G$1196,1))+INDEX('Additional data'!$I$2:$I$1196,MATCH(N402,'Additional data'!$G$2:$G$1196,1)))</f>
        <v>3.63072587208352</v>
      </c>
      <c r="R402" s="489">
        <f>LN(INDEX(Data!$B$2:$B$497,MATCH(N402,Data!$A$2:$A$497,1)))</f>
        <v>9.66717244842457</v>
      </c>
      <c r="S402" s="116">
        <f>IF(INDEX('Additional data'!$E$2:$E$699,MATCH(DATE(YEAR(N402),MONTH(N402),1),'Additional data'!$D$2:$D$699,0))=0,(INDEX('Additional data'!$E$2:$E$699,MATCH(DATE(YEAR(N402),MONTH(N402),1),'Additional data'!$D$2:$D$699,0)-1)+INDEX('Additional data'!$E$2:$E$699,MATCH(DATE(YEAR(N402),MONTH(N402),1),'Additional data'!$D$2:$D$699,0)+1))/2,INDEX('Additional data'!$E$2:$E$699,MATCH(DATE(YEAR(N402),MONTH(N402),1),'Additional data'!$D$2:$D$699,0)))</f>
        <v>5.59</v>
      </c>
      <c r="T402" s="425">
        <f>P402-P401</f>
        <v>0.00101368483084663</v>
      </c>
      <c r="U402" s="425">
        <f>Q402-Q401</f>
        <v>-0.101479168949854</v>
      </c>
      <c r="V402" s="425">
        <f>R402-R401</f>
        <v>-0.00229966744323917</v>
      </c>
      <c r="W402" s="116">
        <f>S402-S401</f>
        <v>-0.32</v>
      </c>
      <c r="X402" s="425">
        <f>P402-P390</f>
        <v>0.00881959583939462</v>
      </c>
      <c r="Y402" s="425">
        <f>Q402-Q390</f>
        <v>-0.171713576832697</v>
      </c>
      <c r="Z402" s="425">
        <f>R402-R390</f>
        <v>0.0775740605094004</v>
      </c>
      <c r="AA402" s="116">
        <f>S402-S390</f>
        <v>-0.21</v>
      </c>
      <c r="AB402" s="425">
        <f>P402-P342</f>
        <v>0.439995722501172</v>
      </c>
      <c r="AC402" s="425">
        <f>Q402-Q342</f>
        <v>0.675444505389901</v>
      </c>
      <c r="AD402" s="425">
        <f>R402-R342</f>
        <v>0.551912282698661</v>
      </c>
      <c r="AE402" s="235">
        <f>S402-S342</f>
        <v>-1.88</v>
      </c>
      <c r="AG402" s="554">
        <f>N402</f>
        <v>36950.0</v>
      </c>
      <c r="AH402" s="435">
        <f>IFERROR(INDEX('RBA 5Y yield'!$B$5:$B$661,MATCH(N402,'RBA 5Y yield'!$A$5:$A$661,1))*100,"")</f>
        <v>5.0548</v>
      </c>
      <c r="AI402" s="435">
        <f>IF(AND(ISNUMBER(AH402),ISNUMBER(AH401)),AH402-AH401,"")</f>
        <v>-0.0968999999999998</v>
      </c>
      <c r="AJ402" s="435">
        <f>IF(AND(ISNUMBER(AH402),ISNUMBER(AH390)),AH402-AH390,"")</f>
        <v>-1.8447</v>
      </c>
      <c r="AK402" s="435">
        <f>IF(AND(ISNUMBER(AH402),ISNUMBER(AH342)),AH402-AH342,"")</f>
        <v>-2.8319</v>
      </c>
      <c r="AL402" s="560">
        <f>IFERROR(LN(INDEX(Data!$B$2:$B$497,MATCH(N402,Data!$A$2:$A$497,1))/INDEX(Data!$B$2:$B$497,MATCH(N390,Data!$A$2:$A$497,1))),"")</f>
        <v>0.077574060509399</v>
      </c>
      <c r="AM402" s="560">
        <f>IFERROR(LN(INDEX(Data!$C$2:$C$497,MATCH(N402,Data!$A$2:$A$497,1))/INDEX(Data!$C$2:$C$497,MATCH(N390,Data!$A$2:$A$497,1))),"")</f>
        <v>0.0356569665987084</v>
      </c>
      <c r="AN402" s="560">
        <f>IFERROR(LN(INDEX(Data!$D$2:$D$497,MATCH(N402,Data!$A$2:$A$497,1))/INDEX(Data!$D$2:$D$497,MATCH(N390,Data!$A$2:$A$497,1))),"")</f>
        <v>-0.0951341199030713</v>
      </c>
      <c r="AO402" s="560">
        <f>IFERROR(LN(INDEX(Data!$E$2:$E$497,MATCH(N402,Data!$A$2:$A$497,1))/INDEX(Data!$E$2:$E$497,MATCH(N390,Data!$A$2:$A$497,1))),"")</f>
        <v>0.40676351667975</v>
      </c>
      <c r="AP402" s="560">
        <f>IFERROR(LN(INDEX(Data!$F$2:$F$497,MATCH(N402,Data!$A$2:$A$497,1))/INDEX(Data!$F$2:$F$497,MATCH(N390,Data!$A$2:$A$497,1))),"")</f>
        <v>0.363195805169362</v>
      </c>
      <c r="AQ402" s="560">
        <f>IFERROR(LN(INDEX(Data!$G$2:$G$497,MATCH(N402,Data!$A$2:$A$497,1))/INDEX(Data!$G$2:$G$497,MATCH(N390,Data!$A$2:$A$497,1))),"")</f>
        <v>0.0757579060866315</v>
      </c>
      <c r="AR402" s="560">
        <f>IFERROR(LN(INDEX(Data!$H$2:$H$497,MATCH(N402,Data!$A$2:$A$497,1))/INDEX(Data!$H$2:$H$497,MATCH(N390,Data!$A$2:$A$497,1))),"")</f>
      </c>
      <c r="AS402" s="560">
        <f>IFERROR(LN(INDEX(Data!$I$2:$I$497,MATCH(N402,Data!$A$2:$A$497,1))/INDEX(Data!$I$2:$I$497,MATCH(N390,Data!$A$2:$A$497,1))),"")</f>
        <v>0.0459930611597288</v>
      </c>
      <c r="AT402" s="560">
        <f>IFERROR(LN(INDEX(Data!$J$2:$J$497,MATCH(N402,Data!$A$2:$A$497,1))/INDEX(Data!$J$2:$J$497,MATCH(N390,Data!$A$2:$A$497,1))),"")</f>
        <v>0.117613176449849</v>
      </c>
      <c r="AU402" s="560">
        <f>IFERROR(LN(INDEX(Data!$K$2:$K$497,MATCH(N402,Data!$A$2:$A$497,1))/INDEX(Data!$K$2:$K$497,MATCH(N390,Data!$A$2:$A$497,1))),"")</f>
        <v>0.108967252135147</v>
      </c>
      <c r="AV402" s="561">
        <f>IFERROR(LN(INDEX(Data!$L$2:$L$497,MATCH(N402,Data!$A$2:$A$497,1))/INDEX(Data!$L$2:$L$497,MATCH(N390,Data!$A$2:$A$497,1))),"")</f>
        <v>0.0616106249861546</v>
      </c>
    </row>
    <row r="403">
      <c r="N403" s="337" t="n">
        <v>36981</v>
      </c>
      <c r="O403" s="116">
        <f>INDEX('Additional data'!$B$2:$B$965,MATCH(DATE(YEAR(N403),MONTH(N403),1),'Additional data'!$A$2:$A$965,0))</f>
        <v>27.24</v>
      </c>
      <c r="P403" s="489">
        <f>LN(O403)</f>
        <v>3.30468648128131</v>
      </c>
      <c r="Q403" s="489">
        <f>Q402+LN(1+INDEX('Additional data'!$H$2:$H$1196,MATCH(N403,'Additional data'!$G$2:$G$1196,1))+INDEX('Additional data'!$I$2:$I$1196,MATCH(N403,'Additional data'!$G$2:$G$1196,1)))</f>
        <v>3.55998146755776</v>
      </c>
      <c r="R403" s="489">
        <f>LN(INDEX(Data!$B$2:$B$497,MATCH(N403,Data!$A$2:$A$497,1)))</f>
        <v>9.61774020729208</v>
      </c>
      <c r="S403" s="116">
        <f>IF(INDEX('Additional data'!$E$2:$E$699,MATCH(DATE(YEAR(N403),MONTH(N403),1),'Additional data'!$D$2:$D$699,0))=0,(INDEX('Additional data'!$E$2:$E$699,MATCH(DATE(YEAR(N403),MONTH(N403),1),'Additional data'!$D$2:$D$699,0)-1)+INDEX('Additional data'!$E$2:$E$699,MATCH(DATE(YEAR(N403),MONTH(N403),1),'Additional data'!$D$2:$D$699,0)+1))/2,INDEX('Additional data'!$E$2:$E$699,MATCH(DATE(YEAR(N403),MONTH(N403),1),'Additional data'!$D$2:$D$699,0)))</f>
        <v>5.14</v>
      </c>
      <c r="T403" s="425">
        <f>P403-P402</f>
        <v>-0.0834256608321886</v>
      </c>
      <c r="U403" s="425">
        <f>Q403-Q402</f>
        <v>-0.0707444045257577</v>
      </c>
      <c r="V403" s="425">
        <f>R403-R402</f>
        <v>-0.0494322411324966</v>
      </c>
      <c r="W403" s="116">
        <f>S403-S402</f>
        <v>-0.45</v>
      </c>
      <c r="X403" s="425">
        <f>P403-P391</f>
        <v>-0.092837495014535</v>
      </c>
      <c r="Y403" s="425">
        <f>Q403-Q391</f>
        <v>-0.297703455584433</v>
      </c>
      <c r="Z403" s="425">
        <f>R403-R391</f>
        <v>0.0228150790404253</v>
      </c>
      <c r="AA403" s="116">
        <f>S403-S391</f>
        <v>-0.75</v>
      </c>
      <c r="AB403" s="425">
        <f>P403-P343</f>
        <v>0.243166467189317</v>
      </c>
      <c r="AC403" s="425">
        <f>Q403-Q343</f>
        <v>0.593463468938155</v>
      </c>
      <c r="AD403" s="425">
        <f>R403-R343</f>
        <v>0.526791664386696</v>
      </c>
      <c r="AE403" s="235">
        <f>S403-S343</f>
        <v>-2.39</v>
      </c>
      <c r="AG403" s="554">
        <f>N403</f>
        <v>36981.0</v>
      </c>
      <c r="AH403" s="435">
        <f>IFERROR(INDEX('RBA 5Y yield'!$B$5:$B$661,MATCH(N403,'RBA 5Y yield'!$A$5:$A$661,1))*100,"")</f>
        <v>4.8016</v>
      </c>
      <c r="AI403" s="435">
        <f>IF(AND(ISNUMBER(AH403),ISNUMBER(AH402)),AH403-AH402,"")</f>
        <v>-0.2532</v>
      </c>
      <c r="AJ403" s="435">
        <f>IF(AND(ISNUMBER(AH403),ISNUMBER(AH391)),AH403-AH391,"")</f>
        <v>-1.7632</v>
      </c>
      <c r="AK403" s="435">
        <f>IF(AND(ISNUMBER(AH403),ISNUMBER(AH343)),AH403-AH343,"")</f>
        <v>-3.6679</v>
      </c>
      <c r="AL403" s="560">
        <f>IFERROR(LN(INDEX(Data!$B$2:$B$497,MATCH(N403,Data!$A$2:$A$497,1))/INDEX(Data!$B$2:$B$497,MATCH(N391,Data!$A$2:$A$497,1))),"")</f>
        <v>0.0228150790404264</v>
      </c>
      <c r="AM403" s="560">
        <f>IFERROR(LN(INDEX(Data!$C$2:$C$497,MATCH(N403,Data!$A$2:$A$497,1))/INDEX(Data!$C$2:$C$497,MATCH(N391,Data!$A$2:$A$497,1))),"")</f>
        <v>-0.0117593549919329</v>
      </c>
      <c r="AN403" s="560">
        <f>IFERROR(LN(INDEX(Data!$D$2:$D$497,MATCH(N403,Data!$A$2:$A$497,1))/INDEX(Data!$D$2:$D$497,MATCH(N391,Data!$A$2:$A$497,1))),"")</f>
        <v>-0.119116997191156</v>
      </c>
      <c r="AO403" s="560">
        <f>IFERROR(LN(INDEX(Data!$E$2:$E$497,MATCH(N403,Data!$A$2:$A$497,1))/INDEX(Data!$E$2:$E$497,MATCH(N391,Data!$A$2:$A$497,1))),"")</f>
        <v>0.444440806195613</v>
      </c>
      <c r="AP403" s="560">
        <f>IFERROR(LN(INDEX(Data!$F$2:$F$497,MATCH(N403,Data!$A$2:$A$497,1))/INDEX(Data!$F$2:$F$497,MATCH(N391,Data!$A$2:$A$497,1))),"")</f>
        <v>0.394039923975089</v>
      </c>
      <c r="AQ403" s="560">
        <f>IFERROR(LN(INDEX(Data!$G$2:$G$497,MATCH(N403,Data!$A$2:$A$497,1))/INDEX(Data!$G$2:$G$497,MATCH(N391,Data!$A$2:$A$497,1))),"")</f>
        <v>0.0791870900284907</v>
      </c>
      <c r="AR403" s="560">
        <f>IFERROR(LN(INDEX(Data!$H$2:$H$497,MATCH(N403,Data!$A$2:$A$497,1))/INDEX(Data!$H$2:$H$497,MATCH(N391,Data!$A$2:$A$497,1))),"")</f>
      </c>
      <c r="AS403" s="560">
        <f>IFERROR(LN(INDEX(Data!$I$2:$I$497,MATCH(N403,Data!$A$2:$A$497,1))/INDEX(Data!$I$2:$I$497,MATCH(N391,Data!$A$2:$A$497,1))),"")</f>
        <v>0.0621484303973637</v>
      </c>
      <c r="AT403" s="560">
        <f>IFERROR(LN(INDEX(Data!$J$2:$J$497,MATCH(N403,Data!$A$2:$A$497,1))/INDEX(Data!$J$2:$J$497,MATCH(N391,Data!$A$2:$A$497,1))),"")</f>
        <v>0.111756345688057</v>
      </c>
      <c r="AU403" s="560">
        <f>IFERROR(LN(INDEX(Data!$K$2:$K$497,MATCH(N403,Data!$A$2:$A$497,1))/INDEX(Data!$K$2:$K$497,MATCH(N391,Data!$A$2:$A$497,1))),"")</f>
        <v>0.102869799446846</v>
      </c>
      <c r="AV403" s="561">
        <f>IFERROR(LN(INDEX(Data!$L$2:$L$497,MATCH(N403,Data!$A$2:$A$497,1))/INDEX(Data!$L$2:$L$497,MATCH(N391,Data!$A$2:$A$497,1))),"")</f>
        <v>0.0617036223751997</v>
      </c>
    </row>
    <row r="404">
      <c r="N404" s="337" t="n">
        <v>37011</v>
      </c>
      <c r="O404" s="116">
        <f>INDEX('Additional data'!$B$2:$B$965,MATCH(DATE(YEAR(N404),MONTH(N404),1),'Additional data'!$A$2:$A$965,0))</f>
        <v>27.41</v>
      </c>
      <c r="P404" s="489">
        <f>LN(O404)</f>
        <v>3.31090791031469</v>
      </c>
      <c r="Q404" s="489">
        <f>Q403+LN(1+INDEX('Additional data'!$H$2:$H$1196,MATCH(N404,'Additional data'!$G$2:$G$1196,1))+INDEX('Additional data'!$I$2:$I$1196,MATCH(N404,'Additional data'!$G$2:$G$1196,1)))</f>
        <v>3.63990109073363</v>
      </c>
      <c r="R404" s="489">
        <f>LN(INDEX(Data!$B$2:$B$497,MATCH(N404,Data!$A$2:$A$497,1)))</f>
        <v>9.67316781387195</v>
      </c>
      <c r="S404" s="116">
        <f>IF(INDEX('Additional data'!$E$2:$E$699,MATCH(DATE(YEAR(N404),MONTH(N404),1),'Additional data'!$D$2:$D$699,0))=0,(INDEX('Additional data'!$E$2:$E$699,MATCH(DATE(YEAR(N404),MONTH(N404),1),'Additional data'!$D$2:$D$699,0)-1)+INDEX('Additional data'!$E$2:$E$699,MATCH(DATE(YEAR(N404),MONTH(N404),1),'Additional data'!$D$2:$D$699,0)+1))/2,INDEX('Additional data'!$E$2:$E$699,MATCH(DATE(YEAR(N404),MONTH(N404),1),'Additional data'!$D$2:$D$699,0)))</f>
        <v>4.86</v>
      </c>
      <c r="T404" s="425">
        <f>P404-P403</f>
        <v>0.00622142903338308</v>
      </c>
      <c r="U404" s="425">
        <f>Q404-Q403</f>
        <v>0.0799196231758734</v>
      </c>
      <c r="V404" s="425">
        <f>R404-R403</f>
        <v>0.0554276065798742</v>
      </c>
      <c r="W404" s="116">
        <f>S404-S403</f>
        <v>-0.279999999999999</v>
      </c>
      <c r="X404" s="425">
        <f>P404-P392</f>
        <v>0.062861708146714</v>
      </c>
      <c r="Y404" s="425">
        <f>Q404-Q392</f>
        <v>-0.156652832404328</v>
      </c>
      <c r="Z404" s="425">
        <f>R404-R392</f>
        <v>0.093238316127918</v>
      </c>
      <c r="AA404" s="116">
        <f>S404-S392</f>
        <v>-1.18</v>
      </c>
      <c r="AB404" s="425">
        <f>P404-P344</f>
        <v>0.150933193366655</v>
      </c>
      <c r="AC404" s="425">
        <f>Q404-Q344</f>
        <v>0.64849537660625</v>
      </c>
      <c r="AD404" s="425">
        <f>R404-R344</f>
        <v>0.540270199038424</v>
      </c>
      <c r="AE404" s="235">
        <f>S404-S344</f>
        <v>-2.71</v>
      </c>
      <c r="AG404" s="554">
        <f>N404</f>
        <v>37011.0</v>
      </c>
      <c r="AH404" s="435">
        <f>IFERROR(INDEX('RBA 5Y yield'!$B$5:$B$661,MATCH(N404,'RBA 5Y yield'!$A$5:$A$661,1))*100,"")</f>
        <v>5.1614</v>
      </c>
      <c r="AI404" s="435">
        <f>IF(AND(ISNUMBER(AH404),ISNUMBER(AH403)),AH404-AH403,"")</f>
        <v>0.3598</v>
      </c>
      <c r="AJ404" s="435">
        <f>IF(AND(ISNUMBER(AH404),ISNUMBER(AH392)),AH404-AH392,"")</f>
        <v>-1.1357</v>
      </c>
      <c r="AK404" s="435">
        <f>IF(AND(ISNUMBER(AH404),ISNUMBER(AH344)),AH404-AH344,"")</f>
        <v>-3.4386</v>
      </c>
      <c r="AL404" s="560">
        <f>IFERROR(LN(INDEX(Data!$B$2:$B$497,MATCH(N404,Data!$A$2:$A$497,1))/INDEX(Data!$B$2:$B$497,MATCH(N392,Data!$A$2:$A$497,1))),"")</f>
        <v>0.0932383161279177</v>
      </c>
      <c r="AM404" s="560">
        <f>IFERROR(LN(INDEX(Data!$C$2:$C$497,MATCH(N404,Data!$A$2:$A$497,1))/INDEX(Data!$C$2:$C$497,MATCH(N392,Data!$A$2:$A$497,1))),"")</f>
        <v>-0.0054732491123672</v>
      </c>
      <c r="AN404" s="560">
        <f>IFERROR(LN(INDEX(Data!$D$2:$D$497,MATCH(N404,Data!$A$2:$A$497,1))/INDEX(Data!$D$2:$D$497,MATCH(N392,Data!$A$2:$A$497,1))),"")</f>
        <v>-0.076268296320528</v>
      </c>
      <c r="AO404" s="560">
        <f>IFERROR(LN(INDEX(Data!$E$2:$E$497,MATCH(N404,Data!$A$2:$A$497,1))/INDEX(Data!$E$2:$E$497,MATCH(N392,Data!$A$2:$A$497,1))),"")</f>
        <v>0.320826728390528</v>
      </c>
      <c r="AP404" s="560">
        <f>IFERROR(LN(INDEX(Data!$F$2:$F$497,MATCH(N404,Data!$A$2:$A$497,1))/INDEX(Data!$F$2:$F$497,MATCH(N392,Data!$A$2:$A$497,1))),"")</f>
        <v>0.370967531071276</v>
      </c>
      <c r="AQ404" s="560">
        <f>IFERROR(LN(INDEX(Data!$G$2:$G$497,MATCH(N404,Data!$A$2:$A$497,1))/INDEX(Data!$G$2:$G$497,MATCH(N392,Data!$A$2:$A$497,1))),"")</f>
        <v>0.0791870900284907</v>
      </c>
      <c r="AR404" s="560">
        <f>IFERROR(LN(INDEX(Data!$H$2:$H$497,MATCH(N404,Data!$A$2:$A$497,1))/INDEX(Data!$H$2:$H$497,MATCH(N392,Data!$A$2:$A$497,1))),"")</f>
      </c>
      <c r="AS404" s="560">
        <f>IFERROR(LN(INDEX(Data!$I$2:$I$497,MATCH(N404,Data!$A$2:$A$497,1))/INDEX(Data!$I$2:$I$497,MATCH(N392,Data!$A$2:$A$497,1))),"")</f>
        <v>0.0621484303973637</v>
      </c>
      <c r="AT404" s="560">
        <f>IFERROR(LN(INDEX(Data!$J$2:$J$497,MATCH(N404,Data!$A$2:$A$497,1))/INDEX(Data!$J$2:$J$497,MATCH(N392,Data!$A$2:$A$497,1))),"")</f>
        <v>0.0980251577127459</v>
      </c>
      <c r="AU404" s="560">
        <f>IFERROR(LN(INDEX(Data!$K$2:$K$497,MATCH(N404,Data!$A$2:$A$497,1))/INDEX(Data!$K$2:$K$497,MATCH(N392,Data!$A$2:$A$497,1))),"")</f>
        <v>0.0981936094184104</v>
      </c>
      <c r="AV404" s="561">
        <f>IFERROR(LN(INDEX(Data!$L$2:$L$497,MATCH(N404,Data!$A$2:$A$497,1))/INDEX(Data!$L$2:$L$497,MATCH(N392,Data!$A$2:$A$497,1))),"")</f>
        <v>0.0614356171626181</v>
      </c>
    </row>
    <row r="405">
      <c r="N405" s="337" t="n">
        <v>37042</v>
      </c>
      <c r="O405" s="116">
        <f>INDEX('Additional data'!$B$2:$B$965,MATCH(DATE(YEAR(N405),MONTH(N405),1),'Additional data'!$A$2:$A$965,0))</f>
        <v>28.64</v>
      </c>
      <c r="P405" s="489">
        <f>LN(O405)</f>
        <v>3.35480434209244</v>
      </c>
      <c r="Q405" s="489">
        <f>Q404+LN(1+INDEX('Additional data'!$H$2:$H$1196,MATCH(N405,'Additional data'!$G$2:$G$1196,1))+INDEX('Additional data'!$I$2:$I$1196,MATCH(N405,'Additional data'!$G$2:$G$1196,1)))</f>
        <v>3.6498514215868</v>
      </c>
      <c r="R405" s="489">
        <f>LN(INDEX(Data!$B$2:$B$497,MATCH(N405,Data!$A$2:$A$497,1)))</f>
        <v>9.68903115836937</v>
      </c>
      <c r="S405" s="116">
        <f>IF(INDEX('Additional data'!$E$2:$E$699,MATCH(DATE(YEAR(N405),MONTH(N405),1),'Additional data'!$D$2:$D$699,0))=0,(INDEX('Additional data'!$E$2:$E$699,MATCH(DATE(YEAR(N405),MONTH(N405),1),'Additional data'!$D$2:$D$699,0)-1)+INDEX('Additional data'!$E$2:$E$699,MATCH(DATE(YEAR(N405),MONTH(N405),1),'Additional data'!$D$2:$D$699,0)+1))/2,INDEX('Additional data'!$E$2:$E$699,MATCH(DATE(YEAR(N405),MONTH(N405),1),'Additional data'!$D$2:$D$699,0)))</f>
        <v>4.89</v>
      </c>
      <c r="T405" s="425">
        <f>P405-P404</f>
        <v>0.0438964317777502</v>
      </c>
      <c r="U405" s="425">
        <f>Q405-Q404</f>
        <v>0.00995033085316788</v>
      </c>
      <c r="V405" s="425">
        <f>R405-R404</f>
        <v>0.0158633444974221</v>
      </c>
      <c r="W405" s="116">
        <f>S405-S404</f>
        <v>0.0299999999999994</v>
      </c>
      <c r="X405" s="425">
        <f>P405-P393</f>
        <v>-0.00487635936677711</v>
      </c>
      <c r="Y405" s="425">
        <f>Q405-Q393</f>
        <v>-0.107025684398262</v>
      </c>
      <c r="Z405" s="425">
        <f>R405-R393</f>
        <v>0.1221005660434</v>
      </c>
      <c r="AA405" s="116">
        <f>S405-S393</f>
        <v>-1.42</v>
      </c>
      <c r="AB405" s="425">
        <f>P405-P345</f>
        <v>0.298447446722019</v>
      </c>
      <c r="AC405" s="425">
        <f>Q405-Q345</f>
        <v>0.631025111883425</v>
      </c>
      <c r="AD405" s="425">
        <f>R405-R345</f>
        <v>0.57453010616738</v>
      </c>
      <c r="AE405" s="235">
        <f>S405-S345</f>
        <v>-2.66</v>
      </c>
      <c r="AG405" s="554">
        <f>N405</f>
        <v>37042.0</v>
      </c>
      <c r="AH405" s="435">
        <f>IFERROR(INDEX('RBA 5Y yield'!$B$5:$B$661,MATCH(N405,'RBA 5Y yield'!$A$5:$A$661,1))*100,"")</f>
        <v>5.5048</v>
      </c>
      <c r="AI405" s="435">
        <f>IF(AND(ISNUMBER(AH405),ISNUMBER(AH404)),AH405-AH404,"")</f>
        <v>0.3434</v>
      </c>
      <c r="AJ405" s="435">
        <f>IF(AND(ISNUMBER(AH405),ISNUMBER(AH393)),AH405-AH393,"")</f>
        <v>-0.9422</v>
      </c>
      <c r="AK405" s="435">
        <f>IF(AND(ISNUMBER(AH405),ISNUMBER(AH345)),AH405-AH345,"")</f>
        <v>-3.0269</v>
      </c>
      <c r="AL405" s="560">
        <f>IFERROR(LN(INDEX(Data!$B$2:$B$497,MATCH(N405,Data!$A$2:$A$497,1))/INDEX(Data!$B$2:$B$497,MATCH(N393,Data!$A$2:$A$497,1))),"")</f>
        <v>0.1221005660434</v>
      </c>
      <c r="AM405" s="560">
        <f>IFERROR(LN(INDEX(Data!$C$2:$C$497,MATCH(N405,Data!$A$2:$A$497,1))/INDEX(Data!$C$2:$C$497,MATCH(N393,Data!$A$2:$A$497,1))),"")</f>
        <v>-0.00229320496812276</v>
      </c>
      <c r="AN405" s="560">
        <f>IFERROR(LN(INDEX(Data!$D$2:$D$497,MATCH(N405,Data!$A$2:$A$497,1))/INDEX(Data!$D$2:$D$497,MATCH(N393,Data!$A$2:$A$497,1))),"")</f>
        <v>-0.0387002935019965</v>
      </c>
      <c r="AO405" s="560">
        <f>IFERROR(LN(INDEX(Data!$E$2:$E$497,MATCH(N405,Data!$A$2:$A$497,1))/INDEX(Data!$E$2:$E$497,MATCH(N393,Data!$A$2:$A$497,1))),"")</f>
        <v>0.316777106949488</v>
      </c>
      <c r="AP405" s="560">
        <f>IFERROR(LN(INDEX(Data!$F$2:$F$497,MATCH(N405,Data!$A$2:$A$497,1))/INDEX(Data!$F$2:$F$497,MATCH(N393,Data!$A$2:$A$497,1))),"")</f>
        <v>0.221065779317913</v>
      </c>
      <c r="AQ405" s="560">
        <f>IFERROR(LN(INDEX(Data!$G$2:$G$497,MATCH(N405,Data!$A$2:$A$497,1))/INDEX(Data!$G$2:$G$497,MATCH(N393,Data!$A$2:$A$497,1))),"")</f>
        <v>0.0791870900284907</v>
      </c>
      <c r="AR405" s="560">
        <f>IFERROR(LN(INDEX(Data!$H$2:$H$497,MATCH(N405,Data!$A$2:$A$497,1))/INDEX(Data!$H$2:$H$497,MATCH(N393,Data!$A$2:$A$497,1))),"")</f>
      </c>
      <c r="AS405" s="560">
        <f>IFERROR(LN(INDEX(Data!$I$2:$I$497,MATCH(N405,Data!$A$2:$A$497,1))/INDEX(Data!$I$2:$I$497,MATCH(N393,Data!$A$2:$A$497,1))),"")</f>
        <v>0.0621484303973637</v>
      </c>
      <c r="AT405" s="560">
        <f>IFERROR(LN(INDEX(Data!$J$2:$J$497,MATCH(N405,Data!$A$2:$A$497,1))/INDEX(Data!$J$2:$J$497,MATCH(N393,Data!$A$2:$A$497,1))),"")</f>
        <v>0.0821268853178023</v>
      </c>
      <c r="AU405" s="560">
        <f>IFERROR(LN(INDEX(Data!$K$2:$K$497,MATCH(N405,Data!$A$2:$A$497,1))/INDEX(Data!$K$2:$K$497,MATCH(N393,Data!$A$2:$A$497,1))),"")</f>
        <v>0.102113152658674</v>
      </c>
      <c r="AV405" s="561">
        <f>IFERROR(LN(INDEX(Data!$L$2:$L$497,MATCH(N405,Data!$A$2:$A$497,1))/INDEX(Data!$L$2:$L$497,MATCH(N393,Data!$A$2:$A$497,1))),"")</f>
        <v>0.060197113302893</v>
      </c>
    </row>
    <row r="406">
      <c r="N406" s="337" t="n">
        <v>37072</v>
      </c>
      <c r="O406" s="116">
        <f>INDEX('Additional data'!$B$2:$B$965,MATCH(DATE(YEAR(N406),MONTH(N406),1),'Additional data'!$A$2:$A$965,0))</f>
        <v>27.6</v>
      </c>
      <c r="P406" s="489">
        <f>LN(O406)</f>
        <v>3.3178157727231</v>
      </c>
      <c r="Q406" s="489">
        <f>Q405+LN(1+INDEX('Additional data'!$H$2:$H$1196,MATCH(N406,'Additional data'!$G$2:$G$1196,1))+INDEX('Additional data'!$I$2:$I$1196,MATCH(N406,'Additional data'!$G$2:$G$1196,1)))</f>
        <v>3.6331120975825</v>
      </c>
      <c r="R406" s="489">
        <f>LN(INDEX(Data!$B$2:$B$497,MATCH(N406,Data!$A$2:$A$497,1)))</f>
        <v>9.72585307420827</v>
      </c>
      <c r="S406" s="116">
        <f>IF(INDEX('Additional data'!$E$2:$E$699,MATCH(DATE(YEAR(N406),MONTH(N406),1),'Additional data'!$D$2:$D$699,0))=0,(INDEX('Additional data'!$E$2:$E$699,MATCH(DATE(YEAR(N406),MONTH(N406),1),'Additional data'!$D$2:$D$699,0)-1)+INDEX('Additional data'!$E$2:$E$699,MATCH(DATE(YEAR(N406),MONTH(N406),1),'Additional data'!$D$2:$D$699,0)+1))/2,INDEX('Additional data'!$E$2:$E$699,MATCH(DATE(YEAR(N406),MONTH(N406),1),'Additional data'!$D$2:$D$699,0)))</f>
        <v>4.97</v>
      </c>
      <c r="T406" s="425">
        <f>P406-P405</f>
        <v>-0.0369885693693401</v>
      </c>
      <c r="U406" s="425">
        <f>Q406-Q405</f>
        <v>-0.0167393240042979</v>
      </c>
      <c r="V406" s="425">
        <f>R406-R405</f>
        <v>0.0368219158388925</v>
      </c>
      <c r="W406" s="116">
        <f>S406-S405</f>
        <v>0.0800000000000001</v>
      </c>
      <c r="X406" s="425">
        <f>P406-P394</f>
        <v>-0.142593468570897</v>
      </c>
      <c r="Y406" s="425">
        <f>Q406-Q394</f>
        <v>-0.173316787231808</v>
      </c>
      <c r="Z406" s="425">
        <f>R406-R394</f>
        <v>0.0847555514715523</v>
      </c>
      <c r="AA406" s="116">
        <f>S406-S394</f>
        <v>-1.26</v>
      </c>
      <c r="AB406" s="425">
        <f>P406-P346</f>
        <v>0.299832890234294</v>
      </c>
      <c r="AC406" s="425">
        <f>Q406-Q346</f>
        <v>0.621612563265588</v>
      </c>
      <c r="AD406" s="425">
        <f>R406-R346</f>
        <v>0.619296683495806</v>
      </c>
      <c r="AE406" s="235">
        <f>S406-S346</f>
        <v>-2.6</v>
      </c>
      <c r="AG406" s="554">
        <f>N406</f>
        <v>37072.0</v>
      </c>
      <c r="AH406" s="435">
        <f>IFERROR(INDEX('RBA 5Y yield'!$B$5:$B$661,MATCH(N406,'RBA 5Y yield'!$A$5:$A$661,1))*100,"")</f>
        <v>5.5855</v>
      </c>
      <c r="AI406" s="435">
        <f>IF(AND(ISNUMBER(AH406),ISNUMBER(AH405)),AH406-AH405,"")</f>
        <v>0.0807000000000002</v>
      </c>
      <c r="AJ406" s="435">
        <f>IF(AND(ISNUMBER(AH406),ISNUMBER(AH394)),AH406-AH394,"")</f>
        <v>-0.517399999999999</v>
      </c>
      <c r="AK406" s="435">
        <f>IF(AND(ISNUMBER(AH406),ISNUMBER(AH346)),AH406-AH346,"")</f>
        <v>-3.0366</v>
      </c>
      <c r="AL406" s="560">
        <f>IFERROR(LN(INDEX(Data!$B$2:$B$497,MATCH(N406,Data!$A$2:$A$497,1))/INDEX(Data!$B$2:$B$497,MATCH(N394,Data!$A$2:$A$497,1))),"")</f>
        <v>0.084755551471551</v>
      </c>
      <c r="AM406" s="560">
        <f>IFERROR(LN(INDEX(Data!$C$2:$C$497,MATCH(N406,Data!$A$2:$A$497,1))/INDEX(Data!$C$2:$C$497,MATCH(N394,Data!$A$2:$A$497,1))),"")</f>
        <v>-5.96248908117884e-06</v>
      </c>
      <c r="AN406" s="560">
        <f>IFERROR(LN(INDEX(Data!$D$2:$D$497,MATCH(N406,Data!$A$2:$A$497,1))/INDEX(Data!$D$2:$D$497,MATCH(N394,Data!$A$2:$A$497,1))),"")</f>
        <v>-0.037976539825263</v>
      </c>
      <c r="AO406" s="560">
        <f>IFERROR(LN(INDEX(Data!$E$2:$E$497,MATCH(N406,Data!$A$2:$A$497,1))/INDEX(Data!$E$2:$E$497,MATCH(N394,Data!$A$2:$A$497,1))),"")</f>
        <v>0.387234460993345</v>
      </c>
      <c r="AP406" s="560">
        <f>IFERROR(LN(INDEX(Data!$F$2:$F$497,MATCH(N406,Data!$A$2:$A$497,1))/INDEX(Data!$F$2:$F$497,MATCH(N394,Data!$A$2:$A$497,1))),"")</f>
        <v>0.125850930760494</v>
      </c>
      <c r="AQ406" s="560">
        <f>IFERROR(LN(INDEX(Data!$G$2:$G$497,MATCH(N406,Data!$A$2:$A$497,1))/INDEX(Data!$G$2:$G$497,MATCH(N394,Data!$A$2:$A$497,1))),"")</f>
        <v>0.090919451160086</v>
      </c>
      <c r="AR406" s="560">
        <f>IFERROR(LN(INDEX(Data!$H$2:$H$497,MATCH(N406,Data!$A$2:$A$497,1))/INDEX(Data!$H$2:$H$497,MATCH(N394,Data!$A$2:$A$497,1))),"")</f>
      </c>
      <c r="AS406" s="560">
        <f>IFERROR(LN(INDEX(Data!$I$2:$I$497,MATCH(N406,Data!$A$2:$A$497,1))/INDEX(Data!$I$2:$I$497,MATCH(N394,Data!$A$2:$A$497,1))),"")</f>
        <v>0.00477866086949808</v>
      </c>
      <c r="AT406" s="560">
        <f>IFERROR(LN(INDEX(Data!$J$2:$J$497,MATCH(N406,Data!$A$2:$A$497,1))/INDEX(Data!$J$2:$J$497,MATCH(N394,Data!$A$2:$A$497,1))),"")</f>
        <v>0.0715985786864274</v>
      </c>
      <c r="AU406" s="560">
        <f>IFERROR(LN(INDEX(Data!$K$2:$K$497,MATCH(N406,Data!$A$2:$A$497,1))/INDEX(Data!$K$2:$K$497,MATCH(N394,Data!$A$2:$A$497,1))),"")</f>
        <v>0.096214093813263</v>
      </c>
      <c r="AV406" s="561">
        <f>IFERROR(LN(INDEX(Data!$L$2:$L$497,MATCH(N406,Data!$A$2:$A$497,1))/INDEX(Data!$L$2:$L$497,MATCH(N394,Data!$A$2:$A$497,1))),"")</f>
        <v>0.0590310302781229</v>
      </c>
    </row>
    <row r="407">
      <c r="N407" s="337" t="n">
        <v>37103</v>
      </c>
      <c r="O407" s="116">
        <f>INDEX('Additional data'!$B$2:$B$965,MATCH(DATE(YEAR(N407),MONTH(N407),1),'Additional data'!$A$2:$A$965,0))</f>
        <v>26.45</v>
      </c>
      <c r="P407" s="489">
        <f>LN(O407)</f>
        <v>3.27525615830431</v>
      </c>
      <c r="Q407" s="489">
        <f>Q406+LN(1+INDEX('Additional data'!$H$2:$H$1196,MATCH(N407,'Additional data'!$G$2:$G$1196,1))+INDEX('Additional data'!$I$2:$I$1196,MATCH(N407,'Additional data'!$G$2:$G$1196,1)))</f>
        <v>3.61464258129884</v>
      </c>
      <c r="R407" s="489">
        <f>LN(INDEX(Data!$B$2:$B$497,MATCH(N407,Data!$A$2:$A$497,1)))</f>
        <v>9.67991609718404</v>
      </c>
      <c r="S407" s="116">
        <f>IF(INDEX('Additional data'!$E$2:$E$699,MATCH(DATE(YEAR(N407),MONTH(N407),1),'Additional data'!$D$2:$D$699,0))=0,(INDEX('Additional data'!$E$2:$E$699,MATCH(DATE(YEAR(N407),MONTH(N407),1),'Additional data'!$D$2:$D$699,0)-1)+INDEX('Additional data'!$E$2:$E$699,MATCH(DATE(YEAR(N407),MONTH(N407),1),'Additional data'!$D$2:$D$699,0)+1))/2,INDEX('Additional data'!$E$2:$E$699,MATCH(DATE(YEAR(N407),MONTH(N407),1),'Additional data'!$D$2:$D$699,0)))</f>
        <v>5.04</v>
      </c>
      <c r="T407" s="425">
        <f>P407-P406</f>
        <v>-0.0425596144187961</v>
      </c>
      <c r="U407" s="425">
        <f>Q407-Q406</f>
        <v>-0.0184695162836612</v>
      </c>
      <c r="V407" s="425">
        <f>R407-R406</f>
        <v>-0.0459369770242226</v>
      </c>
      <c r="W407" s="116">
        <f>S407-S406</f>
        <v>0.0700000000000003</v>
      </c>
      <c r="X407" s="425">
        <f>P407-P395</f>
        <v>-0.118245016723376</v>
      </c>
      <c r="Y407" s="425">
        <f>Q407-Q395</f>
        <v>-0.171583596197949</v>
      </c>
      <c r="Z407" s="425">
        <f>R407-R395</f>
        <v>0.0522591901849072</v>
      </c>
      <c r="AA407" s="116">
        <f>S407-S395</f>
        <v>-1.16</v>
      </c>
      <c r="AB407" s="425">
        <f>P407-P347</f>
        <v>0.215610559006665</v>
      </c>
      <c r="AC407" s="425">
        <f>Q407-Q347</f>
        <v>0.659819224175484</v>
      </c>
      <c r="AD407" s="425">
        <f>R407-R347</f>
        <v>0.600846817094956</v>
      </c>
      <c r="AE407" s="235">
        <f>S407-S347</f>
        <v>-2.52</v>
      </c>
      <c r="AG407" s="554">
        <f>N407</f>
        <v>37103.0</v>
      </c>
      <c r="AH407" s="435">
        <f>IFERROR(INDEX('RBA 5Y yield'!$B$5:$B$661,MATCH(N407,'RBA 5Y yield'!$A$5:$A$661,1))*100,"")</f>
        <v>5.8393</v>
      </c>
      <c r="AI407" s="435">
        <f>IF(AND(ISNUMBER(AH407),ISNUMBER(AH406)),AH407-AH406,"")</f>
        <v>0.253799999999999</v>
      </c>
      <c r="AJ407" s="435">
        <f>IF(AND(ISNUMBER(AH407),ISNUMBER(AH395)),AH407-AH395,"")</f>
        <v>-0.2259</v>
      </c>
      <c r="AK407" s="435">
        <f>IF(AND(ISNUMBER(AH407),ISNUMBER(AH347)),AH407-AH347,"")</f>
        <v>-2.5072</v>
      </c>
      <c r="AL407" s="560">
        <f>IFERROR(LN(INDEX(Data!$B$2:$B$497,MATCH(N407,Data!$A$2:$A$497,1))/INDEX(Data!$B$2:$B$497,MATCH(N395,Data!$A$2:$A$497,1))),"")</f>
        <v>0.0522591901849068</v>
      </c>
      <c r="AM407" s="560">
        <f>IFERROR(LN(INDEX(Data!$C$2:$C$497,MATCH(N407,Data!$A$2:$A$497,1))/INDEX(Data!$C$2:$C$497,MATCH(N395,Data!$A$2:$A$497,1))),"")</f>
        <v>-0.0412901619087574</v>
      </c>
      <c r="AN407" s="560">
        <f>IFERROR(LN(INDEX(Data!$D$2:$D$497,MATCH(N407,Data!$A$2:$A$497,1))/INDEX(Data!$D$2:$D$497,MATCH(N395,Data!$A$2:$A$497,1))),"")</f>
        <v>-0.0769675736018164</v>
      </c>
      <c r="AO407" s="560">
        <f>IFERROR(LN(INDEX(Data!$E$2:$E$497,MATCH(N407,Data!$A$2:$A$497,1))/INDEX(Data!$E$2:$E$497,MATCH(N395,Data!$A$2:$A$497,1))),"")</f>
        <v>0.262346854146227</v>
      </c>
      <c r="AP407" s="560">
        <f>IFERROR(LN(INDEX(Data!$F$2:$F$497,MATCH(N407,Data!$A$2:$A$497,1))/INDEX(Data!$F$2:$F$497,MATCH(N395,Data!$A$2:$A$497,1))),"")</f>
        <v>0.173429459994911</v>
      </c>
      <c r="AQ407" s="560">
        <f>IFERROR(LN(INDEX(Data!$G$2:$G$497,MATCH(N407,Data!$A$2:$A$497,1))/INDEX(Data!$G$2:$G$497,MATCH(N395,Data!$A$2:$A$497,1))),"")</f>
        <v>0.090919451160086</v>
      </c>
      <c r="AR407" s="560">
        <f>IFERROR(LN(INDEX(Data!$H$2:$H$497,MATCH(N407,Data!$A$2:$A$497,1))/INDEX(Data!$H$2:$H$497,MATCH(N395,Data!$A$2:$A$497,1))),"")</f>
      </c>
      <c r="AS407" s="560">
        <f>IFERROR(LN(INDEX(Data!$I$2:$I$497,MATCH(N407,Data!$A$2:$A$497,1))/INDEX(Data!$I$2:$I$497,MATCH(N395,Data!$A$2:$A$497,1))),"")</f>
        <v>0.00477866086949808</v>
      </c>
      <c r="AT407" s="560">
        <f>IFERROR(LN(INDEX(Data!$J$2:$J$497,MATCH(N407,Data!$A$2:$A$497,1))/INDEX(Data!$J$2:$J$497,MATCH(N395,Data!$A$2:$A$497,1))),"")</f>
        <v>0.0754510816355304</v>
      </c>
      <c r="AU407" s="560">
        <f>IFERROR(LN(INDEX(Data!$K$2:$K$497,MATCH(N407,Data!$A$2:$A$497,1))/INDEX(Data!$K$2:$K$497,MATCH(N395,Data!$A$2:$A$497,1))),"")</f>
        <v>0.104440882871331</v>
      </c>
      <c r="AV407" s="561">
        <f>IFERROR(LN(INDEX(Data!$L$2:$L$497,MATCH(N407,Data!$A$2:$A$497,1))/INDEX(Data!$L$2:$L$497,MATCH(N395,Data!$A$2:$A$497,1))),"")</f>
        <v>0.0581779410660609</v>
      </c>
    </row>
    <row r="408">
      <c r="N408" s="337" t="n">
        <v>37134</v>
      </c>
      <c r="O408" s="116">
        <f>INDEX('Additional data'!$B$2:$B$965,MATCH(DATE(YEAR(N408),MONTH(N408),1),'Additional data'!$A$2:$A$965,0))</f>
        <v>27.47</v>
      </c>
      <c r="P408" s="489">
        <f>LN(O408)</f>
        <v>3.31309450010718</v>
      </c>
      <c r="Q408" s="489">
        <f>Q407+LN(1+INDEX('Additional data'!$H$2:$H$1196,MATCH(N408,'Additional data'!$G$2:$G$1196,1))+INDEX('Additional data'!$I$2:$I$1196,MATCH(N408,'Additional data'!$G$2:$G$1196,1)))</f>
        <v>3.55180927212727</v>
      </c>
      <c r="R408" s="489">
        <f>LN(INDEX(Data!$B$2:$B$497,MATCH(N408,Data!$A$2:$A$497,1)))</f>
        <v>9.66728548370731</v>
      </c>
      <c r="S408" s="116">
        <f>IF(INDEX('Additional data'!$E$2:$E$699,MATCH(DATE(YEAR(N408),MONTH(N408),1),'Additional data'!$D$2:$D$699,0))=0,(INDEX('Additional data'!$E$2:$E$699,MATCH(DATE(YEAR(N408),MONTH(N408),1),'Additional data'!$D$2:$D$699,0)-1)+INDEX('Additional data'!$E$2:$E$699,MATCH(DATE(YEAR(N408),MONTH(N408),1),'Additional data'!$D$2:$D$699,0)+1))/2,INDEX('Additional data'!$E$2:$E$699,MATCH(DATE(YEAR(N408),MONTH(N408),1),'Additional data'!$D$2:$D$699,0)))</f>
        <v>4.95</v>
      </c>
      <c r="T408" s="425">
        <f>P408-P407</f>
        <v>0.0378383418028738</v>
      </c>
      <c r="U408" s="425">
        <f>Q408-Q407</f>
        <v>-0.0628333091715692</v>
      </c>
      <c r="V408" s="425">
        <f>R408-R407</f>
        <v>-0.0126306134767322</v>
      </c>
      <c r="W408" s="116">
        <f>S408-S407</f>
        <v>-0.0899999999999999</v>
      </c>
      <c r="X408" s="425">
        <f>P408-P396</f>
        <v>-0.127964414980104</v>
      </c>
      <c r="Y408" s="425">
        <f>Q408-Q396</f>
        <v>-0.307016597783862</v>
      </c>
      <c r="Z408" s="425">
        <f>R408-R396</f>
        <v>0.0225323913562114</v>
      </c>
      <c r="AA408" s="116">
        <f>S408-S396</f>
        <v>-1.54</v>
      </c>
      <c r="AB408" s="425">
        <f>P408-P348</f>
        <v>0.223871883465852</v>
      </c>
      <c r="AC408" s="425">
        <f>Q408-Q348</f>
        <v>0.565681065175502</v>
      </c>
      <c r="AD408" s="425">
        <f>R408-R348</f>
        <v>0.547044889287573</v>
      </c>
      <c r="AE408" s="235">
        <f>S408-S348</f>
        <v>-1.97</v>
      </c>
      <c r="AG408" s="554">
        <f>N408</f>
        <v>37134.0</v>
      </c>
      <c r="AH408" s="435">
        <f>IFERROR(INDEX('RBA 5Y yield'!$B$5:$B$661,MATCH(N408,'RBA 5Y yield'!$A$5:$A$661,1))*100,"")</f>
        <v>5.4904</v>
      </c>
      <c r="AI408" s="435">
        <f>IF(AND(ISNUMBER(AH408),ISNUMBER(AH407)),AH408-AH407,"")</f>
        <v>-0.3489</v>
      </c>
      <c r="AJ408" s="435">
        <f>IF(AND(ISNUMBER(AH408),ISNUMBER(AH396)),AH408-AH396,"")</f>
        <v>-0.785699999999999</v>
      </c>
      <c r="AK408" s="435">
        <f>IF(AND(ISNUMBER(AH408),ISNUMBER(AH348)),AH408-AH348,"")</f>
        <v>-2.1023</v>
      </c>
      <c r="AL408" s="560">
        <f>IFERROR(LN(INDEX(Data!$B$2:$B$497,MATCH(N408,Data!$A$2:$A$497,1))/INDEX(Data!$B$2:$B$497,MATCH(N396,Data!$A$2:$A$497,1))),"")</f>
        <v>0.0225323913562111</v>
      </c>
      <c r="AM408" s="560">
        <f>IFERROR(LN(INDEX(Data!$C$2:$C$497,MATCH(N408,Data!$A$2:$A$497,1))/INDEX(Data!$C$2:$C$497,MATCH(N396,Data!$A$2:$A$497,1))),"")</f>
        <v>-0.183927032679576</v>
      </c>
      <c r="AN408" s="560">
        <f>IFERROR(LN(INDEX(Data!$D$2:$D$497,MATCH(N408,Data!$A$2:$A$497,1))/INDEX(Data!$D$2:$D$497,MATCH(N396,Data!$A$2:$A$497,1))),"")</f>
        <v>-0.130317465344263</v>
      </c>
      <c r="AO408" s="560">
        <f>IFERROR(LN(INDEX(Data!$E$2:$E$497,MATCH(N408,Data!$A$2:$A$497,1))/INDEX(Data!$E$2:$E$497,MATCH(N396,Data!$A$2:$A$497,1))),"")</f>
        <v>0.290379559367697</v>
      </c>
      <c r="AP408" s="560">
        <f>IFERROR(LN(INDEX(Data!$F$2:$F$497,MATCH(N408,Data!$A$2:$A$497,1))/INDEX(Data!$F$2:$F$497,MATCH(N396,Data!$A$2:$A$497,1))),"")</f>
        <v>0.00136215345291261</v>
      </c>
      <c r="AQ408" s="560">
        <f>IFERROR(LN(INDEX(Data!$G$2:$G$497,MATCH(N408,Data!$A$2:$A$497,1))/INDEX(Data!$G$2:$G$497,MATCH(N396,Data!$A$2:$A$497,1))),"")</f>
        <v>0.090919451160086</v>
      </c>
      <c r="AR408" s="560">
        <f>IFERROR(LN(INDEX(Data!$H$2:$H$497,MATCH(N408,Data!$A$2:$A$497,1))/INDEX(Data!$H$2:$H$497,MATCH(N396,Data!$A$2:$A$497,1))),"")</f>
      </c>
      <c r="AS408" s="560">
        <f>IFERROR(LN(INDEX(Data!$I$2:$I$497,MATCH(N408,Data!$A$2:$A$497,1))/INDEX(Data!$I$2:$I$497,MATCH(N396,Data!$A$2:$A$497,1))),"")</f>
        <v>0.00477866086949808</v>
      </c>
      <c r="AT408" s="560">
        <f>IFERROR(LN(INDEX(Data!$J$2:$J$497,MATCH(N408,Data!$A$2:$A$497,1))/INDEX(Data!$J$2:$J$497,MATCH(N396,Data!$A$2:$A$497,1))),"")</f>
        <v>0.0993033728569431</v>
      </c>
      <c r="AU408" s="560">
        <f>IFERROR(LN(INDEX(Data!$K$2:$K$497,MATCH(N408,Data!$A$2:$A$497,1))/INDEX(Data!$K$2:$K$497,MATCH(N396,Data!$A$2:$A$497,1))),"")</f>
        <v>0.107611741959105</v>
      </c>
      <c r="AV408" s="561">
        <f>IFERROR(LN(INDEX(Data!$L$2:$L$497,MATCH(N408,Data!$A$2:$A$497,1))/INDEX(Data!$L$2:$L$497,MATCH(N396,Data!$A$2:$A$497,1))),"")</f>
        <v>0.0574176074402834</v>
      </c>
    </row>
    <row r="409">
      <c r="N409" s="337" t="n">
        <v>37164</v>
      </c>
      <c r="O409" s="116">
        <f>INDEX('Additional data'!$B$2:$B$965,MATCH(DATE(YEAR(N409),MONTH(N409),1),'Additional data'!$A$2:$A$965,0))</f>
        <v>25.88</v>
      </c>
      <c r="P409" s="489">
        <f>LN(O409)</f>
        <v>3.2534704696327</v>
      </c>
      <c r="Q409" s="489">
        <f>Q408+LN(1+INDEX('Additional data'!$H$2:$H$1196,MATCH(N409,'Additional data'!$G$2:$G$1196,1))+INDEX('Additional data'!$I$2:$I$1196,MATCH(N409,'Additional data'!$G$2:$G$1196,1)))</f>
        <v>3.4579380565172</v>
      </c>
      <c r="R409" s="489">
        <f>LN(INDEX(Data!$B$2:$B$497,MATCH(N409,Data!$A$2:$A$497,1)))</f>
        <v>9.59818471559344</v>
      </c>
      <c r="S409" s="116">
        <f>IF(INDEX('Additional data'!$E$2:$E$699,MATCH(DATE(YEAR(N409),MONTH(N409),1),'Additional data'!$D$2:$D$699,0))=0,(INDEX('Additional data'!$E$2:$E$699,MATCH(DATE(YEAR(N409),MONTH(N409),1),'Additional data'!$D$2:$D$699,0)-1)+INDEX('Additional data'!$E$2:$E$699,MATCH(DATE(YEAR(N409),MONTH(N409),1),'Additional data'!$D$2:$D$699,0)+1))/2,INDEX('Additional data'!$E$2:$E$699,MATCH(DATE(YEAR(N409),MONTH(N409),1),'Additional data'!$D$2:$D$699,0)))</f>
        <v>4.55</v>
      </c>
      <c r="T409" s="425">
        <f>P409-P408</f>
        <v>-0.0596240304744824</v>
      </c>
      <c r="U409" s="425">
        <f>Q409-Q408</f>
        <v>-0.0938712156100707</v>
      </c>
      <c r="V409" s="425">
        <f>R409-R408</f>
        <v>-0.0691007681138736</v>
      </c>
      <c r="W409" s="116">
        <f>S409-S408</f>
        <v>-0.4</v>
      </c>
      <c r="X409" s="425">
        <f>P409-P397</f>
        <v>-0.269354400151154</v>
      </c>
      <c r="Y409" s="425">
        <f>Q409-Q397</f>
        <v>-0.35033108977678</v>
      </c>
      <c r="Z409" s="425">
        <f>R409-R397</f>
        <v>-0.0486211161973369</v>
      </c>
      <c r="AA409" s="116">
        <f>S409-S397</f>
        <v>-2.02</v>
      </c>
      <c r="AB409" s="425">
        <f>P409-P349</f>
        <v>0.0758333927810968</v>
      </c>
      <c r="AC409" s="425">
        <f>Q409-Q349</f>
        <v>0.418743128628739</v>
      </c>
      <c r="AD409" s="425">
        <f>R409-R349</f>
        <v>0.464325899724704</v>
      </c>
      <c r="AE409" s="235">
        <f>S409-S349</f>
        <v>-2.36</v>
      </c>
      <c r="AG409" s="554">
        <f>N409</f>
        <v>37164.0</v>
      </c>
      <c r="AH409" s="435">
        <f>IFERROR(INDEX('RBA 5Y yield'!$B$5:$B$661,MATCH(N409,'RBA 5Y yield'!$A$5:$A$661,1))*100,"")</f>
        <v>5.0785</v>
      </c>
      <c r="AI409" s="435">
        <f>IF(AND(ISNUMBER(AH409),ISNUMBER(AH408)),AH409-AH408,"")</f>
        <v>-0.4119</v>
      </c>
      <c r="AJ409" s="435">
        <f>IF(AND(ISNUMBER(AH409),ISNUMBER(AH397)),AH409-AH397,"")</f>
        <v>-1.0998</v>
      </c>
      <c r="AK409" s="435">
        <f>IF(AND(ISNUMBER(AH409),ISNUMBER(AH349)),AH409-AH349,"")</f>
        <v>-2.4944</v>
      </c>
      <c r="AL409" s="560">
        <f>IFERROR(LN(INDEX(Data!$B$2:$B$497,MATCH(N409,Data!$A$2:$A$497,1))/INDEX(Data!$B$2:$B$497,MATCH(N397,Data!$A$2:$A$497,1))),"")</f>
        <v>-0.0486211161973366</v>
      </c>
      <c r="AM409" s="560">
        <f>IFERROR(LN(INDEX(Data!$C$2:$C$497,MATCH(N409,Data!$A$2:$A$497,1))/INDEX(Data!$C$2:$C$497,MATCH(N397,Data!$A$2:$A$497,1))),"")</f>
        <v>-0.226307549798406</v>
      </c>
      <c r="AN409" s="560">
        <f>IFERROR(LN(INDEX(Data!$D$2:$D$497,MATCH(N409,Data!$A$2:$A$497,1))/INDEX(Data!$D$2:$D$497,MATCH(N397,Data!$A$2:$A$497,1))),"")</f>
        <v>-0.19530143692344</v>
      </c>
      <c r="AO409" s="560">
        <f>IFERROR(LN(INDEX(Data!$E$2:$E$497,MATCH(N409,Data!$A$2:$A$497,1))/INDEX(Data!$E$2:$E$497,MATCH(N397,Data!$A$2:$A$497,1))),"")</f>
        <v>0.226101404294798</v>
      </c>
      <c r="AP409" s="560">
        <f>IFERROR(LN(INDEX(Data!$F$2:$F$497,MATCH(N409,Data!$A$2:$A$497,1))/INDEX(Data!$F$2:$F$497,MATCH(N397,Data!$A$2:$A$497,1))),"")</f>
        <v>-0.101815331433441</v>
      </c>
      <c r="AQ409" s="560">
        <f>IFERROR(LN(INDEX(Data!$G$2:$G$497,MATCH(N409,Data!$A$2:$A$497,1))/INDEX(Data!$G$2:$G$497,MATCH(N397,Data!$A$2:$A$497,1))),"")</f>
        <v>0.143070361170154</v>
      </c>
      <c r="AR409" s="560">
        <f>IFERROR(LN(INDEX(Data!$H$2:$H$497,MATCH(N409,Data!$A$2:$A$497,1))/INDEX(Data!$H$2:$H$497,MATCH(N397,Data!$A$2:$A$497,1))),"")</f>
      </c>
      <c r="AS409" s="560">
        <f>IFERROR(LN(INDEX(Data!$I$2:$I$497,MATCH(N409,Data!$A$2:$A$497,1))/INDEX(Data!$I$2:$I$497,MATCH(N397,Data!$A$2:$A$497,1))),"")</f>
        <v>-0.0687051600560636</v>
      </c>
      <c r="AT409" s="560">
        <f>IFERROR(LN(INDEX(Data!$J$2:$J$497,MATCH(N409,Data!$A$2:$A$497,1))/INDEX(Data!$J$2:$J$497,MATCH(N397,Data!$A$2:$A$497,1))),"")</f>
        <v>0.101447141103479</v>
      </c>
      <c r="AU409" s="560">
        <f>IFERROR(LN(INDEX(Data!$K$2:$K$497,MATCH(N409,Data!$A$2:$A$497,1))/INDEX(Data!$K$2:$K$497,MATCH(N397,Data!$A$2:$A$497,1))),"")</f>
        <v>0.108955291924741</v>
      </c>
      <c r="AV409" s="561">
        <f>IFERROR(LN(INDEX(Data!$L$2:$L$497,MATCH(N409,Data!$A$2:$A$497,1))/INDEX(Data!$L$2:$L$497,MATCH(N397,Data!$A$2:$A$497,1))),"")</f>
        <v>0.0564322837319055</v>
      </c>
    </row>
    <row r="410">
      <c r="N410" s="337" t="n">
        <v>37195</v>
      </c>
      <c r="O410" s="116">
        <f>INDEX('Additional data'!$B$2:$B$965,MATCH(DATE(YEAR(N410),MONTH(N410),1),'Additional data'!$A$2:$A$965,0))</f>
        <v>22.21</v>
      </c>
      <c r="P410" s="489">
        <f>LN(O410)</f>
        <v>3.10054263790634</v>
      </c>
      <c r="Q410" s="489">
        <f>Q409+LN(1+INDEX('Additional data'!$H$2:$H$1196,MATCH(N410,'Additional data'!$G$2:$G$1196,1))+INDEX('Additional data'!$I$2:$I$1196,MATCH(N410,'Additional data'!$G$2:$G$1196,1)))</f>
        <v>3.48457998746362</v>
      </c>
      <c r="R410" s="489">
        <f>LN(INDEX(Data!$B$2:$B$497,MATCH(N410,Data!$A$2:$A$497,1)))</f>
        <v>9.66395010260326</v>
      </c>
      <c r="S410" s="116">
        <f>IF(INDEX('Additional data'!$E$2:$E$699,MATCH(DATE(YEAR(N410),MONTH(N410),1),'Additional data'!$D$2:$D$699,0))=0,(INDEX('Additional data'!$E$2:$E$699,MATCH(DATE(YEAR(N410),MONTH(N410),1),'Additional data'!$D$2:$D$699,0)-1)+INDEX('Additional data'!$E$2:$E$699,MATCH(DATE(YEAR(N410),MONTH(N410),1),'Additional data'!$D$2:$D$699,0)+1))/2,INDEX('Additional data'!$E$2:$E$699,MATCH(DATE(YEAR(N410),MONTH(N410),1),'Additional data'!$D$2:$D$699,0)))</f>
        <v>4.36</v>
      </c>
      <c r="T410" s="425">
        <f>P410-P409</f>
        <v>-0.152927831726364</v>
      </c>
      <c r="U410" s="425">
        <f>Q410-Q409</f>
        <v>0.026641930946421</v>
      </c>
      <c r="V410" s="425">
        <f>R410-R409</f>
        <v>0.0657653870098258</v>
      </c>
      <c r="W410" s="116">
        <f>S410-S409</f>
        <v>-0.19</v>
      </c>
      <c r="X410" s="425">
        <f>P410-P398</f>
        <v>-0.398386232249155</v>
      </c>
      <c r="Y410" s="425">
        <f>Q410-Q398</f>
        <v>-0.301239029992768</v>
      </c>
      <c r="Z410" s="425">
        <f>R410-R398</f>
        <v>0.0285127941217631</v>
      </c>
      <c r="AA410" s="116">
        <f>S410-S398</f>
        <v>-2.05</v>
      </c>
      <c r="AB410" s="425">
        <f>P410-P350</f>
        <v>-0.114325165564326</v>
      </c>
      <c r="AC410" s="425">
        <f>Q410-Q350</f>
        <v>0.432567555864546</v>
      </c>
      <c r="AD410" s="425">
        <f>R410-R350</f>
        <v>0.493879794155937</v>
      </c>
      <c r="AE410" s="235">
        <f>S410-S350</f>
        <v>-2.34</v>
      </c>
      <c r="AG410" s="554">
        <f>N410</f>
        <v>37195.0</v>
      </c>
      <c r="AH410" s="435">
        <f>IFERROR(INDEX('RBA 5Y yield'!$B$5:$B$661,MATCH(N410,'RBA 5Y yield'!$A$5:$A$661,1))*100,"")</f>
        <v>4.815</v>
      </c>
      <c r="AI410" s="435">
        <f>IF(AND(ISNUMBER(AH410),ISNUMBER(AH409)),AH410-AH409,"")</f>
        <v>-0.263500000000001</v>
      </c>
      <c r="AJ410" s="435">
        <f>IF(AND(ISNUMBER(AH410),ISNUMBER(AH398)),AH410-AH398,"")</f>
        <v>-1.2448</v>
      </c>
      <c r="AK410" s="435">
        <f>IF(AND(ISNUMBER(AH410),ISNUMBER(AH350)),AH410-AH350,"")</f>
        <v>-2.3541</v>
      </c>
      <c r="AL410" s="560">
        <f>IFERROR(LN(INDEX(Data!$B$2:$B$497,MATCH(N410,Data!$A$2:$A$497,1))/INDEX(Data!$B$2:$B$497,MATCH(N398,Data!$A$2:$A$497,1))),"")</f>
        <v>0.0285127941217629</v>
      </c>
      <c r="AM410" s="560">
        <f>IFERROR(LN(INDEX(Data!$C$2:$C$497,MATCH(N410,Data!$A$2:$A$497,1))/INDEX(Data!$C$2:$C$497,MATCH(N398,Data!$A$2:$A$497,1))),"")</f>
        <v>-0.263075055884063</v>
      </c>
      <c r="AN410" s="560">
        <f>IFERROR(LN(INDEX(Data!$D$2:$D$497,MATCH(N410,Data!$A$2:$A$497,1))/INDEX(Data!$D$2:$D$497,MATCH(N398,Data!$A$2:$A$497,1))),"")</f>
        <v>-0.146402317383386</v>
      </c>
      <c r="AO410" s="560">
        <f>IFERROR(LN(INDEX(Data!$E$2:$E$497,MATCH(N410,Data!$A$2:$A$497,1))/INDEX(Data!$E$2:$E$497,MATCH(N398,Data!$A$2:$A$497,1))),"")</f>
        <v>0.174463175389233</v>
      </c>
      <c r="AP410" s="560">
        <f>IFERROR(LN(INDEX(Data!$F$2:$F$497,MATCH(N410,Data!$A$2:$A$497,1))/INDEX(Data!$F$2:$F$497,MATCH(N398,Data!$A$2:$A$497,1))),"")</f>
        <v>-0.22221618093872</v>
      </c>
      <c r="AQ410" s="560">
        <f>IFERROR(LN(INDEX(Data!$G$2:$G$497,MATCH(N410,Data!$A$2:$A$497,1))/INDEX(Data!$G$2:$G$497,MATCH(N398,Data!$A$2:$A$497,1))),"")</f>
        <v>0.143070361170154</v>
      </c>
      <c r="AR410" s="560">
        <f>IFERROR(LN(INDEX(Data!$H$2:$H$497,MATCH(N410,Data!$A$2:$A$497,1))/INDEX(Data!$H$2:$H$497,MATCH(N398,Data!$A$2:$A$497,1))),"")</f>
      </c>
      <c r="AS410" s="560">
        <f>IFERROR(LN(INDEX(Data!$I$2:$I$497,MATCH(N410,Data!$A$2:$A$497,1))/INDEX(Data!$I$2:$I$497,MATCH(N398,Data!$A$2:$A$497,1))),"")</f>
        <v>-0.0687051600560636</v>
      </c>
      <c r="AT410" s="560">
        <f>IFERROR(LN(INDEX(Data!$J$2:$J$497,MATCH(N410,Data!$A$2:$A$497,1))/INDEX(Data!$J$2:$J$497,MATCH(N398,Data!$A$2:$A$497,1))),"")</f>
        <v>0.110419935348115</v>
      </c>
      <c r="AU410" s="560">
        <f>IFERROR(LN(INDEX(Data!$K$2:$K$497,MATCH(N410,Data!$A$2:$A$497,1))/INDEX(Data!$K$2:$K$497,MATCH(N398,Data!$A$2:$A$497,1))),"")</f>
        <v>0.120689436845172</v>
      </c>
      <c r="AV410" s="561">
        <f>IFERROR(LN(INDEX(Data!$L$2:$L$497,MATCH(N410,Data!$A$2:$A$497,1))/INDEX(Data!$L$2:$L$497,MATCH(N398,Data!$A$2:$A$497,1))),"")</f>
        <v>0.0545676101543289</v>
      </c>
    </row>
    <row r="411">
      <c r="N411" s="337" t="n">
        <v>37225</v>
      </c>
      <c r="O411" s="116">
        <f>INDEX('Additional data'!$B$2:$B$965,MATCH(DATE(YEAR(N411),MONTH(N411),1),'Additional data'!$A$2:$A$965,0))</f>
        <v>19.67</v>
      </c>
      <c r="P411" s="489">
        <f>LN(O411)</f>
        <v>2.97909463240097</v>
      </c>
      <c r="Q411" s="489">
        <f>Q410+LN(1+INDEX('Additional data'!$H$2:$H$1196,MATCH(N411,'Additional data'!$G$2:$G$1196,1))+INDEX('Additional data'!$I$2:$I$1196,MATCH(N411,'Additional data'!$G$2:$G$1196,1)))</f>
        <v>3.55875938563787</v>
      </c>
      <c r="R411" s="489">
        <f>LN(INDEX(Data!$B$2:$B$497,MATCH(N411,Data!$A$2:$A$497,1)))</f>
        <v>9.69714224241556</v>
      </c>
      <c r="S411" s="116">
        <f>IF(INDEX('Additional data'!$E$2:$E$699,MATCH(DATE(YEAR(N411),MONTH(N411),1),'Additional data'!$D$2:$D$699,0))=0,(INDEX('Additional data'!$E$2:$E$699,MATCH(DATE(YEAR(N411),MONTH(N411),1),'Additional data'!$D$2:$D$699,0)-1)+INDEX('Additional data'!$E$2:$E$699,MATCH(DATE(YEAR(N411),MONTH(N411),1),'Additional data'!$D$2:$D$699,0)+1))/2,INDEX('Additional data'!$E$2:$E$699,MATCH(DATE(YEAR(N411),MONTH(N411),1),'Additional data'!$D$2:$D$699,0)))</f>
        <v>4.28</v>
      </c>
      <c r="T411" s="425">
        <f>P411-P410</f>
        <v>-0.121448005505368</v>
      </c>
      <c r="U411" s="425">
        <f>Q411-Q410</f>
        <v>0.0741793981742513</v>
      </c>
      <c r="V411" s="425">
        <f>R411-R410</f>
        <v>0.0331921398123018</v>
      </c>
      <c r="W411" s="116">
        <f>S411-S410</f>
        <v>-0.0800000000000001</v>
      </c>
      <c r="X411" s="425">
        <f>P411-P399</f>
        <v>-0.558961931978385</v>
      </c>
      <c r="Y411" s="425">
        <f>Q411-Q399</f>
        <v>-0.119585773513283</v>
      </c>
      <c r="Z411" s="425">
        <f>R411-R399</f>
        <v>0.0505205632422623</v>
      </c>
      <c r="AA411" s="116">
        <f>S411-S399</f>
        <v>-2.05</v>
      </c>
      <c r="AB411" s="425">
        <f>P411-P351</f>
        <v>-0.186802267676346</v>
      </c>
      <c r="AC411" s="425">
        <f>Q411-Q351</f>
        <v>0.442270934854432</v>
      </c>
      <c r="AD411" s="425">
        <f>R411-R351</f>
        <v>0.508260468097951</v>
      </c>
      <c r="AE411" s="235">
        <f>S411-S351</f>
        <v>-2.17</v>
      </c>
      <c r="AG411" s="554">
        <f>N411</f>
        <v>37225.0</v>
      </c>
      <c r="AH411" s="435">
        <f>IFERROR(INDEX('RBA 5Y yield'!$B$5:$B$661,MATCH(N411,'RBA 5Y yield'!$A$5:$A$661,1))*100,"")</f>
        <v>4.9334</v>
      </c>
      <c r="AI411" s="435">
        <f>IF(AND(ISNUMBER(AH411),ISNUMBER(AH410)),AH411-AH410,"")</f>
        <v>0.118400000000001</v>
      </c>
      <c r="AJ411" s="435">
        <f>IF(AND(ISNUMBER(AH411),ISNUMBER(AH399)),AH411-AH399,"")</f>
        <v>-1.0005</v>
      </c>
      <c r="AK411" s="435">
        <f>IF(AND(ISNUMBER(AH411),ISNUMBER(AH351)),AH411-AH351,"")</f>
        <v>-1.9052</v>
      </c>
      <c r="AL411" s="560">
        <f>IFERROR(LN(INDEX(Data!$B$2:$B$497,MATCH(N411,Data!$A$2:$A$497,1))/INDEX(Data!$B$2:$B$497,MATCH(N399,Data!$A$2:$A$497,1))),"")</f>
        <v>0.0505205632422617</v>
      </c>
      <c r="AM411" s="560">
        <f>IFERROR(LN(INDEX(Data!$C$2:$C$497,MATCH(N411,Data!$A$2:$A$497,1))/INDEX(Data!$C$2:$C$497,MATCH(N399,Data!$A$2:$A$497,1))),"")</f>
        <v>-0.153589922891097</v>
      </c>
      <c r="AN411" s="560">
        <f>IFERROR(LN(INDEX(Data!$D$2:$D$497,MATCH(N411,Data!$A$2:$A$497,1))/INDEX(Data!$D$2:$D$497,MATCH(N399,Data!$A$2:$A$497,1))),"")</f>
        <v>0.0154106794870719</v>
      </c>
      <c r="AO411" s="560">
        <f>IFERROR(LN(INDEX(Data!$E$2:$E$497,MATCH(N411,Data!$A$2:$A$497,1))/INDEX(Data!$E$2:$E$497,MATCH(N399,Data!$A$2:$A$497,1))),"")</f>
        <v>0.184248247134058</v>
      </c>
      <c r="AP411" s="560">
        <f>IFERROR(LN(INDEX(Data!$F$2:$F$497,MATCH(N411,Data!$A$2:$A$497,1))/INDEX(Data!$F$2:$F$497,MATCH(N399,Data!$A$2:$A$497,1))),"")</f>
        <v>-0.381267728493807</v>
      </c>
      <c r="AQ411" s="560">
        <f>IFERROR(LN(INDEX(Data!$G$2:$G$497,MATCH(N411,Data!$A$2:$A$497,1))/INDEX(Data!$G$2:$G$497,MATCH(N399,Data!$A$2:$A$497,1))),"")</f>
        <v>0.143070361170154</v>
      </c>
      <c r="AR411" s="560">
        <f>IFERROR(LN(INDEX(Data!$H$2:$H$497,MATCH(N411,Data!$A$2:$A$497,1))/INDEX(Data!$H$2:$H$497,MATCH(N399,Data!$A$2:$A$497,1))),"")</f>
      </c>
      <c r="AS411" s="560">
        <f>IFERROR(LN(INDEX(Data!$I$2:$I$497,MATCH(N411,Data!$A$2:$A$497,1))/INDEX(Data!$I$2:$I$497,MATCH(N399,Data!$A$2:$A$497,1))),"")</f>
        <v>-0.0687051600560636</v>
      </c>
      <c r="AT411" s="560">
        <f>IFERROR(LN(INDEX(Data!$J$2:$J$497,MATCH(N411,Data!$A$2:$A$497,1))/INDEX(Data!$J$2:$J$497,MATCH(N399,Data!$A$2:$A$497,1))),"")</f>
        <v>0.0802304954298779</v>
      </c>
      <c r="AU411" s="560">
        <f>IFERROR(LN(INDEX(Data!$K$2:$K$497,MATCH(N411,Data!$A$2:$A$497,1))/INDEX(Data!$K$2:$K$497,MATCH(N399,Data!$A$2:$A$497,1))),"")</f>
        <v>0.0980015999445654</v>
      </c>
      <c r="AV411" s="561">
        <f>IFERROR(LN(INDEX(Data!$L$2:$L$497,MATCH(N411,Data!$A$2:$A$497,1))/INDEX(Data!$L$2:$L$497,MATCH(N399,Data!$A$2:$A$497,1))),"")</f>
        <v>0.0528182841196067</v>
      </c>
    </row>
    <row r="412">
      <c r="N412" s="337" t="n">
        <v>37256</v>
      </c>
      <c r="O412" s="116">
        <f>INDEX('Additional data'!$B$2:$B$965,MATCH(DATE(YEAR(N412),MONTH(N412),1),'Additional data'!$A$2:$A$965,0))</f>
        <v>19.33</v>
      </c>
      <c r="P412" s="489">
        <f>LN(O412)</f>
        <v>2.96165829322024</v>
      </c>
      <c r="Q412" s="489">
        <f>Q411+LN(1+INDEX('Additional data'!$H$2:$H$1196,MATCH(N412,'Additional data'!$G$2:$G$1196,1))+INDEX('Additional data'!$I$2:$I$1196,MATCH(N412,'Additional data'!$G$2:$G$1196,1)))</f>
        <v>3.57620629924159</v>
      </c>
      <c r="R412" s="489">
        <f>LN(INDEX(Data!$B$2:$B$497,MATCH(N412,Data!$A$2:$A$497,1)))</f>
        <v>9.72338541101701</v>
      </c>
      <c r="S412" s="116">
        <f>IF(INDEX('Additional data'!$E$2:$E$699,MATCH(DATE(YEAR(N412),MONTH(N412),1),'Additional data'!$D$2:$D$699,0))=0,(INDEX('Additional data'!$E$2:$E$699,MATCH(DATE(YEAR(N412),MONTH(N412),1),'Additional data'!$D$2:$D$699,0)-1)+INDEX('Additional data'!$E$2:$E$699,MATCH(DATE(YEAR(N412),MONTH(N412),1),'Additional data'!$D$2:$D$699,0)+1))/2,INDEX('Additional data'!$E$2:$E$699,MATCH(DATE(YEAR(N412),MONTH(N412),1),'Additional data'!$D$2:$D$699,0)))</f>
        <v>4.25</v>
      </c>
      <c r="T412" s="425">
        <f>P412-P411</f>
        <v>-0.0174363391807284</v>
      </c>
      <c r="U412" s="425">
        <f>Q412-Q411</f>
        <v>0.0174469136037208</v>
      </c>
      <c r="V412" s="425">
        <f>R412-R411</f>
        <v>0.0262431686014484</v>
      </c>
      <c r="W412" s="116">
        <f>S412-S411</f>
        <v>-0.0300000000000003</v>
      </c>
      <c r="X412" s="425">
        <f>P412-P400</f>
        <v>-0.386841299441467</v>
      </c>
      <c r="Y412" s="425">
        <f>Q412-Q400</f>
        <v>-0.11879930080267</v>
      </c>
      <c r="Z412" s="425">
        <f>R412-R400</f>
        <v>0.0965333035424383</v>
      </c>
      <c r="AA412" s="116">
        <f>S412-S400</f>
        <v>-1.95</v>
      </c>
      <c r="AB412" s="425">
        <f>P412-P352</f>
        <v>-0.272697102496347</v>
      </c>
      <c r="AC412" s="425">
        <f>Q412-Q352</f>
        <v>0.472195369969266</v>
      </c>
      <c r="AD412" s="425">
        <f>R412-R352</f>
        <v>0.511486254576838</v>
      </c>
      <c r="AE412" s="235">
        <f>S412-S352</f>
        <v>-1.88</v>
      </c>
      <c r="AG412" s="554">
        <f>N412</f>
        <v>37256.0</v>
      </c>
      <c r="AH412" s="435">
        <f>IFERROR(INDEX('RBA 5Y yield'!$B$5:$B$661,MATCH(N412,'RBA 5Y yield'!$A$5:$A$661,1))*100,"")</f>
        <v>5.3279</v>
      </c>
      <c r="AI412" s="435">
        <f>IF(AND(ISNUMBER(AH412),ISNUMBER(AH411)),AH412-AH411,"")</f>
        <v>0.394499999999999</v>
      </c>
      <c r="AJ412" s="435">
        <f>IF(AND(ISNUMBER(AH412),ISNUMBER(AH400)),AH412-AH400,"")</f>
        <v>-0.1092</v>
      </c>
      <c r="AK412" s="435">
        <f>IF(AND(ISNUMBER(AH412),ISNUMBER(AH352)),AH412-AH352,"")</f>
        <v>-1.5986</v>
      </c>
      <c r="AL412" s="560">
        <f>IFERROR(LN(INDEX(Data!$B$2:$B$497,MATCH(N412,Data!$A$2:$A$497,1))/INDEX(Data!$B$2:$B$497,MATCH(N400,Data!$A$2:$A$497,1))),"")</f>
        <v>0.0965333035424384</v>
      </c>
      <c r="AM412" s="560">
        <f>IFERROR(LN(INDEX(Data!$C$2:$C$497,MATCH(N412,Data!$A$2:$A$497,1))/INDEX(Data!$C$2:$C$497,MATCH(N400,Data!$A$2:$A$497,1))),"")</f>
        <v>-0.0675386008954576</v>
      </c>
      <c r="AN412" s="560">
        <f>IFERROR(LN(INDEX(Data!$D$2:$D$497,MATCH(N412,Data!$A$2:$A$497,1))/INDEX(Data!$D$2:$D$497,MATCH(N400,Data!$A$2:$A$497,1))),"")</f>
        <v>0.158181302673628</v>
      </c>
      <c r="AO412" s="560">
        <f>IFERROR(LN(INDEX(Data!$E$2:$E$497,MATCH(N412,Data!$A$2:$A$497,1))/INDEX(Data!$E$2:$E$497,MATCH(N400,Data!$A$2:$A$497,1))),"")</f>
        <v>0.217966643501573</v>
      </c>
      <c r="AP412" s="560">
        <f>IFERROR(LN(INDEX(Data!$F$2:$F$497,MATCH(N412,Data!$A$2:$A$497,1))/INDEX(Data!$F$2:$F$497,MATCH(N400,Data!$A$2:$A$497,1))),"")</f>
        <v>-0.30257977483826</v>
      </c>
      <c r="AQ412" s="560">
        <f>IFERROR(LN(INDEX(Data!$G$2:$G$497,MATCH(N412,Data!$A$2:$A$497,1))/INDEX(Data!$G$2:$G$497,MATCH(N400,Data!$A$2:$A$497,1))),"")</f>
        <v>0.156393648562347</v>
      </c>
      <c r="AR412" s="560">
        <f>IFERROR(LN(INDEX(Data!$H$2:$H$497,MATCH(N412,Data!$A$2:$A$497,1))/INDEX(Data!$H$2:$H$497,MATCH(N400,Data!$A$2:$A$497,1))),"")</f>
      </c>
      <c r="AS412" s="560">
        <f>IFERROR(LN(INDEX(Data!$I$2:$I$497,MATCH(N412,Data!$A$2:$A$497,1))/INDEX(Data!$I$2:$I$497,MATCH(N400,Data!$A$2:$A$497,1))),"")</f>
        <v>0.0637652138458672</v>
      </c>
      <c r="AT412" s="560">
        <f>IFERROR(LN(INDEX(Data!$J$2:$J$497,MATCH(N412,Data!$A$2:$A$497,1))/INDEX(Data!$J$2:$J$497,MATCH(N400,Data!$A$2:$A$497,1))),"")</f>
        <v>0.0530634212611108</v>
      </c>
      <c r="AU412" s="560">
        <f>IFERROR(LN(INDEX(Data!$K$2:$K$497,MATCH(N412,Data!$A$2:$A$497,1))/INDEX(Data!$K$2:$K$497,MATCH(N400,Data!$A$2:$A$497,1))),"")</f>
        <v>0.0795967533895755</v>
      </c>
      <c r="AV412" s="561">
        <f>IFERROR(LN(INDEX(Data!$L$2:$L$497,MATCH(N412,Data!$A$2:$A$497,1))/INDEX(Data!$L$2:$L$497,MATCH(N400,Data!$A$2:$A$497,1))),"")</f>
        <v>0.0510979416773306</v>
      </c>
    </row>
    <row r="413">
      <c r="N413" s="337" t="n">
        <v>37287</v>
      </c>
      <c r="O413" s="116">
        <f>INDEX('Additional data'!$B$2:$B$965,MATCH(DATE(YEAR(N413),MONTH(N413),1),'Additional data'!$A$2:$A$965,0))</f>
        <v>19.67</v>
      </c>
      <c r="P413" s="489">
        <f>LN(O413)</f>
        <v>2.97909463240097</v>
      </c>
      <c r="Q413" s="489">
        <f>Q412+LN(1+INDEX('Additional data'!$H$2:$H$1196,MATCH(N413,'Additional data'!$G$2:$G$1196,1))+INDEX('Additional data'!$I$2:$I$1196,MATCH(N413,'Additional data'!$G$2:$G$1196,1)))</f>
        <v>3.56312105969294</v>
      </c>
      <c r="R413" s="489">
        <f>LN(INDEX(Data!$B$2:$B$497,MATCH(N413,Data!$A$2:$A$497,1)))</f>
        <v>9.73646750820267</v>
      </c>
      <c r="S413" s="116">
        <f>IF(INDEX('Additional data'!$E$2:$E$699,MATCH(DATE(YEAR(N413),MONTH(N413),1),'Additional data'!$D$2:$D$699,0))=0,(INDEX('Additional data'!$E$2:$E$699,MATCH(DATE(YEAR(N413),MONTH(N413),1),'Additional data'!$D$2:$D$699,0)-1)+INDEX('Additional data'!$E$2:$E$699,MATCH(DATE(YEAR(N413),MONTH(N413),1),'Additional data'!$D$2:$D$699,0)+1))/2,INDEX('Additional data'!$E$2:$E$699,MATCH(DATE(YEAR(N413),MONTH(N413),1),'Additional data'!$D$2:$D$699,0)))</f>
        <v>4.26</v>
      </c>
      <c r="T413" s="425">
        <f>P413-P412</f>
        <v>0.0174363391807284</v>
      </c>
      <c r="U413" s="425">
        <f>Q413-Q412</f>
        <v>-0.0130852395486554</v>
      </c>
      <c r="V413" s="425">
        <f>R413-R412</f>
        <v>0.0130820971856611</v>
      </c>
      <c r="W413" s="116">
        <f>S413-S412</f>
        <v>0.00999999999999979</v>
      </c>
      <c r="X413" s="425">
        <f>P413-P401</f>
        <v>-0.408003824881686</v>
      </c>
      <c r="Y413" s="425">
        <f>Q413-Q401</f>
        <v>-0.169083981340432</v>
      </c>
      <c r="Z413" s="425">
        <f>R413-R401</f>
        <v>0.0669953923348619</v>
      </c>
      <c r="AA413" s="116">
        <f>S413-S401</f>
        <v>-1.65</v>
      </c>
      <c r="AB413" s="425">
        <f>P413-P353</f>
        <v>-0.246558176746257</v>
      </c>
      <c r="AC413" s="425">
        <f>Q413-Q353</f>
        <v>0.406422808141604</v>
      </c>
      <c r="AD413" s="425">
        <f>R413-R353</f>
        <v>0.523191449574398</v>
      </c>
      <c r="AE413" s="235">
        <f>S413-S353</f>
        <v>-1.56</v>
      </c>
      <c r="AG413" s="554">
        <f>N413</f>
        <v>37287.0</v>
      </c>
      <c r="AH413" s="435">
        <f>IFERROR(INDEX('RBA 5Y yield'!$B$5:$B$661,MATCH(N413,'RBA 5Y yield'!$A$5:$A$661,1))*100,"")</f>
        <v>5.4119</v>
      </c>
      <c r="AI413" s="435">
        <f>IF(AND(ISNUMBER(AH413),ISNUMBER(AH412)),AH413-AH412,"")</f>
        <v>0.0840000000000005</v>
      </c>
      <c r="AJ413" s="435">
        <f>IF(AND(ISNUMBER(AH413),ISNUMBER(AH401)),AH413-AH401,"")</f>
        <v>0.2602</v>
      </c>
      <c r="AK413" s="435">
        <f>IF(AND(ISNUMBER(AH413),ISNUMBER(AH353)),AH413-AH353,"")</f>
        <v>-1.5776</v>
      </c>
      <c r="AL413" s="560">
        <f>IFERROR(LN(INDEX(Data!$B$2:$B$497,MATCH(N413,Data!$A$2:$A$497,1))/INDEX(Data!$B$2:$B$497,MATCH(N401,Data!$A$2:$A$497,1))),"")</f>
        <v>0.0669953923348626</v>
      </c>
      <c r="AM413" s="560">
        <f>IFERROR(LN(INDEX(Data!$C$2:$C$497,MATCH(N413,Data!$A$2:$A$497,1))/INDEX(Data!$C$2:$C$497,MATCH(N401,Data!$A$2:$A$497,1))),"")</f>
        <v>-0.114453333151372</v>
      </c>
      <c r="AN413" s="560">
        <f>IFERROR(LN(INDEX(Data!$D$2:$D$497,MATCH(N413,Data!$A$2:$A$497,1))/INDEX(Data!$D$2:$D$497,MATCH(N401,Data!$A$2:$A$497,1))),"")</f>
        <v>0.0667197255462563</v>
      </c>
      <c r="AO413" s="560">
        <f>IFERROR(LN(INDEX(Data!$E$2:$E$497,MATCH(N413,Data!$A$2:$A$497,1))/INDEX(Data!$E$2:$E$497,MATCH(N401,Data!$A$2:$A$497,1))),"")</f>
        <v>0.207825913297822</v>
      </c>
      <c r="AP413" s="560">
        <f>IFERROR(LN(INDEX(Data!$F$2:$F$497,MATCH(N413,Data!$A$2:$A$497,1))/INDEX(Data!$F$2:$F$497,MATCH(N401,Data!$A$2:$A$497,1))),"")</f>
        <v>-0.281296488298196</v>
      </c>
      <c r="AQ413" s="560">
        <f>IFERROR(LN(INDEX(Data!$G$2:$G$497,MATCH(N413,Data!$A$2:$A$497,1))/INDEX(Data!$G$2:$G$497,MATCH(N401,Data!$A$2:$A$497,1))),"")</f>
        <v>0.156393648562347</v>
      </c>
      <c r="AR413" s="560">
        <f>IFERROR(LN(INDEX(Data!$H$2:$H$497,MATCH(N413,Data!$A$2:$A$497,1))/INDEX(Data!$H$2:$H$497,MATCH(N401,Data!$A$2:$A$497,1))),"")</f>
      </c>
      <c r="AS413" s="560">
        <f>IFERROR(LN(INDEX(Data!$I$2:$I$497,MATCH(N413,Data!$A$2:$A$497,1))/INDEX(Data!$I$2:$I$497,MATCH(N401,Data!$A$2:$A$497,1))),"")</f>
        <v>0.0637652138458672</v>
      </c>
      <c r="AT413" s="560">
        <f>IFERROR(LN(INDEX(Data!$J$2:$J$497,MATCH(N413,Data!$A$2:$A$497,1))/INDEX(Data!$J$2:$J$497,MATCH(N401,Data!$A$2:$A$497,1))),"")</f>
        <v>0.0386440779669603</v>
      </c>
      <c r="AU413" s="560">
        <f>IFERROR(LN(INDEX(Data!$K$2:$K$497,MATCH(N413,Data!$A$2:$A$497,1))/INDEX(Data!$K$2:$K$497,MATCH(N401,Data!$A$2:$A$497,1))),"")</f>
        <v>0.0729057194685502</v>
      </c>
      <c r="AV413" s="561">
        <f>IFERROR(LN(INDEX(Data!$L$2:$L$497,MATCH(N413,Data!$A$2:$A$497,1))/INDEX(Data!$L$2:$L$497,MATCH(N401,Data!$A$2:$A$497,1))),"")</f>
        <v>0.0493064885309411</v>
      </c>
    </row>
    <row r="414">
      <c r="N414" s="337" t="n">
        <v>37315</v>
      </c>
      <c r="O414" s="116">
        <f>INDEX('Additional data'!$B$2:$B$965,MATCH(DATE(YEAR(N414),MONTH(N414),1),'Additional data'!$A$2:$A$965,0))</f>
        <v>20.74</v>
      </c>
      <c r="P414" s="489">
        <f>LN(O414)</f>
        <v>3.03206420280138</v>
      </c>
      <c r="Q414" s="489">
        <f>Q413+LN(1+INDEX('Additional data'!$H$2:$H$1196,MATCH(N414,'Additional data'!$G$2:$G$1196,1))+INDEX('Additional data'!$I$2:$I$1196,MATCH(N414,'Additional data'!$G$2:$G$1196,1)))</f>
        <v>3.54118215217418</v>
      </c>
      <c r="R414" s="489">
        <f>LN(INDEX(Data!$B$2:$B$497,MATCH(N414,Data!$A$2:$A$497,1)))</f>
        <v>9.72582978335804</v>
      </c>
      <c r="S414" s="116">
        <f>IF(INDEX('Additional data'!$E$2:$E$699,MATCH(DATE(YEAR(N414),MONTH(N414),1),'Additional data'!$D$2:$D$699,0))=0,(INDEX('Additional data'!$E$2:$E$699,MATCH(DATE(YEAR(N414),MONTH(N414),1),'Additional data'!$D$2:$D$699,0)-1)+INDEX('Additional data'!$E$2:$E$699,MATCH(DATE(YEAR(N414),MONTH(N414),1),'Additional data'!$D$2:$D$699,0)+1))/2,INDEX('Additional data'!$E$2:$E$699,MATCH(DATE(YEAR(N414),MONTH(N414),1),'Additional data'!$D$2:$D$699,0)))</f>
        <v>4.31</v>
      </c>
      <c r="T414" s="425">
        <f>P414-P413</f>
        <v>0.0529695704004132</v>
      </c>
      <c r="U414" s="425">
        <f>Q414-Q413</f>
        <v>-0.0219389075187539</v>
      </c>
      <c r="V414" s="425">
        <f>R414-R413</f>
        <v>-0.010637724844635</v>
      </c>
      <c r="W414" s="116">
        <f>S414-S413</f>
        <v>0.0499999999999998</v>
      </c>
      <c r="X414" s="425">
        <f>P414-P402</f>
        <v>-0.356047939312119</v>
      </c>
      <c r="Y414" s="425">
        <f>Q414-Q402</f>
        <v>-0.0895437199093316</v>
      </c>
      <c r="Z414" s="425">
        <f>R414-R402</f>
        <v>0.058657334933466</v>
      </c>
      <c r="AA414" s="116">
        <f>S414-S402</f>
        <v>-1.28</v>
      </c>
      <c r="AB414" s="425">
        <f>P414-P354</f>
        <v>-0.068478435104955</v>
      </c>
      <c r="AC414" s="425">
        <f>Q414-Q354</f>
        <v>0.385384305866014</v>
      </c>
      <c r="AD414" s="425">
        <f>R414-R354</f>
        <v>0.501882407975639</v>
      </c>
      <c r="AE414" s="235">
        <f>S414-S354</f>
        <v>-1.6</v>
      </c>
      <c r="AG414" s="554">
        <f>N414</f>
        <v>37315.0</v>
      </c>
      <c r="AH414" s="435">
        <f>IFERROR(INDEX('RBA 5Y yield'!$B$5:$B$661,MATCH(N414,'RBA 5Y yield'!$A$5:$A$661,1))*100,"")</f>
        <v>5.6317</v>
      </c>
      <c r="AI414" s="435">
        <f>IF(AND(ISNUMBER(AH414),ISNUMBER(AH413)),AH414-AH413,"")</f>
        <v>0.219799999999999</v>
      </c>
      <c r="AJ414" s="435">
        <f>IF(AND(ISNUMBER(AH414),ISNUMBER(AH402)),AH414-AH402,"")</f>
        <v>0.576899999999999</v>
      </c>
      <c r="AK414" s="435">
        <f>IF(AND(ISNUMBER(AH414),ISNUMBER(AH354)),AH414-AH354,"")</f>
        <v>-1.4018</v>
      </c>
      <c r="AL414" s="560">
        <f>IFERROR(LN(INDEX(Data!$B$2:$B$497,MATCH(N414,Data!$A$2:$A$497,1))/INDEX(Data!$B$2:$B$497,MATCH(N402,Data!$A$2:$A$497,1))),"")</f>
        <v>0.0586573349334661</v>
      </c>
      <c r="AM414" s="560">
        <f>IFERROR(LN(INDEX(Data!$C$2:$C$497,MATCH(N414,Data!$A$2:$A$497,1))/INDEX(Data!$C$2:$C$497,MATCH(N402,Data!$A$2:$A$497,1))),"")</f>
        <v>-0.107709456951656</v>
      </c>
      <c r="AN414" s="560">
        <f>IFERROR(LN(INDEX(Data!$D$2:$D$497,MATCH(N414,Data!$A$2:$A$497,1))/INDEX(Data!$D$2:$D$497,MATCH(N402,Data!$A$2:$A$497,1))),"")</f>
        <v>0.0902676820903421</v>
      </c>
      <c r="AO414" s="560">
        <f>IFERROR(LN(INDEX(Data!$E$2:$E$497,MATCH(N414,Data!$A$2:$A$497,1))/INDEX(Data!$E$2:$E$497,MATCH(N402,Data!$A$2:$A$497,1))),"")</f>
        <v>0.170765069859652</v>
      </c>
      <c r="AP414" s="560">
        <f>IFERROR(LN(INDEX(Data!$F$2:$F$497,MATCH(N414,Data!$A$2:$A$497,1))/INDEX(Data!$F$2:$F$497,MATCH(N402,Data!$A$2:$A$497,1))),"")</f>
        <v>-0.289651469334187</v>
      </c>
      <c r="AQ414" s="560">
        <f>IFERROR(LN(INDEX(Data!$G$2:$G$497,MATCH(N414,Data!$A$2:$A$497,1))/INDEX(Data!$G$2:$G$497,MATCH(N402,Data!$A$2:$A$497,1))),"")</f>
        <v>0.156393648562347</v>
      </c>
      <c r="AR414" s="560">
        <f>IFERROR(LN(INDEX(Data!$H$2:$H$497,MATCH(N414,Data!$A$2:$A$497,1))/INDEX(Data!$H$2:$H$497,MATCH(N402,Data!$A$2:$A$497,1))),"")</f>
      </c>
      <c r="AS414" s="560">
        <f>IFERROR(LN(INDEX(Data!$I$2:$I$497,MATCH(N414,Data!$A$2:$A$497,1))/INDEX(Data!$I$2:$I$497,MATCH(N402,Data!$A$2:$A$497,1))),"")</f>
        <v>0.0637652138458672</v>
      </c>
      <c r="AT414" s="560">
        <f>IFERROR(LN(INDEX(Data!$J$2:$J$497,MATCH(N414,Data!$A$2:$A$497,1))/INDEX(Data!$J$2:$J$497,MATCH(N402,Data!$A$2:$A$497,1))),"")</f>
        <v>0.0377402598801606</v>
      </c>
      <c r="AU414" s="560">
        <f>IFERROR(LN(INDEX(Data!$K$2:$K$497,MATCH(N414,Data!$A$2:$A$497,1))/INDEX(Data!$K$2:$K$497,MATCH(N402,Data!$A$2:$A$497,1))),"")</f>
        <v>0.0709599556645668</v>
      </c>
      <c r="AV414" s="561">
        <f>IFERROR(LN(INDEX(Data!$L$2:$L$497,MATCH(N414,Data!$A$2:$A$497,1))/INDEX(Data!$L$2:$L$497,MATCH(N402,Data!$A$2:$A$497,1))),"")</f>
        <v>0.0479098007077763</v>
      </c>
    </row>
    <row r="415">
      <c r="N415" s="337" t="n">
        <v>37346</v>
      </c>
      <c r="O415" s="116">
        <f>INDEX('Additional data'!$B$2:$B$965,MATCH(DATE(YEAR(N415),MONTH(N415),1),'Additional data'!$A$2:$A$965,0))</f>
        <v>24.42</v>
      </c>
      <c r="P415" s="489">
        <f>LN(O415)</f>
        <v>3.19540246868256</v>
      </c>
      <c r="Q415" s="489">
        <f>Q414+LN(1+INDEX('Additional data'!$H$2:$H$1196,MATCH(N415,'Additional data'!$G$2:$G$1196,1))+INDEX('Additional data'!$I$2:$I$1196,MATCH(N415,'Additional data'!$G$2:$G$1196,1)))</f>
        <v>3.58395424401805</v>
      </c>
      <c r="R415" s="489">
        <f>LN(INDEX(Data!$B$2:$B$497,MATCH(N415,Data!$A$2:$A$497,1)))</f>
        <v>9.73363479615126</v>
      </c>
      <c r="S415" s="116">
        <f>IF(INDEX('Additional data'!$E$2:$E$699,MATCH(DATE(YEAR(N415),MONTH(N415),1),'Additional data'!$D$2:$D$699,0))=0,(INDEX('Additional data'!$E$2:$E$699,MATCH(DATE(YEAR(N415),MONTH(N415),1),'Additional data'!$D$2:$D$699,0)-1)+INDEX('Additional data'!$E$2:$E$699,MATCH(DATE(YEAR(N415),MONTH(N415),1),'Additional data'!$D$2:$D$699,0)+1))/2,INDEX('Additional data'!$E$2:$E$699,MATCH(DATE(YEAR(N415),MONTH(N415),1),'Additional data'!$D$2:$D$699,0)))</f>
        <v>4.46</v>
      </c>
      <c r="T415" s="425">
        <f>P415-P414</f>
        <v>0.163338265881178</v>
      </c>
      <c r="U415" s="425">
        <f>Q415-Q414</f>
        <v>0.0427720918438692</v>
      </c>
      <c r="V415" s="425">
        <f>R415-R414</f>
        <v>0.00780501279321832</v>
      </c>
      <c r="W415" s="116">
        <f>S415-S414</f>
        <v>0.15</v>
      </c>
      <c r="X415" s="425">
        <f>P415-P403</f>
        <v>-0.109284012598753</v>
      </c>
      <c r="Y415" s="425">
        <f>Q415-Q403</f>
        <v>0.0239727764602953</v>
      </c>
      <c r="Z415" s="425">
        <f>R415-R403</f>
        <v>0.115894588859181</v>
      </c>
      <c r="AA415" s="116">
        <f>S415-S403</f>
        <v>-0.68</v>
      </c>
      <c r="AB415" s="425">
        <f>P415-P355</f>
        <v>0.151356334850017</v>
      </c>
      <c r="AC415" s="425">
        <f>Q415-Q355</f>
        <v>0.47514318893422</v>
      </c>
      <c r="AD415" s="425">
        <f>R415-R355</f>
        <v>0.516616769421834</v>
      </c>
      <c r="AE415" s="235">
        <f>S415-S355</f>
        <v>-1.59</v>
      </c>
      <c r="AG415" s="554">
        <f>N415</f>
        <v>37346.0</v>
      </c>
      <c r="AH415" s="435">
        <f>IFERROR(INDEX('RBA 5Y yield'!$B$5:$B$661,MATCH(N415,'RBA 5Y yield'!$A$5:$A$661,1))*100,"")</f>
        <v>5.9975</v>
      </c>
      <c r="AI415" s="435">
        <f>IF(AND(ISNUMBER(AH415),ISNUMBER(AH414)),AH415-AH414,"")</f>
        <v>0.365800000000001</v>
      </c>
      <c r="AJ415" s="435">
        <f>IF(AND(ISNUMBER(AH415),ISNUMBER(AH403)),AH415-AH403,"")</f>
        <v>1.1959</v>
      </c>
      <c r="AK415" s="435">
        <f>IF(AND(ISNUMBER(AH415),ISNUMBER(AH355)),AH415-AH355,"")</f>
        <v>-1.4972</v>
      </c>
      <c r="AL415" s="560">
        <f>IFERROR(LN(INDEX(Data!$B$2:$B$497,MATCH(N415,Data!$A$2:$A$497,1))/INDEX(Data!$B$2:$B$497,MATCH(N403,Data!$A$2:$A$497,1))),"")</f>
        <v>0.11589458885918</v>
      </c>
      <c r="AM415" s="560">
        <f>IFERROR(LN(INDEX(Data!$C$2:$C$497,MATCH(N415,Data!$A$2:$A$497,1))/INDEX(Data!$C$2:$C$497,MATCH(N403,Data!$A$2:$A$497,1))),"")</f>
        <v>-0.123851139742582</v>
      </c>
      <c r="AN415" s="560">
        <f>IFERROR(LN(INDEX(Data!$D$2:$D$497,MATCH(N415,Data!$A$2:$A$497,1))/INDEX(Data!$D$2:$D$497,MATCH(N403,Data!$A$2:$A$497,1))),"")</f>
        <v>0.121751280453047</v>
      </c>
      <c r="AO415" s="560">
        <f>IFERROR(LN(INDEX(Data!$E$2:$E$497,MATCH(N415,Data!$A$2:$A$497,1))/INDEX(Data!$E$2:$E$497,MATCH(N403,Data!$A$2:$A$497,1))),"")</f>
        <v>0.112614715013129</v>
      </c>
      <c r="AP415" s="560">
        <f>IFERROR(LN(INDEX(Data!$F$2:$F$497,MATCH(N415,Data!$A$2:$A$497,1))/INDEX(Data!$F$2:$F$497,MATCH(N403,Data!$A$2:$A$497,1))),"")</f>
        <v>-0.227480385241641</v>
      </c>
      <c r="AQ415" s="560">
        <f>IFERROR(LN(INDEX(Data!$G$2:$G$497,MATCH(N415,Data!$A$2:$A$497,1))/INDEX(Data!$G$2:$G$497,MATCH(N403,Data!$A$2:$A$497,1))),"")</f>
        <v>0.17195196771212</v>
      </c>
      <c r="AR415" s="560">
        <f>IFERROR(LN(INDEX(Data!$H$2:$H$497,MATCH(N415,Data!$A$2:$A$497,1))/INDEX(Data!$H$2:$H$497,MATCH(N403,Data!$A$2:$A$497,1))),"")</f>
      </c>
      <c r="AS415" s="560">
        <f>IFERROR(LN(INDEX(Data!$I$2:$I$497,MATCH(N415,Data!$A$2:$A$497,1))/INDEX(Data!$I$2:$I$497,MATCH(N403,Data!$A$2:$A$497,1))),"")</f>
        <v>0.0867213066996686</v>
      </c>
      <c r="AT415" s="560">
        <f>IFERROR(LN(INDEX(Data!$J$2:$J$497,MATCH(N415,Data!$A$2:$A$497,1))/INDEX(Data!$J$2:$J$497,MATCH(N403,Data!$A$2:$A$497,1))),"")</f>
        <v>0.0231860922776093</v>
      </c>
      <c r="AU415" s="560">
        <f>IFERROR(LN(INDEX(Data!$K$2:$K$497,MATCH(N415,Data!$A$2:$A$497,1))/INDEX(Data!$K$2:$K$497,MATCH(N403,Data!$A$2:$A$497,1))),"")</f>
        <v>0.0557523528237761</v>
      </c>
      <c r="AV415" s="561">
        <f>IFERROR(LN(INDEX(Data!$L$2:$L$497,MATCH(N415,Data!$A$2:$A$497,1))/INDEX(Data!$L$2:$L$497,MATCH(N403,Data!$A$2:$A$497,1))),"")</f>
        <v>0.0465787541760272</v>
      </c>
    </row>
    <row r="416">
      <c r="N416" s="337" t="n">
        <v>37376</v>
      </c>
      <c r="O416" s="116">
        <f>INDEX('Additional data'!$B$2:$B$965,MATCH(DATE(YEAR(N416),MONTH(N416),1),'Additional data'!$A$2:$A$965,0))</f>
        <v>26.27</v>
      </c>
      <c r="P416" s="489">
        <f>LN(O416)</f>
        <v>3.26842760369745</v>
      </c>
      <c r="Q416" s="489">
        <f>Q415+LN(1+INDEX('Additional data'!$H$2:$H$1196,MATCH(N416,'Additional data'!$G$2:$G$1196,1))+INDEX('Additional data'!$I$2:$I$1196,MATCH(N416,'Additional data'!$G$2:$G$1196,1)))</f>
        <v>3.53202917115313</v>
      </c>
      <c r="R416" s="489">
        <f>LN(INDEX(Data!$B$2:$B$497,MATCH(N416,Data!$A$2:$A$497,1)))</f>
        <v>9.71570993849478</v>
      </c>
      <c r="S416" s="116">
        <f>IF(INDEX('Additional data'!$E$2:$E$699,MATCH(DATE(YEAR(N416),MONTH(N416),1),'Additional data'!$D$2:$D$699,0))=0,(INDEX('Additional data'!$E$2:$E$699,MATCH(DATE(YEAR(N416),MONTH(N416),1),'Additional data'!$D$2:$D$699,0)-1)+INDEX('Additional data'!$E$2:$E$699,MATCH(DATE(YEAR(N416),MONTH(N416),1),'Additional data'!$D$2:$D$699,0)+1))/2,INDEX('Additional data'!$E$2:$E$699,MATCH(DATE(YEAR(N416),MONTH(N416),1),'Additional data'!$D$2:$D$699,0)))</f>
        <v>4.59</v>
      </c>
      <c r="T416" s="425">
        <f>P416-P415</f>
        <v>0.0730251350148898</v>
      </c>
      <c r="U416" s="425">
        <f>Q416-Q415</f>
        <v>-0.0519250728649197</v>
      </c>
      <c r="V416" s="425">
        <f>R416-R415</f>
        <v>-0.0179248576564817</v>
      </c>
      <c r="W416" s="116">
        <f>S416-S415</f>
        <v>0.13</v>
      </c>
      <c r="X416" s="425">
        <f>P416-P404</f>
        <v>-0.0424803066172461</v>
      </c>
      <c r="Y416" s="425">
        <f>Q416-Q404</f>
        <v>-0.107871919580498</v>
      </c>
      <c r="Z416" s="425">
        <f>R416-R404</f>
        <v>0.042542124622825</v>
      </c>
      <c r="AA416" s="116">
        <f>S416-S404</f>
        <v>-0.27</v>
      </c>
      <c r="AB416" s="425">
        <f>P416-P356</f>
        <v>0.286794254522959</v>
      </c>
      <c r="AC416" s="425">
        <f>Q416-Q356</f>
        <v>0.379488353207975</v>
      </c>
      <c r="AD416" s="425">
        <f>R416-R356</f>
        <v>0.47220562014016</v>
      </c>
      <c r="AE416" s="235">
        <f>S416-S356</f>
        <v>-1.45</v>
      </c>
      <c r="AG416" s="554">
        <f>N416</f>
        <v>37376.0</v>
      </c>
      <c r="AH416" s="435">
        <f>IFERROR(INDEX('RBA 5Y yield'!$B$5:$B$661,MATCH(N416,'RBA 5Y yield'!$A$5:$A$661,1))*100,"")</f>
        <v>5.9635</v>
      </c>
      <c r="AI416" s="435">
        <f>IF(AND(ISNUMBER(AH416),ISNUMBER(AH415)),AH416-AH415,"")</f>
        <v>-0.0340000000000007</v>
      </c>
      <c r="AJ416" s="435">
        <f>IF(AND(ISNUMBER(AH416),ISNUMBER(AH404)),AH416-AH404,"")</f>
        <v>0.802099999999999</v>
      </c>
      <c r="AK416" s="435">
        <f>IF(AND(ISNUMBER(AH416),ISNUMBER(AH356)),AH416-AH356,"")</f>
        <v>-1.4365</v>
      </c>
      <c r="AL416" s="560">
        <f>IFERROR(LN(INDEX(Data!$B$2:$B$497,MATCH(N416,Data!$A$2:$A$497,1))/INDEX(Data!$B$2:$B$497,MATCH(N404,Data!$A$2:$A$497,1))),"")</f>
        <v>0.0425421246228245</v>
      </c>
      <c r="AM416" s="560">
        <f>IFERROR(LN(INDEX(Data!$C$2:$C$497,MATCH(N416,Data!$A$2:$A$497,1))/INDEX(Data!$C$2:$C$497,MATCH(N404,Data!$A$2:$A$497,1))),"")</f>
        <v>-0.199353374443184</v>
      </c>
      <c r="AN416" s="560">
        <f>IFERROR(LN(INDEX(Data!$D$2:$D$497,MATCH(N416,Data!$A$2:$A$497,1))/INDEX(Data!$D$2:$D$497,MATCH(N404,Data!$A$2:$A$497,1))),"")</f>
        <v>0.111840118477949</v>
      </c>
      <c r="AO416" s="560">
        <f>IFERROR(LN(INDEX(Data!$E$2:$E$497,MATCH(N416,Data!$A$2:$A$497,1))/INDEX(Data!$E$2:$E$497,MATCH(N404,Data!$A$2:$A$497,1))),"")</f>
        <v>0.137520096330211</v>
      </c>
      <c r="AP416" s="560">
        <f>IFERROR(LN(INDEX(Data!$F$2:$F$497,MATCH(N416,Data!$A$2:$A$497,1))/INDEX(Data!$F$2:$F$497,MATCH(N404,Data!$A$2:$A$497,1))),"")</f>
        <v>-0.22989610318606</v>
      </c>
      <c r="AQ416" s="560">
        <f>IFERROR(LN(INDEX(Data!$G$2:$G$497,MATCH(N416,Data!$A$2:$A$497,1))/INDEX(Data!$G$2:$G$497,MATCH(N404,Data!$A$2:$A$497,1))),"")</f>
        <v>0.17195196771212</v>
      </c>
      <c r="AR416" s="560">
        <f>IFERROR(LN(INDEX(Data!$H$2:$H$497,MATCH(N416,Data!$A$2:$A$497,1))/INDEX(Data!$H$2:$H$497,MATCH(N404,Data!$A$2:$A$497,1))),"")</f>
      </c>
      <c r="AS416" s="560">
        <f>IFERROR(LN(INDEX(Data!$I$2:$I$497,MATCH(N416,Data!$A$2:$A$497,1))/INDEX(Data!$I$2:$I$497,MATCH(N404,Data!$A$2:$A$497,1))),"")</f>
        <v>0.0867213066996686</v>
      </c>
      <c r="AT416" s="560">
        <f>IFERROR(LN(INDEX(Data!$J$2:$J$497,MATCH(N416,Data!$A$2:$A$497,1))/INDEX(Data!$J$2:$J$497,MATCH(N404,Data!$A$2:$A$497,1))),"")</f>
        <v>0.0472296996624042</v>
      </c>
      <c r="AU416" s="560">
        <f>IFERROR(LN(INDEX(Data!$K$2:$K$497,MATCH(N416,Data!$A$2:$A$497,1))/INDEX(Data!$K$2:$K$497,MATCH(N404,Data!$A$2:$A$497,1))),"")</f>
        <v>0.0755081570169955</v>
      </c>
      <c r="AV416" s="561">
        <f>IFERROR(LN(INDEX(Data!$L$2:$L$497,MATCH(N416,Data!$A$2:$A$497,1))/INDEX(Data!$L$2:$L$497,MATCH(N404,Data!$A$2:$A$497,1))),"")</f>
        <v>0.0460101407494977</v>
      </c>
    </row>
    <row r="417">
      <c r="N417" s="337" t="n">
        <v>37407</v>
      </c>
      <c r="O417" s="116">
        <f>INDEX('Additional data'!$B$2:$B$965,MATCH(DATE(YEAR(N417),MONTH(N417),1),'Additional data'!$A$2:$A$965,0))</f>
        <v>27.02</v>
      </c>
      <c r="P417" s="489">
        <f>LN(O417)</f>
        <v>3.29657733253205</v>
      </c>
      <c r="Q417" s="489">
        <f>Q416+LN(1+INDEX('Additional data'!$H$2:$H$1196,MATCH(N417,'Additional data'!$G$2:$G$1196,1))+INDEX('Additional data'!$I$2:$I$1196,MATCH(N417,'Additional data'!$G$2:$G$1196,1)))</f>
        <v>3.51975414027752</v>
      </c>
      <c r="R417" s="489">
        <f>LN(INDEX(Data!$B$2:$B$497,MATCH(N417,Data!$A$2:$A$497,1)))</f>
        <v>9.72478531808602</v>
      </c>
      <c r="S417" s="116">
        <f>IF(INDEX('Additional data'!$E$2:$E$699,MATCH(DATE(YEAR(N417),MONTH(N417),1),'Additional data'!$D$2:$D$699,0))=0,(INDEX('Additional data'!$E$2:$E$699,MATCH(DATE(YEAR(N417),MONTH(N417),1),'Additional data'!$D$2:$D$699,0)-1)+INDEX('Additional data'!$E$2:$E$699,MATCH(DATE(YEAR(N417),MONTH(N417),1),'Additional data'!$D$2:$D$699,0)+1))/2,INDEX('Additional data'!$E$2:$E$699,MATCH(DATE(YEAR(N417),MONTH(N417),1),'Additional data'!$D$2:$D$699,0)))</f>
        <v>4.84</v>
      </c>
      <c r="T417" s="425">
        <f>P417-P416</f>
        <v>0.0281497288346042</v>
      </c>
      <c r="U417" s="425">
        <f>Q417-Q416</f>
        <v>-0.0122750308756125</v>
      </c>
      <c r="V417" s="425">
        <f>R417-R416</f>
        <v>0.0090753795912466</v>
      </c>
      <c r="W417" s="116">
        <f>S417-S416</f>
        <v>0.25</v>
      </c>
      <c r="X417" s="425">
        <f>P417-P405</f>
        <v>-0.0582270095603921</v>
      </c>
      <c r="Y417" s="425">
        <f>Q417-Q405</f>
        <v>-0.130097281309278</v>
      </c>
      <c r="Z417" s="425">
        <f>R417-R405</f>
        <v>0.0357541597166495</v>
      </c>
      <c r="AA417" s="116">
        <f>S417-S405</f>
        <v>-0.0499999999999998</v>
      </c>
      <c r="AB417" s="425">
        <f>P417-P357</f>
        <v>0.260183077259172</v>
      </c>
      <c r="AC417" s="425">
        <f>Q417-Q357</f>
        <v>0.297500709921062</v>
      </c>
      <c r="AD417" s="425">
        <f>R417-R357</f>
        <v>0.430765781444885</v>
      </c>
      <c r="AE417" s="235">
        <f>S417-S357</f>
        <v>-1.03</v>
      </c>
      <c r="AG417" s="554">
        <f>N417</f>
        <v>37407.0</v>
      </c>
      <c r="AH417" s="435">
        <f>IFERROR(INDEX('RBA 5Y yield'!$B$5:$B$661,MATCH(N417,'RBA 5Y yield'!$A$5:$A$661,1))*100,"")</f>
        <v>5.9628</v>
      </c>
      <c r="AI417" s="435">
        <f>IF(AND(ISNUMBER(AH417),ISNUMBER(AH416)),AH417-AH416,"")</f>
        <v>-0.000700000000000145</v>
      </c>
      <c r="AJ417" s="435">
        <f>IF(AND(ISNUMBER(AH417),ISNUMBER(AH405)),AH417-AH405,"")</f>
        <v>0.457999999999999</v>
      </c>
      <c r="AK417" s="435">
        <f>IF(AND(ISNUMBER(AH417),ISNUMBER(AH357)),AH417-AH357,"")</f>
        <v>-1.2031</v>
      </c>
      <c r="AL417" s="560">
        <f>IFERROR(LN(INDEX(Data!$B$2:$B$497,MATCH(N417,Data!$A$2:$A$497,1))/INDEX(Data!$B$2:$B$497,MATCH(N405,Data!$A$2:$A$497,1))),"")</f>
        <v>0.0357541597166493</v>
      </c>
      <c r="AM417" s="560">
        <f>IFERROR(LN(INDEX(Data!$C$2:$C$497,MATCH(N417,Data!$A$2:$A$497,1))/INDEX(Data!$C$2:$C$497,MATCH(N405,Data!$A$2:$A$497,1))),"")</f>
        <v>-0.263617090741187</v>
      </c>
      <c r="AN417" s="560">
        <f>IFERROR(LN(INDEX(Data!$D$2:$D$497,MATCH(N417,Data!$A$2:$A$497,1))/INDEX(Data!$D$2:$D$497,MATCH(N405,Data!$A$2:$A$497,1))),"")</f>
        <v>-0.000647914718114883</v>
      </c>
      <c r="AO417" s="560">
        <f>IFERROR(LN(INDEX(Data!$E$2:$E$497,MATCH(N417,Data!$A$2:$A$497,1))/INDEX(Data!$E$2:$E$497,MATCH(N405,Data!$A$2:$A$497,1))),"")</f>
        <v>0.0699465915369501</v>
      </c>
      <c r="AP417" s="560">
        <f>IFERROR(LN(INDEX(Data!$F$2:$F$497,MATCH(N417,Data!$A$2:$A$497,1))/INDEX(Data!$F$2:$F$497,MATCH(N405,Data!$A$2:$A$497,1))),"")</f>
        <v>-0.30592228712287</v>
      </c>
      <c r="AQ417" s="560">
        <f>IFERROR(LN(INDEX(Data!$G$2:$G$497,MATCH(N417,Data!$A$2:$A$497,1))/INDEX(Data!$G$2:$G$497,MATCH(N405,Data!$A$2:$A$497,1))),"")</f>
        <v>0.17195196771212</v>
      </c>
      <c r="AR417" s="560">
        <f>IFERROR(LN(INDEX(Data!$H$2:$H$497,MATCH(N417,Data!$A$2:$A$497,1))/INDEX(Data!$H$2:$H$497,MATCH(N405,Data!$A$2:$A$497,1))),"")</f>
      </c>
      <c r="AS417" s="560">
        <f>IFERROR(LN(INDEX(Data!$I$2:$I$497,MATCH(N417,Data!$A$2:$A$497,1))/INDEX(Data!$I$2:$I$497,MATCH(N405,Data!$A$2:$A$497,1))),"")</f>
        <v>0.0867213066996686</v>
      </c>
      <c r="AT417" s="560">
        <f>IFERROR(LN(INDEX(Data!$J$2:$J$497,MATCH(N417,Data!$A$2:$A$497,1))/INDEX(Data!$J$2:$J$497,MATCH(N405,Data!$A$2:$A$497,1))),"")</f>
        <v>0.0482991958506763</v>
      </c>
      <c r="AU417" s="560">
        <f>IFERROR(LN(INDEX(Data!$K$2:$K$497,MATCH(N417,Data!$A$2:$A$497,1))/INDEX(Data!$K$2:$K$497,MATCH(N405,Data!$A$2:$A$497,1))),"")</f>
        <v>0.0759730130897865</v>
      </c>
      <c r="AV417" s="561">
        <f>IFERROR(LN(INDEX(Data!$L$2:$L$497,MATCH(N417,Data!$A$2:$A$497,1))/INDEX(Data!$L$2:$L$497,MATCH(N405,Data!$A$2:$A$497,1))),"")</f>
        <v>0.0456650047340772</v>
      </c>
    </row>
    <row r="418">
      <c r="N418" s="337" t="n">
        <v>37437</v>
      </c>
      <c r="O418" s="116">
        <f>INDEX('Additional data'!$B$2:$B$965,MATCH(DATE(YEAR(N418),MONTH(N418),1),'Additional data'!$A$2:$A$965,0))</f>
        <v>25.52</v>
      </c>
      <c r="P418" s="489">
        <f>LN(O418)</f>
        <v>3.23946245847659</v>
      </c>
      <c r="Q418" s="489">
        <f>Q417+LN(1+INDEX('Additional data'!$H$2:$H$1196,MATCH(N418,'Additional data'!$G$2:$G$1196,1))+INDEX('Additional data'!$I$2:$I$1196,MATCH(N418,'Additional data'!$G$2:$G$1196,1)))</f>
        <v>3.44610760010922</v>
      </c>
      <c r="R418" s="489">
        <f>LN(INDEX(Data!$B$2:$B$497,MATCH(N418,Data!$A$2:$A$497,1)))</f>
        <v>9.67979678902863</v>
      </c>
      <c r="S418" s="116">
        <f>IF(INDEX('Additional data'!$E$2:$E$699,MATCH(DATE(YEAR(N418),MONTH(N418),1),'Additional data'!$D$2:$D$699,0))=0,(INDEX('Additional data'!$E$2:$E$699,MATCH(DATE(YEAR(N418),MONTH(N418),1),'Additional data'!$D$2:$D$699,0)-1)+INDEX('Additional data'!$E$2:$E$699,MATCH(DATE(YEAR(N418),MONTH(N418),1),'Additional data'!$D$2:$D$699,0)+1))/2,INDEX('Additional data'!$E$2:$E$699,MATCH(DATE(YEAR(N418),MONTH(N418),1),'Additional data'!$D$2:$D$699,0)))</f>
        <v>5.07</v>
      </c>
      <c r="T418" s="425">
        <f>P418-P417</f>
        <v>-0.0571148740554635</v>
      </c>
      <c r="U418" s="425">
        <f>Q418-Q417</f>
        <v>-0.0736465401682986</v>
      </c>
      <c r="V418" s="425">
        <f>R418-R417</f>
        <v>-0.0449885290573899</v>
      </c>
      <c r="W418" s="116">
        <f>S418-S417</f>
        <v>0.23</v>
      </c>
      <c r="X418" s="425">
        <f>P418-P406</f>
        <v>-0.0783533142465154</v>
      </c>
      <c r="Y418" s="425">
        <f>Q418-Q406</f>
        <v>-0.187004497473279</v>
      </c>
      <c r="Z418" s="425">
        <f>R418-R406</f>
        <v>-0.0460562851796329</v>
      </c>
      <c r="AA418" s="116">
        <f>S418-S406</f>
        <v>0.100000000000001</v>
      </c>
      <c r="AB418" s="425">
        <f>P418-P358</f>
        <v>0.286115901419036</v>
      </c>
      <c r="AC418" s="425">
        <f>Q418-Q358</f>
        <v>0.180124406891439</v>
      </c>
      <c r="AD418" s="425">
        <f>R418-R358</f>
        <v>0.335485121199541</v>
      </c>
      <c r="AE418" s="235">
        <f>S418-S358</f>
        <v>-0.279999999999999</v>
      </c>
      <c r="AG418" s="554">
        <f>N418</f>
        <v>37437.0</v>
      </c>
      <c r="AH418" s="435">
        <f>IFERROR(INDEX('RBA 5Y yield'!$B$5:$B$661,MATCH(N418,'RBA 5Y yield'!$A$5:$A$661,1))*100,"")</f>
        <v>5.8332</v>
      </c>
      <c r="AI418" s="435">
        <f>IF(AND(ISNUMBER(AH418),ISNUMBER(AH417)),AH418-AH417,"")</f>
        <v>-0.129599999999999</v>
      </c>
      <c r="AJ418" s="435">
        <f>IF(AND(ISNUMBER(AH418),ISNUMBER(AH406)),AH418-AH406,"")</f>
        <v>0.2477</v>
      </c>
      <c r="AK418" s="435">
        <f>IF(AND(ISNUMBER(AH418),ISNUMBER(AH358)),AH418-AH358,"")</f>
        <v>-0.7073</v>
      </c>
      <c r="AL418" s="560">
        <f>IFERROR(LN(INDEX(Data!$B$2:$B$497,MATCH(N418,Data!$A$2:$A$497,1))/INDEX(Data!$B$2:$B$497,MATCH(N406,Data!$A$2:$A$497,1))),"")</f>
        <v>-0.0460562851796327</v>
      </c>
      <c r="AM418" s="560">
        <f>IFERROR(LN(INDEX(Data!$C$2:$C$497,MATCH(N418,Data!$A$2:$A$497,1))/INDEX(Data!$C$2:$C$497,MATCH(N406,Data!$A$2:$A$497,1))),"")</f>
        <v>-0.307584528853919</v>
      </c>
      <c r="AN418" s="560">
        <f>IFERROR(LN(INDEX(Data!$D$2:$D$497,MATCH(N418,Data!$A$2:$A$497,1))/INDEX(Data!$D$2:$D$497,MATCH(N406,Data!$A$2:$A$497,1))),"")</f>
        <v>-0.0392591328906016</v>
      </c>
      <c r="AO418" s="560">
        <f>IFERROR(LN(INDEX(Data!$E$2:$E$497,MATCH(N418,Data!$A$2:$A$497,1))/INDEX(Data!$E$2:$E$497,MATCH(N406,Data!$A$2:$A$497,1))),"")</f>
        <v>0.0480032257394463</v>
      </c>
      <c r="AP418" s="560">
        <f>IFERROR(LN(INDEX(Data!$F$2:$F$497,MATCH(N418,Data!$A$2:$A$497,1))/INDEX(Data!$F$2:$F$497,MATCH(N406,Data!$A$2:$A$497,1))),"")</f>
        <v>-0.186525775757895</v>
      </c>
      <c r="AQ418" s="560">
        <f>IFERROR(LN(INDEX(Data!$G$2:$G$497,MATCH(N418,Data!$A$2:$A$497,1))/INDEX(Data!$G$2:$G$497,MATCH(N406,Data!$A$2:$A$497,1))),"")</f>
        <v>0.194656616735717</v>
      </c>
      <c r="AR418" s="560">
        <f>IFERROR(LN(INDEX(Data!$H$2:$H$497,MATCH(N418,Data!$A$2:$A$497,1))/INDEX(Data!$H$2:$H$497,MATCH(N406,Data!$A$2:$A$497,1))),"")</f>
      </c>
      <c r="AS418" s="560">
        <f>IFERROR(LN(INDEX(Data!$I$2:$I$497,MATCH(N418,Data!$A$2:$A$497,1))/INDEX(Data!$I$2:$I$497,MATCH(N406,Data!$A$2:$A$497,1))),"")</f>
        <v>0.124491783046798</v>
      </c>
      <c r="AT418" s="560">
        <f>IFERROR(LN(INDEX(Data!$J$2:$J$497,MATCH(N418,Data!$A$2:$A$497,1))/INDEX(Data!$J$2:$J$497,MATCH(N406,Data!$A$2:$A$497,1))),"")</f>
        <v>0.0602338070666469</v>
      </c>
      <c r="AU418" s="560">
        <f>IFERROR(LN(INDEX(Data!$K$2:$K$497,MATCH(N418,Data!$A$2:$A$497,1))/INDEX(Data!$K$2:$K$497,MATCH(N406,Data!$A$2:$A$497,1))),"")</f>
        <v>0.0831187363978601</v>
      </c>
      <c r="AV418" s="561">
        <f>IFERROR(LN(INDEX(Data!$L$2:$L$497,MATCH(N418,Data!$A$2:$A$497,1))/INDEX(Data!$L$2:$L$497,MATCH(N406,Data!$A$2:$A$497,1))),"")</f>
        <v>0.0455515018208643</v>
      </c>
    </row>
    <row r="419">
      <c r="N419" s="337" t="n">
        <v>37468</v>
      </c>
      <c r="O419" s="116">
        <f>INDEX('Additional data'!$B$2:$B$965,MATCH(DATE(YEAR(N419),MONTH(N419),1),'Additional data'!$A$2:$A$965,0))</f>
        <v>26.94</v>
      </c>
      <c r="P419" s="489">
        <f>LN(O419)</f>
        <v>3.29361217098222</v>
      </c>
      <c r="Q419" s="489">
        <f>Q418+LN(1+INDEX('Additional data'!$H$2:$H$1196,MATCH(N419,'Additional data'!$G$2:$G$1196,1))+INDEX('Additional data'!$I$2:$I$1196,MATCH(N419,'Additional data'!$G$2:$G$1196,1)))</f>
        <v>3.36229111401611</v>
      </c>
      <c r="R419" s="489">
        <f>LN(INDEX(Data!$B$2:$B$497,MATCH(N419,Data!$A$2:$A$497,1)))</f>
        <v>9.6378302118401</v>
      </c>
      <c r="S419" s="116">
        <f>IF(INDEX('Additional data'!$E$2:$E$699,MATCH(DATE(YEAR(N419),MONTH(N419),1),'Additional data'!$D$2:$D$699,0))=0,(INDEX('Additional data'!$E$2:$E$699,MATCH(DATE(YEAR(N419),MONTH(N419),1),'Additional data'!$D$2:$D$699,0)-1)+INDEX('Additional data'!$E$2:$E$699,MATCH(DATE(YEAR(N419),MONTH(N419),1),'Additional data'!$D$2:$D$699,0)+1))/2,INDEX('Additional data'!$E$2:$E$699,MATCH(DATE(YEAR(N419),MONTH(N419),1),'Additional data'!$D$2:$D$699,0)))</f>
        <v>4.98</v>
      </c>
      <c r="T419" s="425">
        <f>P419-P418</f>
        <v>0.0541497125056289</v>
      </c>
      <c r="U419" s="425">
        <f>Q419-Q418</f>
        <v>-0.0838164860931108</v>
      </c>
      <c r="V419" s="425">
        <f>R419-R418</f>
        <v>-0.0419665771885356</v>
      </c>
      <c r="W419" s="116">
        <f>S419-S418</f>
        <v>-0.0899999999999999</v>
      </c>
      <c r="X419" s="425">
        <f>P419-P407</f>
        <v>0.0183560126779097</v>
      </c>
      <c r="Y419" s="425">
        <f>Q419-Q407</f>
        <v>-0.252351467282729</v>
      </c>
      <c r="Z419" s="425">
        <f>R419-R407</f>
        <v>-0.0420858853439459</v>
      </c>
      <c r="AA419" s="116">
        <f>S419-S407</f>
        <v>-0.0599999999999996</v>
      </c>
      <c r="AB419" s="425">
        <f>P419-P359</f>
        <v>0.316553162693849</v>
      </c>
      <c r="AC419" s="425">
        <f>Q419-Q359</f>
        <v>0.0217571895340316</v>
      </c>
      <c r="AD419" s="425">
        <f>R419-R359</f>
        <v>0.292591881415955</v>
      </c>
      <c r="AE419" s="235">
        <f>S419-S359</f>
        <v>-0.21</v>
      </c>
      <c r="AG419" s="554">
        <f>N419</f>
        <v>37468.0</v>
      </c>
      <c r="AH419" s="435">
        <f>IFERROR(INDEX('RBA 5Y yield'!$B$5:$B$661,MATCH(N419,'RBA 5Y yield'!$A$5:$A$661,1))*100,"")</f>
        <v>5.617</v>
      </c>
      <c r="AI419" s="435">
        <f>IF(AND(ISNUMBER(AH419),ISNUMBER(AH418)),AH419-AH418,"")</f>
        <v>-0.216200000000001</v>
      </c>
      <c r="AJ419" s="435">
        <f>IF(AND(ISNUMBER(AH419),ISNUMBER(AH407)),AH419-AH407,"")</f>
        <v>-0.2223</v>
      </c>
      <c r="AK419" s="435">
        <f>IF(AND(ISNUMBER(AH419),ISNUMBER(AH359)),AH419-AH359,"")</f>
        <v>-0.5347</v>
      </c>
      <c r="AL419" s="560">
        <f>IFERROR(LN(INDEX(Data!$B$2:$B$497,MATCH(N419,Data!$A$2:$A$497,1))/INDEX(Data!$B$2:$B$497,MATCH(N407,Data!$A$2:$A$497,1))),"")</f>
        <v>-0.0420858853439466</v>
      </c>
      <c r="AM419" s="560">
        <f>IFERROR(LN(INDEX(Data!$C$2:$C$497,MATCH(N419,Data!$A$2:$A$497,1))/INDEX(Data!$C$2:$C$497,MATCH(N407,Data!$A$2:$A$497,1))),"")</f>
        <v>-0.344832805257882</v>
      </c>
      <c r="AN419" s="560">
        <f>IFERROR(LN(INDEX(Data!$D$2:$D$497,MATCH(N419,Data!$A$2:$A$497,1))/INDEX(Data!$D$2:$D$497,MATCH(N407,Data!$A$2:$A$497,1))),"")</f>
        <v>-0.0229147508194655</v>
      </c>
      <c r="AO419" s="560">
        <f>IFERROR(LN(INDEX(Data!$E$2:$E$497,MATCH(N419,Data!$A$2:$A$497,1))/INDEX(Data!$E$2:$E$497,MATCH(N407,Data!$A$2:$A$497,1))),"")</f>
        <v>0.0449132048464877</v>
      </c>
      <c r="AP419" s="560">
        <f>IFERROR(LN(INDEX(Data!$F$2:$F$497,MATCH(N419,Data!$A$2:$A$497,1))/INDEX(Data!$F$2:$F$497,MATCH(N407,Data!$A$2:$A$497,1))),"")</f>
        <v>-0.153793041860961</v>
      </c>
      <c r="AQ419" s="560">
        <f>IFERROR(LN(INDEX(Data!$G$2:$G$497,MATCH(N419,Data!$A$2:$A$497,1))/INDEX(Data!$G$2:$G$497,MATCH(N407,Data!$A$2:$A$497,1))),"")</f>
        <v>0.194656616735717</v>
      </c>
      <c r="AR419" s="560">
        <f>IFERROR(LN(INDEX(Data!$H$2:$H$497,MATCH(N419,Data!$A$2:$A$497,1))/INDEX(Data!$H$2:$H$497,MATCH(N407,Data!$A$2:$A$497,1))),"")</f>
      </c>
      <c r="AS419" s="560">
        <f>IFERROR(LN(INDEX(Data!$I$2:$I$497,MATCH(N419,Data!$A$2:$A$497,1))/INDEX(Data!$I$2:$I$497,MATCH(N407,Data!$A$2:$A$497,1))),"")</f>
        <v>0.124491783046798</v>
      </c>
      <c r="AT419" s="560">
        <f>IFERROR(LN(INDEX(Data!$J$2:$J$497,MATCH(N419,Data!$A$2:$A$497,1))/INDEX(Data!$J$2:$J$497,MATCH(N407,Data!$A$2:$A$497,1))),"")</f>
        <v>0.0663488919217177</v>
      </c>
      <c r="AU419" s="560">
        <f>IFERROR(LN(INDEX(Data!$K$2:$K$497,MATCH(N419,Data!$A$2:$A$497,1))/INDEX(Data!$K$2:$K$497,MATCH(N407,Data!$A$2:$A$497,1))),"")</f>
        <v>0.0807192505652964</v>
      </c>
      <c r="AV419" s="561">
        <f>IFERROR(LN(INDEX(Data!$L$2:$L$497,MATCH(N419,Data!$A$2:$A$497,1))/INDEX(Data!$L$2:$L$497,MATCH(N407,Data!$A$2:$A$497,1))),"")</f>
        <v>0.0457114344205978</v>
      </c>
    </row>
    <row r="420">
      <c r="N420" s="337" t="n">
        <v>37499</v>
      </c>
      <c r="O420" s="116">
        <f>INDEX('Additional data'!$B$2:$B$965,MATCH(DATE(YEAR(N420),MONTH(N420),1),'Additional data'!$A$2:$A$965,0))</f>
        <v>28.38</v>
      </c>
      <c r="P420" s="489">
        <f>LN(O420)</f>
        <v>3.3456846717319</v>
      </c>
      <c r="Q420" s="489">
        <f>Q419+LN(1+INDEX('Additional data'!$H$2:$H$1196,MATCH(N420,'Additional data'!$G$2:$G$1196,1))+INDEX('Additional data'!$I$2:$I$1196,MATCH(N420,'Additional data'!$G$2:$G$1196,1)))</f>
        <v>3.36867072098015</v>
      </c>
      <c r="R420" s="489">
        <f>LN(INDEX(Data!$B$2:$B$497,MATCH(N420,Data!$A$2:$A$497,1)))</f>
        <v>9.65575125083265</v>
      </c>
      <c r="S420" s="116">
        <f>IF(INDEX('Additional data'!$E$2:$E$699,MATCH(DATE(YEAR(N420),MONTH(N420),1),'Additional data'!$D$2:$D$699,0))=0,(INDEX('Additional data'!$E$2:$E$699,MATCH(DATE(YEAR(N420),MONTH(N420),1),'Additional data'!$D$2:$D$699,0)-1)+INDEX('Additional data'!$E$2:$E$699,MATCH(DATE(YEAR(N420),MONTH(N420),1),'Additional data'!$D$2:$D$699,0)+1))/2,INDEX('Additional data'!$E$2:$E$699,MATCH(DATE(YEAR(N420),MONTH(N420),1),'Additional data'!$D$2:$D$699,0)))</f>
        <v>4.96</v>
      </c>
      <c r="T420" s="425">
        <f>P420-P419</f>
        <v>0.0520725007496785</v>
      </c>
      <c r="U420" s="425">
        <f>Q420-Q419</f>
        <v>0.00637960696403894</v>
      </c>
      <c r="V420" s="425">
        <f>R420-R419</f>
        <v>0.0179210389925544</v>
      </c>
      <c r="W420" s="116">
        <f>S420-S419</f>
        <v>-0.0200000000000005</v>
      </c>
      <c r="X420" s="425">
        <f>P420-P408</f>
        <v>0.0325901716247143</v>
      </c>
      <c r="Y420" s="425">
        <f>Q420-Q408</f>
        <v>-0.18313855114712</v>
      </c>
      <c r="Z420" s="425">
        <f>R420-R408</f>
        <v>-0.0115342328746593</v>
      </c>
      <c r="AA420" s="116">
        <f>S420-S408</f>
        <v>0.00999999999999979</v>
      </c>
      <c r="AB420" s="425">
        <f>P420-P360</f>
        <v>0.353458537507193</v>
      </c>
      <c r="AC420" s="425">
        <f>Q420-Q360</f>
        <v>0.0657348269133888</v>
      </c>
      <c r="AD420" s="425">
        <f>R420-R360</f>
        <v>0.363158307040029</v>
      </c>
      <c r="AE420" s="235">
        <f>S420-S360</f>
        <v>0.0599999999999996</v>
      </c>
      <c r="AG420" s="554">
        <f>N420</f>
        <v>37499.0</v>
      </c>
      <c r="AH420" s="435">
        <f>IFERROR(INDEX('RBA 5Y yield'!$B$5:$B$661,MATCH(N420,'RBA 5Y yield'!$A$5:$A$661,1))*100,"")</f>
        <v>5.3905</v>
      </c>
      <c r="AI420" s="435">
        <f>IF(AND(ISNUMBER(AH420),ISNUMBER(AH419)),AH420-AH419,"")</f>
        <v>-0.2265</v>
      </c>
      <c r="AJ420" s="435">
        <f>IF(AND(ISNUMBER(AH420),ISNUMBER(AH408)),AH420-AH408,"")</f>
        <v>-0.0998999999999999</v>
      </c>
      <c r="AK420" s="435">
        <f>IF(AND(ISNUMBER(AH420),ISNUMBER(AH360)),AH420-AH360,"")</f>
        <v>-0.717099999999999</v>
      </c>
      <c r="AL420" s="560">
        <f>IFERROR(LN(INDEX(Data!$B$2:$B$497,MATCH(N420,Data!$A$2:$A$497,1))/INDEX(Data!$B$2:$B$497,MATCH(N408,Data!$A$2:$A$497,1))),"")</f>
        <v>-0.011534232874659</v>
      </c>
      <c r="AM420" s="560">
        <f>IFERROR(LN(INDEX(Data!$C$2:$C$497,MATCH(N420,Data!$A$2:$A$497,1))/INDEX(Data!$C$2:$C$497,MATCH(N408,Data!$A$2:$A$497,1))),"")</f>
        <v>-0.254748387304526</v>
      </c>
      <c r="AN420" s="560">
        <f>IFERROR(LN(INDEX(Data!$D$2:$D$497,MATCH(N420,Data!$A$2:$A$497,1))/INDEX(Data!$D$2:$D$497,MATCH(N408,Data!$A$2:$A$497,1))),"")</f>
        <v>0.0205389565281353</v>
      </c>
      <c r="AO420" s="560">
        <f>IFERROR(LN(INDEX(Data!$E$2:$E$497,MATCH(N420,Data!$A$2:$A$497,1))/INDEX(Data!$E$2:$E$497,MATCH(N408,Data!$A$2:$A$497,1))),"")</f>
        <v>0.0387991455267502</v>
      </c>
      <c r="AP420" s="560">
        <f>IFERROR(LN(INDEX(Data!$F$2:$F$497,MATCH(N420,Data!$A$2:$A$497,1))/INDEX(Data!$F$2:$F$497,MATCH(N408,Data!$A$2:$A$497,1))),"")</f>
        <v>-0.0804419372719595</v>
      </c>
      <c r="AQ420" s="560">
        <f>IFERROR(LN(INDEX(Data!$G$2:$G$497,MATCH(N420,Data!$A$2:$A$497,1))/INDEX(Data!$G$2:$G$497,MATCH(N408,Data!$A$2:$A$497,1))),"")</f>
        <v>0.194656616735717</v>
      </c>
      <c r="AR420" s="560">
        <f>IFERROR(LN(INDEX(Data!$H$2:$H$497,MATCH(N420,Data!$A$2:$A$497,1))/INDEX(Data!$H$2:$H$497,MATCH(N408,Data!$A$2:$A$497,1))),"")</f>
      </c>
      <c r="AS420" s="560">
        <f>IFERROR(LN(INDEX(Data!$I$2:$I$497,MATCH(N420,Data!$A$2:$A$497,1))/INDEX(Data!$I$2:$I$497,MATCH(N408,Data!$A$2:$A$497,1))),"")</f>
        <v>0.124491783046798</v>
      </c>
      <c r="AT420" s="560">
        <f>IFERROR(LN(INDEX(Data!$J$2:$J$497,MATCH(N420,Data!$A$2:$A$497,1))/INDEX(Data!$J$2:$J$497,MATCH(N408,Data!$A$2:$A$497,1))),"")</f>
        <v>0.0504457012231862</v>
      </c>
      <c r="AU420" s="560">
        <f>IFERROR(LN(INDEX(Data!$K$2:$K$497,MATCH(N420,Data!$A$2:$A$497,1))/INDEX(Data!$K$2:$K$497,MATCH(N408,Data!$A$2:$A$497,1))),"")</f>
        <v>0.0872781959225498</v>
      </c>
      <c r="AV420" s="561">
        <f>IFERROR(LN(INDEX(Data!$L$2:$L$497,MATCH(N420,Data!$A$2:$A$497,1))/INDEX(Data!$L$2:$L$497,MATCH(N408,Data!$A$2:$A$497,1))),"")</f>
        <v>0.045414537443818</v>
      </c>
    </row>
    <row r="421">
      <c r="N421" s="337" t="n">
        <v>37529</v>
      </c>
      <c r="O421" s="116">
        <f>INDEX('Additional data'!$B$2:$B$965,MATCH(DATE(YEAR(N421),MONTH(N421),1),'Additional data'!$A$2:$A$965,0))</f>
        <v>29.67</v>
      </c>
      <c r="P421" s="489">
        <f>LN(O421)</f>
        <v>3.39013643430273</v>
      </c>
      <c r="Q421" s="489">
        <f>Q420+LN(1+INDEX('Additional data'!$H$2:$H$1196,MATCH(N421,'Additional data'!$G$2:$G$1196,1))+INDEX('Additional data'!$I$2:$I$1196,MATCH(N421,'Additional data'!$G$2:$G$1196,1)))</f>
        <v>3.26108551030021</v>
      </c>
      <c r="R421" s="489">
        <f>LN(INDEX(Data!$B$2:$B$497,MATCH(N421,Data!$A$2:$A$497,1)))</f>
        <v>9.61399257109078</v>
      </c>
      <c r="S421" s="116">
        <f>IF(INDEX('Additional data'!$E$2:$E$699,MATCH(DATE(YEAR(N421),MONTH(N421),1),'Additional data'!$D$2:$D$699,0))=0,(INDEX('Additional data'!$E$2:$E$699,MATCH(DATE(YEAR(N421),MONTH(N421),1),'Additional data'!$D$2:$D$699,0)-1)+INDEX('Additional data'!$E$2:$E$699,MATCH(DATE(YEAR(N421),MONTH(N421),1),'Additional data'!$D$2:$D$699,0)+1))/2,INDEX('Additional data'!$E$2:$E$699,MATCH(DATE(YEAR(N421),MONTH(N421),1),'Additional data'!$D$2:$D$699,0)))</f>
        <v>4.92</v>
      </c>
      <c r="T421" s="425">
        <f>P421-P420</f>
        <v>0.0444517625708341</v>
      </c>
      <c r="U421" s="425">
        <f>Q421-Q420</f>
        <v>-0.107585210679938</v>
      </c>
      <c r="V421" s="425">
        <f>R421-R420</f>
        <v>-0.0417586797418679</v>
      </c>
      <c r="W421" s="116">
        <f>S421-S420</f>
        <v>-0.04</v>
      </c>
      <c r="X421" s="425">
        <f>P421-P409</f>
        <v>0.136665964670031</v>
      </c>
      <c r="Y421" s="425">
        <f>Q421-Q409</f>
        <v>-0.196852546216987</v>
      </c>
      <c r="Z421" s="425">
        <f>R421-R409</f>
        <v>0.0158078554973464</v>
      </c>
      <c r="AA421" s="116">
        <f>S421-S409</f>
        <v>0.37</v>
      </c>
      <c r="AB421" s="425">
        <f>P421-P361</f>
        <v>0.404959674688256</v>
      </c>
      <c r="AC421" s="425">
        <f>Q421-Q361</f>
        <v>-0.0980416634162911</v>
      </c>
      <c r="AD421" s="425">
        <f>R421-R361</f>
        <v>0.250450540894498</v>
      </c>
      <c r="AE421" s="235">
        <f>S421-S361</f>
        <v>0.15</v>
      </c>
      <c r="AG421" s="554">
        <f>N421</f>
        <v>37529.0</v>
      </c>
      <c r="AH421" s="435">
        <f>IFERROR(INDEX('RBA 5Y yield'!$B$5:$B$661,MATCH(N421,'RBA 5Y yield'!$A$5:$A$661,1))*100,"")</f>
        <v>5.2279</v>
      </c>
      <c r="AI421" s="435">
        <f>IF(AND(ISNUMBER(AH421),ISNUMBER(AH420)),AH421-AH420,"")</f>
        <v>-0.1626</v>
      </c>
      <c r="AJ421" s="435">
        <f>IF(AND(ISNUMBER(AH421),ISNUMBER(AH409)),AH421-AH409,"")</f>
        <v>0.1494</v>
      </c>
      <c r="AK421" s="435">
        <f>IF(AND(ISNUMBER(AH421),ISNUMBER(AH361)),AH421-AH361,"")</f>
        <v>-0.593</v>
      </c>
      <c r="AL421" s="560">
        <f>IFERROR(LN(INDEX(Data!$B$2:$B$497,MATCH(N421,Data!$A$2:$A$497,1))/INDEX(Data!$B$2:$B$497,MATCH(N409,Data!$A$2:$A$497,1))),"")</f>
        <v>0.0158078554973474</v>
      </c>
      <c r="AM421" s="560">
        <f>IFERROR(LN(INDEX(Data!$C$2:$C$497,MATCH(N421,Data!$A$2:$A$497,1))/INDEX(Data!$C$2:$C$497,MATCH(N409,Data!$A$2:$A$497,1))),"")</f>
        <v>-0.328577825161734</v>
      </c>
      <c r="AN421" s="560">
        <f>IFERROR(LN(INDEX(Data!$D$2:$D$497,MATCH(N421,Data!$A$2:$A$497,1))/INDEX(Data!$D$2:$D$497,MATCH(N409,Data!$A$2:$A$497,1))),"")</f>
        <v>0.0287072738546896</v>
      </c>
      <c r="AO421" s="560">
        <f>IFERROR(LN(INDEX(Data!$E$2:$E$497,MATCH(N421,Data!$A$2:$A$497,1))/INDEX(Data!$E$2:$E$497,MATCH(N409,Data!$A$2:$A$497,1))),"")</f>
        <v>-0.00842599626997171</v>
      </c>
      <c r="AP421" s="560">
        <f>IFERROR(LN(INDEX(Data!$F$2:$F$497,MATCH(N421,Data!$A$2:$A$497,1))/INDEX(Data!$F$2:$F$497,MATCH(N409,Data!$A$2:$A$497,1))),"")</f>
        <v>0.0301821603715787</v>
      </c>
      <c r="AQ421" s="560">
        <f>IFERROR(LN(INDEX(Data!$G$2:$G$497,MATCH(N421,Data!$A$2:$A$497,1))/INDEX(Data!$G$2:$G$497,MATCH(N409,Data!$A$2:$A$497,1))),"")</f>
        <v>0.184718970583558</v>
      </c>
      <c r="AR421" s="560">
        <f>IFERROR(LN(INDEX(Data!$H$2:$H$497,MATCH(N421,Data!$A$2:$A$497,1))/INDEX(Data!$H$2:$H$497,MATCH(N409,Data!$A$2:$A$497,1))),"")</f>
      </c>
      <c r="AS421" s="560">
        <f>IFERROR(LN(INDEX(Data!$I$2:$I$497,MATCH(N421,Data!$A$2:$A$497,1))/INDEX(Data!$I$2:$I$497,MATCH(N409,Data!$A$2:$A$497,1))),"")</f>
        <v>0.0941988978144948</v>
      </c>
      <c r="AT421" s="560">
        <f>IFERROR(LN(INDEX(Data!$J$2:$J$497,MATCH(N421,Data!$A$2:$A$497,1))/INDEX(Data!$J$2:$J$497,MATCH(N409,Data!$A$2:$A$497,1))),"")</f>
        <v>0.0558206643049888</v>
      </c>
      <c r="AU421" s="560">
        <f>IFERROR(LN(INDEX(Data!$K$2:$K$497,MATCH(N421,Data!$A$2:$A$497,1))/INDEX(Data!$K$2:$K$497,MATCH(N409,Data!$A$2:$A$497,1))),"")</f>
        <v>0.0938613684706675</v>
      </c>
      <c r="AV421" s="561">
        <f>IFERROR(LN(INDEX(Data!$L$2:$L$497,MATCH(N421,Data!$A$2:$A$497,1))/INDEX(Data!$L$2:$L$497,MATCH(N409,Data!$A$2:$A$497,1))),"")</f>
        <v>0.0452603433282278</v>
      </c>
    </row>
    <row r="422">
      <c r="N422" s="337" t="n">
        <v>37560</v>
      </c>
      <c r="O422" s="116">
        <f>INDEX('Additional data'!$B$2:$B$965,MATCH(DATE(YEAR(N422),MONTH(N422),1),'Additional data'!$A$2:$A$965,0))</f>
        <v>28.85</v>
      </c>
      <c r="P422" s="489">
        <f>LN(O422)</f>
        <v>3.36210999295411</v>
      </c>
      <c r="Q422" s="489">
        <f>Q421+LN(1+INDEX('Additional data'!$H$2:$H$1196,MATCH(N422,'Additional data'!$G$2:$G$1196,1))+INDEX('Additional data'!$I$2:$I$1196,MATCH(N422,'Additional data'!$G$2:$G$1196,1)))</f>
        <v>3.33786134910226</v>
      </c>
      <c r="R422" s="489">
        <f>LN(INDEX(Data!$B$2:$B$497,MATCH(N422,Data!$A$2:$A$497,1)))</f>
        <v>9.63931593078198</v>
      </c>
      <c r="S422" s="116">
        <f>IF(INDEX('Additional data'!$E$2:$E$699,MATCH(DATE(YEAR(N422),MONTH(N422),1),'Additional data'!$D$2:$D$699,0))=0,(INDEX('Additional data'!$E$2:$E$699,MATCH(DATE(YEAR(N422),MONTH(N422),1),'Additional data'!$D$2:$D$699,0)-1)+INDEX('Additional data'!$E$2:$E$699,MATCH(DATE(YEAR(N422),MONTH(N422),1),'Additional data'!$D$2:$D$699,0)+1))/2,INDEX('Additional data'!$E$2:$E$699,MATCH(DATE(YEAR(N422),MONTH(N422),1),'Additional data'!$D$2:$D$699,0)))</f>
        <v>4.9</v>
      </c>
      <c r="T422" s="425">
        <f>P422-P421</f>
        <v>-0.0280264413486222</v>
      </c>
      <c r="U422" s="425">
        <f>Q422-Q421</f>
        <v>0.0767758388020496</v>
      </c>
      <c r="V422" s="425">
        <f>R422-R421</f>
        <v>0.0253233596911961</v>
      </c>
      <c r="W422" s="116">
        <f>S422-S421</f>
        <v>-0.0199999999999996</v>
      </c>
      <c r="X422" s="425">
        <f>P422-P410</f>
        <v>0.261567355047772</v>
      </c>
      <c r="Y422" s="425">
        <f>Q422-Q410</f>
        <v>-0.146718638361359</v>
      </c>
      <c r="Z422" s="425">
        <f>R422-R410</f>
        <v>-0.0246341718212832</v>
      </c>
      <c r="AA422" s="116">
        <f>S422-S410</f>
        <v>0.54</v>
      </c>
      <c r="AB422" s="425">
        <f>P422-P362</f>
        <v>0.305282620040307</v>
      </c>
      <c r="AC422" s="425">
        <f>Q422-Q362</f>
        <v>0.0131186022475895</v>
      </c>
      <c r="AD422" s="425">
        <f>R422-R362</f>
        <v>0.385954384255601</v>
      </c>
      <c r="AE422" s="235">
        <f>S422-S362</f>
        <v>0.0700000000000003</v>
      </c>
      <c r="AG422" s="554">
        <f>N422</f>
        <v>37560.0</v>
      </c>
      <c r="AH422" s="435">
        <f>IFERROR(INDEX('RBA 5Y yield'!$B$5:$B$661,MATCH(N422,'RBA 5Y yield'!$A$5:$A$661,1))*100,"")</f>
        <v>5.3161</v>
      </c>
      <c r="AI422" s="435">
        <f>IF(AND(ISNUMBER(AH422),ISNUMBER(AH421)),AH422-AH421,"")</f>
        <v>0.0881999999999996</v>
      </c>
      <c r="AJ422" s="435">
        <f>IF(AND(ISNUMBER(AH422),ISNUMBER(AH410)),AH422-AH410,"")</f>
        <v>0.5011</v>
      </c>
      <c r="AK422" s="435">
        <f>IF(AND(ISNUMBER(AH422),ISNUMBER(AH362)),AH422-AH362,"")</f>
        <v>-0.459600000000001</v>
      </c>
      <c r="AL422" s="560">
        <f>IFERROR(LN(INDEX(Data!$B$2:$B$497,MATCH(N422,Data!$A$2:$A$497,1))/INDEX(Data!$B$2:$B$497,MATCH(N410,Data!$A$2:$A$497,1))),"")</f>
        <v>-0.0246341718212835</v>
      </c>
      <c r="AM422" s="560">
        <f>IFERROR(LN(INDEX(Data!$C$2:$C$497,MATCH(N422,Data!$A$2:$A$497,1))/INDEX(Data!$C$2:$C$497,MATCH(N410,Data!$A$2:$A$497,1))),"")</f>
        <v>-0.280935861527951</v>
      </c>
      <c r="AN422" s="560">
        <f>IFERROR(LN(INDEX(Data!$D$2:$D$497,MATCH(N422,Data!$A$2:$A$497,1))/INDEX(Data!$D$2:$D$497,MATCH(N410,Data!$A$2:$A$497,1))),"")</f>
        <v>0.0143922057202259</v>
      </c>
      <c r="AO422" s="560">
        <f>IFERROR(LN(INDEX(Data!$E$2:$E$497,MATCH(N422,Data!$A$2:$A$497,1))/INDEX(Data!$E$2:$E$497,MATCH(N410,Data!$A$2:$A$497,1))),"")</f>
        <v>-0.0208718077309421</v>
      </c>
      <c r="AP422" s="560">
        <f>IFERROR(LN(INDEX(Data!$F$2:$F$497,MATCH(N422,Data!$A$2:$A$497,1))/INDEX(Data!$F$2:$F$497,MATCH(N410,Data!$A$2:$A$497,1))),"")</f>
        <v>0.0347088872793212</v>
      </c>
      <c r="AQ422" s="560">
        <f>IFERROR(LN(INDEX(Data!$G$2:$G$497,MATCH(N422,Data!$A$2:$A$497,1))/INDEX(Data!$G$2:$G$497,MATCH(N410,Data!$A$2:$A$497,1))),"")</f>
        <v>0.184718970583558</v>
      </c>
      <c r="AR422" s="560">
        <f>IFERROR(LN(INDEX(Data!$H$2:$H$497,MATCH(N422,Data!$A$2:$A$497,1))/INDEX(Data!$H$2:$H$497,MATCH(N410,Data!$A$2:$A$497,1))),"")</f>
      </c>
      <c r="AS422" s="560">
        <f>IFERROR(LN(INDEX(Data!$I$2:$I$497,MATCH(N422,Data!$A$2:$A$497,1))/INDEX(Data!$I$2:$I$497,MATCH(N410,Data!$A$2:$A$497,1))),"")</f>
        <v>0.0941988978144948</v>
      </c>
      <c r="AT422" s="560">
        <f>IFERROR(LN(INDEX(Data!$J$2:$J$497,MATCH(N422,Data!$A$2:$A$497,1))/INDEX(Data!$J$2:$J$497,MATCH(N410,Data!$A$2:$A$497,1))),"")</f>
        <v>0.0415108699148923</v>
      </c>
      <c r="AU422" s="560">
        <f>IFERROR(LN(INDEX(Data!$K$2:$K$497,MATCH(N422,Data!$A$2:$A$497,1))/INDEX(Data!$K$2:$K$497,MATCH(N410,Data!$A$2:$A$497,1))),"")</f>
        <v>0.0747257870200422</v>
      </c>
      <c r="AV422" s="561">
        <f>IFERROR(LN(INDEX(Data!$L$2:$L$497,MATCH(N422,Data!$A$2:$A$497,1))/INDEX(Data!$L$2:$L$497,MATCH(N410,Data!$A$2:$A$497,1))),"")</f>
        <v>0.0456451367039967</v>
      </c>
    </row>
    <row r="423">
      <c r="N423" s="337" t="n">
        <v>37590</v>
      </c>
      <c r="O423" s="116">
        <f>INDEX('Additional data'!$B$2:$B$965,MATCH(DATE(YEAR(N423),MONTH(N423),1),'Additional data'!$A$2:$A$965,0))</f>
        <v>26.27</v>
      </c>
      <c r="P423" s="489">
        <f>LN(O423)</f>
        <v>3.26842760369745</v>
      </c>
      <c r="Q423" s="489">
        <f>Q422+LN(1+INDEX('Additional data'!$H$2:$H$1196,MATCH(N423,'Additional data'!$G$2:$G$1196,1))+INDEX('Additional data'!$I$2:$I$1196,MATCH(N423,'Additional data'!$G$2:$G$1196,1)))</f>
        <v>3.39688468955172</v>
      </c>
      <c r="R423" s="489">
        <f>LN(INDEX(Data!$B$2:$B$497,MATCH(N423,Data!$A$2:$A$497,1)))</f>
        <v>9.65391313812411</v>
      </c>
      <c r="S423" s="116">
        <f>IF(INDEX('Additional data'!$E$2:$E$699,MATCH(DATE(YEAR(N423),MONTH(N423),1),'Additional data'!$D$2:$D$699,0))=0,(INDEX('Additional data'!$E$2:$E$699,MATCH(DATE(YEAR(N423),MONTH(N423),1),'Additional data'!$D$2:$D$699,0)-1)+INDEX('Additional data'!$E$2:$E$699,MATCH(DATE(YEAR(N423),MONTH(N423),1),'Additional data'!$D$2:$D$699,0)+1))/2,INDEX('Additional data'!$E$2:$E$699,MATCH(DATE(YEAR(N423),MONTH(N423),1),'Additional data'!$D$2:$D$699,0)))</f>
        <v>4.84</v>
      </c>
      <c r="T423" s="425">
        <f>P423-P422</f>
        <v>-0.0936823892566601</v>
      </c>
      <c r="U423" s="425">
        <f>Q423-Q422</f>
        <v>0.0590233404494613</v>
      </c>
      <c r="V423" s="425">
        <f>R423-R422</f>
        <v>0.014597207342133</v>
      </c>
      <c r="W423" s="116">
        <f>S423-S422</f>
        <v>-0.0600000000000005</v>
      </c>
      <c r="X423" s="425">
        <f>P423-P411</f>
        <v>0.289332971296481</v>
      </c>
      <c r="Y423" s="425">
        <f>Q423-Q411</f>
        <v>-0.161874696086149</v>
      </c>
      <c r="Z423" s="425">
        <f>R423-R411</f>
        <v>-0.0432291042914521</v>
      </c>
      <c r="AA423" s="116">
        <f>S423-S411</f>
        <v>0.56</v>
      </c>
      <c r="AB423" s="425">
        <f>P423-P363</f>
        <v>0.264231251731328</v>
      </c>
      <c r="AC423" s="425">
        <f>Q423-Q363</f>
        <v>0.038900608917249</v>
      </c>
      <c r="AD423" s="425">
        <f>R423-R363</f>
        <v>0.393117322659437</v>
      </c>
      <c r="AE423" s="235">
        <f>S423-S363</f>
        <v>-0.11</v>
      </c>
      <c r="AG423" s="554">
        <f>N423</f>
        <v>37590.0</v>
      </c>
      <c r="AH423" s="435">
        <f>IFERROR(INDEX('RBA 5Y yield'!$B$5:$B$661,MATCH(N423,'RBA 5Y yield'!$A$5:$A$661,1))*100,"")</f>
        <v>5.1095</v>
      </c>
      <c r="AI423" s="435">
        <f>IF(AND(ISNUMBER(AH423),ISNUMBER(AH422)),AH423-AH422,"")</f>
        <v>-0.206599999999999</v>
      </c>
      <c r="AJ423" s="435">
        <f>IF(AND(ISNUMBER(AH423),ISNUMBER(AH411)),AH423-AH411,"")</f>
        <v>0.1761</v>
      </c>
      <c r="AK423" s="435">
        <f>IF(AND(ISNUMBER(AH423),ISNUMBER(AH363)),AH423-AH363,"")</f>
        <v>-0.610499999999999</v>
      </c>
      <c r="AL423" s="560">
        <f>IFERROR(LN(INDEX(Data!$B$2:$B$497,MATCH(N423,Data!$A$2:$A$497,1))/INDEX(Data!$B$2:$B$497,MATCH(N411,Data!$A$2:$A$497,1))),"")</f>
        <v>-0.0432291042914531</v>
      </c>
      <c r="AM423" s="560">
        <f>IFERROR(LN(INDEX(Data!$C$2:$C$497,MATCH(N423,Data!$A$2:$A$497,1))/INDEX(Data!$C$2:$C$497,MATCH(N411,Data!$A$2:$A$497,1))),"")</f>
        <v>-0.27058302200242</v>
      </c>
      <c r="AN423" s="560">
        <f>IFERROR(LN(INDEX(Data!$D$2:$D$497,MATCH(N423,Data!$A$2:$A$497,1))/INDEX(Data!$D$2:$D$497,MATCH(N411,Data!$A$2:$A$497,1))),"")</f>
        <v>-0.0116197534323411</v>
      </c>
      <c r="AO423" s="560">
        <f>IFERROR(LN(INDEX(Data!$E$2:$E$497,MATCH(N423,Data!$A$2:$A$497,1))/INDEX(Data!$E$2:$E$497,MATCH(N411,Data!$A$2:$A$497,1))),"")</f>
        <v>-0.00477007723361924</v>
      </c>
      <c r="AP423" s="560">
        <f>IFERROR(LN(INDEX(Data!$F$2:$F$497,MATCH(N423,Data!$A$2:$A$497,1))/INDEX(Data!$F$2:$F$497,MATCH(N411,Data!$A$2:$A$497,1))),"")</f>
        <v>0.106529692520483</v>
      </c>
      <c r="AQ423" s="560">
        <f>IFERROR(LN(INDEX(Data!$G$2:$G$497,MATCH(N423,Data!$A$2:$A$497,1))/INDEX(Data!$G$2:$G$497,MATCH(N411,Data!$A$2:$A$497,1))),"")</f>
        <v>0.184718970583558</v>
      </c>
      <c r="AR423" s="560">
        <f>IFERROR(LN(INDEX(Data!$H$2:$H$497,MATCH(N423,Data!$A$2:$A$497,1))/INDEX(Data!$H$2:$H$497,MATCH(N411,Data!$A$2:$A$497,1))),"")</f>
      </c>
      <c r="AS423" s="560">
        <f>IFERROR(LN(INDEX(Data!$I$2:$I$497,MATCH(N423,Data!$A$2:$A$497,1))/INDEX(Data!$I$2:$I$497,MATCH(N411,Data!$A$2:$A$497,1))),"")</f>
        <v>0.0941988978144948</v>
      </c>
      <c r="AT423" s="560">
        <f>IFERROR(LN(INDEX(Data!$J$2:$J$497,MATCH(N423,Data!$A$2:$A$497,1))/INDEX(Data!$J$2:$J$497,MATCH(N411,Data!$A$2:$A$497,1))),"")</f>
        <v>0.0533691465978343</v>
      </c>
      <c r="AU423" s="560">
        <f>IFERROR(LN(INDEX(Data!$K$2:$K$497,MATCH(N423,Data!$A$2:$A$497,1))/INDEX(Data!$K$2:$K$497,MATCH(N411,Data!$A$2:$A$497,1))),"")</f>
        <v>0.0849992460396969</v>
      </c>
      <c r="AV423" s="561">
        <f>IFERROR(LN(INDEX(Data!$L$2:$L$497,MATCH(N423,Data!$A$2:$A$497,1))/INDEX(Data!$L$2:$L$497,MATCH(N411,Data!$A$2:$A$497,1))),"")</f>
        <v>0.0459284539473371</v>
      </c>
    </row>
    <row r="424">
      <c r="N424" s="337" t="n">
        <v>37621</v>
      </c>
      <c r="O424" s="116">
        <f>INDEX('Additional data'!$B$2:$B$965,MATCH(DATE(YEAR(N424),MONTH(N424),1),'Additional data'!$A$2:$A$965,0))</f>
        <v>29.42</v>
      </c>
      <c r="P424" s="489">
        <f>LN(O424)</f>
        <v>3.38167471517329</v>
      </c>
      <c r="Q424" s="489">
        <f>Q423+LN(1+INDEX('Additional data'!$H$2:$H$1196,MATCH(N424,'Additional data'!$G$2:$G$1196,1))+INDEX('Additional data'!$I$2:$I$1196,MATCH(N424,'Additional data'!$G$2:$G$1196,1)))</f>
        <v>3.33872577537819</v>
      </c>
      <c r="R424" s="489">
        <f>LN(INDEX(Data!$B$2:$B$497,MATCH(N424,Data!$A$2:$A$497,1)))</f>
        <v>9.63895543998305</v>
      </c>
      <c r="S424" s="116">
        <f>IF(INDEX('Additional data'!$E$2:$E$699,MATCH(DATE(YEAR(N424),MONTH(N424),1),'Additional data'!$D$2:$D$699,0))=0,(INDEX('Additional data'!$E$2:$E$699,MATCH(DATE(YEAR(N424),MONTH(N424),1),'Additional data'!$D$2:$D$699,0)-1)+INDEX('Additional data'!$E$2:$E$699,MATCH(DATE(YEAR(N424),MONTH(N424),1),'Additional data'!$D$2:$D$699,0)+1))/2,INDEX('Additional data'!$E$2:$E$699,MATCH(DATE(YEAR(N424),MONTH(N424),1),'Additional data'!$D$2:$D$699,0)))</f>
        <v>4.83</v>
      </c>
      <c r="T424" s="425">
        <f>P424-P423</f>
        <v>0.113247111475843</v>
      </c>
      <c r="U424" s="425">
        <f>Q424-Q423</f>
        <v>-0.0581589141735321</v>
      </c>
      <c r="V424" s="425">
        <f>R424-R423</f>
        <v>-0.0149576981410657</v>
      </c>
      <c r="W424" s="116">
        <f>S424-S423</f>
        <v>-0.00999999999999979</v>
      </c>
      <c r="X424" s="425">
        <f>P424-P412</f>
        <v>0.420016421953052</v>
      </c>
      <c r="Y424" s="425">
        <f>Q424-Q412</f>
        <v>-0.237480523863402</v>
      </c>
      <c r="Z424" s="425">
        <f>R424-R412</f>
        <v>-0.0844299710339662</v>
      </c>
      <c r="AA424" s="116">
        <f>S424-S412</f>
        <v>0.58</v>
      </c>
      <c r="AB424" s="425">
        <f>P424-P364</f>
        <v>0.473681355927307</v>
      </c>
      <c r="AC424" s="425">
        <f>Q424-Q364</f>
        <v>-0.0371964503872961</v>
      </c>
      <c r="AD424" s="425">
        <f>R424-R364</f>
        <v>0.318926930029315</v>
      </c>
      <c r="AE424" s="235">
        <f>S424-S364</f>
        <v>-0.24</v>
      </c>
      <c r="AG424" s="554">
        <f>N424</f>
        <v>37621.0</v>
      </c>
      <c r="AH424" s="435">
        <f>IFERROR(INDEX('RBA 5Y yield'!$B$5:$B$661,MATCH(N424,'RBA 5Y yield'!$A$5:$A$661,1))*100,"")</f>
        <v>4.9967</v>
      </c>
      <c r="AI424" s="435">
        <f>IF(AND(ISNUMBER(AH424),ISNUMBER(AH423)),AH424-AH423,"")</f>
        <v>-0.112800000000001</v>
      </c>
      <c r="AJ424" s="435">
        <f>IF(AND(ISNUMBER(AH424),ISNUMBER(AH412)),AH424-AH412,"")</f>
        <v>-0.3312</v>
      </c>
      <c r="AK424" s="435">
        <f>IF(AND(ISNUMBER(AH424),ISNUMBER(AH364)),AH424-AH364,"")</f>
        <v>-0.829000000000001</v>
      </c>
      <c r="AL424" s="560">
        <f>IFERROR(LN(INDEX(Data!$B$2:$B$497,MATCH(N424,Data!$A$2:$A$497,1))/INDEX(Data!$B$2:$B$497,MATCH(N412,Data!$A$2:$A$497,1))),"")</f>
        <v>-0.0844299710339667</v>
      </c>
      <c r="AM424" s="560">
        <f>IFERROR(LN(INDEX(Data!$C$2:$C$497,MATCH(N424,Data!$A$2:$A$497,1))/INDEX(Data!$C$2:$C$497,MATCH(N412,Data!$A$2:$A$497,1))),"")</f>
        <v>-0.366648186515099</v>
      </c>
      <c r="AN424" s="560">
        <f>IFERROR(LN(INDEX(Data!$D$2:$D$497,MATCH(N424,Data!$A$2:$A$497,1))/INDEX(Data!$D$2:$D$497,MATCH(N412,Data!$A$2:$A$497,1))),"")</f>
        <v>-0.169192138983856</v>
      </c>
      <c r="AO424" s="560">
        <f>IFERROR(LN(INDEX(Data!$E$2:$E$497,MATCH(N424,Data!$A$2:$A$497,1))/INDEX(Data!$E$2:$E$497,MATCH(N412,Data!$A$2:$A$497,1))),"")</f>
        <v>-0.039521702620153</v>
      </c>
      <c r="AP424" s="560">
        <f>IFERROR(LN(INDEX(Data!$F$2:$F$497,MATCH(N424,Data!$A$2:$A$497,1))/INDEX(Data!$F$2:$F$497,MATCH(N412,Data!$A$2:$A$497,1))),"")</f>
        <v>0.182823981854669</v>
      </c>
      <c r="AQ424" s="560">
        <f>IFERROR(LN(INDEX(Data!$G$2:$G$497,MATCH(N424,Data!$A$2:$A$497,1))/INDEX(Data!$G$2:$G$497,MATCH(N412,Data!$A$2:$A$497,1))),"")</f>
        <v>0.183716229734684</v>
      </c>
      <c r="AR424" s="560">
        <f>IFERROR(LN(INDEX(Data!$H$2:$H$497,MATCH(N424,Data!$A$2:$A$497,1))/INDEX(Data!$H$2:$H$497,MATCH(N412,Data!$A$2:$A$497,1))),"")</f>
        <v>0.15892885265537</v>
      </c>
      <c r="AS424" s="560">
        <f>IFERROR(LN(INDEX(Data!$I$2:$I$497,MATCH(N424,Data!$A$2:$A$497,1))/INDEX(Data!$I$2:$I$497,MATCH(N412,Data!$A$2:$A$497,1))),"")</f>
        <v>0.00748048370925019</v>
      </c>
      <c r="AT424" s="560">
        <f>IFERROR(LN(INDEX(Data!$J$2:$J$497,MATCH(N424,Data!$A$2:$A$497,1))/INDEX(Data!$J$2:$J$497,MATCH(N412,Data!$A$2:$A$497,1))),"")</f>
        <v>0.0844499992483825</v>
      </c>
      <c r="AU424" s="560">
        <f>IFERROR(LN(INDEX(Data!$K$2:$K$497,MATCH(N424,Data!$A$2:$A$497,1))/INDEX(Data!$K$2:$K$497,MATCH(N412,Data!$A$2:$A$497,1))),"")</f>
        <v>0.109520616170851</v>
      </c>
      <c r="AV424" s="561">
        <f>IFERROR(LN(INDEX(Data!$L$2:$L$497,MATCH(N424,Data!$A$2:$A$497,1))/INDEX(Data!$L$2:$L$497,MATCH(N412,Data!$A$2:$A$497,1))),"")</f>
        <v>0.0465732675593508</v>
      </c>
    </row>
    <row r="425">
      <c r="N425" s="337" t="n">
        <v>37652</v>
      </c>
      <c r="O425" s="116">
        <f>INDEX('Additional data'!$B$2:$B$965,MATCH(DATE(YEAR(N425),MONTH(N425),1),'Additional data'!$A$2:$A$965,0))</f>
        <v>32.94</v>
      </c>
      <c r="P425" s="489">
        <f>LN(O425)</f>
        <v>3.49468772474949</v>
      </c>
      <c r="Q425" s="489">
        <f>Q424+LN(1+INDEX('Additional data'!$H$2:$H$1196,MATCH(N425,'Additional data'!$G$2:$G$1196,1))+INDEX('Additional data'!$I$2:$I$1196,MATCH(N425,'Additional data'!$G$2:$G$1196,1)))</f>
        <v>3.31371561237402</v>
      </c>
      <c r="R425" s="489">
        <f>LN(INDEX(Data!$B$2:$B$497,MATCH(N425,Data!$A$2:$A$497,1)))</f>
        <v>9.62553988003536</v>
      </c>
      <c r="S425" s="116">
        <f>IF(INDEX('Additional data'!$E$2:$E$699,MATCH(DATE(YEAR(N425),MONTH(N425),1),'Additional data'!$D$2:$D$699,0))=0,(INDEX('Additional data'!$E$2:$E$699,MATCH(DATE(YEAR(N425),MONTH(N425),1),'Additional data'!$D$2:$D$699,0)-1)+INDEX('Additional data'!$E$2:$E$699,MATCH(DATE(YEAR(N425),MONTH(N425),1),'Additional data'!$D$2:$D$699,0)+1))/2,INDEX('Additional data'!$E$2:$E$699,MATCH(DATE(YEAR(N425),MONTH(N425),1),'Additional data'!$D$2:$D$699,0)))</f>
        <v>4.8</v>
      </c>
      <c r="T425" s="425">
        <f>P425-P424</f>
        <v>0.113013009576203</v>
      </c>
      <c r="U425" s="425">
        <f>Q425-Q424</f>
        <v>-0.0250101630041679</v>
      </c>
      <c r="V425" s="425">
        <f>R425-R424</f>
        <v>-0.0134155599476902</v>
      </c>
      <c r="W425" s="116">
        <f>S425-S424</f>
        <v>-0.0300000000000003</v>
      </c>
      <c r="X425" s="425">
        <f>P425-P413</f>
        <v>0.515593092348526</v>
      </c>
      <c r="Y425" s="425">
        <f>Q425-Q413</f>
        <v>-0.249405447318914</v>
      </c>
      <c r="Z425" s="425">
        <f>R425-R413</f>
        <v>-0.110927628167318</v>
      </c>
      <c r="AA425" s="116">
        <f>S425-S413</f>
        <v>0.54</v>
      </c>
      <c r="AB425" s="425">
        <f>P425-P365</f>
        <v>0.678680382142192</v>
      </c>
      <c r="AC425" s="425">
        <f>Q425-Q365</f>
        <v>-0.0679898581471914</v>
      </c>
      <c r="AD425" s="425">
        <f>R425-R365</f>
        <v>0.293061524524536</v>
      </c>
      <c r="AE425" s="235">
        <f>S425-S365</f>
        <v>-0.19</v>
      </c>
      <c r="AG425" s="554">
        <f>N425</f>
        <v>37652.0</v>
      </c>
      <c r="AH425" s="435">
        <f>IFERROR(INDEX('RBA 5Y yield'!$B$5:$B$661,MATCH(N425,'RBA 5Y yield'!$A$5:$A$661,1))*100,"")</f>
        <v>4.906</v>
      </c>
      <c r="AI425" s="435">
        <f>IF(AND(ISNUMBER(AH425),ISNUMBER(AH424)),AH425-AH424,"")</f>
        <v>-0.0907</v>
      </c>
      <c r="AJ425" s="435">
        <f>IF(AND(ISNUMBER(AH425),ISNUMBER(AH413)),AH425-AH413,"")</f>
        <v>-0.505900000000001</v>
      </c>
      <c r="AK425" s="435">
        <f>IF(AND(ISNUMBER(AH425),ISNUMBER(AH365)),AH425-AH365,"")</f>
        <v>-0.5995</v>
      </c>
      <c r="AL425" s="560">
        <f>IFERROR(LN(INDEX(Data!$B$2:$B$497,MATCH(N425,Data!$A$2:$A$497,1))/INDEX(Data!$B$2:$B$497,MATCH(N413,Data!$A$2:$A$497,1))),"")</f>
        <v>-0.110927628167317</v>
      </c>
      <c r="AM425" s="560">
        <f>IFERROR(LN(INDEX(Data!$C$2:$C$497,MATCH(N425,Data!$A$2:$A$497,1))/INDEX(Data!$C$2:$C$497,MATCH(N413,Data!$A$2:$A$497,1))),"")</f>
        <v>-0.434507869185263</v>
      </c>
      <c r="AN425" s="560">
        <f>IFERROR(LN(INDEX(Data!$D$2:$D$497,MATCH(N425,Data!$A$2:$A$497,1))/INDEX(Data!$D$2:$D$497,MATCH(N413,Data!$A$2:$A$497,1))),"")</f>
        <v>-0.265090149233744</v>
      </c>
      <c r="AO425" s="560">
        <f>IFERROR(LN(INDEX(Data!$E$2:$E$497,MATCH(N425,Data!$A$2:$A$497,1))/INDEX(Data!$E$2:$E$497,MATCH(N413,Data!$A$2:$A$497,1))),"")</f>
        <v>-0.112543470304472</v>
      </c>
      <c r="AP425" s="560">
        <f>IFERROR(LN(INDEX(Data!$F$2:$F$497,MATCH(N425,Data!$A$2:$A$497,1))/INDEX(Data!$F$2:$F$497,MATCH(N413,Data!$A$2:$A$497,1))),"")</f>
        <v>0.250202691610683</v>
      </c>
      <c r="AQ425" s="560">
        <f>IFERROR(LN(INDEX(Data!$G$2:$G$497,MATCH(N425,Data!$A$2:$A$497,1))/INDEX(Data!$G$2:$G$497,MATCH(N413,Data!$A$2:$A$497,1))),"")</f>
        <v>0.183716229734684</v>
      </c>
      <c r="AR425" s="560">
        <f>IFERROR(LN(INDEX(Data!$H$2:$H$497,MATCH(N425,Data!$A$2:$A$497,1))/INDEX(Data!$H$2:$H$497,MATCH(N413,Data!$A$2:$A$497,1))),"")</f>
        <v>0.14232559805847</v>
      </c>
      <c r="AS425" s="560">
        <f>IFERROR(LN(INDEX(Data!$I$2:$I$497,MATCH(N425,Data!$A$2:$A$497,1))/INDEX(Data!$I$2:$I$497,MATCH(N413,Data!$A$2:$A$497,1))),"")</f>
        <v>0.00748048370925019</v>
      </c>
      <c r="AT425" s="560">
        <f>IFERROR(LN(INDEX(Data!$J$2:$J$497,MATCH(N425,Data!$A$2:$A$497,1))/INDEX(Data!$J$2:$J$497,MATCH(N413,Data!$A$2:$A$497,1))),"")</f>
        <v>0.0880476464355595</v>
      </c>
      <c r="AU425" s="560">
        <f>IFERROR(LN(INDEX(Data!$K$2:$K$497,MATCH(N425,Data!$A$2:$A$497,1))/INDEX(Data!$K$2:$K$497,MATCH(N413,Data!$A$2:$A$497,1))),"")</f>
        <v>0.110150103190651</v>
      </c>
      <c r="AV425" s="561">
        <f>IFERROR(LN(INDEX(Data!$L$2:$L$497,MATCH(N425,Data!$A$2:$A$497,1))/INDEX(Data!$L$2:$L$497,MATCH(N413,Data!$A$2:$A$497,1))),"")</f>
        <v>0.0470629418140826</v>
      </c>
    </row>
    <row r="426">
      <c r="N426" s="337" t="n">
        <v>37680</v>
      </c>
      <c r="O426" s="116">
        <f>INDEX('Additional data'!$B$2:$B$965,MATCH(DATE(YEAR(N426),MONTH(N426),1),'Additional data'!$A$2:$A$965,0))</f>
        <v>35.87</v>
      </c>
      <c r="P426" s="489">
        <f>LN(O426)</f>
        <v>3.57990129154419</v>
      </c>
      <c r="Q426" s="489">
        <f>Q425+LN(1+INDEX('Additional data'!$H$2:$H$1196,MATCH(N426,'Additional data'!$G$2:$G$1196,1))+INDEX('Additional data'!$I$2:$I$1196,MATCH(N426,'Additional data'!$G$2:$G$1196,1)))</f>
        <v>3.29565346955562</v>
      </c>
      <c r="R426" s="489">
        <f>LN(INDEX(Data!$B$2:$B$497,MATCH(N426,Data!$A$2:$A$497,1)))</f>
        <v>9.5743784414507</v>
      </c>
      <c r="S426" s="116">
        <f>IF(INDEX('Additional data'!$E$2:$E$699,MATCH(DATE(YEAR(N426),MONTH(N426),1),'Additional data'!$D$2:$D$699,0))=0,(INDEX('Additional data'!$E$2:$E$699,MATCH(DATE(YEAR(N426),MONTH(N426),1),'Additional data'!$D$2:$D$699,0)-1)+INDEX('Additional data'!$E$2:$E$699,MATCH(DATE(YEAR(N426),MONTH(N426),1),'Additional data'!$D$2:$D$699,0)+1))/2,INDEX('Additional data'!$E$2:$E$699,MATCH(DATE(YEAR(N426),MONTH(N426),1),'Additional data'!$D$2:$D$699,0)))</f>
        <v>4.75</v>
      </c>
      <c r="T426" s="425">
        <f>P426-P425</f>
        <v>0.0852135667946969</v>
      </c>
      <c r="U426" s="425">
        <f>Q426-Q425</f>
        <v>-0.0180621428184087</v>
      </c>
      <c r="V426" s="425">
        <f>R426-R425</f>
        <v>-0.0511614385846553</v>
      </c>
      <c r="W426" s="116">
        <f>S426-S425</f>
        <v>-0.0499999999999998</v>
      </c>
      <c r="X426" s="425">
        <f>P426-P414</f>
        <v>0.54783708874281</v>
      </c>
      <c r="Y426" s="425">
        <f>Q426-Q414</f>
        <v>-0.245528682618569</v>
      </c>
      <c r="Z426" s="425">
        <f>R426-R414</f>
        <v>-0.151451341907338</v>
      </c>
      <c r="AA426" s="116">
        <f>S426-S414</f>
        <v>0.44</v>
      </c>
      <c r="AB426" s="425">
        <f>P426-P366</f>
        <v>0.803569583025575</v>
      </c>
      <c r="AC426" s="425">
        <f>Q426-Q366</f>
        <v>-0.157628199454822</v>
      </c>
      <c r="AD426" s="425">
        <f>R426-R366</f>
        <v>0.231073087230074</v>
      </c>
      <c r="AE426" s="235">
        <f>S426-S366</f>
        <v>-0.22</v>
      </c>
      <c r="AG426" s="554">
        <f>N426</f>
        <v>37680.0</v>
      </c>
      <c r="AH426" s="435">
        <f>IFERROR(INDEX('RBA 5Y yield'!$B$5:$B$661,MATCH(N426,'RBA 5Y yield'!$A$5:$A$661,1))*100,"")</f>
        <v>4.742</v>
      </c>
      <c r="AI426" s="435">
        <f>IF(AND(ISNUMBER(AH426),ISNUMBER(AH425)),AH426-AH425,"")</f>
        <v>-0.164</v>
      </c>
      <c r="AJ426" s="435">
        <f>IF(AND(ISNUMBER(AH426),ISNUMBER(AH414)),AH426-AH414,"")</f>
        <v>-0.8897</v>
      </c>
      <c r="AK426" s="435">
        <f>IF(AND(ISNUMBER(AH426),ISNUMBER(AH366)),AH426-AH366,"")</f>
        <v>-0.791</v>
      </c>
      <c r="AL426" s="560">
        <f>IFERROR(LN(INDEX(Data!$B$2:$B$497,MATCH(N426,Data!$A$2:$A$497,1))/INDEX(Data!$B$2:$B$497,MATCH(N414,Data!$A$2:$A$497,1))),"")</f>
        <v>-0.151451341907337</v>
      </c>
      <c r="AM426" s="560">
        <f>IFERROR(LN(INDEX(Data!$C$2:$C$497,MATCH(N426,Data!$A$2:$A$497,1))/INDEX(Data!$C$2:$C$497,MATCH(N414,Data!$A$2:$A$497,1))),"")</f>
        <v>-0.456933550088525</v>
      </c>
      <c r="AN426" s="560">
        <f>IFERROR(LN(INDEX(Data!$D$2:$D$497,MATCH(N426,Data!$A$2:$A$497,1))/INDEX(Data!$D$2:$D$497,MATCH(N414,Data!$A$2:$A$497,1))),"")</f>
        <v>-0.327954742193814</v>
      </c>
      <c r="AO426" s="560">
        <f>IFERROR(LN(INDEX(Data!$E$2:$E$497,MATCH(N426,Data!$A$2:$A$497,1))/INDEX(Data!$E$2:$E$497,MATCH(N414,Data!$A$2:$A$497,1))),"")</f>
        <v>-0.134394497244055</v>
      </c>
      <c r="AP426" s="560">
        <f>IFERROR(LN(INDEX(Data!$F$2:$F$497,MATCH(N426,Data!$A$2:$A$497,1))/INDEX(Data!$F$2:$F$497,MATCH(N414,Data!$A$2:$A$497,1))),"")</f>
        <v>0.3057453446202</v>
      </c>
      <c r="AQ426" s="560">
        <f>IFERROR(LN(INDEX(Data!$G$2:$G$497,MATCH(N426,Data!$A$2:$A$497,1))/INDEX(Data!$G$2:$G$497,MATCH(N414,Data!$A$2:$A$497,1))),"")</f>
        <v>0.183716229734684</v>
      </c>
      <c r="AR426" s="560">
        <f>IFERROR(LN(INDEX(Data!$H$2:$H$497,MATCH(N426,Data!$A$2:$A$497,1))/INDEX(Data!$H$2:$H$497,MATCH(N414,Data!$A$2:$A$497,1))),"")</f>
        <v>0.0969096549339198</v>
      </c>
      <c r="AS426" s="560">
        <f>IFERROR(LN(INDEX(Data!$I$2:$I$497,MATCH(N426,Data!$A$2:$A$497,1))/INDEX(Data!$I$2:$I$497,MATCH(N414,Data!$A$2:$A$497,1))),"")</f>
        <v>0.00748048370925019</v>
      </c>
      <c r="AT426" s="560">
        <f>IFERROR(LN(INDEX(Data!$J$2:$J$497,MATCH(N426,Data!$A$2:$A$497,1))/INDEX(Data!$J$2:$J$497,MATCH(N414,Data!$A$2:$A$497,1))),"")</f>
        <v>0.0919279360552508</v>
      </c>
      <c r="AU426" s="560">
        <f>IFERROR(LN(INDEX(Data!$K$2:$K$497,MATCH(N426,Data!$A$2:$A$497,1))/INDEX(Data!$K$2:$K$497,MATCH(N414,Data!$A$2:$A$497,1))),"")</f>
        <v>0.115420291287913</v>
      </c>
      <c r="AV426" s="561">
        <f>IFERROR(LN(INDEX(Data!$L$2:$L$497,MATCH(N426,Data!$A$2:$A$497,1))/INDEX(Data!$L$2:$L$497,MATCH(N414,Data!$A$2:$A$497,1))),"")</f>
        <v>0.047455113374815</v>
      </c>
    </row>
    <row r="427">
      <c r="N427" s="337" t="n">
        <v>37711</v>
      </c>
      <c r="O427" s="116">
        <f>INDEX('Additional data'!$B$2:$B$965,MATCH(DATE(YEAR(N427),MONTH(N427),1),'Additional data'!$A$2:$A$965,0))</f>
        <v>33.55</v>
      </c>
      <c r="P427" s="489">
        <f>LN(O427)</f>
        <v>3.51303686341769</v>
      </c>
      <c r="Q427" s="489">
        <f>Q426+LN(1+INDEX('Additional data'!$H$2:$H$1196,MATCH(N427,'Additional data'!$G$2:$G$1196,1))+INDEX('Additional data'!$I$2:$I$1196,MATCH(N427,'Additional data'!$G$2:$G$1196,1)))</f>
        <v>3.30748322130919</v>
      </c>
      <c r="R427" s="489">
        <f>LN(INDEX(Data!$B$2:$B$497,MATCH(N427,Data!$A$2:$A$497,1)))</f>
        <v>9.60829514801155</v>
      </c>
      <c r="S427" s="116">
        <f>IF(INDEX('Additional data'!$E$2:$E$699,MATCH(DATE(YEAR(N427),MONTH(N427),1),'Additional data'!$D$2:$D$699,0))=0,(INDEX('Additional data'!$E$2:$E$699,MATCH(DATE(YEAR(N427),MONTH(N427),1),'Additional data'!$D$2:$D$699,0)-1)+INDEX('Additional data'!$E$2:$E$699,MATCH(DATE(YEAR(N427),MONTH(N427),1),'Additional data'!$D$2:$D$699,0)+1))/2,INDEX('Additional data'!$E$2:$E$699,MATCH(DATE(YEAR(N427),MONTH(N427),1),'Additional data'!$D$2:$D$699,0)))</f>
        <v>4.76</v>
      </c>
      <c r="T427" s="425">
        <f>P427-P426</f>
        <v>-0.0668644281265003</v>
      </c>
      <c r="U427" s="425">
        <f>Q427-Q426</f>
        <v>0.0118297517535768</v>
      </c>
      <c r="V427" s="425">
        <f>R427-R426</f>
        <v>0.0339167065608486</v>
      </c>
      <c r="W427" s="116">
        <f>S427-S426</f>
        <v>0.00999999999999979</v>
      </c>
      <c r="X427" s="425">
        <f>P427-P415</f>
        <v>0.317634394735132</v>
      </c>
      <c r="Y427" s="425">
        <f>Q427-Q415</f>
        <v>-0.276471022708861</v>
      </c>
      <c r="Z427" s="425">
        <f>R427-R415</f>
        <v>-0.125339648139708</v>
      </c>
      <c r="AA427" s="116">
        <f>S427-S415</f>
        <v>0.3</v>
      </c>
      <c r="AB427" s="425">
        <f>P427-P367</f>
        <v>0.803654217081702</v>
      </c>
      <c r="AC427" s="425">
        <f>Q427-Q367</f>
        <v>-0.196016163861863</v>
      </c>
      <c r="AD427" s="425">
        <f>R427-R367</f>
        <v>0.238407256807767</v>
      </c>
      <c r="AE427" s="235">
        <f>S427-S367</f>
        <v>-0.2</v>
      </c>
      <c r="AG427" s="554">
        <f>N427</f>
        <v>37711.0</v>
      </c>
      <c r="AH427" s="435">
        <f>IFERROR(INDEX('RBA 5Y yield'!$B$5:$B$661,MATCH(N427,'RBA 5Y yield'!$A$5:$A$661,1))*100,"")</f>
        <v>4.8424</v>
      </c>
      <c r="AI427" s="435">
        <f>IF(AND(ISNUMBER(AH427),ISNUMBER(AH426)),AH427-AH426,"")</f>
        <v>0.1004</v>
      </c>
      <c r="AJ427" s="435">
        <f>IF(AND(ISNUMBER(AH427),ISNUMBER(AH415)),AH427-AH415,"")</f>
        <v>-1.1551</v>
      </c>
      <c r="AK427" s="435">
        <f>IF(AND(ISNUMBER(AH427),ISNUMBER(AH367)),AH427-AH367,"")</f>
        <v>-0.6453</v>
      </c>
      <c r="AL427" s="560">
        <f>IFERROR(LN(INDEX(Data!$B$2:$B$497,MATCH(N427,Data!$A$2:$A$497,1))/INDEX(Data!$B$2:$B$497,MATCH(N415,Data!$A$2:$A$497,1))),"")</f>
        <v>-0.125339648139707</v>
      </c>
      <c r="AM427" s="560">
        <f>IFERROR(LN(INDEX(Data!$C$2:$C$497,MATCH(N427,Data!$A$2:$A$497,1))/INDEX(Data!$C$2:$C$497,MATCH(N415,Data!$A$2:$A$497,1))),"")</f>
        <v>-0.463637235590375</v>
      </c>
      <c r="AN427" s="560">
        <f>IFERROR(LN(INDEX(Data!$D$2:$D$497,MATCH(N427,Data!$A$2:$A$497,1))/INDEX(Data!$D$2:$D$497,MATCH(N415,Data!$A$2:$A$497,1))),"")</f>
        <v>-0.374548075274013</v>
      </c>
      <c r="AO427" s="560">
        <f>IFERROR(LN(INDEX(Data!$E$2:$E$497,MATCH(N427,Data!$A$2:$A$497,1))/INDEX(Data!$E$2:$E$497,MATCH(N415,Data!$A$2:$A$497,1))),"")</f>
        <v>-0.128667451012045</v>
      </c>
      <c r="AP427" s="560">
        <f>IFERROR(LN(INDEX(Data!$F$2:$F$497,MATCH(N427,Data!$A$2:$A$497,1))/INDEX(Data!$F$2:$F$497,MATCH(N415,Data!$A$2:$A$497,1))),"")</f>
        <v>0.0612913210736433</v>
      </c>
      <c r="AQ427" s="560">
        <f>IFERROR(LN(INDEX(Data!$G$2:$G$497,MATCH(N427,Data!$A$2:$A$497,1))/INDEX(Data!$G$2:$G$497,MATCH(N415,Data!$A$2:$A$497,1))),"")</f>
        <v>0.172951813468719</v>
      </c>
      <c r="AR427" s="560">
        <f>IFERROR(LN(INDEX(Data!$H$2:$H$497,MATCH(N427,Data!$A$2:$A$497,1))/INDEX(Data!$H$2:$H$497,MATCH(N415,Data!$A$2:$A$497,1))),"")</f>
        <v>0.0924702454823036</v>
      </c>
      <c r="AS427" s="560">
        <f>IFERROR(LN(INDEX(Data!$I$2:$I$497,MATCH(N427,Data!$A$2:$A$497,1))/INDEX(Data!$I$2:$I$497,MATCH(N415,Data!$A$2:$A$497,1))),"")</f>
        <v>-0.0260569627547946</v>
      </c>
      <c r="AT427" s="560">
        <f>IFERROR(LN(INDEX(Data!$J$2:$J$497,MATCH(N427,Data!$A$2:$A$497,1))/INDEX(Data!$J$2:$J$497,MATCH(N415,Data!$A$2:$A$497,1))),"")</f>
        <v>0.0961184700519853</v>
      </c>
      <c r="AU427" s="560">
        <f>IFERROR(LN(INDEX(Data!$K$2:$K$497,MATCH(N427,Data!$A$2:$A$497,1))/INDEX(Data!$K$2:$K$497,MATCH(N415,Data!$A$2:$A$497,1))),"")</f>
        <v>0.125586641611585</v>
      </c>
      <c r="AV427" s="561">
        <f>IFERROR(LN(INDEX(Data!$L$2:$L$497,MATCH(N427,Data!$A$2:$A$497,1))/INDEX(Data!$L$2:$L$497,MATCH(N415,Data!$A$2:$A$497,1))),"")</f>
        <v>0.0479599164259909</v>
      </c>
    </row>
    <row r="428">
      <c r="N428" s="337" t="n">
        <v>37741</v>
      </c>
      <c r="O428" s="116">
        <f>INDEX('Additional data'!$B$2:$B$965,MATCH(DATE(YEAR(N428),MONTH(N428),1),'Additional data'!$A$2:$A$965,0))</f>
        <v>28.25</v>
      </c>
      <c r="P428" s="489">
        <f>LN(O428)</f>
        <v>3.34109345759245</v>
      </c>
      <c r="Q428" s="489">
        <f>Q427+LN(1+INDEX('Additional data'!$H$2:$H$1196,MATCH(N428,'Additional data'!$G$2:$G$1196,1))+INDEX('Additional data'!$I$2:$I$1196,MATCH(N428,'Additional data'!$G$2:$G$1196,1)))</f>
        <v>3.3870335000672</v>
      </c>
      <c r="R428" s="489">
        <f>LN(INDEX(Data!$B$2:$B$497,MATCH(N428,Data!$A$2:$A$497,1)))</f>
        <v>9.65124810369845</v>
      </c>
      <c r="S428" s="116">
        <f>IF(INDEX('Additional data'!$E$2:$E$699,MATCH(DATE(YEAR(N428),MONTH(N428),1),'Additional data'!$D$2:$D$699,0))=0,(INDEX('Additional data'!$E$2:$E$699,MATCH(DATE(YEAR(N428),MONTH(N428),1),'Additional data'!$D$2:$D$699,0)-1)+INDEX('Additional data'!$E$2:$E$699,MATCH(DATE(YEAR(N428),MONTH(N428),1),'Additional data'!$D$2:$D$699,0)+1))/2,INDEX('Additional data'!$E$2:$E$699,MATCH(DATE(YEAR(N428),MONTH(N428),1),'Additional data'!$D$2:$D$699,0)))</f>
        <v>4.79</v>
      </c>
      <c r="T428" s="425">
        <f>P428-P427</f>
        <v>-0.171943405825241</v>
      </c>
      <c r="U428" s="425">
        <f>Q428-Q427</f>
        <v>0.0795502787580089</v>
      </c>
      <c r="V428" s="425">
        <f>R428-R427</f>
        <v>0.0429529556869017</v>
      </c>
      <c r="W428" s="116">
        <f>S428-S427</f>
        <v>0.0300000000000003</v>
      </c>
      <c r="X428" s="425">
        <f>P428-P416</f>
        <v>0.0726658538950016</v>
      </c>
      <c r="Y428" s="425">
        <f>Q428-Q416</f>
        <v>-0.144995671085933</v>
      </c>
      <c r="Z428" s="425">
        <f>R428-R416</f>
        <v>-0.0644618347963242</v>
      </c>
      <c r="AA428" s="116">
        <f>S428-S416</f>
        <v>0.2</v>
      </c>
      <c r="AB428" s="425">
        <f>P428-P368</f>
        <v>0.60413191299582</v>
      </c>
      <c r="AC428" s="425">
        <f>Q428-Q368</f>
        <v>-0.128097969333561</v>
      </c>
      <c r="AD428" s="425">
        <f>R428-R368</f>
        <v>0.270540679463196</v>
      </c>
      <c r="AE428" s="235">
        <f>S428-S368</f>
        <v>-0.13</v>
      </c>
      <c r="AG428" s="554">
        <f>N428</f>
        <v>37741.0</v>
      </c>
      <c r="AH428" s="435">
        <f>IFERROR(INDEX('RBA 5Y yield'!$B$5:$B$661,MATCH(N428,'RBA 5Y yield'!$A$5:$A$661,1))*100,"")</f>
        <v>4.9576</v>
      </c>
      <c r="AI428" s="435">
        <f>IF(AND(ISNUMBER(AH428),ISNUMBER(AH427)),AH428-AH427,"")</f>
        <v>0.1152</v>
      </c>
      <c r="AJ428" s="435">
        <f>IF(AND(ISNUMBER(AH428),ISNUMBER(AH416)),AH428-AH416,"")</f>
        <v>-1.0059</v>
      </c>
      <c r="AK428" s="435">
        <f>IF(AND(ISNUMBER(AH428),ISNUMBER(AH368)),AH428-AH368,"")</f>
        <v>-0.3574</v>
      </c>
      <c r="AL428" s="560">
        <f>IFERROR(LN(INDEX(Data!$B$2:$B$497,MATCH(N428,Data!$A$2:$A$497,1))/INDEX(Data!$B$2:$B$497,MATCH(N416,Data!$A$2:$A$497,1))),"")</f>
        <v>-0.064461834796324</v>
      </c>
      <c r="AM428" s="560">
        <f>IFERROR(LN(INDEX(Data!$C$2:$C$497,MATCH(N428,Data!$A$2:$A$497,1))/INDEX(Data!$C$2:$C$497,MATCH(N416,Data!$A$2:$A$497,1))),"")</f>
        <v>-0.365438123545878</v>
      </c>
      <c r="AN428" s="560">
        <f>IFERROR(LN(INDEX(Data!$D$2:$D$497,MATCH(N428,Data!$A$2:$A$497,1))/INDEX(Data!$D$2:$D$497,MATCH(N416,Data!$A$2:$A$497,1))),"")</f>
        <v>-0.352146427353286</v>
      </c>
      <c r="AO428" s="560">
        <f>IFERROR(LN(INDEX(Data!$E$2:$E$497,MATCH(N428,Data!$A$2:$A$497,1))/INDEX(Data!$E$2:$E$497,MATCH(N416,Data!$A$2:$A$497,1))),"")</f>
        <v>-0.125903092626734</v>
      </c>
      <c r="AP428" s="560">
        <f>IFERROR(LN(INDEX(Data!$F$2:$F$497,MATCH(N428,Data!$A$2:$A$497,1))/INDEX(Data!$F$2:$F$497,MATCH(N416,Data!$A$2:$A$497,1))),"")</f>
        <v>-0.0414502299214527</v>
      </c>
      <c r="AQ428" s="560">
        <f>IFERROR(LN(INDEX(Data!$G$2:$G$497,MATCH(N428,Data!$A$2:$A$497,1))/INDEX(Data!$G$2:$G$497,MATCH(N416,Data!$A$2:$A$497,1))),"")</f>
        <v>0.172951813468719</v>
      </c>
      <c r="AR428" s="560">
        <f>IFERROR(LN(INDEX(Data!$H$2:$H$497,MATCH(N428,Data!$A$2:$A$497,1))/INDEX(Data!$H$2:$H$497,MATCH(N416,Data!$A$2:$A$497,1))),"")</f>
        <v>0.120607390516662</v>
      </c>
      <c r="AS428" s="560">
        <f>IFERROR(LN(INDEX(Data!$I$2:$I$497,MATCH(N428,Data!$A$2:$A$497,1))/INDEX(Data!$I$2:$I$497,MATCH(N416,Data!$A$2:$A$497,1))),"")</f>
        <v>-0.0260569627547946</v>
      </c>
      <c r="AT428" s="560">
        <f>IFERROR(LN(INDEX(Data!$J$2:$J$497,MATCH(N428,Data!$A$2:$A$497,1))/INDEX(Data!$J$2:$J$497,MATCH(N416,Data!$A$2:$A$497,1))),"")</f>
        <v>0.0872808702512679</v>
      </c>
      <c r="AU428" s="560">
        <f>IFERROR(LN(INDEX(Data!$K$2:$K$497,MATCH(N428,Data!$A$2:$A$497,1))/INDEX(Data!$K$2:$K$497,MATCH(N416,Data!$A$2:$A$497,1))),"")</f>
        <v>0.118317278585235</v>
      </c>
      <c r="AV428" s="561">
        <f>IFERROR(LN(INDEX(Data!$L$2:$L$497,MATCH(N428,Data!$A$2:$A$497,1))/INDEX(Data!$L$2:$L$497,MATCH(N416,Data!$A$2:$A$497,1))),"")</f>
        <v>0.0480970431276441</v>
      </c>
    </row>
    <row r="429">
      <c r="N429" s="337" t="n">
        <v>37772</v>
      </c>
      <c r="O429" s="116">
        <f>INDEX('Additional data'!$B$2:$B$965,MATCH(DATE(YEAR(N429),MONTH(N429),1),'Additional data'!$A$2:$A$965,0))</f>
        <v>28.14</v>
      </c>
      <c r="P429" s="489">
        <f>LN(O429)</f>
        <v>3.33719205168624</v>
      </c>
      <c r="Q429" s="489">
        <f>Q428+LN(1+INDEX('Additional data'!$H$2:$H$1196,MATCH(N429,'Additional data'!$G$2:$G$1196,1))+INDEX('Additional data'!$I$2:$I$1196,MATCH(N429,'Additional data'!$G$2:$G$1196,1)))</f>
        <v>3.44662229147886</v>
      </c>
      <c r="R429" s="489">
        <f>LN(INDEX(Data!$B$2:$B$497,MATCH(N429,Data!$A$2:$A$497,1)))</f>
        <v>9.6563133772812</v>
      </c>
      <c r="S429" s="116">
        <f>IF(INDEX('Additional data'!$E$2:$E$699,MATCH(DATE(YEAR(N429),MONTH(N429),1),'Additional data'!$D$2:$D$699,0))=0,(INDEX('Additional data'!$E$2:$E$699,MATCH(DATE(YEAR(N429),MONTH(N429),1),'Additional data'!$D$2:$D$699,0)-1)+INDEX('Additional data'!$E$2:$E$699,MATCH(DATE(YEAR(N429),MONTH(N429),1),'Additional data'!$D$2:$D$699,0)+1))/2,INDEX('Additional data'!$E$2:$E$699,MATCH(DATE(YEAR(N429),MONTH(N429),1),'Additional data'!$D$2:$D$699,0)))</f>
        <v>4.78</v>
      </c>
      <c r="T429" s="425">
        <f>P429-P428</f>
        <v>-0.0039014059062068</v>
      </c>
      <c r="U429" s="425">
        <f>Q429-Q428</f>
        <v>0.0595887914116573</v>
      </c>
      <c r="V429" s="425">
        <f>R429-R428</f>
        <v>0.00506527358275122</v>
      </c>
      <c r="W429" s="116">
        <f>S429-S428</f>
        <v>-0.00999999999999979</v>
      </c>
      <c r="X429" s="425">
        <f>P429-P417</f>
        <v>0.0406147191541906</v>
      </c>
      <c r="Y429" s="425">
        <f>Q429-Q417</f>
        <v>-0.073131848798663</v>
      </c>
      <c r="Z429" s="425">
        <f>R429-R417</f>
        <v>-0.0684719408048196</v>
      </c>
      <c r="AA429" s="116">
        <f>S429-S417</f>
        <v>-0.0599999999999996</v>
      </c>
      <c r="AB429" s="425">
        <f>P429-P369</f>
        <v>0.63851901239663</v>
      </c>
      <c r="AC429" s="425">
        <f>Q429-Q369</f>
        <v>-0.0414462583722148</v>
      </c>
      <c r="AD429" s="425">
        <f>R429-R369</f>
        <v>0.294935738550832</v>
      </c>
      <c r="AE429" s="235">
        <f>S429-S369</f>
        <v>-0.18</v>
      </c>
      <c r="AG429" s="554">
        <f>N429</f>
        <v>37772.0</v>
      </c>
      <c r="AH429" s="435">
        <f>IFERROR(INDEX('RBA 5Y yield'!$B$5:$B$661,MATCH(N429,'RBA 5Y yield'!$A$5:$A$661,1))*100,"")</f>
        <v>4.7439</v>
      </c>
      <c r="AI429" s="435">
        <f>IF(AND(ISNUMBER(AH429),ISNUMBER(AH428)),AH429-AH428,"")</f>
        <v>-0.2137</v>
      </c>
      <c r="AJ429" s="435">
        <f>IF(AND(ISNUMBER(AH429),ISNUMBER(AH417)),AH429-AH417,"")</f>
        <v>-1.2189</v>
      </c>
      <c r="AK429" s="435">
        <f>IF(AND(ISNUMBER(AH429),ISNUMBER(AH369)),AH429-AH369,"")</f>
        <v>-0.568</v>
      </c>
      <c r="AL429" s="560">
        <f>IFERROR(LN(INDEX(Data!$B$2:$B$497,MATCH(N429,Data!$A$2:$A$497,1))/INDEX(Data!$B$2:$B$497,MATCH(N417,Data!$A$2:$A$497,1))),"")</f>
        <v>-0.0684719408048199</v>
      </c>
      <c r="AM429" s="560">
        <f>IFERROR(LN(INDEX(Data!$C$2:$C$497,MATCH(N429,Data!$A$2:$A$497,1))/INDEX(Data!$C$2:$C$497,MATCH(N417,Data!$A$2:$A$497,1))),"")</f>
        <v>-0.301035355306517</v>
      </c>
      <c r="AN429" s="560">
        <f>IFERROR(LN(INDEX(Data!$D$2:$D$497,MATCH(N429,Data!$A$2:$A$497,1))/INDEX(Data!$D$2:$D$497,MATCH(N417,Data!$A$2:$A$497,1))),"")</f>
        <v>-0.232049067347194</v>
      </c>
      <c r="AO429" s="560">
        <f>IFERROR(LN(INDEX(Data!$E$2:$E$497,MATCH(N429,Data!$A$2:$A$497,1))/INDEX(Data!$E$2:$E$497,MATCH(N417,Data!$A$2:$A$497,1))),"")</f>
        <v>-0.0784428900135771</v>
      </c>
      <c r="AP429" s="560">
        <f>IFERROR(LN(INDEX(Data!$F$2:$F$497,MATCH(N429,Data!$A$2:$A$497,1))/INDEX(Data!$F$2:$F$497,MATCH(N417,Data!$A$2:$A$497,1))),"")</f>
        <v>0.106487921697774</v>
      </c>
      <c r="AQ429" s="560">
        <f>IFERROR(LN(INDEX(Data!$G$2:$G$497,MATCH(N429,Data!$A$2:$A$497,1))/INDEX(Data!$G$2:$G$497,MATCH(N417,Data!$A$2:$A$497,1))),"")</f>
        <v>0.172951813468719</v>
      </c>
      <c r="AR429" s="560">
        <f>IFERROR(LN(INDEX(Data!$H$2:$H$497,MATCH(N429,Data!$A$2:$A$497,1))/INDEX(Data!$H$2:$H$497,MATCH(N417,Data!$A$2:$A$497,1))),"")</f>
        <v>0.123693659082185</v>
      </c>
      <c r="AS429" s="560">
        <f>IFERROR(LN(INDEX(Data!$I$2:$I$497,MATCH(N429,Data!$A$2:$A$497,1))/INDEX(Data!$I$2:$I$497,MATCH(N417,Data!$A$2:$A$497,1))),"")</f>
        <v>-0.0260569627547946</v>
      </c>
      <c r="AT429" s="560">
        <f>IFERROR(LN(INDEX(Data!$J$2:$J$497,MATCH(N429,Data!$A$2:$A$497,1))/INDEX(Data!$J$2:$J$497,MATCH(N417,Data!$A$2:$A$497,1))),"")</f>
        <v>0.105887989087095</v>
      </c>
      <c r="AU429" s="560">
        <f>IFERROR(LN(INDEX(Data!$K$2:$K$497,MATCH(N429,Data!$A$2:$A$497,1))/INDEX(Data!$K$2:$K$497,MATCH(N417,Data!$A$2:$A$497,1))),"")</f>
        <v>0.130875134774224</v>
      </c>
      <c r="AV429" s="561">
        <f>IFERROR(LN(INDEX(Data!$L$2:$L$497,MATCH(N429,Data!$A$2:$A$497,1))/INDEX(Data!$L$2:$L$497,MATCH(N417,Data!$A$2:$A$497,1))),"")</f>
        <v>0.0484581476108747</v>
      </c>
    </row>
    <row r="430">
      <c r="N430" s="337" t="n">
        <v>37802</v>
      </c>
      <c r="O430" s="116">
        <f>INDEX('Additional data'!$B$2:$B$965,MATCH(DATE(YEAR(N430),MONTH(N430),1),'Additional data'!$A$2:$A$965,0))</f>
        <v>30.72</v>
      </c>
      <c r="P430" s="489">
        <f>LN(O430)</f>
        <v>3.42491390827947</v>
      </c>
      <c r="Q430" s="489">
        <f>Q429+LN(1+INDEX('Additional data'!$H$2:$H$1196,MATCH(N430,'Additional data'!$G$2:$G$1196,1))+INDEX('Additional data'!$I$2:$I$1196,MATCH(N430,'Additional data'!$G$2:$G$1196,1)))</f>
        <v>3.4617079288969</v>
      </c>
      <c r="R430" s="489">
        <f>LN(INDEX(Data!$B$2:$B$497,MATCH(N430,Data!$A$2:$A$497,1)))</f>
        <v>9.66889097751617</v>
      </c>
      <c r="S430" s="116">
        <f>IF(INDEX('Additional data'!$E$2:$E$699,MATCH(DATE(YEAR(N430),MONTH(N430),1),'Additional data'!$D$2:$D$699,0))=0,(INDEX('Additional data'!$E$2:$E$699,MATCH(DATE(YEAR(N430),MONTH(N430),1),'Additional data'!$D$2:$D$699,0)-1)+INDEX('Additional data'!$E$2:$E$699,MATCH(DATE(YEAR(N430),MONTH(N430),1),'Additional data'!$D$2:$D$699,0)+1))/2,INDEX('Additional data'!$E$2:$E$699,MATCH(DATE(YEAR(N430),MONTH(N430),1),'Additional data'!$D$2:$D$699,0)))</f>
        <v>4.67</v>
      </c>
      <c r="T430" s="425">
        <f>P430-P429</f>
        <v>0.0877218565932281</v>
      </c>
      <c r="U430" s="425">
        <f>Q430-Q429</f>
        <v>0.0150856374180406</v>
      </c>
      <c r="V430" s="425">
        <f>R430-R429</f>
        <v>0.012577600234966</v>
      </c>
      <c r="W430" s="116">
        <f>S430-S429</f>
        <v>-0.11</v>
      </c>
      <c r="X430" s="425">
        <f>P430-P418</f>
        <v>0.185451449802882</v>
      </c>
      <c r="Y430" s="425">
        <f>Q430-Q418</f>
        <v>0.0156003287876763</v>
      </c>
      <c r="Z430" s="425">
        <f>R430-R418</f>
        <v>-0.0109058115124636</v>
      </c>
      <c r="AA430" s="116">
        <f>S430-S418</f>
        <v>-0.4</v>
      </c>
      <c r="AB430" s="425">
        <f>P430-P370</f>
        <v>0.810442054136827</v>
      </c>
      <c r="AC430" s="425">
        <f>Q430-Q370</f>
        <v>-0.0617277647914656</v>
      </c>
      <c r="AD430" s="425">
        <f>R430-R370</f>
        <v>0.315004527697438</v>
      </c>
      <c r="AE430" s="235">
        <f>S430-S370</f>
        <v>-0.65</v>
      </c>
      <c r="AG430" s="554">
        <f>N430</f>
        <v>37802.0</v>
      </c>
      <c r="AH430" s="435">
        <f>IFERROR(INDEX('RBA 5Y yield'!$B$5:$B$661,MATCH(N430,'RBA 5Y yield'!$A$5:$A$661,1))*100,"")</f>
        <v>4.493</v>
      </c>
      <c r="AI430" s="435">
        <f>IF(AND(ISNUMBER(AH430),ISNUMBER(AH429)),AH430-AH429,"")</f>
        <v>-0.250900000000001</v>
      </c>
      <c r="AJ430" s="435">
        <f>IF(AND(ISNUMBER(AH430),ISNUMBER(AH418)),AH430-AH418,"")</f>
        <v>-1.3402</v>
      </c>
      <c r="AK430" s="435">
        <f>IF(AND(ISNUMBER(AH430),ISNUMBER(AH370)),AH430-AH370,"")</f>
        <v>-0.9137</v>
      </c>
      <c r="AL430" s="560">
        <f>IFERROR(LN(INDEX(Data!$B$2:$B$497,MATCH(N430,Data!$A$2:$A$497,1))/INDEX(Data!$B$2:$B$497,MATCH(N418,Data!$A$2:$A$497,1))),"")</f>
        <v>-0.0109058115124637</v>
      </c>
      <c r="AM430" s="560">
        <f>IFERROR(LN(INDEX(Data!$C$2:$C$497,MATCH(N430,Data!$A$2:$A$497,1))/INDEX(Data!$C$2:$C$497,MATCH(N418,Data!$A$2:$A$497,1))),"")</f>
        <v>-0.236759687874973</v>
      </c>
      <c r="AN430" s="560">
        <f>IFERROR(LN(INDEX(Data!$D$2:$D$497,MATCH(N430,Data!$A$2:$A$497,1))/INDEX(Data!$D$2:$D$497,MATCH(N418,Data!$A$2:$A$497,1))),"")</f>
        <v>-0.160389181517336</v>
      </c>
      <c r="AO430" s="560">
        <f>IFERROR(LN(INDEX(Data!$E$2:$E$497,MATCH(N430,Data!$A$2:$A$497,1))/INDEX(Data!$E$2:$E$497,MATCH(N418,Data!$A$2:$A$497,1))),"")</f>
        <v>-0.12163107062209</v>
      </c>
      <c r="AP430" s="560">
        <f>IFERROR(LN(INDEX(Data!$F$2:$F$497,MATCH(N430,Data!$A$2:$A$497,1))/INDEX(Data!$F$2:$F$497,MATCH(N418,Data!$A$2:$A$497,1))),"")</f>
        <v>0.0380001650132167</v>
      </c>
      <c r="AQ430" s="560">
        <f>IFERROR(LN(INDEX(Data!$G$2:$G$497,MATCH(N430,Data!$A$2:$A$497,1))/INDEX(Data!$G$2:$G$497,MATCH(N418,Data!$A$2:$A$497,1))),"")</f>
        <v>0.167695623814132</v>
      </c>
      <c r="AR430" s="560">
        <f>IFERROR(LN(INDEX(Data!$H$2:$H$497,MATCH(N430,Data!$A$2:$A$497,1))/INDEX(Data!$H$2:$H$497,MATCH(N418,Data!$A$2:$A$497,1))),"")</f>
        <v>0.0973685367081046</v>
      </c>
      <c r="AS430" s="560">
        <f>IFERROR(LN(INDEX(Data!$I$2:$I$497,MATCH(N430,Data!$A$2:$A$497,1))/INDEX(Data!$I$2:$I$497,MATCH(N418,Data!$A$2:$A$497,1))),"")</f>
        <v>0.0276136948220586</v>
      </c>
      <c r="AT430" s="560">
        <f>IFERROR(LN(INDEX(Data!$J$2:$J$497,MATCH(N430,Data!$A$2:$A$497,1))/INDEX(Data!$J$2:$J$497,MATCH(N418,Data!$A$2:$A$497,1))),"")</f>
        <v>0.0933456708939368</v>
      </c>
      <c r="AU430" s="560">
        <f>IFERROR(LN(INDEX(Data!$K$2:$K$497,MATCH(N430,Data!$A$2:$A$497,1))/INDEX(Data!$K$2:$K$497,MATCH(N418,Data!$A$2:$A$497,1))),"")</f>
        <v>0.117826706492503</v>
      </c>
      <c r="AV430" s="561">
        <f>IFERROR(LN(INDEX(Data!$L$2:$L$497,MATCH(N430,Data!$A$2:$A$497,1))/INDEX(Data!$L$2:$L$497,MATCH(N418,Data!$A$2:$A$497,1))),"")</f>
        <v>0.0484746429260317</v>
      </c>
    </row>
    <row r="431">
      <c r="N431" s="337" t="n">
        <v>37833</v>
      </c>
      <c r="O431" s="116">
        <f>INDEX('Additional data'!$B$2:$B$965,MATCH(DATE(YEAR(N431),MONTH(N431),1),'Additional data'!$A$2:$A$965,0))</f>
        <v>30.76</v>
      </c>
      <c r="P431" s="489">
        <f>LN(O431)</f>
        <v>3.42621514463744</v>
      </c>
      <c r="Q431" s="489">
        <f>Q430+LN(1+INDEX('Additional data'!$H$2:$H$1196,MATCH(N431,'Additional data'!$G$2:$G$1196,1))+INDEX('Additional data'!$I$2:$I$1196,MATCH(N431,'Additional data'!$G$2:$G$1196,1)))</f>
        <v>3.48542445551422</v>
      </c>
      <c r="R431" s="489">
        <f>LN(INDEX(Data!$B$2:$B$497,MATCH(N431,Data!$A$2:$A$497,1)))</f>
        <v>9.70434002979055</v>
      </c>
      <c r="S431" s="116">
        <f>IF(INDEX('Additional data'!$E$2:$E$699,MATCH(DATE(YEAR(N431),MONTH(N431),1),'Additional data'!$D$2:$D$699,0))=0,(INDEX('Additional data'!$E$2:$E$699,MATCH(DATE(YEAR(N431),MONTH(N431),1),'Additional data'!$D$2:$D$699,0)-1)+INDEX('Additional data'!$E$2:$E$699,MATCH(DATE(YEAR(N431),MONTH(N431),1),'Additional data'!$D$2:$D$699,0)+1))/2,INDEX('Additional data'!$E$2:$E$699,MATCH(DATE(YEAR(N431),MONTH(N431),1),'Additional data'!$D$2:$D$699,0)))</f>
        <v>4.72</v>
      </c>
      <c r="T431" s="425">
        <f>P431-P430</f>
        <v>0.00130123635797208</v>
      </c>
      <c r="U431" s="425">
        <f>Q431-Q430</f>
        <v>0.0237165266173163</v>
      </c>
      <c r="V431" s="425">
        <f>R431-R430</f>
        <v>0.0354490522743802</v>
      </c>
      <c r="W431" s="116">
        <f>S431-S430</f>
        <v>0.0499999999999998</v>
      </c>
      <c r="X431" s="425">
        <f>P431-P419</f>
        <v>0.132602973655225</v>
      </c>
      <c r="Y431" s="425">
        <f>Q431-Q419</f>
        <v>0.123133341498103</v>
      </c>
      <c r="Z431" s="425">
        <f>R431-R419</f>
        <v>0.0665098179504522</v>
      </c>
      <c r="AA431" s="116">
        <f>S431-S419</f>
        <v>-0.260000000000001</v>
      </c>
      <c r="AB431" s="425">
        <f>P431-P371</f>
        <v>0.781459793907547</v>
      </c>
      <c r="AC431" s="425">
        <f>Q431-Q371</f>
        <v>-0.0176044283964867</v>
      </c>
      <c r="AD431" s="425">
        <f>R431-R371</f>
        <v>0.334631185800289</v>
      </c>
      <c r="AE431" s="235">
        <f>S431-S371</f>
        <v>-0.45</v>
      </c>
      <c r="AG431" s="554">
        <f>N431</f>
        <v>37833.0</v>
      </c>
      <c r="AH431" s="435">
        <f>IFERROR(INDEX('RBA 5Y yield'!$B$5:$B$661,MATCH(N431,'RBA 5Y yield'!$A$5:$A$661,1))*100,"")</f>
        <v>4.8943</v>
      </c>
      <c r="AI431" s="435">
        <f>IF(AND(ISNUMBER(AH431),ISNUMBER(AH430)),AH431-AH430,"")</f>
        <v>0.401300000000001</v>
      </c>
      <c r="AJ431" s="435">
        <f>IF(AND(ISNUMBER(AH431),ISNUMBER(AH419)),AH431-AH419,"")</f>
        <v>-0.7227</v>
      </c>
      <c r="AK431" s="435">
        <f>IF(AND(ISNUMBER(AH431),ISNUMBER(AH371)),AH431-AH371,"")</f>
        <v>-0.4518</v>
      </c>
      <c r="AL431" s="560">
        <f>IFERROR(LN(INDEX(Data!$B$2:$B$497,MATCH(N431,Data!$A$2:$A$497,1))/INDEX(Data!$B$2:$B$497,MATCH(N419,Data!$A$2:$A$497,1))),"")</f>
        <v>0.0665098179504538</v>
      </c>
      <c r="AM431" s="560">
        <f>IFERROR(LN(INDEX(Data!$C$2:$C$497,MATCH(N431,Data!$A$2:$A$497,1))/INDEX(Data!$C$2:$C$497,MATCH(N419,Data!$A$2:$A$497,1))),"")</f>
        <v>-0.117182269639936</v>
      </c>
      <c r="AN431" s="560">
        <f>IFERROR(LN(INDEX(Data!$D$2:$D$497,MATCH(N431,Data!$A$2:$A$497,1))/INDEX(Data!$D$2:$D$497,MATCH(N419,Data!$A$2:$A$497,1))),"")</f>
        <v>-0.0291986810788377</v>
      </c>
      <c r="AO431" s="560">
        <f>IFERROR(LN(INDEX(Data!$E$2:$E$497,MATCH(N431,Data!$A$2:$A$497,1))/INDEX(Data!$E$2:$E$497,MATCH(N419,Data!$A$2:$A$497,1))),"")</f>
        <v>-0.0286626633219996</v>
      </c>
      <c r="AP431" s="560">
        <f>IFERROR(LN(INDEX(Data!$F$2:$F$497,MATCH(N431,Data!$A$2:$A$497,1))/INDEX(Data!$F$2:$F$497,MATCH(N419,Data!$A$2:$A$497,1))),"")</f>
        <v>0.042600672103847</v>
      </c>
      <c r="AQ431" s="560">
        <f>IFERROR(LN(INDEX(Data!$G$2:$G$497,MATCH(N431,Data!$A$2:$A$497,1))/INDEX(Data!$G$2:$G$497,MATCH(N419,Data!$A$2:$A$497,1))),"")</f>
        <v>0.167695623814132</v>
      </c>
      <c r="AR431" s="560">
        <f>IFERROR(LN(INDEX(Data!$H$2:$H$497,MATCH(N431,Data!$A$2:$A$497,1))/INDEX(Data!$H$2:$H$497,MATCH(N419,Data!$A$2:$A$497,1))),"")</f>
        <v>0.100654246837909</v>
      </c>
      <c r="AS431" s="560">
        <f>IFERROR(LN(INDEX(Data!$I$2:$I$497,MATCH(N431,Data!$A$2:$A$497,1))/INDEX(Data!$I$2:$I$497,MATCH(N419,Data!$A$2:$A$497,1))),"")</f>
        <v>0.0276136948220586</v>
      </c>
      <c r="AT431" s="560">
        <f>IFERROR(LN(INDEX(Data!$J$2:$J$497,MATCH(N431,Data!$A$2:$A$497,1))/INDEX(Data!$J$2:$J$497,MATCH(N419,Data!$A$2:$A$497,1))),"")</f>
        <v>0.0742919020834088</v>
      </c>
      <c r="AU431" s="560">
        <f>IFERROR(LN(INDEX(Data!$K$2:$K$497,MATCH(N431,Data!$A$2:$A$497,1))/INDEX(Data!$K$2:$K$497,MATCH(N419,Data!$A$2:$A$497,1))),"")</f>
        <v>0.0859490993118798</v>
      </c>
      <c r="AV431" s="561">
        <f>IFERROR(LN(INDEX(Data!$L$2:$L$497,MATCH(N431,Data!$A$2:$A$497,1))/INDEX(Data!$L$2:$L$497,MATCH(N419,Data!$A$2:$A$497,1))),"")</f>
        <v>0.0480159132529417</v>
      </c>
    </row>
    <row r="432">
      <c r="N432" s="337" t="n">
        <v>37864</v>
      </c>
      <c r="O432" s="116">
        <f>INDEX('Additional data'!$B$2:$B$965,MATCH(DATE(YEAR(N432),MONTH(N432),1),'Additional data'!$A$2:$A$965,0))</f>
        <v>31.59</v>
      </c>
      <c r="P432" s="489">
        <f>LN(O432)</f>
        <v>3.45284061481399</v>
      </c>
      <c r="Q432" s="489">
        <f>Q431+LN(1+INDEX('Additional data'!$H$2:$H$1196,MATCH(N432,'Additional data'!$G$2:$G$1196,1))+INDEX('Additional data'!$I$2:$I$1196,MATCH(N432,'Additional data'!$G$2:$G$1196,1)))</f>
        <v>3.50914098213153</v>
      </c>
      <c r="R432" s="489">
        <f>LN(INDEX(Data!$B$2:$B$497,MATCH(N432,Data!$A$2:$A$497,1)))</f>
        <v>9.73886488231502</v>
      </c>
      <c r="S432" s="116">
        <f>IF(INDEX('Additional data'!$E$2:$E$699,MATCH(DATE(YEAR(N432),MONTH(N432),1),'Additional data'!$D$2:$D$699,0))=0,(INDEX('Additional data'!$E$2:$E$699,MATCH(DATE(YEAR(N432),MONTH(N432),1),'Additional data'!$D$2:$D$699,0)-1)+INDEX('Additional data'!$E$2:$E$699,MATCH(DATE(YEAR(N432),MONTH(N432),1),'Additional data'!$D$2:$D$699,0)+1))/2,INDEX('Additional data'!$E$2:$E$699,MATCH(DATE(YEAR(N432),MONTH(N432),1),'Additional data'!$D$2:$D$699,0)))</f>
        <v>4.82</v>
      </c>
      <c r="T432" s="425">
        <f>P432-P431</f>
        <v>0.0266254701765503</v>
      </c>
      <c r="U432" s="425">
        <f>Q432-Q431</f>
        <v>0.0237165266173163</v>
      </c>
      <c r="V432" s="425">
        <f>R432-R431</f>
        <v>0.0345248525244717</v>
      </c>
      <c r="W432" s="116">
        <f>S432-S431</f>
        <v>0.100000000000001</v>
      </c>
      <c r="X432" s="425">
        <f>P432-P420</f>
        <v>0.107155943082097</v>
      </c>
      <c r="Y432" s="425">
        <f>Q432-Q420</f>
        <v>0.140470261151381</v>
      </c>
      <c r="Z432" s="425">
        <f>R432-R420</f>
        <v>0.0831136314823695</v>
      </c>
      <c r="AA432" s="116">
        <f>S432-S420</f>
        <v>-0.14</v>
      </c>
      <c r="AB432" s="425">
        <f>P432-P372</f>
        <v>0.860575446705494</v>
      </c>
      <c r="AC432" s="425">
        <f>Q432-Q372</f>
        <v>0.175951877512728</v>
      </c>
      <c r="AD432" s="425">
        <f>R432-R372</f>
        <v>0.459390315505168</v>
      </c>
      <c r="AE432" s="235">
        <f>S432-S372</f>
        <v>-0.37</v>
      </c>
      <c r="AG432" s="554">
        <f>N432</f>
        <v>37864.0</v>
      </c>
      <c r="AH432" s="435">
        <f>IFERROR(INDEX('RBA 5Y yield'!$B$5:$B$661,MATCH(N432,'RBA 5Y yield'!$A$5:$A$661,1))*100,"")</f>
        <v>5.2224</v>
      </c>
      <c r="AI432" s="435">
        <f>IF(AND(ISNUMBER(AH432),ISNUMBER(AH431)),AH432-AH431,"")</f>
        <v>0.3281</v>
      </c>
      <c r="AJ432" s="435">
        <f>IF(AND(ISNUMBER(AH432),ISNUMBER(AH420)),AH432-AH420,"")</f>
        <v>-0.1681</v>
      </c>
      <c r="AK432" s="435">
        <f>IF(AND(ISNUMBER(AH432),ISNUMBER(AH372)),AH432-AH372,"")</f>
        <v>-0.2576</v>
      </c>
      <c r="AL432" s="560">
        <f>IFERROR(LN(INDEX(Data!$B$2:$B$497,MATCH(N432,Data!$A$2:$A$497,1))/INDEX(Data!$B$2:$B$497,MATCH(N420,Data!$A$2:$A$497,1))),"")</f>
        <v>0.0831136314823689</v>
      </c>
      <c r="AM432" s="560">
        <f>IFERROR(LN(INDEX(Data!$C$2:$C$497,MATCH(N432,Data!$A$2:$A$497,1))/INDEX(Data!$C$2:$C$497,MATCH(N420,Data!$A$2:$A$497,1))),"")</f>
        <v>-0.0814131457679242</v>
      </c>
      <c r="AN432" s="560">
        <f>IFERROR(LN(INDEX(Data!$D$2:$D$497,MATCH(N432,Data!$A$2:$A$497,1))/INDEX(Data!$D$2:$D$497,MATCH(N420,Data!$A$2:$A$497,1))),"")</f>
        <v>0.03646766562747</v>
      </c>
      <c r="AO432" s="560">
        <f>IFERROR(LN(INDEX(Data!$E$2:$E$497,MATCH(N432,Data!$A$2:$A$497,1))/INDEX(Data!$E$2:$E$497,MATCH(N420,Data!$A$2:$A$497,1))),"")</f>
        <v>-0.0163727171155944</v>
      </c>
      <c r="AP432" s="560">
        <f>IFERROR(LN(INDEX(Data!$F$2:$F$497,MATCH(N432,Data!$A$2:$A$497,1))/INDEX(Data!$F$2:$F$497,MATCH(N420,Data!$A$2:$A$497,1))),"")</f>
        <v>0.0372960597839301</v>
      </c>
      <c r="AQ432" s="560">
        <f>IFERROR(LN(INDEX(Data!$G$2:$G$497,MATCH(N432,Data!$A$2:$A$497,1))/INDEX(Data!$G$2:$G$497,MATCH(N420,Data!$A$2:$A$497,1))),"")</f>
        <v>0.167695623814132</v>
      </c>
      <c r="AR432" s="560">
        <f>IFERROR(LN(INDEX(Data!$H$2:$H$497,MATCH(N432,Data!$A$2:$A$497,1))/INDEX(Data!$H$2:$H$497,MATCH(N420,Data!$A$2:$A$497,1))),"")</f>
        <v>0.0522983932073346</v>
      </c>
      <c r="AS432" s="560">
        <f>IFERROR(LN(INDEX(Data!$I$2:$I$497,MATCH(N432,Data!$A$2:$A$497,1))/INDEX(Data!$I$2:$I$497,MATCH(N420,Data!$A$2:$A$497,1))),"")</f>
        <v>0.0276136948220586</v>
      </c>
      <c r="AT432" s="560">
        <f>IFERROR(LN(INDEX(Data!$J$2:$J$497,MATCH(N432,Data!$A$2:$A$497,1))/INDEX(Data!$J$2:$J$497,MATCH(N420,Data!$A$2:$A$497,1))),"")</f>
        <v>0.0637134641398791</v>
      </c>
      <c r="AU432" s="560">
        <f>IFERROR(LN(INDEX(Data!$K$2:$K$497,MATCH(N432,Data!$A$2:$A$497,1))/INDEX(Data!$K$2:$K$497,MATCH(N420,Data!$A$2:$A$497,1))),"")</f>
        <v>0.0718919791707473</v>
      </c>
      <c r="AV432" s="561">
        <f>IFERROR(LN(INDEX(Data!$L$2:$L$497,MATCH(N432,Data!$A$2:$A$497,1))/INDEX(Data!$L$2:$L$497,MATCH(N420,Data!$A$2:$A$497,1))),"")</f>
        <v>0.0478840634198696</v>
      </c>
    </row>
    <row r="433">
      <c r="N433" s="337" t="n">
        <v>37894</v>
      </c>
      <c r="O433" s="116">
        <f>INDEX('Additional data'!$B$2:$B$965,MATCH(DATE(YEAR(N433),MONTH(N433),1),'Additional data'!$A$2:$A$965,0))</f>
        <v>28.29</v>
      </c>
      <c r="P433" s="489">
        <f>LN(O433)</f>
        <v>3.34250838531348</v>
      </c>
      <c r="Q433" s="489">
        <f>Q432+LN(1+INDEX('Additional data'!$H$2:$H$1196,MATCH(N433,'Additional data'!$G$2:$G$1196,1))+INDEX('Additional data'!$I$2:$I$1196,MATCH(N433,'Additional data'!$G$2:$G$1196,1)))</f>
        <v>3.49747317726385</v>
      </c>
      <c r="R433" s="489">
        <f>LN(INDEX(Data!$B$2:$B$497,MATCH(N433,Data!$A$2:$A$497,1)))</f>
        <v>9.73748845663111</v>
      </c>
      <c r="S433" s="116">
        <f>IF(INDEX('Additional data'!$E$2:$E$699,MATCH(DATE(YEAR(N433),MONTH(N433),1),'Additional data'!$D$2:$D$699,0))=0,(INDEX('Additional data'!$E$2:$E$699,MATCH(DATE(YEAR(N433),MONTH(N433),1),'Additional data'!$D$2:$D$699,0)-1)+INDEX('Additional data'!$E$2:$E$699,MATCH(DATE(YEAR(N433),MONTH(N433),1),'Additional data'!$D$2:$D$699,0)+1))/2,INDEX('Additional data'!$E$2:$E$699,MATCH(DATE(YEAR(N433),MONTH(N433),1),'Additional data'!$D$2:$D$699,0)))</f>
        <v>4.91</v>
      </c>
      <c r="T433" s="425">
        <f>P433-P432</f>
        <v>-0.110332229500518</v>
      </c>
      <c r="U433" s="425">
        <f>Q433-Q432</f>
        <v>-0.0116678048676819</v>
      </c>
      <c r="V433" s="425">
        <f>R433-R432</f>
        <v>-0.00137642568390639</v>
      </c>
      <c r="W433" s="116">
        <f>S433-S432</f>
        <v>0.0899999999999999</v>
      </c>
      <c r="X433" s="425">
        <f>P433-P421</f>
        <v>-0.0476280489892549</v>
      </c>
      <c r="Y433" s="425">
        <f>Q433-Q421</f>
        <v>0.236387666963636</v>
      </c>
      <c r="Z433" s="425">
        <f>R433-R421</f>
        <v>0.123495885540331</v>
      </c>
      <c r="AA433" s="116">
        <f>S433-S421</f>
        <v>-0.00999999999999979</v>
      </c>
      <c r="AB433" s="425">
        <f>P433-P373</f>
        <v>0.63779708547678</v>
      </c>
      <c r="AC433" s="425">
        <f>Q433-Q373</f>
        <v>0.0999018137157779</v>
      </c>
      <c r="AD433" s="425">
        <f>R433-R373</f>
        <v>0.422265683275523</v>
      </c>
      <c r="AE433" s="235">
        <f>S433-S373</f>
        <v>-0.12</v>
      </c>
      <c r="AG433" s="554">
        <f>N433</f>
        <v>37894.0</v>
      </c>
      <c r="AH433" s="435">
        <f>IFERROR(INDEX('RBA 5Y yield'!$B$5:$B$661,MATCH(N433,'RBA 5Y yield'!$A$5:$A$661,1))*100,"")</f>
        <v>5.3141</v>
      </c>
      <c r="AI433" s="435">
        <f>IF(AND(ISNUMBER(AH433),ISNUMBER(AH432)),AH433-AH432,"")</f>
        <v>0.0916999999999995</v>
      </c>
      <c r="AJ433" s="435">
        <f>IF(AND(ISNUMBER(AH433),ISNUMBER(AH421)),AH433-AH421,"")</f>
        <v>0.0861999999999998</v>
      </c>
      <c r="AK433" s="435">
        <f>IF(AND(ISNUMBER(AH433),ISNUMBER(AH373)),AH433-AH373,"")</f>
        <v>0.1841</v>
      </c>
      <c r="AL433" s="560">
        <f>IFERROR(LN(INDEX(Data!$B$2:$B$497,MATCH(N433,Data!$A$2:$A$497,1))/INDEX(Data!$B$2:$B$497,MATCH(N421,Data!$A$2:$A$497,1))),"")</f>
        <v>0.123495885540331</v>
      </c>
      <c r="AM433" s="560">
        <f>IFERROR(LN(INDEX(Data!$C$2:$C$497,MATCH(N433,Data!$A$2:$A$497,1))/INDEX(Data!$C$2:$C$497,MATCH(N421,Data!$A$2:$A$497,1))),"")</f>
        <v>-0.0385170219466378</v>
      </c>
      <c r="AN433" s="560">
        <f>IFERROR(LN(INDEX(Data!$D$2:$D$497,MATCH(N433,Data!$A$2:$A$497,1))/INDEX(Data!$D$2:$D$497,MATCH(N421,Data!$A$2:$A$497,1))),"")</f>
        <v>0.052467101041705</v>
      </c>
      <c r="AO433" s="560">
        <f>IFERROR(LN(INDEX(Data!$E$2:$E$497,MATCH(N433,Data!$A$2:$A$497,1))/INDEX(Data!$E$2:$E$497,MATCH(N421,Data!$A$2:$A$497,1))),"")</f>
        <v>-0.0199652011083107</v>
      </c>
      <c r="AP433" s="560">
        <f>IFERROR(LN(INDEX(Data!$F$2:$F$497,MATCH(N433,Data!$A$2:$A$497,1))/INDEX(Data!$F$2:$F$497,MATCH(N421,Data!$A$2:$A$497,1))),"")</f>
        <v>-0.107479392829676</v>
      </c>
      <c r="AQ433" s="560">
        <f>IFERROR(LN(INDEX(Data!$G$2:$G$497,MATCH(N433,Data!$A$2:$A$497,1))/INDEX(Data!$G$2:$G$497,MATCH(N421,Data!$A$2:$A$497,1))),"")</f>
        <v>0.18404043101703</v>
      </c>
      <c r="AR433" s="560">
        <f>IFERROR(LN(INDEX(Data!$H$2:$H$497,MATCH(N433,Data!$A$2:$A$497,1))/INDEX(Data!$H$2:$H$497,MATCH(N421,Data!$A$2:$A$497,1))),"")</f>
        <v>0.0762694300406944</v>
      </c>
      <c r="AS433" s="560">
        <f>IFERROR(LN(INDEX(Data!$I$2:$I$497,MATCH(N433,Data!$A$2:$A$497,1))/INDEX(Data!$I$2:$I$497,MATCH(N421,Data!$A$2:$A$497,1))),"")</f>
        <v>0.093695870216674</v>
      </c>
      <c r="AT433" s="560">
        <f>IFERROR(LN(INDEX(Data!$J$2:$J$497,MATCH(N433,Data!$A$2:$A$497,1))/INDEX(Data!$J$2:$J$497,MATCH(N421,Data!$A$2:$A$497,1))),"")</f>
        <v>0.0536392241829811</v>
      </c>
      <c r="AU433" s="560">
        <f>IFERROR(LN(INDEX(Data!$K$2:$K$497,MATCH(N433,Data!$A$2:$A$497,1))/INDEX(Data!$K$2:$K$497,MATCH(N421,Data!$A$2:$A$497,1))),"")</f>
        <v>0.0757322793976634</v>
      </c>
      <c r="AV433" s="561">
        <f>IFERROR(LN(INDEX(Data!$L$2:$L$497,MATCH(N433,Data!$A$2:$A$497,1))/INDEX(Data!$L$2:$L$497,MATCH(N421,Data!$A$2:$A$497,1))),"")</f>
        <v>0.0477211292461229</v>
      </c>
    </row>
    <row r="434">
      <c r="N434" s="337" t="n">
        <v>37925</v>
      </c>
      <c r="O434" s="116">
        <f>INDEX('Additional data'!$B$2:$B$965,MATCH(DATE(YEAR(N434),MONTH(N434),1),'Additional data'!$A$2:$A$965,0))</f>
        <v>30.33</v>
      </c>
      <c r="P434" s="489">
        <f>LN(O434)</f>
        <v>3.41213732170049</v>
      </c>
      <c r="Q434" s="489">
        <f>Q433+LN(1+INDEX('Additional data'!$H$2:$H$1196,MATCH(N434,'Additional data'!$G$2:$G$1196,1))+INDEX('Additional data'!$I$2:$I$1196,MATCH(N434,'Additional data'!$G$2:$G$1196,1)))</f>
        <v>3.55715617942502</v>
      </c>
      <c r="R434" s="489">
        <f>LN(INDEX(Data!$B$2:$B$497,MATCH(N434,Data!$A$2:$A$497,1)))</f>
        <v>9.77170902274953</v>
      </c>
      <c r="S434" s="116">
        <f>IF(INDEX('Additional data'!$E$2:$E$699,MATCH(DATE(YEAR(N434),MONTH(N434),1),'Additional data'!$D$2:$D$699,0))=0,(INDEX('Additional data'!$E$2:$E$699,MATCH(DATE(YEAR(N434),MONTH(N434),1),'Additional data'!$D$2:$D$699,0)-1)+INDEX('Additional data'!$E$2:$E$699,MATCH(DATE(YEAR(N434),MONTH(N434),1),'Additional data'!$D$2:$D$699,0)+1))/2,INDEX('Additional data'!$E$2:$E$699,MATCH(DATE(YEAR(N434),MONTH(N434),1),'Additional data'!$D$2:$D$699,0)))</f>
        <v>4.97</v>
      </c>
      <c r="T434" s="425">
        <f>P434-P433</f>
        <v>0.069628936387014</v>
      </c>
      <c r="U434" s="425">
        <f>Q434-Q433</f>
        <v>0.0596830021611736</v>
      </c>
      <c r="V434" s="425">
        <f>R434-R433</f>
        <v>0.0342205661184138</v>
      </c>
      <c r="W434" s="116">
        <f>S434-S433</f>
        <v>0.0599999999999996</v>
      </c>
      <c r="X434" s="425">
        <f>P434-P422</f>
        <v>0.0500273287463813</v>
      </c>
      <c r="Y434" s="425">
        <f>Q434-Q422</f>
        <v>0.21929483032276</v>
      </c>
      <c r="Z434" s="425">
        <f>R434-R422</f>
        <v>0.132393091967549</v>
      </c>
      <c r="AA434" s="116">
        <f>S434-S422</f>
        <v>0.0699999999999994</v>
      </c>
      <c r="AB434" s="425">
        <f>P434-P374</f>
        <v>0.745603800801213</v>
      </c>
      <c r="AC434" s="425">
        <f>Q434-Q374</f>
        <v>0.0891263522283898</v>
      </c>
      <c r="AD434" s="425">
        <f>R434-R374</f>
        <v>0.433037003423488</v>
      </c>
      <c r="AE434" s="235">
        <f>S434-S374</f>
        <v>0.14</v>
      </c>
      <c r="AG434" s="554">
        <f>N434</f>
        <v>37925.0</v>
      </c>
      <c r="AH434" s="435">
        <f>IFERROR(INDEX('RBA 5Y yield'!$B$5:$B$661,MATCH(N434,'RBA 5Y yield'!$A$5:$A$661,1))*100,"")</f>
        <v>5.4739</v>
      </c>
      <c r="AI434" s="435">
        <f>IF(AND(ISNUMBER(AH434),ISNUMBER(AH433)),AH434-AH433,"")</f>
        <v>0.159800000000001</v>
      </c>
      <c r="AJ434" s="435">
        <f>IF(AND(ISNUMBER(AH434),ISNUMBER(AH422)),AH434-AH422,"")</f>
        <v>0.157800000000001</v>
      </c>
      <c r="AK434" s="435">
        <f>IF(AND(ISNUMBER(AH434),ISNUMBER(AH374)),AH434-AH374,"")</f>
        <v>0.845700000000001</v>
      </c>
      <c r="AL434" s="560">
        <f>IFERROR(LN(INDEX(Data!$B$2:$B$497,MATCH(N434,Data!$A$2:$A$497,1))/INDEX(Data!$B$2:$B$497,MATCH(N422,Data!$A$2:$A$497,1))),"")</f>
        <v>0.132393091967548</v>
      </c>
      <c r="AM434" s="560">
        <f>IFERROR(LN(INDEX(Data!$C$2:$C$497,MATCH(N434,Data!$A$2:$A$497,1))/INDEX(Data!$C$2:$C$497,MATCH(N422,Data!$A$2:$A$497,1))),"")</f>
        <v>-0.0830806697120253</v>
      </c>
      <c r="AN434" s="560">
        <f>IFERROR(LN(INDEX(Data!$D$2:$D$497,MATCH(N434,Data!$A$2:$A$497,1))/INDEX(Data!$D$2:$D$497,MATCH(N422,Data!$A$2:$A$497,1))),"")</f>
        <v>0.0648908812000769</v>
      </c>
      <c r="AO434" s="560">
        <f>IFERROR(LN(INDEX(Data!$E$2:$E$497,MATCH(N434,Data!$A$2:$A$497,1))/INDEX(Data!$E$2:$E$497,MATCH(N422,Data!$A$2:$A$497,1))),"")</f>
        <v>0.00564904645506505</v>
      </c>
      <c r="AP434" s="560">
        <f>IFERROR(LN(INDEX(Data!$F$2:$F$497,MATCH(N434,Data!$A$2:$A$497,1))/INDEX(Data!$F$2:$F$497,MATCH(N422,Data!$A$2:$A$497,1))),"")</f>
        <v>-0.0635314768920847</v>
      </c>
      <c r="AQ434" s="560">
        <f>IFERROR(LN(INDEX(Data!$G$2:$G$497,MATCH(N434,Data!$A$2:$A$497,1))/INDEX(Data!$G$2:$G$497,MATCH(N422,Data!$A$2:$A$497,1))),"")</f>
        <v>0.18404043101703</v>
      </c>
      <c r="AR434" s="560">
        <f>IFERROR(LN(INDEX(Data!$H$2:$H$497,MATCH(N434,Data!$A$2:$A$497,1))/INDEX(Data!$H$2:$H$497,MATCH(N422,Data!$A$2:$A$497,1))),"")</f>
        <v>0.0857264713060377</v>
      </c>
      <c r="AS434" s="560">
        <f>IFERROR(LN(INDEX(Data!$I$2:$I$497,MATCH(N434,Data!$A$2:$A$497,1))/INDEX(Data!$I$2:$I$497,MATCH(N422,Data!$A$2:$A$497,1))),"")</f>
        <v>0.093695870216674</v>
      </c>
      <c r="AT434" s="560">
        <f>IFERROR(LN(INDEX(Data!$J$2:$J$497,MATCH(N434,Data!$A$2:$A$497,1))/INDEX(Data!$J$2:$J$497,MATCH(N422,Data!$A$2:$A$497,1))),"")</f>
        <v>0.0406572981666153</v>
      </c>
      <c r="AU434" s="560">
        <f>IFERROR(LN(INDEX(Data!$K$2:$K$497,MATCH(N434,Data!$A$2:$A$497,1))/INDEX(Data!$K$2:$K$497,MATCH(N422,Data!$A$2:$A$497,1))),"")</f>
        <v>0.0698781849649724</v>
      </c>
      <c r="AV434" s="561">
        <f>IFERROR(LN(INDEX(Data!$L$2:$L$497,MATCH(N434,Data!$A$2:$A$497,1))/INDEX(Data!$L$2:$L$497,MATCH(N422,Data!$A$2:$A$497,1))),"")</f>
        <v>0.0476280489892549</v>
      </c>
    </row>
    <row r="435">
      <c r="N435" s="337" t="n">
        <v>37955</v>
      </c>
      <c r="O435" s="116">
        <f>INDEX('Additional data'!$B$2:$B$965,MATCH(DATE(YEAR(N435),MONTH(N435),1),'Additional data'!$A$2:$A$965,0))</f>
        <v>31.09</v>
      </c>
      <c r="P435" s="489">
        <f>LN(O435)</f>
        <v>3.43688622407066</v>
      </c>
      <c r="Q435" s="489">
        <f>Q434+LN(1+INDEX('Additional data'!$H$2:$H$1196,MATCH(N435,'Additional data'!$G$2:$G$1196,1))+INDEX('Additional data'!$I$2:$I$1196,MATCH(N435,'Additional data'!$G$2:$G$1196,1)))</f>
        <v>3.5712563038038</v>
      </c>
      <c r="R435" s="489">
        <f>LN(INDEX(Data!$B$2:$B$497,MATCH(N435,Data!$A$2:$A$497,1)))</f>
        <v>9.75007654908084</v>
      </c>
      <c r="S435" s="116">
        <f>IF(INDEX('Additional data'!$E$2:$E$699,MATCH(DATE(YEAR(N435),MONTH(N435),1),'Additional data'!$D$2:$D$699,0))=0,(INDEX('Additional data'!$E$2:$E$699,MATCH(DATE(YEAR(N435),MONTH(N435),1),'Additional data'!$D$2:$D$699,0)-1)+INDEX('Additional data'!$E$2:$E$699,MATCH(DATE(YEAR(N435),MONTH(N435),1),'Additional data'!$D$2:$D$699,0)+1))/2,INDEX('Additional data'!$E$2:$E$699,MATCH(DATE(YEAR(N435),MONTH(N435),1),'Additional data'!$D$2:$D$699,0)))</f>
        <v>5.31</v>
      </c>
      <c r="T435" s="425">
        <f>P435-P434</f>
        <v>0.0247489023701726</v>
      </c>
      <c r="U435" s="425">
        <f>Q435-Q434</f>
        <v>0.0141001243787815</v>
      </c>
      <c r="V435" s="425">
        <f>R435-R434</f>
        <v>-0.0216324736686868</v>
      </c>
      <c r="W435" s="116">
        <f>S435-S434</f>
        <v>0.34</v>
      </c>
      <c r="X435" s="425">
        <f>P435-P423</f>
        <v>0.168458620373214</v>
      </c>
      <c r="Y435" s="425">
        <f>Q435-Q423</f>
        <v>0.174371614252081</v>
      </c>
      <c r="Z435" s="425">
        <f>R435-R423</f>
        <v>0.0961634109567289</v>
      </c>
      <c r="AA435" s="116">
        <f>S435-S423</f>
        <v>0.47</v>
      </c>
      <c r="AB435" s="425">
        <f>P435-P375</f>
        <v>0.883542412729434</v>
      </c>
      <c r="AC435" s="425">
        <f>Q435-Q375</f>
        <v>0.041379073281091</v>
      </c>
      <c r="AD435" s="425">
        <f>R435-R375</f>
        <v>0.36037733816147</v>
      </c>
      <c r="AE435" s="235">
        <f>S435-S375</f>
        <v>0.43</v>
      </c>
      <c r="AG435" s="554">
        <f>N435</f>
        <v>37955.0</v>
      </c>
      <c r="AH435" s="435">
        <f>IFERROR(INDEX('RBA 5Y yield'!$B$5:$B$661,MATCH(N435,'RBA 5Y yield'!$A$5:$A$661,1))*100,"")</f>
        <v>5.8275</v>
      </c>
      <c r="AI435" s="435">
        <f>IF(AND(ISNUMBER(AH435),ISNUMBER(AH434)),AH435-AH434,"")</f>
        <v>0.353599999999999</v>
      </c>
      <c r="AJ435" s="435">
        <f>IF(AND(ISNUMBER(AH435),ISNUMBER(AH423)),AH435-AH423,"")</f>
        <v>0.717999999999999</v>
      </c>
      <c r="AK435" s="435">
        <f>IF(AND(ISNUMBER(AH435),ISNUMBER(AH375)),AH435-AH375,"")</f>
        <v>1.0008</v>
      </c>
      <c r="AL435" s="560">
        <f>IFERROR(LN(INDEX(Data!$B$2:$B$497,MATCH(N435,Data!$A$2:$A$497,1))/INDEX(Data!$B$2:$B$497,MATCH(N423,Data!$A$2:$A$497,1))),"")</f>
        <v>0.0961634109567294</v>
      </c>
      <c r="AM435" s="560">
        <f>IFERROR(LN(INDEX(Data!$C$2:$C$497,MATCH(N435,Data!$A$2:$A$497,1))/INDEX(Data!$C$2:$C$497,MATCH(N423,Data!$A$2:$A$497,1))),"")</f>
        <v>-0.136853418684759</v>
      </c>
      <c r="AN435" s="560">
        <f>IFERROR(LN(INDEX(Data!$D$2:$D$497,MATCH(N435,Data!$A$2:$A$497,1))/INDEX(Data!$D$2:$D$497,MATCH(N423,Data!$A$2:$A$497,1))),"")</f>
        <v>0.0147341614706721</v>
      </c>
      <c r="AO435" s="560">
        <f>IFERROR(LN(INDEX(Data!$E$2:$E$497,MATCH(N435,Data!$A$2:$A$497,1))/INDEX(Data!$E$2:$E$497,MATCH(N423,Data!$A$2:$A$497,1))),"")</f>
        <v>-0.00221218019502542</v>
      </c>
      <c r="AP435" s="560">
        <f>IFERROR(LN(INDEX(Data!$F$2:$F$497,MATCH(N435,Data!$A$2:$A$497,1))/INDEX(Data!$F$2:$F$497,MATCH(N423,Data!$A$2:$A$497,1))),"")</f>
        <v>-0.0442326267509561</v>
      </c>
      <c r="AQ435" s="560">
        <f>IFERROR(LN(INDEX(Data!$G$2:$G$497,MATCH(N435,Data!$A$2:$A$497,1))/INDEX(Data!$G$2:$G$497,MATCH(N423,Data!$A$2:$A$497,1))),"")</f>
        <v>0.18404043101703</v>
      </c>
      <c r="AR435" s="560">
        <f>IFERROR(LN(INDEX(Data!$H$2:$H$497,MATCH(N435,Data!$A$2:$A$497,1))/INDEX(Data!$H$2:$H$497,MATCH(N423,Data!$A$2:$A$497,1))),"")</f>
        <v>0.0936064183193748</v>
      </c>
      <c r="AS435" s="560">
        <f>IFERROR(LN(INDEX(Data!$I$2:$I$497,MATCH(N435,Data!$A$2:$A$497,1))/INDEX(Data!$I$2:$I$497,MATCH(N423,Data!$A$2:$A$497,1))),"")</f>
        <v>0.093695870216674</v>
      </c>
      <c r="AT435" s="560">
        <f>IFERROR(LN(INDEX(Data!$J$2:$J$497,MATCH(N435,Data!$A$2:$A$497,1))/INDEX(Data!$J$2:$J$497,MATCH(N423,Data!$A$2:$A$497,1))),"")</f>
        <v>0.0348926096134427</v>
      </c>
      <c r="AU435" s="560">
        <f>IFERROR(LN(INDEX(Data!$K$2:$K$497,MATCH(N435,Data!$A$2:$A$497,1))/INDEX(Data!$K$2:$K$497,MATCH(N423,Data!$A$2:$A$497,1))),"")</f>
        <v>0.0706986533497068</v>
      </c>
      <c r="AV435" s="561">
        <f>IFERROR(LN(INDEX(Data!$L$2:$L$497,MATCH(N435,Data!$A$2:$A$497,1))/INDEX(Data!$L$2:$L$497,MATCH(N423,Data!$A$2:$A$497,1))),"")</f>
        <v>0.0476142646149901</v>
      </c>
    </row>
    <row r="436">
      <c r="N436" s="337" t="n">
        <v>37986</v>
      </c>
      <c r="O436" s="116">
        <f>INDEX('Additional data'!$B$2:$B$965,MATCH(DATE(YEAR(N436),MONTH(N436),1),'Additional data'!$A$2:$A$965,0))</f>
        <v>32.15</v>
      </c>
      <c r="P436" s="489">
        <f>LN(O436)</f>
        <v>3.47041245068363</v>
      </c>
      <c r="Q436" s="489">
        <f>Q435+LN(1+INDEX('Additional data'!$H$2:$H$1196,MATCH(N436,'Additional data'!$G$2:$G$1196,1))+INDEX('Additional data'!$I$2:$I$1196,MATCH(N436,'Additional data'!$G$2:$G$1196,1)))</f>
        <v>3.61402839564767</v>
      </c>
      <c r="R436" s="489">
        <f>LN(INDEX(Data!$B$2:$B$497,MATCH(N436,Data!$A$2:$A$497,1)))</f>
        <v>9.78620435444014</v>
      </c>
      <c r="S436" s="116">
        <f>IF(INDEX('Additional data'!$E$2:$E$699,MATCH(DATE(YEAR(N436),MONTH(N436),1),'Additional data'!$D$2:$D$699,0))=0,(INDEX('Additional data'!$E$2:$E$699,MATCH(DATE(YEAR(N436),MONTH(N436),1),'Additional data'!$D$2:$D$699,0)-1)+INDEX('Additional data'!$E$2:$E$699,MATCH(DATE(YEAR(N436),MONTH(N436),1),'Additional data'!$D$2:$D$699,0)+1))/2,INDEX('Additional data'!$E$2:$E$699,MATCH(DATE(YEAR(N436),MONTH(N436),1),'Additional data'!$D$2:$D$699,0)))</f>
        <v>5.47</v>
      </c>
      <c r="T436" s="425">
        <f>P436-P435</f>
        <v>0.0335262266129659</v>
      </c>
      <c r="U436" s="425">
        <f>Q436-Q435</f>
        <v>0.0427720918438688</v>
      </c>
      <c r="V436" s="425">
        <f>R436-R435</f>
        <v>0.0361278053592944</v>
      </c>
      <c r="W436" s="116">
        <f>S436-S435</f>
        <v>0.16</v>
      </c>
      <c r="X436" s="425">
        <f>P436-P424</f>
        <v>0.0887377355103367</v>
      </c>
      <c r="Y436" s="425">
        <f>Q436-Q424</f>
        <v>0.275302620269482</v>
      </c>
      <c r="Z436" s="425">
        <f>R436-R424</f>
        <v>0.147248914457089</v>
      </c>
      <c r="AA436" s="116">
        <f>S436-S424</f>
        <v>0.64</v>
      </c>
      <c r="AB436" s="425">
        <f>P436-P376</f>
        <v>1.04738120461372</v>
      </c>
      <c r="AC436" s="425">
        <f>Q436-Q376</f>
        <v>0.0208947154899448</v>
      </c>
      <c r="AD436" s="425">
        <f>R436-R376</f>
        <v>0.384789180675249</v>
      </c>
      <c r="AE436" s="235">
        <f>S436-S376</f>
        <v>0.67</v>
      </c>
      <c r="AG436" s="554">
        <f>N436</f>
        <v>37986.0</v>
      </c>
      <c r="AH436" s="435">
        <f>IFERROR(INDEX('RBA 5Y yield'!$B$5:$B$661,MATCH(N436,'RBA 5Y yield'!$A$5:$A$661,1))*100,"")</f>
        <v>5.7055</v>
      </c>
      <c r="AI436" s="435">
        <f>IF(AND(ISNUMBER(AH436),ISNUMBER(AH435)),AH436-AH435,"")</f>
        <v>-0.122</v>
      </c>
      <c r="AJ436" s="435">
        <f>IF(AND(ISNUMBER(AH436),ISNUMBER(AH424)),AH436-AH424,"")</f>
        <v>0.7088</v>
      </c>
      <c r="AK436" s="435">
        <f>IF(AND(ISNUMBER(AH436),ISNUMBER(AH376)),AH436-AH376,"")</f>
        <v>1.095</v>
      </c>
      <c r="AL436" s="560">
        <f>IFERROR(LN(INDEX(Data!$B$2:$B$497,MATCH(N436,Data!$A$2:$A$497,1))/INDEX(Data!$B$2:$B$497,MATCH(N424,Data!$A$2:$A$497,1))),"")</f>
        <v>0.147248914457089</v>
      </c>
      <c r="AM436" s="560">
        <f>IFERROR(LN(INDEX(Data!$C$2:$C$497,MATCH(N436,Data!$A$2:$A$497,1))/INDEX(Data!$C$2:$C$497,MATCH(N424,Data!$A$2:$A$497,1))),"")</f>
        <v>-0.0639107333835679</v>
      </c>
      <c r="AN436" s="560">
        <f>IFERROR(LN(INDEX(Data!$D$2:$D$497,MATCH(N436,Data!$A$2:$A$497,1))/INDEX(Data!$D$2:$D$497,MATCH(N424,Data!$A$2:$A$497,1))),"")</f>
        <v>0.0923188690369117</v>
      </c>
      <c r="AO436" s="560">
        <f>IFERROR(LN(INDEX(Data!$E$2:$E$497,MATCH(N436,Data!$A$2:$A$497,1))/INDEX(Data!$E$2:$E$497,MATCH(N424,Data!$A$2:$A$497,1))),"")</f>
        <v>-0.0182881418267321</v>
      </c>
      <c r="AP436" s="560">
        <f>IFERROR(LN(INDEX(Data!$F$2:$F$497,MATCH(N436,Data!$A$2:$A$497,1))/INDEX(Data!$F$2:$F$497,MATCH(N424,Data!$A$2:$A$497,1))),"")</f>
        <v>-0.102921125372043</v>
      </c>
      <c r="AQ436" s="560">
        <f>IFERROR(LN(INDEX(Data!$G$2:$G$497,MATCH(N436,Data!$A$2:$A$497,1))/INDEX(Data!$G$2:$G$497,MATCH(N424,Data!$A$2:$A$497,1))),"")</f>
        <v>0.185174494156552</v>
      </c>
      <c r="AR436" s="560">
        <f>IFERROR(LN(INDEX(Data!$H$2:$H$497,MATCH(N436,Data!$A$2:$A$497,1))/INDEX(Data!$H$2:$H$497,MATCH(N424,Data!$A$2:$A$497,1))),"")</f>
        <v>0.0623646559633553</v>
      </c>
      <c r="AS436" s="560">
        <f>IFERROR(LN(INDEX(Data!$I$2:$I$497,MATCH(N436,Data!$A$2:$A$497,1))/INDEX(Data!$I$2:$I$497,MATCH(N424,Data!$A$2:$A$497,1))),"")</f>
        <v>0.190522768274683</v>
      </c>
      <c r="AT436" s="560">
        <f>IFERROR(LN(INDEX(Data!$J$2:$J$497,MATCH(N436,Data!$A$2:$A$497,1))/INDEX(Data!$J$2:$J$497,MATCH(N424,Data!$A$2:$A$497,1))),"")</f>
        <v>0.0300240299248705</v>
      </c>
      <c r="AU436" s="560">
        <f>IFERROR(LN(INDEX(Data!$K$2:$K$497,MATCH(N436,Data!$A$2:$A$497,1))/INDEX(Data!$K$2:$K$497,MATCH(N424,Data!$A$2:$A$497,1))),"")</f>
        <v>0.0638663091378872</v>
      </c>
      <c r="AV436" s="561">
        <f>IFERROR(LN(INDEX(Data!$L$2:$L$497,MATCH(N436,Data!$A$2:$A$497,1))/INDEX(Data!$L$2:$L$497,MATCH(N424,Data!$A$2:$A$497,1))),"")</f>
        <v>0.0478302214708151</v>
      </c>
    </row>
    <row r="437">
      <c r="N437" s="337" t="n">
        <v>38017</v>
      </c>
      <c r="O437" s="116">
        <f>INDEX('Additional data'!$B$2:$B$965,MATCH(DATE(YEAR(N437),MONTH(N437),1),'Additional data'!$A$2:$A$965,0))</f>
        <v>34.27</v>
      </c>
      <c r="P437" s="489">
        <f>LN(O437)</f>
        <v>3.53427033588652</v>
      </c>
      <c r="Q437" s="489">
        <f>Q436+LN(1+INDEX('Additional data'!$H$2:$H$1196,MATCH(N437,'Additional data'!$G$2:$G$1196,1))+INDEX('Additional data'!$I$2:$I$1196,MATCH(N437,'Additional data'!$G$2:$G$1196,1)))</f>
        <v>3.63598556299972</v>
      </c>
      <c r="R437" s="489">
        <f>LN(INDEX(Data!$B$2:$B$497,MATCH(N437,Data!$A$2:$A$497,1)))</f>
        <v>9.77953284246624</v>
      </c>
      <c r="S437" s="116">
        <f>IF(INDEX('Additional data'!$E$2:$E$699,MATCH(DATE(YEAR(N437),MONTH(N437),1),'Additional data'!$D$2:$D$699,0))=0,(INDEX('Additional data'!$E$2:$E$699,MATCH(DATE(YEAR(N437),MONTH(N437),1),'Additional data'!$D$2:$D$699,0)-1)+INDEX('Additional data'!$E$2:$E$699,MATCH(DATE(YEAR(N437),MONTH(N437),1),'Additional data'!$D$2:$D$699,0)+1))/2,INDEX('Additional data'!$E$2:$E$699,MATCH(DATE(YEAR(N437),MONTH(N437),1),'Additional data'!$D$2:$D$699,0)))</f>
        <v>5.55</v>
      </c>
      <c r="T437" s="425">
        <f>P437-P436</f>
        <v>0.0638578852028893</v>
      </c>
      <c r="U437" s="425">
        <f>Q437-Q436</f>
        <v>0.021957167352042</v>
      </c>
      <c r="V437" s="425">
        <f>R437-R436</f>
        <v>-0.00667151197390048</v>
      </c>
      <c r="W437" s="116">
        <f>S437-S436</f>
        <v>0.0800000000000001</v>
      </c>
      <c r="X437" s="425">
        <f>P437-P425</f>
        <v>0.0395826111370234</v>
      </c>
      <c r="Y437" s="425">
        <f>Q437-Q425</f>
        <v>0.322269950625691</v>
      </c>
      <c r="Z437" s="425">
        <f>R437-R425</f>
        <v>0.153992962430879</v>
      </c>
      <c r="AA437" s="116">
        <f>S437-S425</f>
        <v>0.75</v>
      </c>
      <c r="AB437" s="425">
        <f>P437-P377</f>
        <v>1.01094457619457</v>
      </c>
      <c r="AC437" s="425">
        <f>Q437-Q377</f>
        <v>0.00526712251471562</v>
      </c>
      <c r="AD437" s="425">
        <f>R437-R377</f>
        <v>0.358081015399682</v>
      </c>
      <c r="AE437" s="235">
        <f>S437-S377</f>
        <v>0.76</v>
      </c>
      <c r="AG437" s="554">
        <f>N437</f>
        <v>38017.0</v>
      </c>
      <c r="AH437" s="435">
        <f>IFERROR(INDEX('RBA 5Y yield'!$B$5:$B$661,MATCH(N437,'RBA 5Y yield'!$A$5:$A$661,1))*100,"")</f>
        <v>5.634</v>
      </c>
      <c r="AI437" s="435">
        <f>IF(AND(ISNUMBER(AH437),ISNUMBER(AH436)),AH437-AH436,"")</f>
        <v>-0.0714999999999995</v>
      </c>
      <c r="AJ437" s="435">
        <f>IF(AND(ISNUMBER(AH437),ISNUMBER(AH425)),AH437-AH425,"")</f>
        <v>0.728000000000001</v>
      </c>
      <c r="AK437" s="435">
        <f>IF(AND(ISNUMBER(AH437),ISNUMBER(AH377)),AH437-AH377,"")</f>
        <v>0.7193</v>
      </c>
      <c r="AL437" s="560">
        <f>IFERROR(LN(INDEX(Data!$B$2:$B$497,MATCH(N437,Data!$A$2:$A$497,1))/INDEX(Data!$B$2:$B$497,MATCH(N425,Data!$A$2:$A$497,1))),"")</f>
        <v>0.153992962430878</v>
      </c>
      <c r="AM437" s="560">
        <f>IFERROR(LN(INDEX(Data!$C$2:$C$497,MATCH(N437,Data!$A$2:$A$497,1))/INDEX(Data!$C$2:$C$497,MATCH(N425,Data!$A$2:$A$497,1))),"")</f>
        <v>0.0201824837229257</v>
      </c>
      <c r="AN437" s="560">
        <f>IFERROR(LN(INDEX(Data!$D$2:$D$497,MATCH(N437,Data!$A$2:$A$497,1))/INDEX(Data!$D$2:$D$497,MATCH(N425,Data!$A$2:$A$497,1))),"")</f>
        <v>0.165323095962885</v>
      </c>
      <c r="AO437" s="560">
        <f>IFERROR(LN(INDEX(Data!$E$2:$E$497,MATCH(N437,Data!$A$2:$A$497,1))/INDEX(Data!$E$2:$E$497,MATCH(N425,Data!$A$2:$A$497,1))),"")</f>
        <v>0.0697541989510043</v>
      </c>
      <c r="AP437" s="560">
        <f>IFERROR(LN(INDEX(Data!$F$2:$F$497,MATCH(N437,Data!$A$2:$A$497,1))/INDEX(Data!$F$2:$F$497,MATCH(N425,Data!$A$2:$A$497,1))),"")</f>
        <v>-0.154939613044065</v>
      </c>
      <c r="AQ437" s="560">
        <f>IFERROR(LN(INDEX(Data!$G$2:$G$497,MATCH(N437,Data!$A$2:$A$497,1))/INDEX(Data!$G$2:$G$497,MATCH(N425,Data!$A$2:$A$497,1))),"")</f>
        <v>0.185174494156552</v>
      </c>
      <c r="AR437" s="560">
        <f>IFERROR(LN(INDEX(Data!$H$2:$H$497,MATCH(N437,Data!$A$2:$A$497,1))/INDEX(Data!$H$2:$H$497,MATCH(N425,Data!$A$2:$A$497,1))),"")</f>
        <v>0.082216424516087</v>
      </c>
      <c r="AS437" s="560">
        <f>IFERROR(LN(INDEX(Data!$I$2:$I$497,MATCH(N437,Data!$A$2:$A$497,1))/INDEX(Data!$I$2:$I$497,MATCH(N425,Data!$A$2:$A$497,1))),"")</f>
        <v>0.190522768274683</v>
      </c>
      <c r="AT437" s="560">
        <f>IFERROR(LN(INDEX(Data!$J$2:$J$497,MATCH(N437,Data!$A$2:$A$497,1))/INDEX(Data!$J$2:$J$497,MATCH(N425,Data!$A$2:$A$497,1))),"")</f>
        <v>0.0240713925872759</v>
      </c>
      <c r="AU437" s="560">
        <f>IFERROR(LN(INDEX(Data!$K$2:$K$497,MATCH(N437,Data!$A$2:$A$497,1))/INDEX(Data!$K$2:$K$497,MATCH(N425,Data!$A$2:$A$497,1))),"")</f>
        <v>0.0658858411373612</v>
      </c>
      <c r="AV437" s="561">
        <f>IFERROR(LN(INDEX(Data!$L$2:$L$497,MATCH(N437,Data!$A$2:$A$497,1))/INDEX(Data!$L$2:$L$497,MATCH(N425,Data!$A$2:$A$497,1))),"")</f>
        <v>0.0483407168954262</v>
      </c>
    </row>
    <row r="438">
      <c r="N438" s="337" t="n">
        <v>38046</v>
      </c>
      <c r="O438" s="116">
        <f>INDEX('Additional data'!$B$2:$B$965,MATCH(DATE(YEAR(N438),MONTH(N438),1),'Additional data'!$A$2:$A$965,0))</f>
        <v>34.74</v>
      </c>
      <c r="P438" s="489">
        <f>LN(O438)</f>
        <v>3.54789176081296</v>
      </c>
      <c r="Q438" s="489">
        <f>Q437+LN(1+INDEX('Additional data'!$H$2:$H$1196,MATCH(N438,'Additional data'!$G$2:$G$1196,1))+INDEX('Additional data'!$I$2:$I$1196,MATCH(N438,'Additional data'!$G$2:$G$1196,1)))</f>
        <v>3.65048000915017</v>
      </c>
      <c r="R438" s="489">
        <f>LN(INDEX(Data!$B$2:$B$497,MATCH(N438,Data!$A$2:$A$497,1)))</f>
        <v>9.81017324465368</v>
      </c>
      <c r="S438" s="116">
        <f>IF(INDEX('Additional data'!$E$2:$E$699,MATCH(DATE(YEAR(N438),MONTH(N438),1),'Additional data'!$D$2:$D$699,0))=0,(INDEX('Additional data'!$E$2:$E$699,MATCH(DATE(YEAR(N438),MONTH(N438),1),'Additional data'!$D$2:$D$699,0)-1)+INDEX('Additional data'!$E$2:$E$699,MATCH(DATE(YEAR(N438),MONTH(N438),1),'Additional data'!$D$2:$D$699,0)+1))/2,INDEX('Additional data'!$E$2:$E$699,MATCH(DATE(YEAR(N438),MONTH(N438),1),'Additional data'!$D$2:$D$699,0)))</f>
        <v>5.57</v>
      </c>
      <c r="T438" s="425">
        <f>P438-P437</f>
        <v>0.0136214249264413</v>
      </c>
      <c r="U438" s="425">
        <f>Q438-Q437</f>
        <v>0.0144944461504526</v>
      </c>
      <c r="V438" s="425">
        <f>R438-R437</f>
        <v>0.0306404021874478</v>
      </c>
      <c r="W438" s="116">
        <f>S438-S437</f>
        <v>0.0200000000000005</v>
      </c>
      <c r="X438" s="425">
        <f>P438-P426</f>
        <v>-0.0320095307312323</v>
      </c>
      <c r="Y438" s="425">
        <f>Q438-Q426</f>
        <v>0.354826539594553</v>
      </c>
      <c r="Z438" s="425">
        <f>R438-R426</f>
        <v>0.235794803202982</v>
      </c>
      <c r="AA438" s="116">
        <f>S438-S426</f>
        <v>0.82</v>
      </c>
      <c r="AB438" s="425">
        <f>P438-P378</f>
        <v>1.06215212472107</v>
      </c>
      <c r="AC438" s="425">
        <f>Q438-Q378</f>
        <v>0.0577750108633843</v>
      </c>
      <c r="AD438" s="425">
        <f>R438-R378</f>
        <v>0.389118241382327</v>
      </c>
      <c r="AE438" s="235">
        <f>S438-S378</f>
        <v>0.800000000000001</v>
      </c>
      <c r="AG438" s="554">
        <f>N438</f>
        <v>38046.0</v>
      </c>
      <c r="AH438" s="435">
        <f>IFERROR(INDEX('RBA 5Y yield'!$B$5:$B$661,MATCH(N438,'RBA 5Y yield'!$A$5:$A$661,1))*100,"")</f>
        <v>5.5593</v>
      </c>
      <c r="AI438" s="435">
        <f>IF(AND(ISNUMBER(AH438),ISNUMBER(AH437)),AH438-AH437,"")</f>
        <v>-0.0747000000000009</v>
      </c>
      <c r="AJ438" s="435">
        <f>IF(AND(ISNUMBER(AH438),ISNUMBER(AH426)),AH438-AH426,"")</f>
        <v>0.8173</v>
      </c>
      <c r="AK438" s="435">
        <f>IF(AND(ISNUMBER(AH438),ISNUMBER(AH378)),AH438-AH378,"")</f>
        <v>0.4998</v>
      </c>
      <c r="AL438" s="560">
        <f>IFERROR(LN(INDEX(Data!$B$2:$B$497,MATCH(N438,Data!$A$2:$A$497,1))/INDEX(Data!$B$2:$B$497,MATCH(N426,Data!$A$2:$A$497,1))),"")</f>
        <v>0.235794803202982</v>
      </c>
      <c r="AM438" s="560">
        <f>IFERROR(LN(INDEX(Data!$C$2:$C$497,MATCH(N438,Data!$A$2:$A$497,1))/INDEX(Data!$C$2:$C$497,MATCH(N426,Data!$A$2:$A$497,1))),"")</f>
        <v>0.0752480260686897</v>
      </c>
      <c r="AN438" s="560">
        <f>IFERROR(LN(INDEX(Data!$D$2:$D$497,MATCH(N438,Data!$A$2:$A$497,1))/INDEX(Data!$D$2:$D$497,MATCH(N426,Data!$A$2:$A$497,1))),"")</f>
        <v>0.252291087978827</v>
      </c>
      <c r="AO438" s="560">
        <f>IFERROR(LN(INDEX(Data!$E$2:$E$497,MATCH(N438,Data!$A$2:$A$497,1))/INDEX(Data!$E$2:$E$497,MATCH(N426,Data!$A$2:$A$497,1))),"")</f>
        <v>0.101386780706516</v>
      </c>
      <c r="AP438" s="560">
        <f>IFERROR(LN(INDEX(Data!$F$2:$F$497,MATCH(N438,Data!$A$2:$A$497,1))/INDEX(Data!$F$2:$F$497,MATCH(N426,Data!$A$2:$A$497,1))),"")</f>
        <v>-0.176782586057219</v>
      </c>
      <c r="AQ438" s="560">
        <f>IFERROR(LN(INDEX(Data!$G$2:$G$497,MATCH(N438,Data!$A$2:$A$497,1))/INDEX(Data!$G$2:$G$497,MATCH(N426,Data!$A$2:$A$497,1))),"")</f>
        <v>0.185174494156552</v>
      </c>
      <c r="AR438" s="560">
        <f>IFERROR(LN(INDEX(Data!$H$2:$H$497,MATCH(N438,Data!$A$2:$A$497,1))/INDEX(Data!$H$2:$H$497,MATCH(N426,Data!$A$2:$A$497,1))),"")</f>
        <v>0.0822164245160874</v>
      </c>
      <c r="AS438" s="560">
        <f>IFERROR(LN(INDEX(Data!$I$2:$I$497,MATCH(N438,Data!$A$2:$A$497,1))/INDEX(Data!$I$2:$I$497,MATCH(N426,Data!$A$2:$A$497,1))),"")</f>
        <v>0.190522768274683</v>
      </c>
      <c r="AT438" s="560">
        <f>IFERROR(LN(INDEX(Data!$J$2:$J$497,MATCH(N438,Data!$A$2:$A$497,1))/INDEX(Data!$J$2:$J$497,MATCH(N426,Data!$A$2:$A$497,1))),"")</f>
        <v>0.0271564436553086</v>
      </c>
      <c r="AU438" s="560">
        <f>IFERROR(LN(INDEX(Data!$K$2:$K$497,MATCH(N438,Data!$A$2:$A$497,1))/INDEX(Data!$K$2:$K$497,MATCH(N426,Data!$A$2:$A$497,1))),"")</f>
        <v>0.0669581926315737</v>
      </c>
      <c r="AV438" s="561">
        <f>IFERROR(LN(INDEX(Data!$L$2:$L$497,MATCH(N438,Data!$A$2:$A$497,1))/INDEX(Data!$L$2:$L$497,MATCH(N426,Data!$A$2:$A$497,1))),"")</f>
        <v>0.049061473582281</v>
      </c>
    </row>
    <row r="439">
      <c r="N439" s="337" t="n">
        <v>38077</v>
      </c>
      <c r="O439" s="116">
        <f>INDEX('Additional data'!$B$2:$B$965,MATCH(DATE(YEAR(N439),MONTH(N439),1),'Additional data'!$A$2:$A$965,0))</f>
        <v>36.76</v>
      </c>
      <c r="P439" s="489">
        <f>LN(O439)</f>
        <v>3.60441029748749</v>
      </c>
      <c r="Q439" s="489">
        <f>Q438+LN(1+INDEX('Additional data'!$H$2:$H$1196,MATCH(N439,'Additional data'!$G$2:$G$1196,1))+INDEX('Additional data'!$I$2:$I$1196,MATCH(N439,'Additional data'!$G$2:$G$1196,1)))</f>
        <v>3.63810373808211</v>
      </c>
      <c r="R439" s="489">
        <f>LN(INDEX(Data!$B$2:$B$497,MATCH(N439,Data!$A$2:$A$497,1)))</f>
        <v>9.82988326120623</v>
      </c>
      <c r="S439" s="116">
        <f>IF(INDEX('Additional data'!$E$2:$E$699,MATCH(DATE(YEAR(N439),MONTH(N439),1),'Additional data'!$D$2:$D$699,0))=0,(INDEX('Additional data'!$E$2:$E$699,MATCH(DATE(YEAR(N439),MONTH(N439),1),'Additional data'!$D$2:$D$699,0)-1)+INDEX('Additional data'!$E$2:$E$699,MATCH(DATE(YEAR(N439),MONTH(N439),1),'Additional data'!$D$2:$D$699,0)+1))/2,INDEX('Additional data'!$E$2:$E$699,MATCH(DATE(YEAR(N439),MONTH(N439),1),'Additional data'!$D$2:$D$699,0)))</f>
        <v>5.51</v>
      </c>
      <c r="T439" s="425">
        <f>P439-P438</f>
        <v>0.0565185366745276</v>
      </c>
      <c r="U439" s="425">
        <f>Q439-Q438</f>
        <v>-0.0123762710680553</v>
      </c>
      <c r="V439" s="425">
        <f>R439-R438</f>
        <v>0.0197100165525459</v>
      </c>
      <c r="W439" s="116">
        <f>S439-S438</f>
        <v>-0.0600000000000005</v>
      </c>
      <c r="X439" s="425">
        <f>P439-P427</f>
        <v>0.0913734340697956</v>
      </c>
      <c r="Y439" s="425">
        <f>Q439-Q427</f>
        <v>0.330620516772921</v>
      </c>
      <c r="Z439" s="425">
        <f>R439-R427</f>
        <v>0.221588113194679</v>
      </c>
      <c r="AA439" s="116">
        <f>S439-S427</f>
        <v>0.75</v>
      </c>
      <c r="AB439" s="425">
        <f>P439-P379</f>
        <v>0.919287601028981</v>
      </c>
      <c r="AC439" s="425">
        <f>Q439-Q379</f>
        <v>0.00704378591886501</v>
      </c>
      <c r="AD439" s="425">
        <f>R439-R379</f>
        <v>0.367104648218843</v>
      </c>
      <c r="AE439" s="235">
        <f>S439-S379</f>
        <v>0.7</v>
      </c>
      <c r="AG439" s="554">
        <f>N439</f>
        <v>38077.0</v>
      </c>
      <c r="AH439" s="435">
        <f>IFERROR(INDEX('RBA 5Y yield'!$B$5:$B$661,MATCH(N439,'RBA 5Y yield'!$A$5:$A$661,1))*100,"")</f>
        <v>5.3048</v>
      </c>
      <c r="AI439" s="435">
        <f>IF(AND(ISNUMBER(AH439),ISNUMBER(AH438)),AH439-AH438,"")</f>
        <v>-0.254499999999999</v>
      </c>
      <c r="AJ439" s="435">
        <f>IF(AND(ISNUMBER(AH439),ISNUMBER(AH427)),AH439-AH427,"")</f>
        <v>0.4624</v>
      </c>
      <c r="AK439" s="435">
        <f>IF(AND(ISNUMBER(AH439),ISNUMBER(AH379)),AH439-AH379,"")</f>
        <v>0.0639000000000003</v>
      </c>
      <c r="AL439" s="560">
        <f>IFERROR(LN(INDEX(Data!$B$2:$B$497,MATCH(N439,Data!$A$2:$A$497,1))/INDEX(Data!$B$2:$B$497,MATCH(N427,Data!$A$2:$A$497,1))),"")</f>
        <v>0.221588113194678</v>
      </c>
      <c r="AM439" s="560">
        <f>IFERROR(LN(INDEX(Data!$C$2:$C$497,MATCH(N439,Data!$A$2:$A$497,1))/INDEX(Data!$C$2:$C$497,MATCH(N427,Data!$A$2:$A$497,1))),"")</f>
        <v>0.0777257587372988</v>
      </c>
      <c r="AN439" s="560">
        <f>IFERROR(LN(INDEX(Data!$D$2:$D$497,MATCH(N439,Data!$A$2:$A$497,1))/INDEX(Data!$D$2:$D$497,MATCH(N427,Data!$A$2:$A$497,1))),"")</f>
        <v>0.286337012059897</v>
      </c>
      <c r="AO439" s="560">
        <f>IFERROR(LN(INDEX(Data!$E$2:$E$497,MATCH(N439,Data!$A$2:$A$497,1))/INDEX(Data!$E$2:$E$497,MATCH(N427,Data!$A$2:$A$497,1))),"")</f>
        <v>0.137658304434577</v>
      </c>
      <c r="AP439" s="560">
        <f>IFERROR(LN(INDEX(Data!$F$2:$F$497,MATCH(N439,Data!$A$2:$A$497,1))/INDEX(Data!$F$2:$F$497,MATCH(N427,Data!$A$2:$A$497,1))),"")</f>
        <v>0.00498996544871231</v>
      </c>
      <c r="AQ439" s="560">
        <f>IFERROR(LN(INDEX(Data!$G$2:$G$497,MATCH(N439,Data!$A$2:$A$497,1))/INDEX(Data!$G$2:$G$497,MATCH(N427,Data!$A$2:$A$497,1))),"")</f>
        <v>0.154521292297573</v>
      </c>
      <c r="AR439" s="560">
        <f>IFERROR(LN(INDEX(Data!$H$2:$H$497,MATCH(N439,Data!$A$2:$A$497,1))/INDEX(Data!$H$2:$H$497,MATCH(N427,Data!$A$2:$A$497,1))),"")</f>
        <v>0.0820186592627974</v>
      </c>
      <c r="AS439" s="560">
        <f>IFERROR(LN(INDEX(Data!$I$2:$I$497,MATCH(N439,Data!$A$2:$A$497,1))/INDEX(Data!$I$2:$I$497,MATCH(N427,Data!$A$2:$A$497,1))),"")</f>
        <v>0.29744845208055</v>
      </c>
      <c r="AT439" s="560">
        <f>IFERROR(LN(INDEX(Data!$J$2:$J$497,MATCH(N439,Data!$A$2:$A$497,1))/INDEX(Data!$J$2:$J$497,MATCH(N427,Data!$A$2:$A$497,1))),"")</f>
        <v>0.0408298005871595</v>
      </c>
      <c r="AU439" s="560">
        <f>IFERROR(LN(INDEX(Data!$K$2:$K$497,MATCH(N439,Data!$A$2:$A$497,1))/INDEX(Data!$K$2:$K$497,MATCH(N427,Data!$A$2:$A$497,1))),"")</f>
        <v>0.0736542167279983</v>
      </c>
      <c r="AV439" s="561">
        <f>IFERROR(LN(INDEX(Data!$L$2:$L$497,MATCH(N439,Data!$A$2:$A$497,1))/INDEX(Data!$L$2:$L$497,MATCH(N427,Data!$A$2:$A$497,1))),"")</f>
        <v>0.0498410621195593</v>
      </c>
    </row>
    <row r="440">
      <c r="N440" s="337" t="n">
        <v>38107</v>
      </c>
      <c r="O440" s="116">
        <f>INDEX('Additional data'!$B$2:$B$965,MATCH(DATE(YEAR(N440),MONTH(N440),1),'Additional data'!$A$2:$A$965,0))</f>
        <v>36.69</v>
      </c>
      <c r="P440" s="489">
        <f>LN(O440)</f>
        <v>3.60250423836719</v>
      </c>
      <c r="Q440" s="489">
        <f>Q439+LN(1+INDEX('Additional data'!$H$2:$H$1196,MATCH(N440,'Additional data'!$G$2:$G$1196,1))+INDEX('Additional data'!$I$2:$I$1196,MATCH(N440,'Additional data'!$G$2:$G$1196,1)))</f>
        <v>3.62065234446836</v>
      </c>
      <c r="R440" s="489">
        <f>LN(INDEX(Data!$B$2:$B$497,MATCH(N440,Data!$A$2:$A$497,1)))</f>
        <v>9.82860898354892</v>
      </c>
      <c r="S440" s="116">
        <f>IF(INDEX('Additional data'!$E$2:$E$699,MATCH(DATE(YEAR(N440),MONTH(N440),1),'Additional data'!$D$2:$D$699,0))=0,(INDEX('Additional data'!$E$2:$E$699,MATCH(DATE(YEAR(N440),MONTH(N440),1),'Additional data'!$D$2:$D$699,0)-1)+INDEX('Additional data'!$E$2:$E$699,MATCH(DATE(YEAR(N440),MONTH(N440),1),'Additional data'!$D$2:$D$699,0)+1))/2,INDEX('Additional data'!$E$2:$E$699,MATCH(DATE(YEAR(N440),MONTH(N440),1),'Additional data'!$D$2:$D$699,0)))</f>
        <v>5.54</v>
      </c>
      <c r="T440" s="425">
        <f>P440-P439</f>
        <v>-0.00190605912029573</v>
      </c>
      <c r="U440" s="425">
        <f>Q440-Q439</f>
        <v>-0.0174513936137557</v>
      </c>
      <c r="V440" s="425">
        <f>R440-R439</f>
        <v>-0.00127427765731092</v>
      </c>
      <c r="W440" s="116">
        <f>S440-S439</f>
        <v>0.0300000000000003</v>
      </c>
      <c r="X440" s="425">
        <f>P440-P428</f>
        <v>0.261410780774741</v>
      </c>
      <c r="Y440" s="425">
        <f>Q440-Q428</f>
        <v>0.233618844401156</v>
      </c>
      <c r="Z440" s="425">
        <f>R440-R428</f>
        <v>0.177360879850466</v>
      </c>
      <c r="AA440" s="116">
        <f>S440-S428</f>
        <v>0.75</v>
      </c>
      <c r="AB440" s="425">
        <f>P440-P380</f>
        <v>0.749488267014795</v>
      </c>
      <c r="AC440" s="425">
        <f>Q440-Q380</f>
        <v>-0.05643204600617</v>
      </c>
      <c r="AD440" s="425">
        <f>R440-R380</f>
        <v>0.30524779385585</v>
      </c>
      <c r="AE440" s="235">
        <f>S440-S380</f>
        <v>0.78</v>
      </c>
      <c r="AG440" s="554">
        <f>N440</f>
        <v>38107.0</v>
      </c>
      <c r="AH440" s="435">
        <f>IFERROR(INDEX('RBA 5Y yield'!$B$5:$B$661,MATCH(N440,'RBA 5Y yield'!$A$5:$A$661,1))*100,"")</f>
        <v>5.5842</v>
      </c>
      <c r="AI440" s="435">
        <f>IF(AND(ISNUMBER(AH440),ISNUMBER(AH439)),AH440-AH439,"")</f>
        <v>0.2794</v>
      </c>
      <c r="AJ440" s="435">
        <f>IF(AND(ISNUMBER(AH440),ISNUMBER(AH428)),AH440-AH428,"")</f>
        <v>0.6266</v>
      </c>
      <c r="AK440" s="435">
        <f>IF(AND(ISNUMBER(AH440),ISNUMBER(AH380)),AH440-AH380,"")</f>
        <v>0.541700000000001</v>
      </c>
      <c r="AL440" s="560">
        <f>IFERROR(LN(INDEX(Data!$B$2:$B$497,MATCH(N440,Data!$A$2:$A$497,1))/INDEX(Data!$B$2:$B$497,MATCH(N428,Data!$A$2:$A$497,1))),"")</f>
        <v>0.177360879850466</v>
      </c>
      <c r="AM440" s="560">
        <f>IFERROR(LN(INDEX(Data!$C$2:$C$497,MATCH(N440,Data!$A$2:$A$497,1))/INDEX(Data!$C$2:$C$497,MATCH(N428,Data!$A$2:$A$497,1))),"")</f>
        <v>0.0844663634063091</v>
      </c>
      <c r="AN440" s="560">
        <f>IFERROR(LN(INDEX(Data!$D$2:$D$497,MATCH(N440,Data!$A$2:$A$497,1))/INDEX(Data!$D$2:$D$497,MATCH(N428,Data!$A$2:$A$497,1))),"")</f>
        <v>0.268566658040492</v>
      </c>
      <c r="AO440" s="560">
        <f>IFERROR(LN(INDEX(Data!$E$2:$E$497,MATCH(N440,Data!$A$2:$A$497,1))/INDEX(Data!$E$2:$E$497,MATCH(N428,Data!$A$2:$A$497,1))),"")</f>
        <v>0.063076671688513</v>
      </c>
      <c r="AP440" s="560">
        <f>IFERROR(LN(INDEX(Data!$F$2:$F$497,MATCH(N440,Data!$A$2:$A$497,1))/INDEX(Data!$F$2:$F$497,MATCH(N428,Data!$A$2:$A$497,1))),"")</f>
        <v>0.185637978571838</v>
      </c>
      <c r="AQ440" s="560">
        <f>IFERROR(LN(INDEX(Data!$G$2:$G$497,MATCH(N440,Data!$A$2:$A$497,1))/INDEX(Data!$G$2:$G$497,MATCH(N428,Data!$A$2:$A$497,1))),"")</f>
        <v>0.154521292297573</v>
      </c>
      <c r="AR440" s="560">
        <f>IFERROR(LN(INDEX(Data!$H$2:$H$497,MATCH(N440,Data!$A$2:$A$497,1))/INDEX(Data!$H$2:$H$497,MATCH(N428,Data!$A$2:$A$497,1))),"")</f>
        <v>0.0660516418079234</v>
      </c>
      <c r="AS440" s="560">
        <f>IFERROR(LN(INDEX(Data!$I$2:$I$497,MATCH(N440,Data!$A$2:$A$497,1))/INDEX(Data!$I$2:$I$497,MATCH(N428,Data!$A$2:$A$497,1))),"")</f>
        <v>0.29744845208055</v>
      </c>
      <c r="AT440" s="560">
        <f>IFERROR(LN(INDEX(Data!$J$2:$J$497,MATCH(N440,Data!$A$2:$A$497,1))/INDEX(Data!$J$2:$J$497,MATCH(N428,Data!$A$2:$A$497,1))),"")</f>
        <v>0.0260293891224764</v>
      </c>
      <c r="AU440" s="560">
        <f>IFERROR(LN(INDEX(Data!$K$2:$K$497,MATCH(N440,Data!$A$2:$A$497,1))/INDEX(Data!$K$2:$K$497,MATCH(N428,Data!$A$2:$A$497,1))),"")</f>
        <v>0.0526823593187356</v>
      </c>
      <c r="AV440" s="561">
        <f>IFERROR(LN(INDEX(Data!$L$2:$L$497,MATCH(N440,Data!$A$2:$A$497,1))/INDEX(Data!$L$2:$L$497,MATCH(N428,Data!$A$2:$A$497,1))),"")</f>
        <v>0.0504085563412203</v>
      </c>
    </row>
    <row r="441">
      <c r="N441" s="337" t="n">
        <v>38138</v>
      </c>
      <c r="O441" s="116">
        <f>INDEX('Additional data'!$B$2:$B$965,MATCH(DATE(YEAR(N441),MONTH(N441),1),'Additional data'!$A$2:$A$965,0))</f>
        <v>40.28</v>
      </c>
      <c r="P441" s="489">
        <f>LN(O441)</f>
        <v>3.69585506785036</v>
      </c>
      <c r="Q441" s="489">
        <f>Q440+LN(1+INDEX('Additional data'!$H$2:$H$1196,MATCH(N441,'Additional data'!$G$2:$G$1196,1))+INDEX('Additional data'!$I$2:$I$1196,MATCH(N441,'Additional data'!$G$2:$G$1196,1)))</f>
        <v>3.63297609415719</v>
      </c>
      <c r="R441" s="489">
        <f>LN(INDEX(Data!$B$2:$B$497,MATCH(N441,Data!$A$2:$A$497,1)))</f>
        <v>9.84465724185522</v>
      </c>
      <c r="S441" s="116">
        <f>IF(INDEX('Additional data'!$E$2:$E$699,MATCH(DATE(YEAR(N441),MONTH(N441),1),'Additional data'!$D$2:$D$699,0))=0,(INDEX('Additional data'!$E$2:$E$699,MATCH(DATE(YEAR(N441),MONTH(N441),1),'Additional data'!$D$2:$D$699,0)-1)+INDEX('Additional data'!$E$2:$E$699,MATCH(DATE(YEAR(N441),MONTH(N441),1),'Additional data'!$D$2:$D$699,0)+1))/2,INDEX('Additional data'!$E$2:$E$699,MATCH(DATE(YEAR(N441),MONTH(N441),1),'Additional data'!$D$2:$D$699,0)))</f>
        <v>5.51</v>
      </c>
      <c r="T441" s="425">
        <f>P441-P440</f>
        <v>0.0933508294831711</v>
      </c>
      <c r="U441" s="425">
        <f>Q441-Q440</f>
        <v>0.0123237496888318</v>
      </c>
      <c r="V441" s="425">
        <f>R441-R440</f>
        <v>0.016048258306304</v>
      </c>
      <c r="W441" s="116">
        <f>S441-S440</f>
        <v>-0.0300000000000003</v>
      </c>
      <c r="X441" s="425">
        <f>P441-P429</f>
        <v>0.358663016164118</v>
      </c>
      <c r="Y441" s="425">
        <f>Q441-Q429</f>
        <v>0.18635380267833</v>
      </c>
      <c r="Z441" s="425">
        <f>R441-R429</f>
        <v>0.188343864574019</v>
      </c>
      <c r="AA441" s="116">
        <f>S441-S429</f>
        <v>0.73</v>
      </c>
      <c r="AB441" s="425">
        <f>P441-P381</f>
        <v>0.819469551928937</v>
      </c>
      <c r="AC441" s="425">
        <f>Q441-Q381</f>
        <v>-0.0226803489037177</v>
      </c>
      <c r="AD441" s="425">
        <f>R441-R381</f>
        <v>0.385801912016968</v>
      </c>
      <c r="AE441" s="235">
        <f>S441-S381</f>
        <v>0.65</v>
      </c>
      <c r="AG441" s="554">
        <f>N441</f>
        <v>38138.0</v>
      </c>
      <c r="AH441" s="435">
        <f>IFERROR(INDEX('RBA 5Y yield'!$B$5:$B$661,MATCH(N441,'RBA 5Y yield'!$A$5:$A$661,1))*100,"")</f>
        <v>5.7102</v>
      </c>
      <c r="AI441" s="435">
        <f>IF(AND(ISNUMBER(AH441),ISNUMBER(AH440)),AH441-AH440,"")</f>
        <v>0.126</v>
      </c>
      <c r="AJ441" s="435">
        <f>IF(AND(ISNUMBER(AH441),ISNUMBER(AH429)),AH441-AH429,"")</f>
        <v>0.9663</v>
      </c>
      <c r="AK441" s="435">
        <f>IF(AND(ISNUMBER(AH441),ISNUMBER(AH381)),AH441-AH381,"")</f>
        <v>0.1345</v>
      </c>
      <c r="AL441" s="560">
        <f>IFERROR(LN(INDEX(Data!$B$2:$B$497,MATCH(N441,Data!$A$2:$A$497,1))/INDEX(Data!$B$2:$B$497,MATCH(N429,Data!$A$2:$A$497,1))),"")</f>
        <v>0.18834386457402</v>
      </c>
      <c r="AM441" s="560">
        <f>IFERROR(LN(INDEX(Data!$C$2:$C$497,MATCH(N441,Data!$A$2:$A$497,1))/INDEX(Data!$C$2:$C$497,MATCH(N429,Data!$A$2:$A$497,1))),"")</f>
        <v>0.097464940700271</v>
      </c>
      <c r="AN441" s="560">
        <f>IFERROR(LN(INDEX(Data!$D$2:$D$497,MATCH(N441,Data!$A$2:$A$497,1))/INDEX(Data!$D$2:$D$497,MATCH(N429,Data!$A$2:$A$497,1))),"")</f>
        <v>0.218871392141401</v>
      </c>
      <c r="AO441" s="560">
        <f>IFERROR(LN(INDEX(Data!$E$2:$E$497,MATCH(N441,Data!$A$2:$A$497,1))/INDEX(Data!$E$2:$E$497,MATCH(N429,Data!$A$2:$A$497,1))),"")</f>
        <v>0.123783510561398</v>
      </c>
      <c r="AP441" s="560">
        <f>IFERROR(LN(INDEX(Data!$F$2:$F$497,MATCH(N441,Data!$A$2:$A$497,1))/INDEX(Data!$F$2:$F$497,MATCH(N429,Data!$A$2:$A$497,1))),"")</f>
        <v>0.192169074733985</v>
      </c>
      <c r="AQ441" s="560">
        <f>IFERROR(LN(INDEX(Data!$G$2:$G$497,MATCH(N441,Data!$A$2:$A$497,1))/INDEX(Data!$G$2:$G$497,MATCH(N429,Data!$A$2:$A$497,1))),"")</f>
        <v>0.154521292297573</v>
      </c>
      <c r="AR441" s="560">
        <f>IFERROR(LN(INDEX(Data!$H$2:$H$497,MATCH(N441,Data!$A$2:$A$497,1))/INDEX(Data!$H$2:$H$497,MATCH(N429,Data!$A$2:$A$497,1))),"")</f>
        <v>0.0494129899418469</v>
      </c>
      <c r="AS441" s="560">
        <f>IFERROR(LN(INDEX(Data!$I$2:$I$497,MATCH(N441,Data!$A$2:$A$497,1))/INDEX(Data!$I$2:$I$497,MATCH(N429,Data!$A$2:$A$497,1))),"")</f>
        <v>0.29744845208055</v>
      </c>
      <c r="AT441" s="560">
        <f>IFERROR(LN(INDEX(Data!$J$2:$J$497,MATCH(N441,Data!$A$2:$A$497,1))/INDEX(Data!$J$2:$J$497,MATCH(N429,Data!$A$2:$A$497,1))),"")</f>
        <v>0.0191694586915287</v>
      </c>
      <c r="AU441" s="560">
        <f>IFERROR(LN(INDEX(Data!$K$2:$K$497,MATCH(N441,Data!$A$2:$A$497,1))/INDEX(Data!$K$2:$K$497,MATCH(N429,Data!$A$2:$A$497,1))),"")</f>
        <v>0.0342265841482127</v>
      </c>
      <c r="AV441" s="561">
        <f>IFERROR(LN(INDEX(Data!$L$2:$L$497,MATCH(N441,Data!$A$2:$A$497,1))/INDEX(Data!$L$2:$L$497,MATCH(N429,Data!$A$2:$A$497,1))),"")</f>
        <v>0.0510667078467243</v>
      </c>
    </row>
    <row r="442">
      <c r="N442" s="337" t="n">
        <v>38168</v>
      </c>
      <c r="O442" s="116">
        <f>INDEX('Additional data'!$B$2:$B$965,MATCH(DATE(YEAR(N442),MONTH(N442),1),'Additional data'!$A$2:$A$965,0))</f>
        <v>38.02</v>
      </c>
      <c r="P442" s="489">
        <f>LN(O442)</f>
        <v>3.63811233706028</v>
      </c>
      <c r="Q442" s="489">
        <f>Q441+LN(1+INDEX('Additional data'!$H$2:$H$1196,MATCH(N442,'Additional data'!$G$2:$G$1196,1))+INDEX('Additional data'!$I$2:$I$1196,MATCH(N442,'Additional data'!$G$2:$G$1196,1)))</f>
        <v>3.65209221134942</v>
      </c>
      <c r="R442" s="489">
        <f>LN(INDEX(Data!$B$2:$B$497,MATCH(N442,Data!$A$2:$A$497,1)))</f>
        <v>9.87076837055135</v>
      </c>
      <c r="S442" s="116">
        <f>IF(INDEX('Additional data'!$E$2:$E$699,MATCH(DATE(YEAR(N442),MONTH(N442),1),'Additional data'!$D$2:$D$699,0))=0,(INDEX('Additional data'!$E$2:$E$699,MATCH(DATE(YEAR(N442),MONTH(N442),1),'Additional data'!$D$2:$D$699,0)-1)+INDEX('Additional data'!$E$2:$E$699,MATCH(DATE(YEAR(N442),MONTH(N442),1),'Additional data'!$D$2:$D$699,0)+1))/2,INDEX('Additional data'!$E$2:$E$699,MATCH(DATE(YEAR(N442),MONTH(N442),1),'Additional data'!$D$2:$D$699,0)))</f>
        <v>5.49</v>
      </c>
      <c r="T442" s="425">
        <f>P442-P441</f>
        <v>-0.0577427307900784</v>
      </c>
      <c r="U442" s="425">
        <f>Q442-Q441</f>
        <v>0.0191161171922301</v>
      </c>
      <c r="V442" s="425">
        <f>R442-R441</f>
        <v>0.026111128696126</v>
      </c>
      <c r="W442" s="116">
        <f>S442-S441</f>
        <v>-0.0199999999999996</v>
      </c>
      <c r="X442" s="425">
        <f>P442-P430</f>
        <v>0.213198428780812</v>
      </c>
      <c r="Y442" s="425">
        <f>Q442-Q430</f>
        <v>0.19038428245252</v>
      </c>
      <c r="Z442" s="425">
        <f>R442-R430</f>
        <v>0.201877393035179</v>
      </c>
      <c r="AA442" s="116">
        <f>S442-S430</f>
        <v>0.82</v>
      </c>
      <c r="AB442" s="425">
        <f>P442-P382</f>
        <v>0.753870439539655</v>
      </c>
      <c r="AC442" s="425">
        <f>Q442-Q382</f>
        <v>-0.0539721342553334</v>
      </c>
      <c r="AD442" s="425">
        <f>R442-R382</f>
        <v>0.384654047197756</v>
      </c>
      <c r="AE442" s="235">
        <f>S442-S382</f>
        <v>0.560000000000001</v>
      </c>
      <c r="AG442" s="554">
        <f>N442</f>
        <v>38168.0</v>
      </c>
      <c r="AH442" s="435">
        <f>IFERROR(INDEX('RBA 5Y yield'!$B$5:$B$661,MATCH(N442,'RBA 5Y yield'!$A$5:$A$661,1))*100,"")</f>
        <v>5.5624</v>
      </c>
      <c r="AI442" s="435">
        <f>IF(AND(ISNUMBER(AH442),ISNUMBER(AH441)),AH442-AH441,"")</f>
        <v>-0.1478</v>
      </c>
      <c r="AJ442" s="435">
        <f>IF(AND(ISNUMBER(AH442),ISNUMBER(AH430)),AH442-AH430,"")</f>
        <v>1.0694</v>
      </c>
      <c r="AK442" s="435">
        <f>IF(AND(ISNUMBER(AH442),ISNUMBER(AH382)),AH442-AH382,"")</f>
        <v>-0.2733</v>
      </c>
      <c r="AL442" s="560">
        <f>IFERROR(LN(INDEX(Data!$B$2:$B$497,MATCH(N442,Data!$A$2:$A$497,1))/INDEX(Data!$B$2:$B$497,MATCH(N430,Data!$A$2:$A$497,1))),"")</f>
        <v>0.20187739303518</v>
      </c>
      <c r="AM442" s="560">
        <f>IFERROR(LN(INDEX(Data!$C$2:$C$497,MATCH(N442,Data!$A$2:$A$497,1))/INDEX(Data!$C$2:$C$497,MATCH(N430,Data!$A$2:$A$497,1))),"")</f>
        <v>0.150484777173602</v>
      </c>
      <c r="AN442" s="560">
        <f>IFERROR(LN(INDEX(Data!$D$2:$D$497,MATCH(N442,Data!$A$2:$A$497,1))/INDEX(Data!$D$2:$D$497,MATCH(N430,Data!$A$2:$A$497,1))),"")</f>
        <v>0.227314375326734</v>
      </c>
      <c r="AO442" s="560">
        <f>IFERROR(LN(INDEX(Data!$E$2:$E$497,MATCH(N442,Data!$A$2:$A$497,1))/INDEX(Data!$E$2:$E$497,MATCH(N430,Data!$A$2:$A$497,1))),"")</f>
        <v>0.189178939185766</v>
      </c>
      <c r="AP442" s="560">
        <f>IFERROR(LN(INDEX(Data!$F$2:$F$497,MATCH(N442,Data!$A$2:$A$497,1))/INDEX(Data!$F$2:$F$497,MATCH(N430,Data!$A$2:$A$497,1))),"")</f>
        <v>0.194687538682709</v>
      </c>
      <c r="AQ442" s="560">
        <f>IFERROR(LN(INDEX(Data!$G$2:$G$497,MATCH(N442,Data!$A$2:$A$497,1))/INDEX(Data!$G$2:$G$497,MATCH(N430,Data!$A$2:$A$497,1))),"")</f>
        <v>0.0921088879687331</v>
      </c>
      <c r="AR442" s="560">
        <f>IFERROR(LN(INDEX(Data!$H$2:$H$497,MATCH(N442,Data!$A$2:$A$497,1))/INDEX(Data!$H$2:$H$497,MATCH(N430,Data!$A$2:$A$497,1))),"")</f>
        <v>0.0627611311502521</v>
      </c>
      <c r="AS442" s="560">
        <f>IFERROR(LN(INDEX(Data!$I$2:$I$497,MATCH(N442,Data!$A$2:$A$497,1))/INDEX(Data!$I$2:$I$497,MATCH(N430,Data!$A$2:$A$497,1))),"")</f>
        <v>0.354733421094368</v>
      </c>
      <c r="AT442" s="560">
        <f>IFERROR(LN(INDEX(Data!$J$2:$J$497,MATCH(N442,Data!$A$2:$A$497,1))/INDEX(Data!$J$2:$J$497,MATCH(N430,Data!$A$2:$A$497,1))),"")</f>
        <v>0.0230103143084607</v>
      </c>
      <c r="AU442" s="560">
        <f>IFERROR(LN(INDEX(Data!$K$2:$K$497,MATCH(N442,Data!$A$2:$A$497,1))/INDEX(Data!$K$2:$K$497,MATCH(N430,Data!$A$2:$A$497,1))),"")</f>
        <v>0.0398293222523291</v>
      </c>
      <c r="AV442" s="561">
        <f>IFERROR(LN(INDEX(Data!$L$2:$L$497,MATCH(N442,Data!$A$2:$A$497,1))/INDEX(Data!$L$2:$L$497,MATCH(N430,Data!$A$2:$A$497,1))),"")</f>
        <v>0.0516673969912431</v>
      </c>
    </row>
    <row r="443">
      <c r="N443" s="337" t="n">
        <v>38199</v>
      </c>
      <c r="O443" s="116">
        <f>INDEX('Additional data'!$B$2:$B$965,MATCH(DATE(YEAR(N443),MONTH(N443),1),'Additional data'!$A$2:$A$965,0))</f>
        <v>40.69</v>
      </c>
      <c r="P443" s="489">
        <f>LN(O443)</f>
        <v>3.7059823620136</v>
      </c>
      <c r="Q443" s="489">
        <f>Q442+LN(1+INDEX('Additional data'!$H$2:$H$1196,MATCH(N443,'Additional data'!$G$2:$G$1196,1))+INDEX('Additional data'!$I$2:$I$1196,MATCH(N443,'Additional data'!$G$2:$G$1196,1)))</f>
        <v>3.61189502159801</v>
      </c>
      <c r="R443" s="489">
        <f>LN(INDEX(Data!$B$2:$B$497,MATCH(N443,Data!$A$2:$A$497,1)))</f>
        <v>9.87645792124364</v>
      </c>
      <c r="S443" s="116">
        <f>IF(INDEX('Additional data'!$E$2:$E$699,MATCH(DATE(YEAR(N443),MONTH(N443),1),'Additional data'!$D$2:$D$699,0))=0,(INDEX('Additional data'!$E$2:$E$699,MATCH(DATE(YEAR(N443),MONTH(N443),1),'Additional data'!$D$2:$D$699,0)-1)+INDEX('Additional data'!$E$2:$E$699,MATCH(DATE(YEAR(N443),MONTH(N443),1),'Additional data'!$D$2:$D$699,0)+1))/2,INDEX('Additional data'!$E$2:$E$699,MATCH(DATE(YEAR(N443),MONTH(N443),1),'Additional data'!$D$2:$D$699,0)))</f>
        <v>5.46</v>
      </c>
      <c r="T443" s="425">
        <f>P443-P442</f>
        <v>0.0678700249533151</v>
      </c>
      <c r="U443" s="425">
        <f>Q443-Q442</f>
        <v>-0.0401971897514128</v>
      </c>
      <c r="V443" s="425">
        <f>R443-R442</f>
        <v>0.00568955069229205</v>
      </c>
      <c r="W443" s="116">
        <f>S443-S442</f>
        <v>-0.0300000000000003</v>
      </c>
      <c r="X443" s="425">
        <f>P443-P431</f>
        <v>0.279767217376155</v>
      </c>
      <c r="Y443" s="425">
        <f>Q443-Q431</f>
        <v>0.126470566083791</v>
      </c>
      <c r="Z443" s="425">
        <f>R443-R431</f>
        <v>0.172117891453091</v>
      </c>
      <c r="AA443" s="116">
        <f>S443-S431</f>
        <v>0.74</v>
      </c>
      <c r="AB443" s="425">
        <f>P443-P383</f>
        <v>0.706756199205352</v>
      </c>
      <c r="AC443" s="425">
        <f>Q443-Q383</f>
        <v>-0.0625754524155675</v>
      </c>
      <c r="AD443" s="425">
        <f>R443-R383</f>
        <v>0.372567725787793</v>
      </c>
      <c r="AE443" s="235">
        <f>S443-S383</f>
        <v>0.57</v>
      </c>
      <c r="AG443" s="554">
        <f>N443</f>
        <v>38199.0</v>
      </c>
      <c r="AH443" s="435">
        <f>IFERROR(INDEX('RBA 5Y yield'!$B$5:$B$661,MATCH(N443,'RBA 5Y yield'!$A$5:$A$661,1))*100,"")</f>
        <v>5.5598</v>
      </c>
      <c r="AI443" s="435">
        <f>IF(AND(ISNUMBER(AH443),ISNUMBER(AH442)),AH443-AH442,"")</f>
        <v>-0.00260000000000016</v>
      </c>
      <c r="AJ443" s="435">
        <f>IF(AND(ISNUMBER(AH443),ISNUMBER(AH431)),AH443-AH431,"")</f>
        <v>0.6655</v>
      </c>
      <c r="AK443" s="435">
        <f>IF(AND(ISNUMBER(AH443),ISNUMBER(AH383)),AH443-AH383,"")</f>
        <v>-0.2034</v>
      </c>
      <c r="AL443" s="560">
        <f>IFERROR(LN(INDEX(Data!$B$2:$B$497,MATCH(N443,Data!$A$2:$A$497,1))/INDEX(Data!$B$2:$B$497,MATCH(N431,Data!$A$2:$A$497,1))),"")</f>
        <v>0.17211789145309</v>
      </c>
      <c r="AM443" s="560">
        <f>IFERROR(LN(INDEX(Data!$C$2:$C$497,MATCH(N443,Data!$A$2:$A$497,1))/INDEX(Data!$C$2:$C$497,MATCH(N431,Data!$A$2:$A$497,1))),"")</f>
        <v>0.0535357310005991</v>
      </c>
      <c r="AN443" s="560">
        <f>IFERROR(LN(INDEX(Data!$D$2:$D$497,MATCH(N443,Data!$A$2:$A$497,1))/INDEX(Data!$D$2:$D$497,MATCH(N431,Data!$A$2:$A$497,1))),"")</f>
        <v>0.111137967547616</v>
      </c>
      <c r="AO443" s="560">
        <f>IFERROR(LN(INDEX(Data!$E$2:$E$497,MATCH(N443,Data!$A$2:$A$497,1))/INDEX(Data!$E$2:$E$497,MATCH(N431,Data!$A$2:$A$497,1))),"")</f>
        <v>0.116255788542763</v>
      </c>
      <c r="AP443" s="560">
        <f>IFERROR(LN(INDEX(Data!$F$2:$F$497,MATCH(N443,Data!$A$2:$A$497,1))/INDEX(Data!$F$2:$F$497,MATCH(N431,Data!$A$2:$A$497,1))),"")</f>
        <v>0.222759304500606</v>
      </c>
      <c r="AQ443" s="560">
        <f>IFERROR(LN(INDEX(Data!$G$2:$G$497,MATCH(N443,Data!$A$2:$A$497,1))/INDEX(Data!$G$2:$G$497,MATCH(N431,Data!$A$2:$A$497,1))),"")</f>
        <v>0.0921088879687331</v>
      </c>
      <c r="AR443" s="560">
        <f>IFERROR(LN(INDEX(Data!$H$2:$H$497,MATCH(N443,Data!$A$2:$A$497,1))/INDEX(Data!$H$2:$H$497,MATCH(N431,Data!$A$2:$A$497,1))),"")</f>
        <v>0.0538748463253146</v>
      </c>
      <c r="AS443" s="560">
        <f>IFERROR(LN(INDEX(Data!$I$2:$I$497,MATCH(N443,Data!$A$2:$A$497,1))/INDEX(Data!$I$2:$I$497,MATCH(N431,Data!$A$2:$A$497,1))),"")</f>
        <v>0.354733421094368</v>
      </c>
      <c r="AT443" s="560">
        <f>IFERROR(LN(INDEX(Data!$J$2:$J$497,MATCH(N443,Data!$A$2:$A$497,1))/INDEX(Data!$J$2:$J$497,MATCH(N431,Data!$A$2:$A$497,1))),"")</f>
        <v>0.0360801561025932</v>
      </c>
      <c r="AU443" s="560">
        <f>IFERROR(LN(INDEX(Data!$K$2:$K$497,MATCH(N443,Data!$A$2:$A$497,1))/INDEX(Data!$K$2:$K$497,MATCH(N431,Data!$A$2:$A$497,1))),"")</f>
        <v>0.0686405199935259</v>
      </c>
      <c r="AV443" s="561">
        <f>IFERROR(LN(INDEX(Data!$L$2:$L$497,MATCH(N443,Data!$A$2:$A$497,1))/INDEX(Data!$L$2:$L$497,MATCH(N431,Data!$A$2:$A$497,1))),"")</f>
        <v>0.0523705703898852</v>
      </c>
    </row>
    <row r="444">
      <c r="N444" s="337" t="n">
        <v>38230</v>
      </c>
      <c r="O444" s="116">
        <f>INDEX('Additional data'!$B$2:$B$965,MATCH(DATE(YEAR(N444),MONTH(N444),1),'Additional data'!$A$2:$A$965,0))</f>
        <v>44.94</v>
      </c>
      <c r="P444" s="489">
        <f>LN(O444)</f>
        <v>3.80532826675718</v>
      </c>
      <c r="Q444" s="489">
        <f>Q443+LN(1+INDEX('Additional data'!$H$2:$H$1196,MATCH(N444,'Additional data'!$G$2:$G$1196,1))+INDEX('Additional data'!$I$2:$I$1196,MATCH(N444,'Additional data'!$G$2:$G$1196,1)))</f>
        <v>3.61369340353939</v>
      </c>
      <c r="R444" s="489">
        <f>LN(INDEX(Data!$B$2:$B$497,MATCH(N444,Data!$A$2:$A$497,1)))</f>
        <v>9.88690125729417</v>
      </c>
      <c r="S444" s="116">
        <f>IF(INDEX('Additional data'!$E$2:$E$699,MATCH(DATE(YEAR(N444),MONTH(N444),1),'Additional data'!$D$2:$D$699,0))=0,(INDEX('Additional data'!$E$2:$E$699,MATCH(DATE(YEAR(N444),MONTH(N444),1),'Additional data'!$D$2:$D$699,0)-1)+INDEX('Additional data'!$E$2:$E$699,MATCH(DATE(YEAR(N444),MONTH(N444),1),'Additional data'!$D$2:$D$699,0)+1))/2,INDEX('Additional data'!$E$2:$E$699,MATCH(DATE(YEAR(N444),MONTH(N444),1),'Additional data'!$D$2:$D$699,0)))</f>
        <v>5.44</v>
      </c>
      <c r="T444" s="425">
        <f>P444-P443</f>
        <v>0.099345904743585</v>
      </c>
      <c r="U444" s="425">
        <f>Q444-Q443</f>
        <v>0.00179838194137938</v>
      </c>
      <c r="V444" s="425">
        <f>R444-R443</f>
        <v>0.0104433360505247</v>
      </c>
      <c r="W444" s="116">
        <f>S444-S443</f>
        <v>-0.0199999999999996</v>
      </c>
      <c r="X444" s="425">
        <f>P444-P432</f>
        <v>0.35248765194319</v>
      </c>
      <c r="Y444" s="425">
        <f>Q444-Q432</f>
        <v>0.104552421407854</v>
      </c>
      <c r="Z444" s="425">
        <f>R444-R432</f>
        <v>0.148036374979144</v>
      </c>
      <c r="AA444" s="116">
        <f>S444-S432</f>
        <v>0.62</v>
      </c>
      <c r="AB444" s="425">
        <f>P444-P384</f>
        <v>0.748500893843382</v>
      </c>
      <c r="AC444" s="425">
        <f>Q444-Q384</f>
        <v>-0.0509287344193736</v>
      </c>
      <c r="AD444" s="425">
        <f>R444-R384</f>
        <v>0.408688740189026</v>
      </c>
      <c r="AE444" s="235">
        <f>S444-S384</f>
        <v>0.520000000000001</v>
      </c>
      <c r="AG444" s="554">
        <f>N444</f>
        <v>38230.0</v>
      </c>
      <c r="AH444" s="435">
        <f>IFERROR(INDEX('RBA 5Y yield'!$B$5:$B$661,MATCH(N444,'RBA 5Y yield'!$A$5:$A$661,1))*100,"")</f>
        <v>5.4641</v>
      </c>
      <c r="AI444" s="435">
        <f>IF(AND(ISNUMBER(AH444),ISNUMBER(AH443)),AH444-AH443,"")</f>
        <v>-0.0956999999999999</v>
      </c>
      <c r="AJ444" s="435">
        <f>IF(AND(ISNUMBER(AH444),ISNUMBER(AH432)),AH444-AH432,"")</f>
        <v>0.2417</v>
      </c>
      <c r="AK444" s="435">
        <f>IF(AND(ISNUMBER(AH444),ISNUMBER(AH384)),AH444-AH384,"")</f>
        <v>-0.4768</v>
      </c>
      <c r="AL444" s="560">
        <f>IFERROR(LN(INDEX(Data!$B$2:$B$497,MATCH(N444,Data!$A$2:$A$497,1))/INDEX(Data!$B$2:$B$497,MATCH(N432,Data!$A$2:$A$497,1))),"")</f>
        <v>0.148036374979144</v>
      </c>
      <c r="AM444" s="560">
        <f>IFERROR(LN(INDEX(Data!$C$2:$C$497,MATCH(N444,Data!$A$2:$A$497,1))/INDEX(Data!$C$2:$C$497,MATCH(N432,Data!$A$2:$A$497,1))),"")</f>
        <v>0.0215654216619127</v>
      </c>
      <c r="AN444" s="560">
        <f>IFERROR(LN(INDEX(Data!$D$2:$D$497,MATCH(N444,Data!$A$2:$A$497,1))/INDEX(Data!$D$2:$D$497,MATCH(N432,Data!$A$2:$A$497,1))),"")</f>
        <v>0.0816907708840891</v>
      </c>
      <c r="AO444" s="560">
        <f>IFERROR(LN(INDEX(Data!$E$2:$E$497,MATCH(N444,Data!$A$2:$A$497,1))/INDEX(Data!$E$2:$E$497,MATCH(N432,Data!$A$2:$A$497,1))),"")</f>
        <v>0.167165709219151</v>
      </c>
      <c r="AP444" s="560">
        <f>IFERROR(LN(INDEX(Data!$F$2:$F$497,MATCH(N444,Data!$A$2:$A$497,1))/INDEX(Data!$F$2:$F$497,MATCH(N432,Data!$A$2:$A$497,1))),"")</f>
        <v>0.133473417354967</v>
      </c>
      <c r="AQ444" s="560">
        <f>IFERROR(LN(INDEX(Data!$G$2:$G$497,MATCH(N444,Data!$A$2:$A$497,1))/INDEX(Data!$G$2:$G$497,MATCH(N432,Data!$A$2:$A$497,1))),"")</f>
        <v>0.0921088879687331</v>
      </c>
      <c r="AR444" s="560">
        <f>IFERROR(LN(INDEX(Data!$H$2:$H$497,MATCH(N444,Data!$A$2:$A$497,1))/INDEX(Data!$H$2:$H$497,MATCH(N432,Data!$A$2:$A$497,1))),"")</f>
        <v>0.0711512904924386</v>
      </c>
      <c r="AS444" s="560">
        <f>IFERROR(LN(INDEX(Data!$I$2:$I$497,MATCH(N444,Data!$A$2:$A$497,1))/INDEX(Data!$I$2:$I$497,MATCH(N432,Data!$A$2:$A$497,1))),"")</f>
        <v>0.354733421094368</v>
      </c>
      <c r="AT444" s="560">
        <f>IFERROR(LN(INDEX(Data!$J$2:$J$497,MATCH(N444,Data!$A$2:$A$497,1))/INDEX(Data!$J$2:$J$497,MATCH(N432,Data!$A$2:$A$497,1))),"")</f>
        <v>0.0502851306711223</v>
      </c>
      <c r="AU444" s="560">
        <f>IFERROR(LN(INDEX(Data!$K$2:$K$497,MATCH(N444,Data!$A$2:$A$497,1))/INDEX(Data!$K$2:$K$497,MATCH(N432,Data!$A$2:$A$497,1))),"")</f>
        <v>0.084938185789205</v>
      </c>
      <c r="AV444" s="561">
        <f>IFERROR(LN(INDEX(Data!$L$2:$L$497,MATCH(N444,Data!$A$2:$A$497,1))/INDEX(Data!$L$2:$L$497,MATCH(N432,Data!$A$2:$A$497,1))),"")</f>
        <v>0.0529908314758844</v>
      </c>
    </row>
    <row r="445">
      <c r="N445" s="337" t="n">
        <v>38260</v>
      </c>
      <c r="O445" s="116">
        <f>INDEX('Additional data'!$B$2:$B$965,MATCH(DATE(YEAR(N445),MONTH(N445),1),'Additional data'!$A$2:$A$965,0))</f>
        <v>45.95</v>
      </c>
      <c r="P445" s="489">
        <f>LN(O445)</f>
        <v>3.8275538488017</v>
      </c>
      <c r="Q445" s="489">
        <f>Q444+LN(1+INDEX('Additional data'!$H$2:$H$1196,MATCH(N445,'Additional data'!$G$2:$G$1196,1))+INDEX('Additional data'!$I$2:$I$1196,MATCH(N445,'Additional data'!$G$2:$G$1196,1)))</f>
        <v>3.6306488441888</v>
      </c>
      <c r="R445" s="489">
        <f>LN(INDEX(Data!$B$2:$B$497,MATCH(N445,Data!$A$2:$A$497,1)))</f>
        <v>9.92393903790582</v>
      </c>
      <c r="S445" s="116">
        <f>IF(INDEX('Additional data'!$E$2:$E$699,MATCH(DATE(YEAR(N445),MONTH(N445),1),'Additional data'!$D$2:$D$699,0))=0,(INDEX('Additional data'!$E$2:$E$699,MATCH(DATE(YEAR(N445),MONTH(N445),1),'Additional data'!$D$2:$D$699,0)-1)+INDEX('Additional data'!$E$2:$E$699,MATCH(DATE(YEAR(N445),MONTH(N445),1),'Additional data'!$D$2:$D$699,0)+1))/2,INDEX('Additional data'!$E$2:$E$699,MATCH(DATE(YEAR(N445),MONTH(N445),1),'Additional data'!$D$2:$D$699,0)))</f>
        <v>5.42</v>
      </c>
      <c r="T445" s="425">
        <f>P445-P444</f>
        <v>0.0222255820445128</v>
      </c>
      <c r="U445" s="425">
        <f>Q445-Q444</f>
        <v>0.0169554406494137</v>
      </c>
      <c r="V445" s="425">
        <f>R445-R444</f>
        <v>0.0370377806116569</v>
      </c>
      <c r="W445" s="116">
        <f>S445-S444</f>
        <v>-0.0200000000000005</v>
      </c>
      <c r="X445" s="425">
        <f>P445-P433</f>
        <v>0.48504546348822</v>
      </c>
      <c r="Y445" s="425">
        <f>Q445-Q433</f>
        <v>0.13317566692495</v>
      </c>
      <c r="Z445" s="425">
        <f>R445-R433</f>
        <v>0.186450581274707</v>
      </c>
      <c r="AA445" s="116">
        <f>S445-S433</f>
        <v>0.51</v>
      </c>
      <c r="AB445" s="425">
        <f>P445-P385</f>
        <v>0.654512560277295</v>
      </c>
      <c r="AC445" s="425">
        <f>Q445-Q385</f>
        <v>-0.00988549824087004</v>
      </c>
      <c r="AD445" s="425">
        <f>R445-R385</f>
        <v>0.458026647396091</v>
      </c>
      <c r="AE445" s="235">
        <f>S445-S385</f>
        <v>0.41</v>
      </c>
      <c r="AG445" s="554">
        <f>N445</f>
        <v>38260.0</v>
      </c>
      <c r="AH445" s="435">
        <f>IFERROR(INDEX('RBA 5Y yield'!$B$5:$B$661,MATCH(N445,'RBA 5Y yield'!$A$5:$A$661,1))*100,"")</f>
        <v>5.3091</v>
      </c>
      <c r="AI445" s="435">
        <f>IF(AND(ISNUMBER(AH445),ISNUMBER(AH444)),AH445-AH444,"")</f>
        <v>-0.155</v>
      </c>
      <c r="AJ445" s="435">
        <f>IF(AND(ISNUMBER(AH445),ISNUMBER(AH433)),AH445-AH433,"")</f>
        <v>-0.00499999999999989</v>
      </c>
      <c r="AK445" s="435">
        <f>IF(AND(ISNUMBER(AH445),ISNUMBER(AH385)),AH445-AH385,"")</f>
        <v>-0.6891</v>
      </c>
      <c r="AL445" s="560">
        <f>IFERROR(LN(INDEX(Data!$B$2:$B$497,MATCH(N445,Data!$A$2:$A$497,1))/INDEX(Data!$B$2:$B$497,MATCH(N433,Data!$A$2:$A$497,1))),"")</f>
        <v>0.186450581274707</v>
      </c>
      <c r="AM445" s="560">
        <f>IFERROR(LN(INDEX(Data!$C$2:$C$497,MATCH(N445,Data!$A$2:$A$497,1))/INDEX(Data!$C$2:$C$497,MATCH(N433,Data!$A$2:$A$497,1))),"")</f>
        <v>0.0692786403227759</v>
      </c>
      <c r="AN445" s="560">
        <f>IFERROR(LN(INDEX(Data!$D$2:$D$497,MATCH(N445,Data!$A$2:$A$497,1))/INDEX(Data!$D$2:$D$497,MATCH(N433,Data!$A$2:$A$497,1))),"")</f>
        <v>0.158256531086637</v>
      </c>
      <c r="AO445" s="560">
        <f>IFERROR(LN(INDEX(Data!$E$2:$E$497,MATCH(N445,Data!$A$2:$A$497,1))/INDEX(Data!$E$2:$E$497,MATCH(N433,Data!$A$2:$A$497,1))),"")</f>
        <v>0.163856484653564</v>
      </c>
      <c r="AP445" s="560">
        <f>IFERROR(LN(INDEX(Data!$F$2:$F$497,MATCH(N445,Data!$A$2:$A$497,1))/INDEX(Data!$F$2:$F$497,MATCH(N433,Data!$A$2:$A$497,1))),"")</f>
        <v>0.313235283204628</v>
      </c>
      <c r="AQ445" s="560">
        <f>IFERROR(LN(INDEX(Data!$G$2:$G$497,MATCH(N445,Data!$A$2:$A$497,1))/INDEX(Data!$G$2:$G$497,MATCH(N433,Data!$A$2:$A$497,1))),"")</f>
        <v>0.0349277442374391</v>
      </c>
      <c r="AR445" s="560">
        <f>IFERROR(LN(INDEX(Data!$H$2:$H$497,MATCH(N445,Data!$A$2:$A$497,1))/INDEX(Data!$H$2:$H$497,MATCH(N433,Data!$A$2:$A$497,1))),"")</f>
        <v>0.0669337372837252</v>
      </c>
      <c r="AS445" s="560">
        <f>IFERROR(LN(INDEX(Data!$I$2:$I$497,MATCH(N445,Data!$A$2:$A$497,1))/INDEX(Data!$I$2:$I$497,MATCH(N433,Data!$A$2:$A$497,1))),"")</f>
        <v>0.311236014766001</v>
      </c>
      <c r="AT445" s="560">
        <f>IFERROR(LN(INDEX(Data!$J$2:$J$497,MATCH(N445,Data!$A$2:$A$497,1))/INDEX(Data!$J$2:$J$497,MATCH(N433,Data!$A$2:$A$497,1))),"")</f>
        <v>0.0510112716935926</v>
      </c>
      <c r="AU445" s="560">
        <f>IFERROR(LN(INDEX(Data!$K$2:$K$497,MATCH(N445,Data!$A$2:$A$497,1))/INDEX(Data!$K$2:$K$497,MATCH(N433,Data!$A$2:$A$497,1))),"")</f>
        <v>0.072367984061176</v>
      </c>
      <c r="AV445" s="561">
        <f>IFERROR(LN(INDEX(Data!$L$2:$L$497,MATCH(N445,Data!$A$2:$A$497,1))/INDEX(Data!$L$2:$L$497,MATCH(N433,Data!$A$2:$A$497,1))),"")</f>
        <v>0.0534749828824577</v>
      </c>
    </row>
    <row r="446">
      <c r="N446" s="337" t="n">
        <v>38291</v>
      </c>
      <c r="O446" s="116">
        <f>INDEX('Additional data'!$B$2:$B$965,MATCH(DATE(YEAR(N446),MONTH(N446),1),'Additional data'!$A$2:$A$965,0))</f>
        <v>53.13</v>
      </c>
      <c r="P446" s="489">
        <f>LN(O446)</f>
        <v>3.97274174046285</v>
      </c>
      <c r="Q446" s="489">
        <f>Q445+LN(1+INDEX('Additional data'!$H$2:$H$1196,MATCH(N446,'Additional data'!$G$2:$G$1196,1))+INDEX('Additional data'!$I$2:$I$1196,MATCH(N446,'Additional data'!$G$2:$G$1196,1)))</f>
        <v>3.64583297951384</v>
      </c>
      <c r="R446" s="489">
        <f>LN(INDEX(Data!$B$2:$B$497,MATCH(N446,Data!$A$2:$A$497,1)))</f>
        <v>9.95487068538808</v>
      </c>
      <c r="S446" s="116">
        <f>IF(INDEX('Additional data'!$E$2:$E$699,MATCH(DATE(YEAR(N446),MONTH(N446),1),'Additional data'!$D$2:$D$699,0))=0,(INDEX('Additional data'!$E$2:$E$699,MATCH(DATE(YEAR(N446),MONTH(N446),1),'Additional data'!$D$2:$D$699,0)-1)+INDEX('Additional data'!$E$2:$E$699,MATCH(DATE(YEAR(N446),MONTH(N446),1),'Additional data'!$D$2:$D$699,0)+1))/2,INDEX('Additional data'!$E$2:$E$699,MATCH(DATE(YEAR(N446),MONTH(N446),1),'Additional data'!$D$2:$D$699,0)))</f>
        <v>5.41</v>
      </c>
      <c r="T446" s="425">
        <f>P446-P445</f>
        <v>0.145187891661156</v>
      </c>
      <c r="U446" s="425">
        <f>Q446-Q445</f>
        <v>0.0151841353250401</v>
      </c>
      <c r="V446" s="425">
        <f>R446-R445</f>
        <v>0.0309316474822623</v>
      </c>
      <c r="W446" s="116">
        <f>S446-S445</f>
        <v>-0.00999999999999979</v>
      </c>
      <c r="X446" s="425">
        <f>P446-P434</f>
        <v>0.560604418762362</v>
      </c>
      <c r="Y446" s="425">
        <f>Q446-Q434</f>
        <v>0.0886768000888161</v>
      </c>
      <c r="Z446" s="425">
        <f>R446-R434</f>
        <v>0.183161662638556</v>
      </c>
      <c r="AA446" s="116">
        <f>S446-S434</f>
        <v>0.44</v>
      </c>
      <c r="AB446" s="425">
        <f>P446-P386</f>
        <v>0.85302348712787</v>
      </c>
      <c r="AC446" s="425">
        <f>Q446-Q386</f>
        <v>-0.0574883510145945</v>
      </c>
      <c r="AD446" s="425">
        <f>R446-R386</f>
        <v>0.484037028905577</v>
      </c>
      <c r="AE446" s="235">
        <f>S446-S386</f>
        <v>0.100000000000001</v>
      </c>
      <c r="AG446" s="554">
        <f>N446</f>
        <v>38291.0</v>
      </c>
      <c r="AH446" s="435">
        <f>IFERROR(INDEX('RBA 5Y yield'!$B$5:$B$661,MATCH(N446,'RBA 5Y yield'!$A$5:$A$661,1))*100,"")</f>
        <v>5.2702</v>
      </c>
      <c r="AI446" s="435">
        <f>IF(AND(ISNUMBER(AH446),ISNUMBER(AH445)),AH446-AH445,"")</f>
        <v>-0.0388999999999999</v>
      </c>
      <c r="AJ446" s="435">
        <f>IF(AND(ISNUMBER(AH446),ISNUMBER(AH434)),AH446-AH434,"")</f>
        <v>-0.2037</v>
      </c>
      <c r="AK446" s="435">
        <f>IF(AND(ISNUMBER(AH446),ISNUMBER(AH386)),AH446-AH386,"")</f>
        <v>-1.0155</v>
      </c>
      <c r="AL446" s="560">
        <f>IFERROR(LN(INDEX(Data!$B$2:$B$497,MATCH(N446,Data!$A$2:$A$497,1))/INDEX(Data!$B$2:$B$497,MATCH(N434,Data!$A$2:$A$497,1))),"")</f>
        <v>0.183161662638555</v>
      </c>
      <c r="AM446" s="560">
        <f>IFERROR(LN(INDEX(Data!$C$2:$C$497,MATCH(N446,Data!$A$2:$A$497,1))/INDEX(Data!$C$2:$C$497,MATCH(N434,Data!$A$2:$A$497,1))),"")</f>
        <v>0.0450693462948137</v>
      </c>
      <c r="AN446" s="560">
        <f>IFERROR(LN(INDEX(Data!$D$2:$D$497,MATCH(N446,Data!$A$2:$A$497,1))/INDEX(Data!$D$2:$D$497,MATCH(N434,Data!$A$2:$A$497,1))),"")</f>
        <v>0.0961383839436299</v>
      </c>
      <c r="AO446" s="560">
        <f>IFERROR(LN(INDEX(Data!$E$2:$E$497,MATCH(N446,Data!$A$2:$A$497,1))/INDEX(Data!$E$2:$E$497,MATCH(N434,Data!$A$2:$A$497,1))),"")</f>
        <v>0.207890852402647</v>
      </c>
      <c r="AP446" s="560">
        <f>IFERROR(LN(INDEX(Data!$F$2:$F$497,MATCH(N446,Data!$A$2:$A$497,1))/INDEX(Data!$F$2:$F$497,MATCH(N434,Data!$A$2:$A$497,1))),"")</f>
        <v>0.348666904356979</v>
      </c>
      <c r="AQ446" s="560">
        <f>IFERROR(LN(INDEX(Data!$G$2:$G$497,MATCH(N446,Data!$A$2:$A$497,1))/INDEX(Data!$G$2:$G$497,MATCH(N434,Data!$A$2:$A$497,1))),"")</f>
        <v>0.0349277442374391</v>
      </c>
      <c r="AR446" s="560">
        <f>IFERROR(LN(INDEX(Data!$H$2:$H$497,MATCH(N446,Data!$A$2:$A$497,1))/INDEX(Data!$H$2:$H$497,MATCH(N434,Data!$A$2:$A$497,1))),"")</f>
        <v>0.0707903551664317</v>
      </c>
      <c r="AS446" s="560">
        <f>IFERROR(LN(INDEX(Data!$I$2:$I$497,MATCH(N446,Data!$A$2:$A$497,1))/INDEX(Data!$I$2:$I$497,MATCH(N434,Data!$A$2:$A$497,1))),"")</f>
        <v>0.311236014766001</v>
      </c>
      <c r="AT446" s="560">
        <f>IFERROR(LN(INDEX(Data!$J$2:$J$497,MATCH(N446,Data!$A$2:$A$497,1))/INDEX(Data!$J$2:$J$497,MATCH(N434,Data!$A$2:$A$497,1))),"")</f>
        <v>0.0689479622501845</v>
      </c>
      <c r="AU446" s="560">
        <f>IFERROR(LN(INDEX(Data!$K$2:$K$497,MATCH(N446,Data!$A$2:$A$497,1))/INDEX(Data!$K$2:$K$497,MATCH(N434,Data!$A$2:$A$497,1))),"")</f>
        <v>0.0883077802134833</v>
      </c>
      <c r="AV446" s="561">
        <f>IFERROR(LN(INDEX(Data!$L$2:$L$497,MATCH(N446,Data!$A$2:$A$497,1))/INDEX(Data!$L$2:$L$497,MATCH(N434,Data!$A$2:$A$497,1))),"")</f>
        <v>0.0536685436890018</v>
      </c>
    </row>
    <row r="447">
      <c r="N447" s="337" t="n">
        <v>38321</v>
      </c>
      <c r="O447" s="116">
        <f>INDEX('Additional data'!$B$2:$B$965,MATCH(DATE(YEAR(N447),MONTH(N447),1),'Additional data'!$A$2:$A$965,0))</f>
        <v>48.46</v>
      </c>
      <c r="P447" s="489">
        <f>LN(O447)</f>
        <v>3.88073871538838</v>
      </c>
      <c r="Q447" s="489">
        <f>Q446+LN(1+INDEX('Additional data'!$H$2:$H$1196,MATCH(N447,'Additional data'!$G$2:$G$1196,1))+INDEX('Additional data'!$I$2:$I$1196,MATCH(N447,'Additional data'!$G$2:$G$1196,1)))</f>
        <v>3.69157087118769</v>
      </c>
      <c r="R447" s="489">
        <f>LN(INDEX(Data!$B$2:$B$497,MATCH(N447,Data!$A$2:$A$497,1)))</f>
        <v>10.000106330298</v>
      </c>
      <c r="S447" s="116">
        <f>IF(INDEX('Additional data'!$E$2:$E$699,MATCH(DATE(YEAR(N447),MONTH(N447),1),'Additional data'!$D$2:$D$699,0))=0,(INDEX('Additional data'!$E$2:$E$699,MATCH(DATE(YEAR(N447),MONTH(N447),1),'Additional data'!$D$2:$D$699,0)-1)+INDEX('Additional data'!$E$2:$E$699,MATCH(DATE(YEAR(N447),MONTH(N447),1),'Additional data'!$D$2:$D$699,0)+1))/2,INDEX('Additional data'!$E$2:$E$699,MATCH(DATE(YEAR(N447),MONTH(N447),1),'Additional data'!$D$2:$D$699,0)))</f>
        <v>5.43</v>
      </c>
      <c r="T447" s="425">
        <f>P447-P446</f>
        <v>-0.0920030250744723</v>
      </c>
      <c r="U447" s="425">
        <f>Q447-Q446</f>
        <v>0.0457378916738538</v>
      </c>
      <c r="V447" s="425">
        <f>R447-R446</f>
        <v>0.0452356449099138</v>
      </c>
      <c r="W447" s="116">
        <f>S447-S446</f>
        <v>0.0199999999999996</v>
      </c>
      <c r="X447" s="425">
        <f>P447-P435</f>
        <v>0.443852491317717</v>
      </c>
      <c r="Y447" s="425">
        <f>Q447-Q435</f>
        <v>0.120314567383888</v>
      </c>
      <c r="Z447" s="425">
        <f>R447-R435</f>
        <v>0.250029781217156</v>
      </c>
      <c r="AA447" s="116">
        <f>S447-S435</f>
        <v>0.12</v>
      </c>
      <c r="AB447" s="425">
        <f>P447-P387</f>
        <v>0.663063611096698</v>
      </c>
      <c r="AC447" s="425">
        <f>Q447-Q387</f>
        <v>-0.0487571849698365</v>
      </c>
      <c r="AD447" s="425">
        <f>R447-R387</f>
        <v>0.476796328343285</v>
      </c>
      <c r="AE447" s="235">
        <f>S447-S387</f>
        <v>-0.0100000000000007</v>
      </c>
      <c r="AG447" s="554">
        <f>N447</f>
        <v>38321.0</v>
      </c>
      <c r="AH447" s="435">
        <f>IFERROR(INDEX('RBA 5Y yield'!$B$5:$B$661,MATCH(N447,'RBA 5Y yield'!$A$5:$A$661,1))*100,"")</f>
        <v>5.2739</v>
      </c>
      <c r="AI447" s="435">
        <f>IF(AND(ISNUMBER(AH447),ISNUMBER(AH446)),AH447-AH446,"")</f>
        <v>0.00370000000000026</v>
      </c>
      <c r="AJ447" s="435">
        <f>IF(AND(ISNUMBER(AH447),ISNUMBER(AH435)),AH447-AH435,"")</f>
        <v>-0.553599999999999</v>
      </c>
      <c r="AK447" s="435">
        <f>IF(AND(ISNUMBER(AH447),ISNUMBER(AH387)),AH447-AH387,"")</f>
        <v>-1.0375</v>
      </c>
      <c r="AL447" s="560">
        <f>IFERROR(LN(INDEX(Data!$B$2:$B$497,MATCH(N447,Data!$A$2:$A$497,1))/INDEX(Data!$B$2:$B$497,MATCH(N435,Data!$A$2:$A$497,1))),"")</f>
        <v>0.250029781217157</v>
      </c>
      <c r="AM447" s="560">
        <f>IFERROR(LN(INDEX(Data!$C$2:$C$497,MATCH(N447,Data!$A$2:$A$497,1))/INDEX(Data!$C$2:$C$497,MATCH(N435,Data!$A$2:$A$497,1))),"")</f>
        <v>0.0530339765785273</v>
      </c>
      <c r="AN447" s="560">
        <f>IFERROR(LN(INDEX(Data!$D$2:$D$497,MATCH(N447,Data!$A$2:$A$497,1))/INDEX(Data!$D$2:$D$497,MATCH(N435,Data!$A$2:$A$497,1))),"")</f>
        <v>0.118562220849245</v>
      </c>
      <c r="AO447" s="560">
        <f>IFERROR(LN(INDEX(Data!$E$2:$E$497,MATCH(N447,Data!$A$2:$A$497,1))/INDEX(Data!$E$2:$E$497,MATCH(N435,Data!$A$2:$A$497,1))),"")</f>
        <v>0.18847122939562</v>
      </c>
      <c r="AP447" s="560">
        <f>IFERROR(LN(INDEX(Data!$F$2:$F$497,MATCH(N447,Data!$A$2:$A$497,1))/INDEX(Data!$F$2:$F$497,MATCH(N435,Data!$A$2:$A$497,1))),"")</f>
        <v>0.255398715920711</v>
      </c>
      <c r="AQ447" s="560">
        <f>IFERROR(LN(INDEX(Data!$G$2:$G$497,MATCH(N447,Data!$A$2:$A$497,1))/INDEX(Data!$G$2:$G$497,MATCH(N435,Data!$A$2:$A$497,1))),"")</f>
        <v>0.0349277442374391</v>
      </c>
      <c r="AR447" s="560">
        <f>IFERROR(LN(INDEX(Data!$H$2:$H$497,MATCH(N447,Data!$A$2:$A$497,1))/INDEX(Data!$H$2:$H$497,MATCH(N435,Data!$A$2:$A$497,1))),"")</f>
        <v>0.0709890438219627</v>
      </c>
      <c r="AS447" s="560">
        <f>IFERROR(LN(INDEX(Data!$I$2:$I$497,MATCH(N447,Data!$A$2:$A$497,1))/INDEX(Data!$I$2:$I$497,MATCH(N435,Data!$A$2:$A$497,1))),"")</f>
        <v>0.311236014766001</v>
      </c>
      <c r="AT447" s="560">
        <f>IFERROR(LN(INDEX(Data!$J$2:$J$497,MATCH(N447,Data!$A$2:$A$497,1))/INDEX(Data!$J$2:$J$497,MATCH(N435,Data!$A$2:$A$497,1))),"")</f>
        <v>0.0848605968581292</v>
      </c>
      <c r="AU447" s="560">
        <f>IFERROR(LN(INDEX(Data!$K$2:$K$497,MATCH(N447,Data!$A$2:$A$497,1))/INDEX(Data!$K$2:$K$497,MATCH(N435,Data!$A$2:$A$497,1))),"")</f>
        <v>0.0885852048966516</v>
      </c>
      <c r="AV447" s="561">
        <f>IFERROR(LN(INDEX(Data!$L$2:$L$497,MATCH(N447,Data!$A$2:$A$497,1))/INDEX(Data!$L$2:$L$497,MATCH(N435,Data!$A$2:$A$497,1))),"")</f>
        <v>0.0545777894331754</v>
      </c>
    </row>
    <row r="448">
      <c r="N448" s="337" t="n">
        <v>38352</v>
      </c>
      <c r="O448" s="116">
        <f>INDEX('Additional data'!$B$2:$B$965,MATCH(DATE(YEAR(N448),MONTH(N448),1),'Additional data'!$A$2:$A$965,0))</f>
        <v>43.33</v>
      </c>
      <c r="P448" s="489">
        <f>LN(O448)</f>
        <v>3.76884523575182</v>
      </c>
      <c r="Q448" s="489">
        <f>Q447+LN(1+INDEX('Additional data'!$H$2:$H$1196,MATCH(N448,'Additional data'!$G$2:$G$1196,1))+INDEX('Additional data'!$I$2:$I$1196,MATCH(N448,'Additional data'!$G$2:$G$1196,1)))</f>
        <v>3.72674494619535</v>
      </c>
      <c r="R448" s="489">
        <f>LN(INDEX(Data!$B$2:$B$497,MATCH(N448,Data!$A$2:$A$497,1)))</f>
        <v>10.0296840290641</v>
      </c>
      <c r="S448" s="116">
        <f>IF(INDEX('Additional data'!$E$2:$E$699,MATCH(DATE(YEAR(N448),MONTH(N448),1),'Additional data'!$D$2:$D$699,0))=0,(INDEX('Additional data'!$E$2:$E$699,MATCH(DATE(YEAR(N448),MONTH(N448),1),'Additional data'!$D$2:$D$699,0)-1)+INDEX('Additional data'!$E$2:$E$699,MATCH(DATE(YEAR(N448),MONTH(N448),1),'Additional data'!$D$2:$D$699,0)+1))/2,INDEX('Additional data'!$E$2:$E$699,MATCH(DATE(YEAR(N448),MONTH(N448),1),'Additional data'!$D$2:$D$699,0)))</f>
        <v>5.41</v>
      </c>
      <c r="T448" s="425">
        <f>P448-P447</f>
        <v>-0.111893479636562</v>
      </c>
      <c r="U448" s="425">
        <f>Q448-Q447</f>
        <v>0.0351740750076539</v>
      </c>
      <c r="V448" s="425">
        <f>R448-R447</f>
        <v>0.0295776987661149</v>
      </c>
      <c r="W448" s="116">
        <f>S448-S447</f>
        <v>-0.0199999999999996</v>
      </c>
      <c r="X448" s="425">
        <f>P448-P436</f>
        <v>0.29843278506819</v>
      </c>
      <c r="Y448" s="425">
        <f>Q448-Q436</f>
        <v>0.112716550547673</v>
      </c>
      <c r="Z448" s="425">
        <f>R448-R436</f>
        <v>0.243479674623977</v>
      </c>
      <c r="AA448" s="116">
        <f>S448-S436</f>
        <v>-0.0599999999999996</v>
      </c>
      <c r="AB448" s="425">
        <f>P448-P388</f>
        <v>0.507676498693366</v>
      </c>
      <c r="AC448" s="425">
        <f>Q448-Q388</f>
        <v>-0.0914696486192539</v>
      </c>
      <c r="AD448" s="425">
        <f>R448-R388</f>
        <v>0.451836592968714</v>
      </c>
      <c r="AE448" s="235">
        <f>S448-S388</f>
        <v>-0.24</v>
      </c>
      <c r="AG448" s="554">
        <f>N448</f>
        <v>38352.0</v>
      </c>
      <c r="AH448" s="435">
        <f>IFERROR(INDEX('RBA 5Y yield'!$B$5:$B$661,MATCH(N448,'RBA 5Y yield'!$A$5:$A$661,1))*100,"")</f>
        <v>5.1</v>
      </c>
      <c r="AI448" s="435">
        <f>IF(AND(ISNUMBER(AH448),ISNUMBER(AH447)),AH448-AH447,"")</f>
        <v>-0.173900000000001</v>
      </c>
      <c r="AJ448" s="435">
        <f>IF(AND(ISNUMBER(AH448),ISNUMBER(AH436)),AH448-AH436,"")</f>
        <v>-0.6055</v>
      </c>
      <c r="AK448" s="435">
        <f>IF(AND(ISNUMBER(AH448),ISNUMBER(AH388)),AH448-AH388,"")</f>
        <v>-1.3881</v>
      </c>
      <c r="AL448" s="560">
        <f>IFERROR(LN(INDEX(Data!$B$2:$B$497,MATCH(N448,Data!$A$2:$A$497,1))/INDEX(Data!$B$2:$B$497,MATCH(N436,Data!$A$2:$A$497,1))),"")</f>
        <v>0.243479674623977</v>
      </c>
      <c r="AM448" s="560">
        <f>IFERROR(LN(INDEX(Data!$C$2:$C$497,MATCH(N448,Data!$A$2:$A$497,1))/INDEX(Data!$C$2:$C$497,MATCH(N436,Data!$A$2:$A$497,1))),"")</f>
        <v>0.0721559728507809</v>
      </c>
      <c r="AN448" s="560">
        <f>IFERROR(LN(INDEX(Data!$D$2:$D$497,MATCH(N448,Data!$A$2:$A$497,1))/INDEX(Data!$D$2:$D$497,MATCH(N436,Data!$A$2:$A$497,1))),"")</f>
        <v>0.112643883864434</v>
      </c>
      <c r="AO448" s="560">
        <f>IFERROR(LN(INDEX(Data!$E$2:$E$497,MATCH(N448,Data!$A$2:$A$497,1))/INDEX(Data!$E$2:$E$497,MATCH(N436,Data!$A$2:$A$497,1))),"")</f>
        <v>0.236505597622149</v>
      </c>
      <c r="AP448" s="560">
        <f>IFERROR(LN(INDEX(Data!$F$2:$F$497,MATCH(N448,Data!$A$2:$A$497,1))/INDEX(Data!$F$2:$F$497,MATCH(N436,Data!$A$2:$A$497,1))),"")</f>
        <v>0.119754075534405</v>
      </c>
      <c r="AQ448" s="560">
        <f>IFERROR(LN(INDEX(Data!$G$2:$G$497,MATCH(N448,Data!$A$2:$A$497,1))/INDEX(Data!$G$2:$G$497,MATCH(N436,Data!$A$2:$A$497,1))),"")</f>
        <v>0.0147892365423231</v>
      </c>
      <c r="AR448" s="560">
        <f>IFERROR(LN(INDEX(Data!$H$2:$H$497,MATCH(N448,Data!$A$2:$A$497,1))/INDEX(Data!$H$2:$H$497,MATCH(N436,Data!$A$2:$A$497,1))),"")</f>
        <v>0.0688845183170475</v>
      </c>
      <c r="AS448" s="560">
        <f>IFERROR(LN(INDEX(Data!$I$2:$I$497,MATCH(N448,Data!$A$2:$A$497,1))/INDEX(Data!$I$2:$I$497,MATCH(N436,Data!$A$2:$A$497,1))),"")</f>
        <v>0.326878170902084</v>
      </c>
      <c r="AT448" s="560">
        <f>IFERROR(LN(INDEX(Data!$J$2:$J$497,MATCH(N448,Data!$A$2:$A$497,1))/INDEX(Data!$J$2:$J$497,MATCH(N436,Data!$A$2:$A$497,1))),"")</f>
        <v>0.0672784160470461</v>
      </c>
      <c r="AU448" s="560">
        <f>IFERROR(LN(INDEX(Data!$K$2:$K$497,MATCH(N448,Data!$A$2:$A$497,1))/INDEX(Data!$K$2:$K$497,MATCH(N436,Data!$A$2:$A$497,1))),"")</f>
        <v>0.085410629485281</v>
      </c>
      <c r="AV448" s="561">
        <f>IFERROR(LN(INDEX(Data!$L$2:$L$497,MATCH(N448,Data!$A$2:$A$497,1))/INDEX(Data!$L$2:$L$497,MATCH(N436,Data!$A$2:$A$497,1))),"")</f>
        <v>0.0546573213706847</v>
      </c>
    </row>
    <row r="449">
      <c r="N449" s="337" t="n">
        <v>38383</v>
      </c>
      <c r="O449" s="116">
        <f>INDEX('Additional data'!$B$2:$B$965,MATCH(DATE(YEAR(N449),MONTH(N449),1),'Additional data'!$A$2:$A$965,0))</f>
        <v>46.84</v>
      </c>
      <c r="P449" s="489">
        <f>LN(O449)</f>
        <v>3.84673753872952</v>
      </c>
      <c r="Q449" s="489">
        <f>Q448+LN(1+INDEX('Additional data'!$H$2:$H$1196,MATCH(N449,'Additional data'!$G$2:$G$1196,1))+INDEX('Additional data'!$I$2:$I$1196,MATCH(N449,'Additional data'!$G$2:$G$1196,1)))</f>
        <v>3.70050363499012</v>
      </c>
      <c r="R449" s="489">
        <f>LN(INDEX(Data!$B$2:$B$497,MATCH(N449,Data!$A$2:$A$497,1)))</f>
        <v>10.0428850806944</v>
      </c>
      <c r="S449" s="116">
        <f>IF(INDEX('Additional data'!$E$2:$E$699,MATCH(DATE(YEAR(N449),MONTH(N449),1),'Additional data'!$D$2:$D$699,0))=0,(INDEX('Additional data'!$E$2:$E$699,MATCH(DATE(YEAR(N449),MONTH(N449),1),'Additional data'!$D$2:$D$699,0)-1)+INDEX('Additional data'!$E$2:$E$699,MATCH(DATE(YEAR(N449),MONTH(N449),1),'Additional data'!$D$2:$D$699,0)+1))/2,INDEX('Additional data'!$E$2:$E$699,MATCH(DATE(YEAR(N449),MONTH(N449),1),'Additional data'!$D$2:$D$699,0)))</f>
        <v>5.42</v>
      </c>
      <c r="T449" s="425">
        <f>P449-P448</f>
        <v>0.0778923029776988</v>
      </c>
      <c r="U449" s="425">
        <f>Q449-Q448</f>
        <v>-0.0262413112052271</v>
      </c>
      <c r="V449" s="425">
        <f>R449-R448</f>
        <v>0.0132010516302916</v>
      </c>
      <c r="W449" s="116">
        <f>S449-S448</f>
        <v>0.00999999999999979</v>
      </c>
      <c r="X449" s="425">
        <f>P449-P437</f>
        <v>0.312467202842999</v>
      </c>
      <c r="Y449" s="425">
        <f>Q449-Q437</f>
        <v>0.0645180719904044</v>
      </c>
      <c r="Z449" s="425">
        <f>R449-R437</f>
        <v>0.263352238228169</v>
      </c>
      <c r="AA449" s="116">
        <f>S449-S437</f>
        <v>-0.13</v>
      </c>
      <c r="AB449" s="425">
        <f>P449-P389</f>
        <v>0.544256130006519</v>
      </c>
      <c r="AC449" s="425">
        <f>Q449-Q389</f>
        <v>-0.0734455435264656</v>
      </c>
      <c r="AD449" s="425">
        <f>R449-R389</f>
        <v>0.47220947183248</v>
      </c>
      <c r="AE449" s="235">
        <f>S449-S389</f>
        <v>-0.24</v>
      </c>
      <c r="AG449" s="554">
        <f>N449</f>
        <v>38383.0</v>
      </c>
      <c r="AH449" s="435">
        <f>IFERROR(INDEX('RBA 5Y yield'!$B$5:$B$661,MATCH(N449,'RBA 5Y yield'!$A$5:$A$661,1))*100,"")</f>
        <v>5.2571</v>
      </c>
      <c r="AI449" s="435">
        <f>IF(AND(ISNUMBER(AH449),ISNUMBER(AH448)),AH449-AH448,"")</f>
        <v>0.157100000000001</v>
      </c>
      <c r="AJ449" s="435">
        <f>IF(AND(ISNUMBER(AH449),ISNUMBER(AH437)),AH449-AH437,"")</f>
        <v>-0.3769</v>
      </c>
      <c r="AK449" s="435">
        <f>IF(AND(ISNUMBER(AH449),ISNUMBER(AH389)),AH449-AH389,"")</f>
        <v>-1.7371</v>
      </c>
      <c r="AL449" s="560">
        <f>IFERROR(LN(INDEX(Data!$B$2:$B$497,MATCH(N449,Data!$A$2:$A$497,1))/INDEX(Data!$B$2:$B$497,MATCH(N437,Data!$A$2:$A$497,1))),"")</f>
        <v>0.263352238228169</v>
      </c>
      <c r="AM449" s="560">
        <f>IFERROR(LN(INDEX(Data!$C$2:$C$497,MATCH(N449,Data!$A$2:$A$497,1))/INDEX(Data!$C$2:$C$497,MATCH(N437,Data!$A$2:$A$497,1))),"")</f>
        <v>0.0669248252000149</v>
      </c>
      <c r="AN449" s="560">
        <f>IFERROR(LN(INDEX(Data!$D$2:$D$497,MATCH(N449,Data!$A$2:$A$497,1))/INDEX(Data!$D$2:$D$497,MATCH(N437,Data!$A$2:$A$497,1))),"")</f>
        <v>0.107742262032611</v>
      </c>
      <c r="AO449" s="560">
        <f>IFERROR(LN(INDEX(Data!$E$2:$E$497,MATCH(N449,Data!$A$2:$A$497,1))/INDEX(Data!$E$2:$E$497,MATCH(N437,Data!$A$2:$A$497,1))),"")</f>
        <v>0.163103687707379</v>
      </c>
      <c r="AP449" s="560">
        <f>IFERROR(LN(INDEX(Data!$F$2:$F$497,MATCH(N449,Data!$A$2:$A$497,1))/INDEX(Data!$F$2:$F$497,MATCH(N437,Data!$A$2:$A$497,1))),"")</f>
        <v>0.20279065874435</v>
      </c>
      <c r="AQ449" s="560">
        <f>IFERROR(LN(INDEX(Data!$G$2:$G$497,MATCH(N449,Data!$A$2:$A$497,1))/INDEX(Data!$G$2:$G$497,MATCH(N437,Data!$A$2:$A$497,1))),"")</f>
        <v>0.0147892365423231</v>
      </c>
      <c r="AR449" s="560">
        <f>IFERROR(LN(INDEX(Data!$H$2:$H$497,MATCH(N449,Data!$A$2:$A$497,1))/INDEX(Data!$H$2:$H$497,MATCH(N437,Data!$A$2:$A$497,1))),"")</f>
        <v>0.076911186313663</v>
      </c>
      <c r="AS449" s="560">
        <f>IFERROR(LN(INDEX(Data!$I$2:$I$497,MATCH(N449,Data!$A$2:$A$497,1))/INDEX(Data!$I$2:$I$497,MATCH(N437,Data!$A$2:$A$497,1))),"")</f>
        <v>0.326878170902084</v>
      </c>
      <c r="AT449" s="560">
        <f>IFERROR(LN(INDEX(Data!$J$2:$J$497,MATCH(N449,Data!$A$2:$A$497,1))/INDEX(Data!$J$2:$J$497,MATCH(N437,Data!$A$2:$A$497,1))),"")</f>
        <v>0.0698206289140252</v>
      </c>
      <c r="AU449" s="560">
        <f>IFERROR(LN(INDEX(Data!$K$2:$K$497,MATCH(N449,Data!$A$2:$A$497,1))/INDEX(Data!$K$2:$K$497,MATCH(N437,Data!$A$2:$A$497,1))),"")</f>
        <v>0.0860973221308098</v>
      </c>
      <c r="AV449" s="561">
        <f>IFERROR(LN(INDEX(Data!$L$2:$L$497,MATCH(N449,Data!$A$2:$A$497,1))/INDEX(Data!$L$2:$L$497,MATCH(N437,Data!$A$2:$A$497,1))),"")</f>
        <v>0.0546404942615609</v>
      </c>
    </row>
    <row r="450">
      <c r="N450" s="337" t="n">
        <v>38411</v>
      </c>
      <c r="O450" s="116">
        <f>INDEX('Additional data'!$B$2:$B$965,MATCH(DATE(YEAR(N450),MONTH(N450),1),'Additional data'!$A$2:$A$965,0))</f>
        <v>47.97</v>
      </c>
      <c r="P450" s="489">
        <f>LN(O450)</f>
        <v>3.87057581551397</v>
      </c>
      <c r="Q450" s="489">
        <f>Q449+LN(1+INDEX('Additional data'!$H$2:$H$1196,MATCH(N450,'Additional data'!$G$2:$G$1196,1))+INDEX('Additional data'!$I$2:$I$1196,MATCH(N450,'Additional data'!$G$2:$G$1196,1)))</f>
        <v>3.72069834227564</v>
      </c>
      <c r="R450" s="489">
        <f>LN(INDEX(Data!$B$2:$B$497,MATCH(N450,Data!$A$2:$A$497,1)))</f>
        <v>10.0607064918659</v>
      </c>
      <c r="S450" s="116">
        <f>IF(INDEX('Additional data'!$E$2:$E$699,MATCH(DATE(YEAR(N450),MONTH(N450),1),'Additional data'!$D$2:$D$699,0))=0,(INDEX('Additional data'!$E$2:$E$699,MATCH(DATE(YEAR(N450),MONTH(N450),1),'Additional data'!$D$2:$D$699,0)-1)+INDEX('Additional data'!$E$2:$E$699,MATCH(DATE(YEAR(N450),MONTH(N450),1),'Additional data'!$D$2:$D$699,0)+1))/2,INDEX('Additional data'!$E$2:$E$699,MATCH(DATE(YEAR(N450),MONTH(N450),1),'Additional data'!$D$2:$D$699,0)))</f>
        <v>5.63</v>
      </c>
      <c r="T450" s="425">
        <f>P450-P449</f>
        <v>0.0238382767844558</v>
      </c>
      <c r="U450" s="425">
        <f>Q450-Q449</f>
        <v>0.0201947072855191</v>
      </c>
      <c r="V450" s="425">
        <f>R450-R449</f>
        <v>0.017821411171461</v>
      </c>
      <c r="W450" s="116">
        <f>S450-S449</f>
        <v>0.21</v>
      </c>
      <c r="X450" s="425">
        <f>P450-P438</f>
        <v>0.322684054701014</v>
      </c>
      <c r="Y450" s="425">
        <f>Q450-Q438</f>
        <v>0.0702183331254709</v>
      </c>
      <c r="Z450" s="425">
        <f>R450-R438</f>
        <v>0.250533247212182</v>
      </c>
      <c r="AA450" s="116">
        <f>S450-S438</f>
        <v>0.0599999999999996</v>
      </c>
      <c r="AB450" s="425">
        <f>P450-P390</f>
        <v>0.491283269239867</v>
      </c>
      <c r="AC450" s="425">
        <f>Q450-Q390</f>
        <v>-0.0817411066405738</v>
      </c>
      <c r="AD450" s="425">
        <f>R450-R390</f>
        <v>0.471108103950693</v>
      </c>
      <c r="AE450" s="235">
        <f>S450-S390</f>
        <v>-0.17</v>
      </c>
      <c r="AG450" s="554">
        <f>N450</f>
        <v>38411.0</v>
      </c>
      <c r="AH450" s="435">
        <f>IFERROR(INDEX('RBA 5Y yield'!$B$5:$B$661,MATCH(N450,'RBA 5Y yield'!$A$5:$A$661,1))*100,"")</f>
        <v>5.41</v>
      </c>
      <c r="AI450" s="435">
        <f>IF(AND(ISNUMBER(AH450),ISNUMBER(AH449)),AH450-AH449,"")</f>
        <v>0.1529</v>
      </c>
      <c r="AJ450" s="435">
        <f>IF(AND(ISNUMBER(AH450),ISNUMBER(AH438)),AH450-AH438,"")</f>
        <v>-0.149299999999999</v>
      </c>
      <c r="AK450" s="435">
        <f>IF(AND(ISNUMBER(AH450),ISNUMBER(AH390)),AH450-AH390,"")</f>
        <v>-1.4895</v>
      </c>
      <c r="AL450" s="560">
        <f>IFERROR(LN(INDEX(Data!$B$2:$B$497,MATCH(N450,Data!$A$2:$A$497,1))/INDEX(Data!$B$2:$B$497,MATCH(N438,Data!$A$2:$A$497,1))),"")</f>
        <v>0.250533247212182</v>
      </c>
      <c r="AM450" s="560">
        <f>IFERROR(LN(INDEX(Data!$C$2:$C$497,MATCH(N450,Data!$A$2:$A$497,1))/INDEX(Data!$C$2:$C$497,MATCH(N438,Data!$A$2:$A$497,1))),"")</f>
        <v>0.0636574024159919</v>
      </c>
      <c r="AN450" s="560">
        <f>IFERROR(LN(INDEX(Data!$D$2:$D$497,MATCH(N450,Data!$A$2:$A$497,1))/INDEX(Data!$D$2:$D$497,MATCH(N438,Data!$A$2:$A$497,1))),"")</f>
        <v>0.128206238424631</v>
      </c>
      <c r="AO450" s="560">
        <f>IFERROR(LN(INDEX(Data!$E$2:$E$497,MATCH(N450,Data!$A$2:$A$497,1))/INDEX(Data!$E$2:$E$497,MATCH(N438,Data!$A$2:$A$497,1))),"")</f>
        <v>0.148268605927207</v>
      </c>
      <c r="AP450" s="560">
        <f>IFERROR(LN(INDEX(Data!$F$2:$F$497,MATCH(N450,Data!$A$2:$A$497,1))/INDEX(Data!$F$2:$F$497,MATCH(N438,Data!$A$2:$A$497,1))),"")</f>
        <v>0.181217955439809</v>
      </c>
      <c r="AQ450" s="560">
        <f>IFERROR(LN(INDEX(Data!$G$2:$G$497,MATCH(N450,Data!$A$2:$A$497,1))/INDEX(Data!$G$2:$G$497,MATCH(N438,Data!$A$2:$A$497,1))),"")</f>
        <v>0.0147892365423231</v>
      </c>
      <c r="AR450" s="560">
        <f>IFERROR(LN(INDEX(Data!$H$2:$H$497,MATCH(N450,Data!$A$2:$A$497,1))/INDEX(Data!$H$2:$H$497,MATCH(N438,Data!$A$2:$A$497,1))),"")</f>
        <v>0.108445330720751</v>
      </c>
      <c r="AS450" s="560">
        <f>IFERROR(LN(INDEX(Data!$I$2:$I$497,MATCH(N450,Data!$A$2:$A$497,1))/INDEX(Data!$I$2:$I$497,MATCH(N438,Data!$A$2:$A$497,1))),"")</f>
        <v>0.326878170902084</v>
      </c>
      <c r="AT450" s="560">
        <f>IFERROR(LN(INDEX(Data!$J$2:$J$497,MATCH(N450,Data!$A$2:$A$497,1))/INDEX(Data!$J$2:$J$497,MATCH(N438,Data!$A$2:$A$497,1))),"")</f>
        <v>0.054483687045388</v>
      </c>
      <c r="AU450" s="560">
        <f>IFERROR(LN(INDEX(Data!$K$2:$K$497,MATCH(N450,Data!$A$2:$A$497,1))/INDEX(Data!$K$2:$K$497,MATCH(N438,Data!$A$2:$A$497,1))),"")</f>
        <v>0.07076633871737</v>
      </c>
      <c r="AV450" s="561">
        <f>IFERROR(LN(INDEX(Data!$L$2:$L$497,MATCH(N450,Data!$A$2:$A$497,1))/INDEX(Data!$L$2:$L$497,MATCH(N438,Data!$A$2:$A$497,1))),"")</f>
        <v>0.0542178533999174</v>
      </c>
    </row>
    <row r="451">
      <c r="N451" s="337" t="n">
        <v>38442</v>
      </c>
      <c r="O451" s="116">
        <f>INDEX('Additional data'!$B$2:$B$965,MATCH(DATE(YEAR(N451),MONTH(N451),1),'Additional data'!$A$2:$A$965,0))</f>
        <v>54.31</v>
      </c>
      <c r="P451" s="489">
        <f>LN(O451)</f>
        <v>3.99470837204675</v>
      </c>
      <c r="Q451" s="489">
        <f>Q450+LN(1+INDEX('Additional data'!$H$2:$H$1196,MATCH(N451,'Additional data'!$G$2:$G$1196,1))+INDEX('Additional data'!$I$2:$I$1196,MATCH(N451,'Additional data'!$G$2:$G$1196,1)))</f>
        <v>3.70324694866188</v>
      </c>
      <c r="R451" s="489">
        <f>LN(INDEX(Data!$B$2:$B$497,MATCH(N451,Data!$A$2:$A$497,1)))</f>
        <v>10.0532342633979</v>
      </c>
      <c r="S451" s="116">
        <f>IF(INDEX('Additional data'!$E$2:$E$699,MATCH(DATE(YEAR(N451),MONTH(N451),1),'Additional data'!$D$2:$D$699,0))=0,(INDEX('Additional data'!$E$2:$E$699,MATCH(DATE(YEAR(N451),MONTH(N451),1),'Additional data'!$D$2:$D$699,0)-1)+INDEX('Additional data'!$E$2:$E$699,MATCH(DATE(YEAR(N451),MONTH(N451),1),'Additional data'!$D$2:$D$699,0)+1))/2,INDEX('Additional data'!$E$2:$E$699,MATCH(DATE(YEAR(N451),MONTH(N451),1),'Additional data'!$D$2:$D$699,0)))</f>
        <v>5.81</v>
      </c>
      <c r="T451" s="425">
        <f>P451-P450</f>
        <v>0.124132556532782</v>
      </c>
      <c r="U451" s="425">
        <f>Q451-Q450</f>
        <v>-0.0174513936137557</v>
      </c>
      <c r="V451" s="425">
        <f>R451-R450</f>
        <v>-0.00747222846796092</v>
      </c>
      <c r="W451" s="116">
        <f>S451-S450</f>
        <v>0.18</v>
      </c>
      <c r="X451" s="425">
        <f>P451-P439</f>
        <v>0.390298074559268</v>
      </c>
      <c r="Y451" s="425">
        <f>Q451-Q439</f>
        <v>0.0651432105797705</v>
      </c>
      <c r="Z451" s="425">
        <f>R451-R439</f>
        <v>0.223351002191675</v>
      </c>
      <c r="AA451" s="116">
        <f>S451-S439</f>
        <v>0.3</v>
      </c>
      <c r="AB451" s="425">
        <f>P451-P391</f>
        <v>0.597184395750908</v>
      </c>
      <c r="AC451" s="425">
        <f>Q451-Q391</f>
        <v>-0.154437974480308</v>
      </c>
      <c r="AD451" s="425">
        <f>R451-R391</f>
        <v>0.458309135146253</v>
      </c>
      <c r="AE451" s="235">
        <f>S451-S391</f>
        <v>-0.0800000000000001</v>
      </c>
      <c r="AG451" s="554">
        <f>N451</f>
        <v>38442.0</v>
      </c>
      <c r="AH451" s="435">
        <f>IFERROR(INDEX('RBA 5Y yield'!$B$5:$B$661,MATCH(N451,'RBA 5Y yield'!$A$5:$A$661,1))*100,"")</f>
        <v>5.6343</v>
      </c>
      <c r="AI451" s="435">
        <f>IF(AND(ISNUMBER(AH451),ISNUMBER(AH450)),AH451-AH450,"")</f>
        <v>0.2243</v>
      </c>
      <c r="AJ451" s="435">
        <f>IF(AND(ISNUMBER(AH451),ISNUMBER(AH439)),AH451-AH439,"")</f>
        <v>0.329499999999999</v>
      </c>
      <c r="AK451" s="435">
        <f>IF(AND(ISNUMBER(AH451),ISNUMBER(AH391)),AH451-AH391,"")</f>
        <v>-0.9305</v>
      </c>
      <c r="AL451" s="560">
        <f>IFERROR(LN(INDEX(Data!$B$2:$B$497,MATCH(N451,Data!$A$2:$A$497,1))/INDEX(Data!$B$2:$B$497,MATCH(N439,Data!$A$2:$A$497,1))),"")</f>
        <v>0.223351002191676</v>
      </c>
      <c r="AM451" s="560">
        <f>IFERROR(LN(INDEX(Data!$C$2:$C$497,MATCH(N451,Data!$A$2:$A$497,1))/INDEX(Data!$C$2:$C$497,MATCH(N439,Data!$A$2:$A$497,1))),"")</f>
        <v>0.0779521422475164</v>
      </c>
      <c r="AN451" s="560">
        <f>IFERROR(LN(INDEX(Data!$D$2:$D$497,MATCH(N451,Data!$A$2:$A$497,1))/INDEX(Data!$D$2:$D$497,MATCH(N439,Data!$A$2:$A$497,1))),"")</f>
        <v>0.0970961895781626</v>
      </c>
      <c r="AO451" s="560">
        <f>IFERROR(LN(INDEX(Data!$E$2:$E$497,MATCH(N451,Data!$A$2:$A$497,1))/INDEX(Data!$E$2:$E$497,MATCH(N439,Data!$A$2:$A$497,1))),"")</f>
        <v>0.0978717231875329</v>
      </c>
      <c r="AP451" s="560">
        <f>IFERROR(LN(INDEX(Data!$F$2:$F$497,MATCH(N451,Data!$A$2:$A$497,1))/INDEX(Data!$F$2:$F$497,MATCH(N439,Data!$A$2:$A$497,1))),"")</f>
        <v>0.249542849109589</v>
      </c>
      <c r="AQ451" s="560">
        <f>IFERROR(LN(INDEX(Data!$G$2:$G$497,MATCH(N451,Data!$A$2:$A$497,1))/INDEX(Data!$G$2:$G$497,MATCH(N439,Data!$A$2:$A$497,1))),"")</f>
        <v>0.0175774035759779</v>
      </c>
      <c r="AR451" s="560">
        <f>IFERROR(LN(INDEX(Data!$H$2:$H$497,MATCH(N451,Data!$A$2:$A$497,1))/INDEX(Data!$H$2:$H$497,MATCH(N439,Data!$A$2:$A$497,1))),"")</f>
        <v>0.10814860948817</v>
      </c>
      <c r="AS451" s="560">
        <f>IFERROR(LN(INDEX(Data!$I$2:$I$497,MATCH(N451,Data!$A$2:$A$497,1))/INDEX(Data!$I$2:$I$497,MATCH(N439,Data!$A$2:$A$497,1))),"")</f>
        <v>0.253924496368104</v>
      </c>
      <c r="AT451" s="560">
        <f>IFERROR(LN(INDEX(Data!$J$2:$J$497,MATCH(N451,Data!$A$2:$A$497,1))/INDEX(Data!$J$2:$J$497,MATCH(N439,Data!$A$2:$A$497,1))),"")</f>
        <v>0.0468817642795831</v>
      </c>
      <c r="AU451" s="560">
        <f>IFERROR(LN(INDEX(Data!$K$2:$K$497,MATCH(N451,Data!$A$2:$A$497,1))/INDEX(Data!$K$2:$K$497,MATCH(N439,Data!$A$2:$A$497,1))),"")</f>
        <v>0.0659852577017923</v>
      </c>
      <c r="AV451" s="561">
        <f>IFERROR(LN(INDEX(Data!$L$2:$L$497,MATCH(N451,Data!$A$2:$A$497,1))/INDEX(Data!$L$2:$L$497,MATCH(N439,Data!$A$2:$A$497,1))),"")</f>
        <v>0.0541418588251665</v>
      </c>
    </row>
    <row r="452">
      <c r="N452" s="337" t="n">
        <v>38472</v>
      </c>
      <c r="O452" s="116">
        <f>INDEX('Additional data'!$B$2:$B$965,MATCH(DATE(YEAR(N452),MONTH(N452),1),'Additional data'!$A$2:$A$965,0))</f>
        <v>53.04</v>
      </c>
      <c r="P452" s="489">
        <f>LN(O452)</f>
        <v>3.97104634587761</v>
      </c>
      <c r="Q452" s="489">
        <f>Q451+LN(1+INDEX('Additional data'!$H$2:$H$1196,MATCH(N452,'Additional data'!$G$2:$G$1196,1))+INDEX('Additional data'!$I$2:$I$1196,MATCH(N452,'Additional data'!$G$2:$G$1196,1)))</f>
        <v>3.67895425609284</v>
      </c>
      <c r="R452" s="489">
        <f>LN(INDEX(Data!$B$2:$B$497,MATCH(N452,Data!$A$2:$A$497,1)))</f>
        <v>10.0146896478956</v>
      </c>
      <c r="S452" s="116">
        <f>IF(INDEX('Additional data'!$E$2:$E$699,MATCH(DATE(YEAR(N452),MONTH(N452),1),'Additional data'!$D$2:$D$699,0))=0,(INDEX('Additional data'!$E$2:$E$699,MATCH(DATE(YEAR(N452),MONTH(N452),1),'Additional data'!$D$2:$D$699,0)-1)+INDEX('Additional data'!$E$2:$E$699,MATCH(DATE(YEAR(N452),MONTH(N452),1),'Additional data'!$D$2:$D$699,0)+1))/2,INDEX('Additional data'!$E$2:$E$699,MATCH(DATE(YEAR(N452),MONTH(N452),1),'Additional data'!$D$2:$D$699,0)))</f>
        <v>5.75</v>
      </c>
      <c r="T452" s="425">
        <f>P452-P451</f>
        <v>-0.0236620261691471</v>
      </c>
      <c r="U452" s="425">
        <f>Q452-Q451</f>
        <v>-0.0242926925690448</v>
      </c>
      <c r="V452" s="425">
        <f>R452-R451</f>
        <v>-0.0385446155022944</v>
      </c>
      <c r="W452" s="116">
        <f>S452-S451</f>
        <v>-0.0599999999999996</v>
      </c>
      <c r="X452" s="425">
        <f>P452-P440</f>
        <v>0.368542107510416</v>
      </c>
      <c r="Y452" s="425">
        <f>Q452-Q440</f>
        <v>0.0583019116244814</v>
      </c>
      <c r="Z452" s="425">
        <f>R452-R440</f>
        <v>0.186080664346692</v>
      </c>
      <c r="AA452" s="116">
        <f>S452-S440</f>
        <v>0.21</v>
      </c>
      <c r="AB452" s="425">
        <f>P452-P392</f>
        <v>0.723000143709626</v>
      </c>
      <c r="AC452" s="425">
        <f>Q452-Q392</f>
        <v>-0.117599667045121</v>
      </c>
      <c r="AD452" s="425">
        <f>R452-R392</f>
        <v>0.434760150151577</v>
      </c>
      <c r="AE452" s="235">
        <f>S452-S392</f>
        <v>-0.29</v>
      </c>
      <c r="AG452" s="554">
        <f>N452</f>
        <v>38472.0</v>
      </c>
      <c r="AH452" s="435">
        <f>IFERROR(INDEX('RBA 5Y yield'!$B$5:$B$661,MATCH(N452,'RBA 5Y yield'!$A$5:$A$661,1))*100,"")</f>
        <v>5.4455</v>
      </c>
      <c r="AI452" s="435">
        <f>IF(AND(ISNUMBER(AH452),ISNUMBER(AH451)),AH452-AH451,"")</f>
        <v>-0.1888</v>
      </c>
      <c r="AJ452" s="435">
        <f>IF(AND(ISNUMBER(AH452),ISNUMBER(AH440)),AH452-AH440,"")</f>
        <v>-0.1387</v>
      </c>
      <c r="AK452" s="435">
        <f>IF(AND(ISNUMBER(AH452),ISNUMBER(AH392)),AH452-AH392,"")</f>
        <v>-0.8516</v>
      </c>
      <c r="AL452" s="560">
        <f>IFERROR(LN(INDEX(Data!$B$2:$B$497,MATCH(N452,Data!$A$2:$A$497,1))/INDEX(Data!$B$2:$B$497,MATCH(N440,Data!$A$2:$A$497,1))),"")</f>
        <v>0.186080664346693</v>
      </c>
      <c r="AM452" s="560">
        <f>IFERROR(LN(INDEX(Data!$C$2:$C$497,MATCH(N452,Data!$A$2:$A$497,1))/INDEX(Data!$C$2:$C$497,MATCH(N440,Data!$A$2:$A$497,1))),"")</f>
        <v>-0.00604212469686579</v>
      </c>
      <c r="AN452" s="560">
        <f>IFERROR(LN(INDEX(Data!$D$2:$D$497,MATCH(N452,Data!$A$2:$A$497,1))/INDEX(Data!$D$2:$D$497,MATCH(N440,Data!$A$2:$A$497,1))),"")</f>
        <v>0.0549666570948823</v>
      </c>
      <c r="AO452" s="560">
        <f>IFERROR(LN(INDEX(Data!$E$2:$E$497,MATCH(N452,Data!$A$2:$A$497,1))/INDEX(Data!$E$2:$E$497,MATCH(N440,Data!$A$2:$A$497,1))),"")</f>
        <v>0.203559375380185</v>
      </c>
      <c r="AP452" s="560">
        <f>IFERROR(LN(INDEX(Data!$F$2:$F$497,MATCH(N452,Data!$A$2:$A$497,1))/INDEX(Data!$F$2:$F$497,MATCH(N440,Data!$A$2:$A$497,1))),"")</f>
        <v>0.0625928186186723</v>
      </c>
      <c r="AQ452" s="560">
        <f>IFERROR(LN(INDEX(Data!$G$2:$G$497,MATCH(N452,Data!$A$2:$A$497,1))/INDEX(Data!$G$2:$G$497,MATCH(N440,Data!$A$2:$A$497,1))),"")</f>
        <v>0.0175774035759779</v>
      </c>
      <c r="AR452" s="560">
        <f>IFERROR(LN(INDEX(Data!$H$2:$H$497,MATCH(N452,Data!$A$2:$A$497,1))/INDEX(Data!$H$2:$H$497,MATCH(N440,Data!$A$2:$A$497,1))),"")</f>
        <v>0.119876034691891</v>
      </c>
      <c r="AS452" s="560">
        <f>IFERROR(LN(INDEX(Data!$I$2:$I$497,MATCH(N452,Data!$A$2:$A$497,1))/INDEX(Data!$I$2:$I$497,MATCH(N440,Data!$A$2:$A$497,1))),"")</f>
        <v>0.253924496368104</v>
      </c>
      <c r="AT452" s="560">
        <f>IFERROR(LN(INDEX(Data!$J$2:$J$497,MATCH(N452,Data!$A$2:$A$497,1))/INDEX(Data!$J$2:$J$497,MATCH(N440,Data!$A$2:$A$497,1))),"")</f>
        <v>0.071786939925842</v>
      </c>
      <c r="AU452" s="560">
        <f>IFERROR(LN(INDEX(Data!$K$2:$K$497,MATCH(N452,Data!$A$2:$A$497,1))/INDEX(Data!$K$2:$K$497,MATCH(N440,Data!$A$2:$A$497,1))),"")</f>
        <v>0.0933831349746351</v>
      </c>
      <c r="AV452" s="561">
        <f>IFERROR(LN(INDEX(Data!$L$2:$L$497,MATCH(N452,Data!$A$2:$A$497,1))/INDEX(Data!$L$2:$L$497,MATCH(N440,Data!$A$2:$A$497,1))),"")</f>
        <v>0.0546156755078212</v>
      </c>
    </row>
    <row r="453">
      <c r="N453" s="337" t="n">
        <v>38503</v>
      </c>
      <c r="O453" s="116">
        <f>INDEX('Additional data'!$B$2:$B$965,MATCH(DATE(YEAR(N453),MONTH(N453),1),'Additional data'!$A$2:$A$965,0))</f>
        <v>49.83</v>
      </c>
      <c r="P453" s="489">
        <f>LN(O453)</f>
        <v>3.90861721229331</v>
      </c>
      <c r="Q453" s="489">
        <f>Q452+LN(1+INDEX('Additional data'!$H$2:$H$1196,MATCH(N453,'Additional data'!$G$2:$G$1196,1))+INDEX('Additional data'!$I$2:$I$1196,MATCH(N453,'Additional data'!$G$2:$G$1196,1)))</f>
        <v>3.71711671718719</v>
      </c>
      <c r="R453" s="489">
        <f>LN(INDEX(Data!$B$2:$B$497,MATCH(N453,Data!$A$2:$A$497,1)))</f>
        <v>10.0482192556023</v>
      </c>
      <c r="S453" s="116">
        <f>IF(INDEX('Additional data'!$E$2:$E$699,MATCH(DATE(YEAR(N453),MONTH(N453),1),'Additional data'!$D$2:$D$699,0))=0,(INDEX('Additional data'!$E$2:$E$699,MATCH(DATE(YEAR(N453),MONTH(N453),1),'Additional data'!$D$2:$D$699,0)-1)+INDEX('Additional data'!$E$2:$E$699,MATCH(DATE(YEAR(N453),MONTH(N453),1),'Additional data'!$D$2:$D$699,0)+1))/2,INDEX('Additional data'!$E$2:$E$699,MATCH(DATE(YEAR(N453),MONTH(N453),1),'Additional data'!$D$2:$D$699,0)))</f>
        <v>5.68</v>
      </c>
      <c r="T453" s="425">
        <f>P453-P452</f>
        <v>-0.0624291335842937</v>
      </c>
      <c r="U453" s="425">
        <f>Q453-Q452</f>
        <v>0.0381624610943487</v>
      </c>
      <c r="V453" s="425">
        <f>R453-R452</f>
        <v>0.0335296077067309</v>
      </c>
      <c r="W453" s="116">
        <f>S453-S452</f>
        <v>-0.0700000000000003</v>
      </c>
      <c r="X453" s="425">
        <f>P453-P441</f>
        <v>0.212762144442952</v>
      </c>
      <c r="Y453" s="425">
        <f>Q453-Q441</f>
        <v>0.0841406230299984</v>
      </c>
      <c r="Z453" s="425">
        <f>R453-R441</f>
        <v>0.203562013747119</v>
      </c>
      <c r="AA453" s="116">
        <f>S453-S441</f>
        <v>0.17</v>
      </c>
      <c r="AB453" s="425">
        <f>P453-P393</f>
        <v>0.548936510834091</v>
      </c>
      <c r="AC453" s="425">
        <f>Q453-Q393</f>
        <v>-0.0397603887978741</v>
      </c>
      <c r="AD453" s="425">
        <f>R453-R393</f>
        <v>0.481288663276368</v>
      </c>
      <c r="AE453" s="235">
        <f>S453-S393</f>
        <v>-0.63</v>
      </c>
      <c r="AG453" s="554">
        <f>N453</f>
        <v>38503.0</v>
      </c>
      <c r="AH453" s="435">
        <f>IFERROR(INDEX('RBA 5Y yield'!$B$5:$B$661,MATCH(N453,'RBA 5Y yield'!$A$5:$A$661,1))*100,"")</f>
        <v>5.2477</v>
      </c>
      <c r="AI453" s="435">
        <f>IF(AND(ISNUMBER(AH453),ISNUMBER(AH452)),AH453-AH452,"")</f>
        <v>-0.1978</v>
      </c>
      <c r="AJ453" s="435">
        <f>IF(AND(ISNUMBER(AH453),ISNUMBER(AH441)),AH453-AH441,"")</f>
        <v>-0.4625</v>
      </c>
      <c r="AK453" s="435">
        <f>IF(AND(ISNUMBER(AH453),ISNUMBER(AH393)),AH453-AH393,"")</f>
        <v>-1.1993</v>
      </c>
      <c r="AL453" s="560">
        <f>IFERROR(LN(INDEX(Data!$B$2:$B$497,MATCH(N453,Data!$A$2:$A$497,1))/INDEX(Data!$B$2:$B$497,MATCH(N441,Data!$A$2:$A$497,1))),"")</f>
        <v>0.203562013747118</v>
      </c>
      <c r="AM453" s="560">
        <f>IFERROR(LN(INDEX(Data!$C$2:$C$497,MATCH(N453,Data!$A$2:$A$497,1))/INDEX(Data!$C$2:$C$497,MATCH(N441,Data!$A$2:$A$497,1))),"")</f>
        <v>0.0451678736443416</v>
      </c>
      <c r="AN453" s="560">
        <f>IFERROR(LN(INDEX(Data!$D$2:$D$497,MATCH(N453,Data!$A$2:$A$497,1))/INDEX(Data!$D$2:$D$497,MATCH(N441,Data!$A$2:$A$497,1))),"")</f>
        <v>0.140157480619015</v>
      </c>
      <c r="AO453" s="560">
        <f>IFERROR(LN(INDEX(Data!$E$2:$E$497,MATCH(N453,Data!$A$2:$A$497,1))/INDEX(Data!$E$2:$E$497,MATCH(N441,Data!$A$2:$A$497,1))),"")</f>
        <v>0.190477461980526</v>
      </c>
      <c r="AP453" s="560">
        <f>IFERROR(LN(INDEX(Data!$F$2:$F$497,MATCH(N453,Data!$A$2:$A$497,1))/INDEX(Data!$F$2:$F$497,MATCH(N441,Data!$A$2:$A$497,1))),"")</f>
        <v>0.027860879465738</v>
      </c>
      <c r="AQ453" s="560">
        <f>IFERROR(LN(INDEX(Data!$G$2:$G$497,MATCH(N453,Data!$A$2:$A$497,1))/INDEX(Data!$G$2:$G$497,MATCH(N441,Data!$A$2:$A$497,1))),"")</f>
        <v>0.0175774035759779</v>
      </c>
      <c r="AR453" s="560">
        <f>IFERROR(LN(INDEX(Data!$H$2:$H$497,MATCH(N453,Data!$A$2:$A$497,1))/INDEX(Data!$H$2:$H$497,MATCH(N441,Data!$A$2:$A$497,1))),"")</f>
        <v>0.150335242176599</v>
      </c>
      <c r="AS453" s="560">
        <f>IFERROR(LN(INDEX(Data!$I$2:$I$497,MATCH(N453,Data!$A$2:$A$497,1))/INDEX(Data!$I$2:$I$497,MATCH(N441,Data!$A$2:$A$497,1))),"")</f>
        <v>0.253924496368104</v>
      </c>
      <c r="AT453" s="560">
        <f>IFERROR(LN(INDEX(Data!$J$2:$J$497,MATCH(N453,Data!$A$2:$A$497,1))/INDEX(Data!$J$2:$J$497,MATCH(N441,Data!$A$2:$A$497,1))),"")</f>
        <v>0.0730941015651417</v>
      </c>
      <c r="AU453" s="560">
        <f>IFERROR(LN(INDEX(Data!$K$2:$K$497,MATCH(N453,Data!$A$2:$A$497,1))/INDEX(Data!$K$2:$K$497,MATCH(N441,Data!$A$2:$A$497,1))),"")</f>
        <v>0.104386445330863</v>
      </c>
      <c r="AV453" s="561">
        <f>IFERROR(LN(INDEX(Data!$L$2:$L$497,MATCH(N453,Data!$A$2:$A$497,1))/INDEX(Data!$L$2:$L$497,MATCH(N441,Data!$A$2:$A$497,1))),"")</f>
        <v>0.0547347523617544</v>
      </c>
    </row>
    <row r="454">
      <c r="N454" s="337" t="n">
        <v>38533</v>
      </c>
      <c r="O454" s="116">
        <f>INDEX('Additional data'!$B$2:$B$965,MATCH(DATE(YEAR(N454),MONTH(N454),1),'Additional data'!$A$2:$A$965,0))</f>
        <v>56.26</v>
      </c>
      <c r="P454" s="489">
        <f>LN(O454)</f>
        <v>4.02998380306171</v>
      </c>
      <c r="Q454" s="489">
        <f>Q453+LN(1+INDEX('Additional data'!$H$2:$H$1196,MATCH(N454,'Additional data'!$G$2:$G$1196,1))+INDEX('Additional data'!$I$2:$I$1196,MATCH(N454,'Additional data'!$G$2:$G$1196,1)))</f>
        <v>3.72518408826495</v>
      </c>
      <c r="R454" s="489">
        <f>LN(INDEX(Data!$B$2:$B$497,MATCH(N454,Data!$A$2:$A$497,1)))</f>
        <v>10.0918850301491</v>
      </c>
      <c r="S454" s="116">
        <f>IF(INDEX('Additional data'!$E$2:$E$699,MATCH(DATE(YEAR(N454),MONTH(N454),1),'Additional data'!$D$2:$D$699,0))=0,(INDEX('Additional data'!$E$2:$E$699,MATCH(DATE(YEAR(N454),MONTH(N454),1),'Additional data'!$D$2:$D$699,0)-1)+INDEX('Additional data'!$E$2:$E$699,MATCH(DATE(YEAR(N454),MONTH(N454),1),'Additional data'!$D$2:$D$699,0)+1))/2,INDEX('Additional data'!$E$2:$E$699,MATCH(DATE(YEAR(N454),MONTH(N454),1),'Additional data'!$D$2:$D$699,0)))</f>
        <v>5.66</v>
      </c>
      <c r="T454" s="425">
        <f>P454-P453</f>
        <v>0.121366590768398</v>
      </c>
      <c r="U454" s="425">
        <f>Q454-Q453</f>
        <v>0.00806737107775879</v>
      </c>
      <c r="V454" s="425">
        <f>R454-R453</f>
        <v>0.0436657745467155</v>
      </c>
      <c r="W454" s="116">
        <f>S454-S453</f>
        <v>-0.0199999999999996</v>
      </c>
      <c r="X454" s="425">
        <f>P454-P442</f>
        <v>0.391871466001428</v>
      </c>
      <c r="Y454" s="425">
        <f>Q454-Q442</f>
        <v>0.0730918769155271</v>
      </c>
      <c r="Z454" s="425">
        <f>R454-R442</f>
        <v>0.221116659597708</v>
      </c>
      <c r="AA454" s="116">
        <f>S454-S442</f>
        <v>0.17</v>
      </c>
      <c r="AB454" s="425">
        <f>P454-P394</f>
        <v>0.56957456176771</v>
      </c>
      <c r="AC454" s="425">
        <f>Q454-Q394</f>
        <v>-0.0812447965493632</v>
      </c>
      <c r="AD454" s="425">
        <f>R454-R394</f>
        <v>0.450787507412343</v>
      </c>
      <c r="AE454" s="235">
        <f>S454-S394</f>
        <v>-0.57</v>
      </c>
      <c r="AG454" s="554">
        <f>N454</f>
        <v>38533.0</v>
      </c>
      <c r="AH454" s="435">
        <f>IFERROR(INDEX('RBA 5Y yield'!$B$5:$B$661,MATCH(N454,'RBA 5Y yield'!$A$5:$A$661,1))*100,"")</f>
        <v>5.1383</v>
      </c>
      <c r="AI454" s="435">
        <f>IF(AND(ISNUMBER(AH454),ISNUMBER(AH453)),AH454-AH453,"")</f>
        <v>-0.1094</v>
      </c>
      <c r="AJ454" s="435">
        <f>IF(AND(ISNUMBER(AH454),ISNUMBER(AH442)),AH454-AH442,"")</f>
        <v>-0.4241</v>
      </c>
      <c r="AK454" s="435">
        <f>IF(AND(ISNUMBER(AH454),ISNUMBER(AH394)),AH454-AH394,"")</f>
        <v>-0.9646</v>
      </c>
      <c r="AL454" s="560">
        <f>IFERROR(LN(INDEX(Data!$B$2:$B$497,MATCH(N454,Data!$A$2:$A$497,1))/INDEX(Data!$B$2:$B$497,MATCH(N442,Data!$A$2:$A$497,1))),"")</f>
        <v>0.221116659597708</v>
      </c>
      <c r="AM454" s="560">
        <f>IFERROR(LN(INDEX(Data!$C$2:$C$497,MATCH(N454,Data!$A$2:$A$497,1))/INDEX(Data!$C$2:$C$497,MATCH(N442,Data!$A$2:$A$497,1))),"")</f>
        <v>0.0109701354250655</v>
      </c>
      <c r="AN454" s="560">
        <f>IFERROR(LN(INDEX(Data!$D$2:$D$497,MATCH(N454,Data!$A$2:$A$497,1))/INDEX(Data!$D$2:$D$497,MATCH(N442,Data!$A$2:$A$497,1))),"")</f>
        <v>0.149895568952266</v>
      </c>
      <c r="AO454" s="560">
        <f>IFERROR(LN(INDEX(Data!$E$2:$E$497,MATCH(N454,Data!$A$2:$A$497,1))/INDEX(Data!$E$2:$E$497,MATCH(N442,Data!$A$2:$A$497,1))),"")</f>
        <v>0.18008147892834</v>
      </c>
      <c r="AP454" s="560">
        <f>IFERROR(LN(INDEX(Data!$F$2:$F$497,MATCH(N454,Data!$A$2:$A$497,1))/INDEX(Data!$F$2:$F$497,MATCH(N442,Data!$A$2:$A$497,1))),"")</f>
        <v>0.102436159689413</v>
      </c>
      <c r="AQ454" s="560">
        <f>IFERROR(LN(INDEX(Data!$G$2:$G$497,MATCH(N454,Data!$A$2:$A$497,1))/INDEX(Data!$G$2:$G$497,MATCH(N442,Data!$A$2:$A$497,1))),"")</f>
        <v>0.0343923884160678</v>
      </c>
      <c r="AR454" s="560">
        <f>IFERROR(LN(INDEX(Data!$H$2:$H$497,MATCH(N454,Data!$A$2:$A$497,1))/INDEX(Data!$H$2:$H$497,MATCH(N442,Data!$A$2:$A$497,1))),"")</f>
        <v>0.152707253567475</v>
      </c>
      <c r="AS454" s="560">
        <f>IFERROR(LN(INDEX(Data!$I$2:$I$497,MATCH(N454,Data!$A$2:$A$497,1))/INDEX(Data!$I$2:$I$497,MATCH(N442,Data!$A$2:$A$497,1))),"")</f>
        <v>0.179439170303767</v>
      </c>
      <c r="AT454" s="560">
        <f>IFERROR(LN(INDEX(Data!$J$2:$J$497,MATCH(N454,Data!$A$2:$A$497,1))/INDEX(Data!$J$2:$J$497,MATCH(N442,Data!$A$2:$A$497,1))),"")</f>
        <v>0.0750051496010656</v>
      </c>
      <c r="AU454" s="560">
        <f>IFERROR(LN(INDEX(Data!$K$2:$K$497,MATCH(N454,Data!$A$2:$A$497,1))/INDEX(Data!$K$2:$K$497,MATCH(N442,Data!$A$2:$A$497,1))),"")</f>
        <v>0.109522490547513</v>
      </c>
      <c r="AV454" s="561">
        <f>IFERROR(LN(INDEX(Data!$L$2:$L$497,MATCH(N454,Data!$A$2:$A$497,1))/INDEX(Data!$L$2:$L$497,MATCH(N442,Data!$A$2:$A$497,1))),"")</f>
        <v>0.0548531665257782</v>
      </c>
    </row>
    <row r="455">
      <c r="N455" s="337" t="n">
        <v>38564</v>
      </c>
      <c r="O455" s="116">
        <f>INDEX('Additional data'!$B$2:$B$965,MATCH(DATE(YEAR(N455),MONTH(N455),1),'Additional data'!$A$2:$A$965,0))</f>
        <v>58.7</v>
      </c>
      <c r="P455" s="489">
        <f>LN(O455)</f>
        <v>4.07243972683405</v>
      </c>
      <c r="Q455" s="489">
        <f>Q454+LN(1+INDEX('Additional data'!$H$2:$H$1196,MATCH(N455,'Additional data'!$G$2:$G$1196,1))+INDEX('Additional data'!$I$2:$I$1196,MATCH(N455,'Additional data'!$G$2:$G$1196,1)))</f>
        <v>3.76594208073711</v>
      </c>
      <c r="R455" s="489">
        <f>LN(INDEX(Data!$B$2:$B$497,MATCH(N455,Data!$A$2:$A$497,1)))</f>
        <v>10.1191778371359</v>
      </c>
      <c r="S455" s="116">
        <f>IF(INDEX('Additional data'!$E$2:$E$699,MATCH(DATE(YEAR(N455),MONTH(N455),1),'Additional data'!$D$2:$D$699,0))=0,(INDEX('Additional data'!$E$2:$E$699,MATCH(DATE(YEAR(N455),MONTH(N455),1),'Additional data'!$D$2:$D$699,0)-1)+INDEX('Additional data'!$E$2:$E$699,MATCH(DATE(YEAR(N455),MONTH(N455),1),'Additional data'!$D$2:$D$699,0)+1))/2,INDEX('Additional data'!$E$2:$E$699,MATCH(DATE(YEAR(N455),MONTH(N455),1),'Additional data'!$D$2:$D$699,0)))</f>
        <v>5.65</v>
      </c>
      <c r="T455" s="425">
        <f>P455-P454</f>
        <v>0.0424559237723399</v>
      </c>
      <c r="U455" s="425">
        <f>Q455-Q454</f>
        <v>0.0407579924721677</v>
      </c>
      <c r="V455" s="425">
        <f>R455-R454</f>
        <v>0.0272928069868339</v>
      </c>
      <c r="W455" s="116">
        <f>S455-S454</f>
        <v>-0.00999999999999979</v>
      </c>
      <c r="X455" s="425">
        <f>P455-P443</f>
        <v>0.366457364820453</v>
      </c>
      <c r="Y455" s="425">
        <f>Q455-Q443</f>
        <v>0.154047059139108</v>
      </c>
      <c r="Z455" s="425">
        <f>R455-R443</f>
        <v>0.24271991589225</v>
      </c>
      <c r="AA455" s="116">
        <f>S455-S443</f>
        <v>0.19</v>
      </c>
      <c r="AB455" s="425">
        <f>P455-P395</f>
        <v>0.678938551806366</v>
      </c>
      <c r="AC455" s="425">
        <f>Q455-Q395</f>
        <v>-0.020284096759676</v>
      </c>
      <c r="AD455" s="425">
        <f>R455-R395</f>
        <v>0.491520930136755</v>
      </c>
      <c r="AE455" s="235">
        <f>S455-S395</f>
        <v>-0.55</v>
      </c>
      <c r="AG455" s="554">
        <f>N455</f>
        <v>38564.0</v>
      </c>
      <c r="AH455" s="435">
        <f>IFERROR(INDEX('RBA 5Y yield'!$B$5:$B$661,MATCH(N455,'RBA 5Y yield'!$A$5:$A$661,1))*100,"")</f>
        <v>5.1936</v>
      </c>
      <c r="AI455" s="435">
        <f>IF(AND(ISNUMBER(AH455),ISNUMBER(AH454)),AH455-AH454,"")</f>
        <v>0.0552999999999999</v>
      </c>
      <c r="AJ455" s="435">
        <f>IF(AND(ISNUMBER(AH455),ISNUMBER(AH443)),AH455-AH443,"")</f>
        <v>-0.3662</v>
      </c>
      <c r="AK455" s="435">
        <f>IF(AND(ISNUMBER(AH455),ISNUMBER(AH395)),AH455-AH395,"")</f>
        <v>-0.8716</v>
      </c>
      <c r="AL455" s="560">
        <f>IFERROR(LN(INDEX(Data!$B$2:$B$497,MATCH(N455,Data!$A$2:$A$497,1))/INDEX(Data!$B$2:$B$497,MATCH(N443,Data!$A$2:$A$497,1))),"")</f>
        <v>0.24271991589225</v>
      </c>
      <c r="AM455" s="560">
        <f>IFERROR(LN(INDEX(Data!$C$2:$C$497,MATCH(N455,Data!$A$2:$A$497,1))/INDEX(Data!$C$2:$C$497,MATCH(N443,Data!$A$2:$A$497,1))),"")</f>
        <v>0.0853263200797778</v>
      </c>
      <c r="AN455" s="560">
        <f>IFERROR(LN(INDEX(Data!$D$2:$D$497,MATCH(N455,Data!$A$2:$A$497,1))/INDEX(Data!$D$2:$D$497,MATCH(N443,Data!$A$2:$A$497,1))),"")</f>
        <v>0.239622124726013</v>
      </c>
      <c r="AO455" s="560">
        <f>IFERROR(LN(INDEX(Data!$E$2:$E$497,MATCH(N455,Data!$A$2:$A$497,1))/INDEX(Data!$E$2:$E$497,MATCH(N443,Data!$A$2:$A$497,1))),"")</f>
        <v>0.236574520538107</v>
      </c>
      <c r="AP455" s="560">
        <f>IFERROR(LN(INDEX(Data!$F$2:$F$497,MATCH(N455,Data!$A$2:$A$497,1))/INDEX(Data!$F$2:$F$497,MATCH(N443,Data!$A$2:$A$497,1))),"")</f>
        <v>0.0894520490162638</v>
      </c>
      <c r="AQ455" s="560">
        <f>IFERROR(LN(INDEX(Data!$G$2:$G$497,MATCH(N455,Data!$A$2:$A$497,1))/INDEX(Data!$G$2:$G$497,MATCH(N443,Data!$A$2:$A$497,1))),"")</f>
        <v>0.0343923884160678</v>
      </c>
      <c r="AR455" s="560">
        <f>IFERROR(LN(INDEX(Data!$H$2:$H$497,MATCH(N455,Data!$A$2:$A$497,1))/INDEX(Data!$H$2:$H$497,MATCH(N443,Data!$A$2:$A$497,1))),"")</f>
        <v>0.181766424191716</v>
      </c>
      <c r="AS455" s="560">
        <f>IFERROR(LN(INDEX(Data!$I$2:$I$497,MATCH(N455,Data!$A$2:$A$497,1))/INDEX(Data!$I$2:$I$497,MATCH(N443,Data!$A$2:$A$497,1))),"")</f>
        <v>0.179439170303767</v>
      </c>
      <c r="AT455" s="560">
        <f>IFERROR(LN(INDEX(Data!$J$2:$J$497,MATCH(N455,Data!$A$2:$A$497,1))/INDEX(Data!$J$2:$J$497,MATCH(N443,Data!$A$2:$A$497,1))),"")</f>
        <v>0.0752813068710829</v>
      </c>
      <c r="AU455" s="560">
        <f>IFERROR(LN(INDEX(Data!$K$2:$K$497,MATCH(N455,Data!$A$2:$A$497,1))/INDEX(Data!$K$2:$K$497,MATCH(N443,Data!$A$2:$A$497,1))),"")</f>
        <v>0.0957562826849044</v>
      </c>
      <c r="AV455" s="561">
        <f>IFERROR(LN(INDEX(Data!$L$2:$L$497,MATCH(N455,Data!$A$2:$A$497,1))/INDEX(Data!$L$2:$L$497,MATCH(N443,Data!$A$2:$A$497,1))),"")</f>
        <v>0.0550225511278025</v>
      </c>
    </row>
    <row r="456">
      <c r="N456" s="337" t="n">
        <v>38595</v>
      </c>
      <c r="O456" s="116">
        <f>INDEX('Additional data'!$B$2:$B$965,MATCH(DATE(YEAR(N456),MONTH(N456),1),'Additional data'!$A$2:$A$965,0))</f>
        <v>64.97</v>
      </c>
      <c r="P456" s="489">
        <f>LN(O456)</f>
        <v>4.17392562489244</v>
      </c>
      <c r="Q456" s="489">
        <f>Q455+LN(1+INDEX('Additional data'!$H$2:$H$1196,MATCH(N456,'Additional data'!$G$2:$G$1196,1))+INDEX('Additional data'!$I$2:$I$1196,MATCH(N456,'Additional data'!$G$2:$G$1196,1)))</f>
        <v>3.75690133608497</v>
      </c>
      <c r="R456" s="489">
        <f>LN(INDEX(Data!$B$2:$B$497,MATCH(N456,Data!$A$2:$A$497,1)))</f>
        <v>10.1406745119688</v>
      </c>
      <c r="S456" s="116">
        <f>IF(INDEX('Additional data'!$E$2:$E$699,MATCH(DATE(YEAR(N456),MONTH(N456),1),'Additional data'!$D$2:$D$699,0))=0,(INDEX('Additional data'!$E$2:$E$699,MATCH(DATE(YEAR(N456),MONTH(N456),1),'Additional data'!$D$2:$D$699,0)-1)+INDEX('Additional data'!$E$2:$E$699,MATCH(DATE(YEAR(N456),MONTH(N456),1),'Additional data'!$D$2:$D$699,0)+1))/2,INDEX('Additional data'!$E$2:$E$699,MATCH(DATE(YEAR(N456),MONTH(N456),1),'Additional data'!$D$2:$D$699,0)))</f>
        <v>5.62</v>
      </c>
      <c r="T456" s="425">
        <f>P456-P455</f>
        <v>0.101485898058389</v>
      </c>
      <c r="U456" s="425">
        <f>Q456-Q455</f>
        <v>-0.00904074465214899</v>
      </c>
      <c r="V456" s="425">
        <f>R456-R455</f>
        <v>0.0214966748329513</v>
      </c>
      <c r="W456" s="116">
        <f>S456-S455</f>
        <v>-0.0300000000000003</v>
      </c>
      <c r="X456" s="425">
        <f>P456-P444</f>
        <v>0.368597358135256</v>
      </c>
      <c r="Y456" s="425">
        <f>Q456-Q444</f>
        <v>0.143207932545579</v>
      </c>
      <c r="Z456" s="425">
        <f>R456-R444</f>
        <v>0.253773254674677</v>
      </c>
      <c r="AA456" s="116">
        <f>S456-S444</f>
        <v>0.18</v>
      </c>
      <c r="AB456" s="425">
        <f>P456-P396</f>
        <v>0.732866709805154</v>
      </c>
      <c r="AC456" s="425">
        <f>Q456-Q396</f>
        <v>-0.101924533826169</v>
      </c>
      <c r="AD456" s="425">
        <f>R456-R396</f>
        <v>0.495921419617742</v>
      </c>
      <c r="AE456" s="235">
        <f>S456-S396</f>
        <v>-0.87</v>
      </c>
      <c r="AG456" s="554">
        <f>N456</f>
        <v>38595.0</v>
      </c>
      <c r="AH456" s="435">
        <f>IFERROR(INDEX('RBA 5Y yield'!$B$5:$B$661,MATCH(N456,'RBA 5Y yield'!$A$5:$A$661,1))*100,"")</f>
        <v>5.1715</v>
      </c>
      <c r="AI456" s="435">
        <f>IF(AND(ISNUMBER(AH456),ISNUMBER(AH455)),AH456-AH455,"")</f>
        <v>-0.0221</v>
      </c>
      <c r="AJ456" s="435">
        <f>IF(AND(ISNUMBER(AH456),ISNUMBER(AH444)),AH456-AH444,"")</f>
        <v>-0.2926</v>
      </c>
      <c r="AK456" s="435">
        <f>IF(AND(ISNUMBER(AH456),ISNUMBER(AH396)),AH456-AH396,"")</f>
        <v>-1.1046</v>
      </c>
      <c r="AL456" s="560">
        <f>IFERROR(LN(INDEX(Data!$B$2:$B$497,MATCH(N456,Data!$A$2:$A$497,1))/INDEX(Data!$B$2:$B$497,MATCH(N444,Data!$A$2:$A$497,1))),"")</f>
        <v>0.253773254674677</v>
      </c>
      <c r="AM456" s="560">
        <f>IFERROR(LN(INDEX(Data!$C$2:$C$497,MATCH(N456,Data!$A$2:$A$497,1))/INDEX(Data!$C$2:$C$497,MATCH(N444,Data!$A$2:$A$497,1))),"")</f>
        <v>0.104657464573371</v>
      </c>
      <c r="AN456" s="560">
        <f>IFERROR(LN(INDEX(Data!$D$2:$D$497,MATCH(N456,Data!$A$2:$A$497,1))/INDEX(Data!$D$2:$D$497,MATCH(N444,Data!$A$2:$A$497,1))),"")</f>
        <v>0.228297498609951</v>
      </c>
      <c r="AO456" s="560">
        <f>IFERROR(LN(INDEX(Data!$E$2:$E$497,MATCH(N456,Data!$A$2:$A$497,1))/INDEX(Data!$E$2:$E$497,MATCH(N444,Data!$A$2:$A$497,1))),"")</f>
        <v>0.167875550521764</v>
      </c>
      <c r="AP456" s="560">
        <f>IFERROR(LN(INDEX(Data!$F$2:$F$497,MATCH(N456,Data!$A$2:$A$497,1))/INDEX(Data!$F$2:$F$497,MATCH(N444,Data!$A$2:$A$497,1))),"")</f>
        <v>0.290161931230761</v>
      </c>
      <c r="AQ456" s="560">
        <f>IFERROR(LN(INDEX(Data!$G$2:$G$497,MATCH(N456,Data!$A$2:$A$497,1))/INDEX(Data!$G$2:$G$497,MATCH(N444,Data!$A$2:$A$497,1))),"")</f>
        <v>0.0343923884160678</v>
      </c>
      <c r="AR456" s="560">
        <f>IFERROR(LN(INDEX(Data!$H$2:$H$497,MATCH(N456,Data!$A$2:$A$497,1))/INDEX(Data!$H$2:$H$497,MATCH(N444,Data!$A$2:$A$497,1))),"")</f>
        <v>0.187525550426416</v>
      </c>
      <c r="AS456" s="560">
        <f>IFERROR(LN(INDEX(Data!$I$2:$I$497,MATCH(N456,Data!$A$2:$A$497,1))/INDEX(Data!$I$2:$I$497,MATCH(N444,Data!$A$2:$A$497,1))),"")</f>
        <v>0.179439170303767</v>
      </c>
      <c r="AT456" s="560">
        <f>IFERROR(LN(INDEX(Data!$J$2:$J$497,MATCH(N456,Data!$A$2:$A$497,1))/INDEX(Data!$J$2:$J$497,MATCH(N444,Data!$A$2:$A$497,1))),"")</f>
        <v>0.0694367232804026</v>
      </c>
      <c r="AU456" s="560">
        <f>IFERROR(LN(INDEX(Data!$K$2:$K$497,MATCH(N456,Data!$A$2:$A$497,1))/INDEX(Data!$K$2:$K$497,MATCH(N444,Data!$A$2:$A$497,1))),"")</f>
        <v>0.0885091760068553</v>
      </c>
      <c r="AV456" s="561">
        <f>IFERROR(LN(INDEX(Data!$L$2:$L$497,MATCH(N456,Data!$A$2:$A$497,1))/INDEX(Data!$L$2:$L$497,MATCH(N444,Data!$A$2:$A$497,1))),"")</f>
        <v>0.0551799094158928</v>
      </c>
    </row>
    <row r="457">
      <c r="N457" s="337" t="n">
        <v>38625</v>
      </c>
      <c r="O457" s="116">
        <f>INDEX('Additional data'!$B$2:$B$965,MATCH(DATE(YEAR(N457),MONTH(N457),1),'Additional data'!$A$2:$A$965,0))</f>
        <v>65.57</v>
      </c>
      <c r="P457" s="489">
        <f>LN(O457)</f>
        <v>4.18311827427553</v>
      </c>
      <c r="Q457" s="489">
        <f>Q456+LN(1+INDEX('Additional data'!$H$2:$H$1196,MATCH(N457,'Additional data'!$G$2:$G$1196,1))+INDEX('Additional data'!$I$2:$I$1196,MATCH(N457,'Additional data'!$G$2:$G$1196,1)))</f>
        <v>3.76457184238918</v>
      </c>
      <c r="R457" s="489">
        <f>LN(INDEX(Data!$B$2:$B$497,MATCH(N457,Data!$A$2:$A$497,1)))</f>
        <v>10.1871353231246</v>
      </c>
      <c r="S457" s="116">
        <f>IF(INDEX('Additional data'!$E$2:$E$699,MATCH(DATE(YEAR(N457),MONTH(N457),1),'Additional data'!$D$2:$D$699,0))=0,(INDEX('Additional data'!$E$2:$E$699,MATCH(DATE(YEAR(N457),MONTH(N457),1),'Additional data'!$D$2:$D$699,0)-1)+INDEX('Additional data'!$E$2:$E$699,MATCH(DATE(YEAR(N457),MONTH(N457),1),'Additional data'!$D$2:$D$699,0)+1))/2,INDEX('Additional data'!$E$2:$E$699,MATCH(DATE(YEAR(N457),MONTH(N457),1),'Additional data'!$D$2:$D$699,0)))</f>
        <v>5.62</v>
      </c>
      <c r="T457" s="425">
        <f>P457-P456</f>
        <v>0.00919264938308828</v>
      </c>
      <c r="U457" s="425">
        <f>Q457-Q456</f>
        <v>0.0076705063042195</v>
      </c>
      <c r="V457" s="425">
        <f>R457-R456</f>
        <v>0.0464608111557183</v>
      </c>
      <c r="W457" s="116">
        <f>S457-S456</f>
        <v>0</v>
      </c>
      <c r="X457" s="425">
        <f>P457-P445</f>
        <v>0.355564425473832</v>
      </c>
      <c r="Y457" s="425">
        <f>Q457-Q445</f>
        <v>0.133922998200385</v>
      </c>
      <c r="Z457" s="425">
        <f>R457-R445</f>
        <v>0.263196285218738</v>
      </c>
      <c r="AA457" s="116">
        <f>S457-S445</f>
        <v>0.2</v>
      </c>
      <c r="AB457" s="425">
        <f>P457-P397</f>
        <v>0.660293404491674</v>
      </c>
      <c r="AC457" s="425">
        <f>Q457-Q397</f>
        <v>-0.0436973039047968</v>
      </c>
      <c r="AD457" s="425">
        <f>R457-R397</f>
        <v>0.540329491333786</v>
      </c>
      <c r="AE457" s="235">
        <f>S457-S397</f>
        <v>-0.95</v>
      </c>
      <c r="AG457" s="554">
        <f>N457</f>
        <v>38625.0</v>
      </c>
      <c r="AH457" s="435">
        <f>IFERROR(INDEX('RBA 5Y yield'!$B$5:$B$661,MATCH(N457,'RBA 5Y yield'!$A$5:$A$661,1))*100,"")</f>
        <v>5.148</v>
      </c>
      <c r="AI457" s="435">
        <f>IF(AND(ISNUMBER(AH457),ISNUMBER(AH456)),AH457-AH456,"")</f>
        <v>-0.0235000000000003</v>
      </c>
      <c r="AJ457" s="435">
        <f>IF(AND(ISNUMBER(AH457),ISNUMBER(AH445)),AH457-AH445,"")</f>
        <v>-0.1611</v>
      </c>
      <c r="AK457" s="435">
        <f>IF(AND(ISNUMBER(AH457),ISNUMBER(AH397)),AH457-AH397,"")</f>
        <v>-1.0303</v>
      </c>
      <c r="AL457" s="560">
        <f>IFERROR(LN(INDEX(Data!$B$2:$B$497,MATCH(N457,Data!$A$2:$A$497,1))/INDEX(Data!$B$2:$B$497,MATCH(N445,Data!$A$2:$A$497,1))),"")</f>
        <v>0.263196285218738</v>
      </c>
      <c r="AM457" s="560">
        <f>IFERROR(LN(INDEX(Data!$C$2:$C$497,MATCH(N457,Data!$A$2:$A$497,1))/INDEX(Data!$C$2:$C$497,MATCH(N445,Data!$A$2:$A$497,1))),"")</f>
        <v>0.133136865931816</v>
      </c>
      <c r="AN457" s="560">
        <f>IFERROR(LN(INDEX(Data!$D$2:$D$497,MATCH(N457,Data!$A$2:$A$497,1))/INDEX(Data!$D$2:$D$497,MATCH(N445,Data!$A$2:$A$497,1))),"")</f>
        <v>0.274067413949971</v>
      </c>
      <c r="AO457" s="560">
        <f>IFERROR(LN(INDEX(Data!$E$2:$E$497,MATCH(N457,Data!$A$2:$A$497,1))/INDEX(Data!$E$2:$E$497,MATCH(N445,Data!$A$2:$A$497,1))),"")</f>
        <v>0.181207470219556</v>
      </c>
      <c r="AP457" s="560">
        <f>IFERROR(LN(INDEX(Data!$F$2:$F$497,MATCH(N457,Data!$A$2:$A$497,1))/INDEX(Data!$F$2:$F$497,MATCH(N445,Data!$A$2:$A$497,1))),"")</f>
        <v>0.180488928045773</v>
      </c>
      <c r="AQ457" s="560">
        <f>IFERROR(LN(INDEX(Data!$G$2:$G$497,MATCH(N457,Data!$A$2:$A$497,1))/INDEX(Data!$G$2:$G$497,MATCH(N445,Data!$A$2:$A$497,1))),"")</f>
        <v>0.0330061895908059</v>
      </c>
      <c r="AR457" s="560">
        <f>IFERROR(LN(INDEX(Data!$H$2:$H$497,MATCH(N457,Data!$A$2:$A$497,1))/INDEX(Data!$H$2:$H$497,MATCH(N445,Data!$A$2:$A$497,1))),"")</f>
        <v>0.188115115148219</v>
      </c>
      <c r="AS457" s="560">
        <f>IFERROR(LN(INDEX(Data!$I$2:$I$497,MATCH(N457,Data!$A$2:$A$497,1))/INDEX(Data!$I$2:$I$497,MATCH(N445,Data!$A$2:$A$497,1))),"")</f>
        <v>0.310274428657854</v>
      </c>
      <c r="AT457" s="560">
        <f>IFERROR(LN(INDEX(Data!$J$2:$J$497,MATCH(N457,Data!$A$2:$A$497,1))/INDEX(Data!$J$2:$J$497,MATCH(N445,Data!$A$2:$A$497,1))),"")</f>
        <v>0.0558846981134563</v>
      </c>
      <c r="AU457" s="560">
        <f>IFERROR(LN(INDEX(Data!$K$2:$K$497,MATCH(N457,Data!$A$2:$A$497,1))/INDEX(Data!$K$2:$K$497,MATCH(N445,Data!$A$2:$A$497,1))),"")</f>
        <v>0.0781346230507152</v>
      </c>
      <c r="AV457" s="561">
        <f>IFERROR(LN(INDEX(Data!$L$2:$L$497,MATCH(N457,Data!$A$2:$A$497,1))/INDEX(Data!$L$2:$L$497,MATCH(N445,Data!$A$2:$A$497,1))),"")</f>
        <v>0.0552871428613954</v>
      </c>
    </row>
    <row r="458">
      <c r="N458" s="337" t="n">
        <v>38656</v>
      </c>
      <c r="O458" s="116">
        <f>INDEX('Additional data'!$B$2:$B$965,MATCH(DATE(YEAR(N458),MONTH(N458),1),'Additional data'!$A$2:$A$965,0))</f>
        <v>62.37</v>
      </c>
      <c r="P458" s="489">
        <f>LN(O458)</f>
        <v>4.13308439053803</v>
      </c>
      <c r="Q458" s="489">
        <f>Q457+LN(1+INDEX('Additional data'!$H$2:$H$1196,MATCH(N458,'Additional data'!$G$2:$G$1196,1))+INDEX('Additional data'!$I$2:$I$1196,MATCH(N458,'Additional data'!$G$2:$G$1196,1)))</f>
        <v>3.74671332408787</v>
      </c>
      <c r="R458" s="489">
        <f>LN(INDEX(Data!$B$2:$B$497,MATCH(N458,Data!$A$2:$A$497,1)))</f>
        <v>10.1480692948435</v>
      </c>
      <c r="S458" s="116">
        <f>IF(INDEX('Additional data'!$E$2:$E$699,MATCH(DATE(YEAR(N458),MONTH(N458),1),'Additional data'!$D$2:$D$699,0))=0,(INDEX('Additional data'!$E$2:$E$699,MATCH(DATE(YEAR(N458),MONTH(N458),1),'Additional data'!$D$2:$D$699,0)-1)+INDEX('Additional data'!$E$2:$E$699,MATCH(DATE(YEAR(N458),MONTH(N458),1),'Additional data'!$D$2:$D$699,0)+1))/2,INDEX('Additional data'!$E$2:$E$699,MATCH(DATE(YEAR(N458),MONTH(N458),1),'Additional data'!$D$2:$D$699,0)))</f>
        <v>5.63</v>
      </c>
      <c r="T458" s="425">
        <f>P458-P457</f>
        <v>-0.0500338837374965</v>
      </c>
      <c r="U458" s="425">
        <f>Q458-Q457</f>
        <v>-0.0178585183013129</v>
      </c>
      <c r="V458" s="425">
        <f>R458-R457</f>
        <v>-0.0390660282810664</v>
      </c>
      <c r="W458" s="116">
        <f>S458-S457</f>
        <v>0.00999999999999979</v>
      </c>
      <c r="X458" s="425">
        <f>P458-P446</f>
        <v>0.160342650075179</v>
      </c>
      <c r="Y458" s="425">
        <f>Q458-Q446</f>
        <v>0.100880344574032</v>
      </c>
      <c r="Z458" s="425">
        <f>R458-R446</f>
        <v>0.193198609455409</v>
      </c>
      <c r="AA458" s="116">
        <f>S458-S446</f>
        <v>0.22</v>
      </c>
      <c r="AB458" s="425">
        <f>P458-P398</f>
        <v>0.634155520382541</v>
      </c>
      <c r="AC458" s="425">
        <f>Q458-Q398</f>
        <v>-0.0391056933685179</v>
      </c>
      <c r="AD458" s="425">
        <f>R458-R398</f>
        <v>0.512631986361994</v>
      </c>
      <c r="AE458" s="235">
        <f>S458-S398</f>
        <v>-0.78</v>
      </c>
      <c r="AG458" s="554">
        <f>N458</f>
        <v>38656.0</v>
      </c>
      <c r="AH458" s="435">
        <f>IFERROR(INDEX('RBA 5Y yield'!$B$5:$B$661,MATCH(N458,'RBA 5Y yield'!$A$5:$A$661,1))*100,"")</f>
        <v>5.3621</v>
      </c>
      <c r="AI458" s="435">
        <f>IF(AND(ISNUMBER(AH458),ISNUMBER(AH457)),AH458-AH457,"")</f>
        <v>0.2141</v>
      </c>
      <c r="AJ458" s="435">
        <f>IF(AND(ISNUMBER(AH458),ISNUMBER(AH446)),AH458-AH446,"")</f>
        <v>0.0918999999999999</v>
      </c>
      <c r="AK458" s="435">
        <f>IF(AND(ISNUMBER(AH458),ISNUMBER(AH398)),AH458-AH398,"")</f>
        <v>-0.6977</v>
      </c>
      <c r="AL458" s="560">
        <f>IFERROR(LN(INDEX(Data!$B$2:$B$497,MATCH(N458,Data!$A$2:$A$497,1))/INDEX(Data!$B$2:$B$497,MATCH(N446,Data!$A$2:$A$497,1))),"")</f>
        <v>0.19319860945541</v>
      </c>
      <c r="AM458" s="560">
        <f>IFERROR(LN(INDEX(Data!$C$2:$C$497,MATCH(N458,Data!$A$2:$A$497,1))/INDEX(Data!$C$2:$C$497,MATCH(N446,Data!$A$2:$A$497,1))),"")</f>
        <v>0.154078858488741</v>
      </c>
      <c r="AN458" s="560">
        <f>IFERROR(LN(INDEX(Data!$D$2:$D$497,MATCH(N458,Data!$A$2:$A$497,1))/INDEX(Data!$D$2:$D$497,MATCH(N446,Data!$A$2:$A$497,1))),"")</f>
        <v>0.263128114726006</v>
      </c>
      <c r="AO458" s="560">
        <f>IFERROR(LN(INDEX(Data!$E$2:$E$497,MATCH(N458,Data!$A$2:$A$497,1))/INDEX(Data!$E$2:$E$497,MATCH(N446,Data!$A$2:$A$497,1))),"")</f>
        <v>0.16223054529205</v>
      </c>
      <c r="AP458" s="560">
        <f>IFERROR(LN(INDEX(Data!$F$2:$F$497,MATCH(N458,Data!$A$2:$A$497,1))/INDEX(Data!$F$2:$F$497,MATCH(N446,Data!$A$2:$A$497,1))),"")</f>
        <v>0.0834309060971522</v>
      </c>
      <c r="AQ458" s="560">
        <f>IFERROR(LN(INDEX(Data!$G$2:$G$497,MATCH(N458,Data!$A$2:$A$497,1))/INDEX(Data!$G$2:$G$497,MATCH(N446,Data!$A$2:$A$497,1))),"")</f>
        <v>0.0330061895908059</v>
      </c>
      <c r="AR458" s="560">
        <f>IFERROR(LN(INDEX(Data!$H$2:$H$497,MATCH(N458,Data!$A$2:$A$497,1))/INDEX(Data!$H$2:$H$497,MATCH(N446,Data!$A$2:$A$497,1))),"")</f>
        <v>0.192153534820401</v>
      </c>
      <c r="AS458" s="560">
        <f>IFERROR(LN(INDEX(Data!$I$2:$I$497,MATCH(N458,Data!$A$2:$A$497,1))/INDEX(Data!$I$2:$I$497,MATCH(N446,Data!$A$2:$A$497,1))),"")</f>
        <v>0.310274428657854</v>
      </c>
      <c r="AT458" s="560">
        <f>IFERROR(LN(INDEX(Data!$J$2:$J$497,MATCH(N458,Data!$A$2:$A$497,1))/INDEX(Data!$J$2:$J$497,MATCH(N446,Data!$A$2:$A$497,1))),"")</f>
        <v>0.050813951754727</v>
      </c>
      <c r="AU458" s="560">
        <f>IFERROR(LN(INDEX(Data!$K$2:$K$497,MATCH(N458,Data!$A$2:$A$497,1))/INDEX(Data!$K$2:$K$497,MATCH(N446,Data!$A$2:$A$497,1))),"")</f>
        <v>0.0629222445135145</v>
      </c>
      <c r="AV458" s="561">
        <f>IFERROR(LN(INDEX(Data!$L$2:$L$497,MATCH(N458,Data!$A$2:$A$497,1))/INDEX(Data!$L$2:$L$497,MATCH(N446,Data!$A$2:$A$497,1))),"")</f>
        <v>0.0557852336395743</v>
      </c>
    </row>
    <row r="459">
      <c r="N459" s="337" t="n">
        <v>38686</v>
      </c>
      <c r="O459" s="116">
        <f>INDEX('Additional data'!$B$2:$B$965,MATCH(DATE(YEAR(N459),MONTH(N459),1),'Additional data'!$A$2:$A$965,0))</f>
        <v>58.3</v>
      </c>
      <c r="P459" s="489">
        <f>LN(O459)</f>
        <v>4.06560209335645</v>
      </c>
      <c r="Q459" s="489">
        <f>Q458+LN(1+INDEX('Additional data'!$H$2:$H$1196,MATCH(N459,'Additional data'!$G$2:$G$1196,1))+INDEX('Additional data'!$I$2:$I$1196,MATCH(N459,'Additional data'!$G$2:$G$1196,1)))</f>
        <v>3.78516451046212</v>
      </c>
      <c r="R459" s="489">
        <f>LN(INDEX(Data!$B$2:$B$497,MATCH(N459,Data!$A$2:$A$497,1)))</f>
        <v>10.1911170611065</v>
      </c>
      <c r="S459" s="116">
        <f>IF(INDEX('Additional data'!$E$2:$E$699,MATCH(DATE(YEAR(N459),MONTH(N459),1),'Additional data'!$D$2:$D$699,0))=0,(INDEX('Additional data'!$E$2:$E$699,MATCH(DATE(YEAR(N459),MONTH(N459),1),'Additional data'!$D$2:$D$699,0)-1)+INDEX('Additional data'!$E$2:$E$699,MATCH(DATE(YEAR(N459),MONTH(N459),1),'Additional data'!$D$2:$D$699,0)+1))/2,INDEX('Additional data'!$E$2:$E$699,MATCH(DATE(YEAR(N459),MONTH(N459),1),'Additional data'!$D$2:$D$699,0)))</f>
        <v>5.63</v>
      </c>
      <c r="T459" s="425">
        <f>P459-P458</f>
        <v>-0.0674822971815852</v>
      </c>
      <c r="U459" s="425">
        <f>Q459-Q458</f>
        <v>0.0384511863742527</v>
      </c>
      <c r="V459" s="425">
        <f>R459-R458</f>
        <v>0.0430477662629585</v>
      </c>
      <c r="W459" s="116">
        <f>S459-S458</f>
        <v>0</v>
      </c>
      <c r="X459" s="425">
        <f>P459-P447</f>
        <v>0.184863377968067</v>
      </c>
      <c r="Y459" s="425">
        <f>Q459-Q447</f>
        <v>0.093593639274431</v>
      </c>
      <c r="Z459" s="425">
        <f>R459-R447</f>
        <v>0.191010730808454</v>
      </c>
      <c r="AA459" s="116">
        <f>S459-S447</f>
        <v>0.2</v>
      </c>
      <c r="AB459" s="425">
        <f>P459-P399</f>
        <v>0.527545528977094</v>
      </c>
      <c r="AC459" s="425">
        <f>Q459-Q399</f>
        <v>0.106819351310968</v>
      </c>
      <c r="AD459" s="425">
        <f>R459-R399</f>
        <v>0.54449538193315</v>
      </c>
      <c r="AE459" s="235">
        <f>S459-S399</f>
        <v>-0.7</v>
      </c>
      <c r="AG459" s="554">
        <f>N459</f>
        <v>38686.0</v>
      </c>
      <c r="AH459" s="435">
        <f>IFERROR(INDEX('RBA 5Y yield'!$B$5:$B$661,MATCH(N459,'RBA 5Y yield'!$A$5:$A$661,1))*100,"")</f>
        <v>5.3736</v>
      </c>
      <c r="AI459" s="435">
        <f>IF(AND(ISNUMBER(AH459),ISNUMBER(AH458)),AH459-AH458,"")</f>
        <v>0.0114999999999998</v>
      </c>
      <c r="AJ459" s="435">
        <f>IF(AND(ISNUMBER(AH459),ISNUMBER(AH447)),AH459-AH447,"")</f>
        <v>0.0996999999999995</v>
      </c>
      <c r="AK459" s="435">
        <f>IF(AND(ISNUMBER(AH459),ISNUMBER(AH399)),AH459-AH399,"")</f>
        <v>-0.560300000000001</v>
      </c>
      <c r="AL459" s="560">
        <f>IFERROR(LN(INDEX(Data!$B$2:$B$497,MATCH(N459,Data!$A$2:$A$497,1))/INDEX(Data!$B$2:$B$497,MATCH(N447,Data!$A$2:$A$497,1))),"")</f>
        <v>0.191010730808454</v>
      </c>
      <c r="AM459" s="560">
        <f>IFERROR(LN(INDEX(Data!$C$2:$C$497,MATCH(N459,Data!$A$2:$A$497,1))/INDEX(Data!$C$2:$C$497,MATCH(N447,Data!$A$2:$A$497,1))),"")</f>
        <v>0.210166800530784</v>
      </c>
      <c r="AN459" s="560">
        <f>IFERROR(LN(INDEX(Data!$D$2:$D$497,MATCH(N459,Data!$A$2:$A$497,1))/INDEX(Data!$D$2:$D$497,MATCH(N447,Data!$A$2:$A$497,1))),"")</f>
        <v>0.331036956310306</v>
      </c>
      <c r="AO459" s="560">
        <f>IFERROR(LN(INDEX(Data!$E$2:$E$497,MATCH(N459,Data!$A$2:$A$497,1))/INDEX(Data!$E$2:$E$497,MATCH(N447,Data!$A$2:$A$497,1))),"")</f>
        <v>0.207094187109796</v>
      </c>
      <c r="AP459" s="560">
        <f>IFERROR(LN(INDEX(Data!$F$2:$F$497,MATCH(N459,Data!$A$2:$A$497,1))/INDEX(Data!$F$2:$F$497,MATCH(N447,Data!$A$2:$A$497,1))),"")</f>
        <v>0.141214293154569</v>
      </c>
      <c r="AQ459" s="560">
        <f>IFERROR(LN(INDEX(Data!$G$2:$G$497,MATCH(N459,Data!$A$2:$A$497,1))/INDEX(Data!$G$2:$G$497,MATCH(N447,Data!$A$2:$A$497,1))),"")</f>
        <v>0.0330061895908059</v>
      </c>
      <c r="AR459" s="560">
        <f>IFERROR(LN(INDEX(Data!$H$2:$H$497,MATCH(N459,Data!$A$2:$A$497,1))/INDEX(Data!$H$2:$H$497,MATCH(N447,Data!$A$2:$A$497,1))),"")</f>
        <v>0.193047145563479</v>
      </c>
      <c r="AS459" s="560">
        <f>IFERROR(LN(INDEX(Data!$I$2:$I$497,MATCH(N459,Data!$A$2:$A$497,1))/INDEX(Data!$I$2:$I$497,MATCH(N447,Data!$A$2:$A$497,1))),"")</f>
        <v>0.310274428657854</v>
      </c>
      <c r="AT459" s="560">
        <f>IFERROR(LN(INDEX(Data!$J$2:$J$497,MATCH(N459,Data!$A$2:$A$497,1))/INDEX(Data!$J$2:$J$497,MATCH(N447,Data!$A$2:$A$497,1))),"")</f>
        <v>0.0470272874807052</v>
      </c>
      <c r="AU459" s="560">
        <f>IFERROR(LN(INDEX(Data!$K$2:$K$497,MATCH(N459,Data!$A$2:$A$497,1))/INDEX(Data!$K$2:$K$497,MATCH(N447,Data!$A$2:$A$497,1))),"")</f>
        <v>0.0640323201649806</v>
      </c>
      <c r="AV459" s="561">
        <f>IFERROR(LN(INDEX(Data!$L$2:$L$497,MATCH(N459,Data!$A$2:$A$497,1))/INDEX(Data!$L$2:$L$497,MATCH(N447,Data!$A$2:$A$497,1))),"")</f>
        <v>0.0556648623437983</v>
      </c>
    </row>
    <row r="460">
      <c r="N460" s="337" t="n">
        <v>38717</v>
      </c>
      <c r="O460" s="116">
        <f>INDEX('Additional data'!$B$2:$B$965,MATCH(DATE(YEAR(N460),MONTH(N460),1),'Additional data'!$A$2:$A$965,0))</f>
        <v>59.43</v>
      </c>
      <c r="P460" s="489">
        <f>LN(O460)</f>
        <v>4.08479914937857</v>
      </c>
      <c r="Q460" s="489">
        <f>Q459+LN(1+INDEX('Additional data'!$H$2:$H$1196,MATCH(N460,'Additional data'!$G$2:$G$1196,1))+INDEX('Additional data'!$I$2:$I$1196,MATCH(N460,'Additional data'!$G$2:$G$1196,1)))</f>
        <v>3.78596419063269</v>
      </c>
      <c r="R460" s="489">
        <f>LN(INDEX(Data!$B$2:$B$497,MATCH(N460,Data!$A$2:$A$497,1)))</f>
        <v>10.2210298502436</v>
      </c>
      <c r="S460" s="116">
        <f>IF(INDEX('Additional data'!$E$2:$E$699,MATCH(DATE(YEAR(N460),MONTH(N460),1),'Additional data'!$D$2:$D$699,0))=0,(INDEX('Additional data'!$E$2:$E$699,MATCH(DATE(YEAR(N460),MONTH(N460),1),'Additional data'!$D$2:$D$699,0)-1)+INDEX('Additional data'!$E$2:$E$699,MATCH(DATE(YEAR(N460),MONTH(N460),1),'Additional data'!$D$2:$D$699,0)+1))/2,INDEX('Additional data'!$E$2:$E$699,MATCH(DATE(YEAR(N460),MONTH(N460),1),'Additional data'!$D$2:$D$699,0)))</f>
        <v>5.63</v>
      </c>
      <c r="T460" s="425">
        <f>P460-P459</f>
        <v>0.0191970560221231</v>
      </c>
      <c r="U460" s="425">
        <f>Q460-Q459</f>
        <v>0.000799680170564532</v>
      </c>
      <c r="V460" s="425">
        <f>R460-R459</f>
        <v>0.0299127891371231</v>
      </c>
      <c r="W460" s="116">
        <f>S460-S459</f>
        <v>0</v>
      </c>
      <c r="X460" s="425">
        <f>P460-P448</f>
        <v>0.315953913626752</v>
      </c>
      <c r="Y460" s="425">
        <f>Q460-Q448</f>
        <v>0.0592192444373416</v>
      </c>
      <c r="Z460" s="425">
        <f>R460-R448</f>
        <v>0.191345821179462</v>
      </c>
      <c r="AA460" s="116">
        <f>S460-S448</f>
        <v>0.22</v>
      </c>
      <c r="AB460" s="425">
        <f>P460-P400</f>
        <v>0.736299556716863</v>
      </c>
      <c r="AC460" s="425">
        <f>Q460-Q400</f>
        <v>0.0909585905884249</v>
      </c>
      <c r="AD460" s="425">
        <f>R460-R400</f>
        <v>0.594177742769</v>
      </c>
      <c r="AE460" s="235">
        <f>S460-S400</f>
        <v>-0.57</v>
      </c>
      <c r="AG460" s="554">
        <f>N460</f>
        <v>38717.0</v>
      </c>
      <c r="AH460" s="435">
        <f>IFERROR(INDEX('RBA 5Y yield'!$B$5:$B$661,MATCH(N460,'RBA 5Y yield'!$A$5:$A$661,1))*100,"")</f>
        <v>5.3428</v>
      </c>
      <c r="AI460" s="435">
        <f>IF(AND(ISNUMBER(AH460),ISNUMBER(AH459)),AH460-AH459,"")</f>
        <v>-0.0307999999999993</v>
      </c>
      <c r="AJ460" s="435">
        <f>IF(AND(ISNUMBER(AH460),ISNUMBER(AH448)),AH460-AH448,"")</f>
        <v>0.242800000000001</v>
      </c>
      <c r="AK460" s="435">
        <f>IF(AND(ISNUMBER(AH460),ISNUMBER(AH400)),AH460-AH400,"")</f>
        <v>-0.0942999999999996</v>
      </c>
      <c r="AL460" s="560">
        <f>IFERROR(LN(INDEX(Data!$B$2:$B$497,MATCH(N460,Data!$A$2:$A$497,1))/INDEX(Data!$B$2:$B$497,MATCH(N448,Data!$A$2:$A$497,1))),"")</f>
        <v>0.191345821179461</v>
      </c>
      <c r="AM460" s="560">
        <f>IFERROR(LN(INDEX(Data!$C$2:$C$497,MATCH(N460,Data!$A$2:$A$497,1))/INDEX(Data!$C$2:$C$497,MATCH(N448,Data!$A$2:$A$497,1))),"")</f>
        <v>0.217728079803074</v>
      </c>
      <c r="AN460" s="560">
        <f>IFERROR(LN(INDEX(Data!$D$2:$D$497,MATCH(N460,Data!$A$2:$A$497,1))/INDEX(Data!$D$2:$D$497,MATCH(N448,Data!$A$2:$A$497,1))),"")</f>
        <v>0.372480618159903</v>
      </c>
      <c r="AO460" s="560">
        <f>IFERROR(LN(INDEX(Data!$E$2:$E$497,MATCH(N460,Data!$A$2:$A$497,1))/INDEX(Data!$E$2:$E$497,MATCH(N448,Data!$A$2:$A$497,1))),"")</f>
        <v>0.191965353182753</v>
      </c>
      <c r="AP460" s="560">
        <f>IFERROR(LN(INDEX(Data!$F$2:$F$497,MATCH(N460,Data!$A$2:$A$497,1))/INDEX(Data!$F$2:$F$497,MATCH(N448,Data!$A$2:$A$497,1))),"")</f>
        <v>0.293945088778792</v>
      </c>
      <c r="AQ460" s="560">
        <f>IFERROR(LN(INDEX(Data!$G$2:$G$497,MATCH(N460,Data!$A$2:$A$497,1))/INDEX(Data!$G$2:$G$497,MATCH(N448,Data!$A$2:$A$497,1))),"")</f>
        <v>0.0353828760435531</v>
      </c>
      <c r="AR460" s="560">
        <f>IFERROR(LN(INDEX(Data!$H$2:$H$497,MATCH(N460,Data!$A$2:$A$497,1))/INDEX(Data!$H$2:$H$497,MATCH(N448,Data!$A$2:$A$497,1))),"")</f>
        <v>0.181950491801568</v>
      </c>
      <c r="AS460" s="560">
        <f>IFERROR(LN(INDEX(Data!$I$2:$I$497,MATCH(N460,Data!$A$2:$A$497,1))/INDEX(Data!$I$2:$I$497,MATCH(N448,Data!$A$2:$A$497,1))),"")</f>
        <v>0.273692580250907</v>
      </c>
      <c r="AT460" s="560">
        <f>IFERROR(LN(INDEX(Data!$J$2:$J$497,MATCH(N460,Data!$A$2:$A$497,1))/INDEX(Data!$J$2:$J$497,MATCH(N448,Data!$A$2:$A$497,1))),"")</f>
        <v>0.0564056353819108</v>
      </c>
      <c r="AU460" s="560">
        <f>IFERROR(LN(INDEX(Data!$K$2:$K$497,MATCH(N460,Data!$A$2:$A$497,1))/INDEX(Data!$K$2:$K$497,MATCH(N448,Data!$A$2:$A$497,1))),"")</f>
        <v>0.0640887469287942</v>
      </c>
      <c r="AV460" s="561">
        <f>IFERROR(LN(INDEX(Data!$L$2:$L$497,MATCH(N460,Data!$A$2:$A$497,1))/INDEX(Data!$L$2:$L$497,MATCH(N448,Data!$A$2:$A$497,1))),"")</f>
        <v>0.0558262954487174</v>
      </c>
    </row>
    <row r="461">
      <c r="N461" s="337" t="n">
        <v>38748</v>
      </c>
      <c r="O461" s="116">
        <f>INDEX('Additional data'!$B$2:$B$965,MATCH(DATE(YEAR(N461),MONTH(N461),1),'Additional data'!$A$2:$A$965,0))</f>
        <v>65.51</v>
      </c>
      <c r="P461" s="489">
        <f>LN(O461)</f>
        <v>4.18220280274379</v>
      </c>
      <c r="Q461" s="489">
        <f>Q460+LN(1+INDEX('Additional data'!$H$2:$H$1196,MATCH(N461,'Additional data'!$G$2:$G$1196,1))+INDEX('Additional data'!$I$2:$I$1196,MATCH(N461,'Additional data'!$G$2:$G$1196,1)))</f>
        <v>3.81920552441249</v>
      </c>
      <c r="R461" s="489">
        <f>LN(INDEX(Data!$B$2:$B$497,MATCH(N461,Data!$A$2:$A$497,1)))</f>
        <v>10.2568363961308</v>
      </c>
      <c r="S461" s="116">
        <f>IF(INDEX('Additional data'!$E$2:$E$699,MATCH(DATE(YEAR(N461),MONTH(N461),1),'Additional data'!$D$2:$D$699,0))=0,(INDEX('Additional data'!$E$2:$E$699,MATCH(DATE(YEAR(N461),MONTH(N461),1),'Additional data'!$D$2:$D$699,0)-1)+INDEX('Additional data'!$E$2:$E$699,MATCH(DATE(YEAR(N461),MONTH(N461),1),'Additional data'!$D$2:$D$699,0)+1))/2,INDEX('Additional data'!$E$2:$E$699,MATCH(DATE(YEAR(N461),MONTH(N461),1),'Additional data'!$D$2:$D$699,0)))</f>
        <v>5.63</v>
      </c>
      <c r="T461" s="425">
        <f>P461-P460</f>
        <v>0.0974036533652161</v>
      </c>
      <c r="U461" s="425">
        <f>Q461-Q460</f>
        <v>0.0332413337798019</v>
      </c>
      <c r="V461" s="425">
        <f>R461-R460</f>
        <v>0.0358065458871835</v>
      </c>
      <c r="W461" s="116">
        <f>S461-S460</f>
        <v>0</v>
      </c>
      <c r="X461" s="425">
        <f>P461-P449</f>
        <v>0.335465264014269</v>
      </c>
      <c r="Y461" s="425">
        <f>Q461-Q449</f>
        <v>0.118701889422371</v>
      </c>
      <c r="Z461" s="425">
        <f>R461-R449</f>
        <v>0.213951315436354</v>
      </c>
      <c r="AA461" s="116">
        <f>S461-S449</f>
        <v>0.21</v>
      </c>
      <c r="AB461" s="425">
        <f>P461-P401</f>
        <v>0.795104345461132</v>
      </c>
      <c r="AC461" s="425">
        <f>Q461-Q401</f>
        <v>0.0870004833791205</v>
      </c>
      <c r="AD461" s="425">
        <f>R461-R401</f>
        <v>0.587364280262946</v>
      </c>
      <c r="AE461" s="235">
        <f>S461-S401</f>
        <v>-0.28</v>
      </c>
      <c r="AG461" s="554">
        <f>N461</f>
        <v>38748.0</v>
      </c>
      <c r="AH461" s="435">
        <f>IFERROR(INDEX('RBA 5Y yield'!$B$5:$B$661,MATCH(N461,'RBA 5Y yield'!$A$5:$A$661,1))*100,"")</f>
        <v>5.1765</v>
      </c>
      <c r="AI461" s="435">
        <f>IF(AND(ISNUMBER(AH461),ISNUMBER(AH460)),AH461-AH460,"")</f>
        <v>-0.166300000000001</v>
      </c>
      <c r="AJ461" s="435">
        <f>IF(AND(ISNUMBER(AH461),ISNUMBER(AH449)),AH461-AH449,"")</f>
        <v>-0.0806000000000005</v>
      </c>
      <c r="AK461" s="435">
        <f>IF(AND(ISNUMBER(AH461),ISNUMBER(AH401)),AH461-AH401,"")</f>
        <v>0.0247999999999999</v>
      </c>
      <c r="AL461" s="560">
        <f>IFERROR(LN(INDEX(Data!$B$2:$B$497,MATCH(N461,Data!$A$2:$A$497,1))/INDEX(Data!$B$2:$B$497,MATCH(N449,Data!$A$2:$A$497,1))),"")</f>
        <v>0.213951315436354</v>
      </c>
      <c r="AM461" s="560">
        <f>IFERROR(LN(INDEX(Data!$C$2:$C$497,MATCH(N461,Data!$A$2:$A$497,1))/INDEX(Data!$C$2:$C$497,MATCH(N449,Data!$A$2:$A$497,1))),"")</f>
        <v>0.217095816252622</v>
      </c>
      <c r="AN461" s="560">
        <f>IFERROR(LN(INDEX(Data!$D$2:$D$497,MATCH(N461,Data!$A$2:$A$497,1))/INDEX(Data!$D$2:$D$497,MATCH(N449,Data!$A$2:$A$497,1))),"")</f>
        <v>0.398064792424683</v>
      </c>
      <c r="AO461" s="560">
        <f>IFERROR(LN(INDEX(Data!$E$2:$E$497,MATCH(N461,Data!$A$2:$A$497,1))/INDEX(Data!$E$2:$E$497,MATCH(N449,Data!$A$2:$A$497,1))),"")</f>
        <v>0.26291630741315</v>
      </c>
      <c r="AP461" s="560">
        <f>IFERROR(LN(INDEX(Data!$F$2:$F$497,MATCH(N461,Data!$A$2:$A$497,1))/INDEX(Data!$F$2:$F$497,MATCH(N449,Data!$A$2:$A$497,1))),"")</f>
        <v>0.228721141031457</v>
      </c>
      <c r="AQ461" s="560">
        <f>IFERROR(LN(INDEX(Data!$G$2:$G$497,MATCH(N461,Data!$A$2:$A$497,1))/INDEX(Data!$G$2:$G$497,MATCH(N449,Data!$A$2:$A$497,1))),"")</f>
        <v>0.0353828760435531</v>
      </c>
      <c r="AR461" s="560">
        <f>IFERROR(LN(INDEX(Data!$H$2:$H$497,MATCH(N461,Data!$A$2:$A$497,1))/INDEX(Data!$H$2:$H$497,MATCH(N449,Data!$A$2:$A$497,1))),"")</f>
        <v>0.153470370516861</v>
      </c>
      <c r="AS461" s="560">
        <f>IFERROR(LN(INDEX(Data!$I$2:$I$497,MATCH(N461,Data!$A$2:$A$497,1))/INDEX(Data!$I$2:$I$497,MATCH(N449,Data!$A$2:$A$497,1))),"")</f>
        <v>0.273692580250907</v>
      </c>
      <c r="AT461" s="560">
        <f>IFERROR(LN(INDEX(Data!$J$2:$J$497,MATCH(N461,Data!$A$2:$A$497,1))/INDEX(Data!$J$2:$J$497,MATCH(N449,Data!$A$2:$A$497,1))),"")</f>
        <v>0.0573971230099916</v>
      </c>
      <c r="AU461" s="560">
        <f>IFERROR(LN(INDEX(Data!$K$2:$K$497,MATCH(N461,Data!$A$2:$A$497,1))/INDEX(Data!$K$2:$K$497,MATCH(N449,Data!$A$2:$A$497,1))),"")</f>
        <v>0.0543964785700989</v>
      </c>
      <c r="AV461" s="561">
        <f>IFERROR(LN(INDEX(Data!$L$2:$L$497,MATCH(N461,Data!$A$2:$A$497,1))/INDEX(Data!$L$2:$L$497,MATCH(N449,Data!$A$2:$A$497,1))),"")</f>
        <v>0.0560616233983004</v>
      </c>
    </row>
    <row r="462">
      <c r="N462" s="337" t="n">
        <v>38776</v>
      </c>
      <c r="O462" s="116">
        <f>INDEX('Additional data'!$B$2:$B$965,MATCH(DATE(YEAR(N462),MONTH(N462),1),'Additional data'!$A$2:$A$965,0))</f>
        <v>61.63</v>
      </c>
      <c r="P462" s="489">
        <f>LN(O462)</f>
        <v>4.12114876497415</v>
      </c>
      <c r="Q462" s="489">
        <f>Q461+LN(1+INDEX('Additional data'!$H$2:$H$1196,MATCH(N462,'Additional data'!$G$2:$G$1196,1))+INDEX('Additional data'!$I$2:$I$1196,MATCH(N462,'Additional data'!$G$2:$G$1196,1)))</f>
        <v>3.81960544443382</v>
      </c>
      <c r="R462" s="489">
        <f>LN(INDEX(Data!$B$2:$B$497,MATCH(N462,Data!$A$2:$A$497,1)))</f>
        <v>10.2638153267595</v>
      </c>
      <c r="S462" s="116">
        <f>IF(INDEX('Additional data'!$E$2:$E$699,MATCH(DATE(YEAR(N462),MONTH(N462),1),'Additional data'!$D$2:$D$699,0))=0,(INDEX('Additional data'!$E$2:$E$699,MATCH(DATE(YEAR(N462),MONTH(N462),1),'Additional data'!$D$2:$D$699,0)-1)+INDEX('Additional data'!$E$2:$E$699,MATCH(DATE(YEAR(N462),MONTH(N462),1),'Additional data'!$D$2:$D$699,0)+1))/2,INDEX('Additional data'!$E$2:$E$699,MATCH(DATE(YEAR(N462),MONTH(N462),1),'Additional data'!$D$2:$D$699,0)))</f>
        <v>5.61</v>
      </c>
      <c r="T462" s="425">
        <f>P462-P461</f>
        <v>-0.061054037769634</v>
      </c>
      <c r="U462" s="425">
        <f>Q462-Q461</f>
        <v>0.000399920021326938</v>
      </c>
      <c r="V462" s="425">
        <f>R462-R461</f>
        <v>0.00697893062874577</v>
      </c>
      <c r="W462" s="116">
        <f>S462-S461</f>
        <v>-0.0199999999999996</v>
      </c>
      <c r="X462" s="425">
        <f>P462-P450</f>
        <v>0.250572949460179</v>
      </c>
      <c r="Y462" s="425">
        <f>Q462-Q450</f>
        <v>0.0989071021581784</v>
      </c>
      <c r="Z462" s="425">
        <f>R462-R450</f>
        <v>0.203108834893639</v>
      </c>
      <c r="AA462" s="116">
        <f>S462-S450</f>
        <v>-0.0199999999999996</v>
      </c>
      <c r="AB462" s="425">
        <f>P462-P402</f>
        <v>0.733036622860651</v>
      </c>
      <c r="AC462" s="425">
        <f>Q462-Q402</f>
        <v>0.188879572350301</v>
      </c>
      <c r="AD462" s="425">
        <f>R462-R402</f>
        <v>0.596642878334931</v>
      </c>
      <c r="AE462" s="235">
        <f>S462-S402</f>
        <v>0.0200000000000005</v>
      </c>
      <c r="AG462" s="554">
        <f>N462</f>
        <v>38776.0</v>
      </c>
      <c r="AH462" s="435">
        <f>IFERROR(INDEX('RBA 5Y yield'!$B$5:$B$661,MATCH(N462,'RBA 5Y yield'!$A$5:$A$661,1))*100,"")</f>
        <v>5.2385</v>
      </c>
      <c r="AI462" s="435">
        <f>IF(AND(ISNUMBER(AH462),ISNUMBER(AH461)),AH462-AH461,"")</f>
        <v>0.0620000000000003</v>
      </c>
      <c r="AJ462" s="435">
        <f>IF(AND(ISNUMBER(AH462),ISNUMBER(AH450)),AH462-AH450,"")</f>
        <v>-0.1715</v>
      </c>
      <c r="AK462" s="435">
        <f>IF(AND(ISNUMBER(AH462),ISNUMBER(AH402)),AH462-AH402,"")</f>
        <v>0.1837</v>
      </c>
      <c r="AL462" s="560">
        <f>IFERROR(LN(INDEX(Data!$B$2:$B$497,MATCH(N462,Data!$A$2:$A$497,1))/INDEX(Data!$B$2:$B$497,MATCH(N450,Data!$A$2:$A$497,1))),"")</f>
        <v>0.203108834893638</v>
      </c>
      <c r="AM462" s="560">
        <f>IFERROR(LN(INDEX(Data!$C$2:$C$497,MATCH(N462,Data!$A$2:$A$497,1))/INDEX(Data!$C$2:$C$497,MATCH(N450,Data!$A$2:$A$497,1))),"")</f>
        <v>0.237882123758755</v>
      </c>
      <c r="AN462" s="560">
        <f>IFERROR(LN(INDEX(Data!$D$2:$D$497,MATCH(N462,Data!$A$2:$A$497,1))/INDEX(Data!$D$2:$D$497,MATCH(N450,Data!$A$2:$A$497,1))),"")</f>
        <v>0.371379792876488</v>
      </c>
      <c r="AO462" s="560">
        <f>IFERROR(LN(INDEX(Data!$E$2:$E$497,MATCH(N462,Data!$A$2:$A$497,1))/INDEX(Data!$E$2:$E$497,MATCH(N450,Data!$A$2:$A$497,1))),"")</f>
        <v>0.315988719295357</v>
      </c>
      <c r="AP462" s="560">
        <f>IFERROR(LN(INDEX(Data!$F$2:$F$497,MATCH(N462,Data!$A$2:$A$497,1))/INDEX(Data!$F$2:$F$497,MATCH(N450,Data!$A$2:$A$497,1))),"")</f>
        <v>0.104038200249706</v>
      </c>
      <c r="AQ462" s="560">
        <f>IFERROR(LN(INDEX(Data!$G$2:$G$497,MATCH(N462,Data!$A$2:$A$497,1))/INDEX(Data!$G$2:$G$497,MATCH(N450,Data!$A$2:$A$497,1))),"")</f>
        <v>0.0353828760435531</v>
      </c>
      <c r="AR462" s="560">
        <f>IFERROR(LN(INDEX(Data!$H$2:$H$497,MATCH(N462,Data!$A$2:$A$497,1))/INDEX(Data!$H$2:$H$497,MATCH(N450,Data!$A$2:$A$497,1))),"")</f>
        <v>0.12074160177656</v>
      </c>
      <c r="AS462" s="560">
        <f>IFERROR(LN(INDEX(Data!$I$2:$I$497,MATCH(N462,Data!$A$2:$A$497,1))/INDEX(Data!$I$2:$I$497,MATCH(N450,Data!$A$2:$A$497,1))),"")</f>
        <v>0.273692580250907</v>
      </c>
      <c r="AT462" s="560">
        <f>IFERROR(LN(INDEX(Data!$J$2:$J$497,MATCH(N462,Data!$A$2:$A$497,1))/INDEX(Data!$J$2:$J$497,MATCH(N450,Data!$A$2:$A$497,1))),"")</f>
        <v>0.0657136245703815</v>
      </c>
      <c r="AU462" s="560">
        <f>IFERROR(LN(INDEX(Data!$K$2:$K$497,MATCH(N462,Data!$A$2:$A$497,1))/INDEX(Data!$K$2:$K$497,MATCH(N450,Data!$A$2:$A$497,1))),"")</f>
        <v>0.0598174064880037</v>
      </c>
      <c r="AV462" s="561">
        <f>IFERROR(LN(INDEX(Data!$L$2:$L$497,MATCH(N462,Data!$A$2:$A$497,1))/INDEX(Data!$L$2:$L$497,MATCH(N450,Data!$A$2:$A$497,1))),"")</f>
        <v>0.0563799757856772</v>
      </c>
    </row>
    <row r="463">
      <c r="N463" s="337" t="n">
        <v>38807</v>
      </c>
      <c r="O463" s="116">
        <f>INDEX('Additional data'!$B$2:$B$965,MATCH(DATE(YEAR(N463),MONTH(N463),1),'Additional data'!$A$2:$A$965,0))</f>
        <v>62.9</v>
      </c>
      <c r="P463" s="489">
        <f>LN(O463)</f>
        <v>4.1415461637064</v>
      </c>
      <c r="Q463" s="489">
        <f>Q462+LN(1+INDEX('Additional data'!$H$2:$H$1196,MATCH(N463,'Additional data'!$G$2:$G$1196,1))+INDEX('Additional data'!$I$2:$I$1196,MATCH(N463,'Additional data'!$G$2:$G$1196,1)))</f>
        <v>3.83783821269488</v>
      </c>
      <c r="R463" s="489">
        <f>LN(INDEX(Data!$B$2:$B$497,MATCH(N463,Data!$A$2:$A$497,1)))</f>
        <v>10.3107627880414</v>
      </c>
      <c r="S463" s="116">
        <f>IF(INDEX('Additional data'!$E$2:$E$699,MATCH(DATE(YEAR(N463),MONTH(N463),1),'Additional data'!$D$2:$D$699,0))=0,(INDEX('Additional data'!$E$2:$E$699,MATCH(DATE(YEAR(N463),MONTH(N463),1),'Additional data'!$D$2:$D$699,0)-1)+INDEX('Additional data'!$E$2:$E$699,MATCH(DATE(YEAR(N463),MONTH(N463),1),'Additional data'!$D$2:$D$699,0)+1))/2,INDEX('Additional data'!$E$2:$E$699,MATCH(DATE(YEAR(N463),MONTH(N463),1),'Additional data'!$D$2:$D$699,0)))</f>
        <v>5.61</v>
      </c>
      <c r="T463" s="425">
        <f>P463-P462</f>
        <v>0.0203973987322437</v>
      </c>
      <c r="U463" s="425">
        <f>Q463-Q462</f>
        <v>0.0182327682610599</v>
      </c>
      <c r="V463" s="425">
        <f>R463-R462</f>
        <v>0.0469474612819116</v>
      </c>
      <c r="W463" s="116">
        <f>S463-S462</f>
        <v>0</v>
      </c>
      <c r="X463" s="425">
        <f>P463-P451</f>
        <v>0.146837791659641</v>
      </c>
      <c r="Y463" s="425">
        <f>Q463-Q451</f>
        <v>0.134591264032994</v>
      </c>
      <c r="Z463" s="425">
        <f>R463-R451</f>
        <v>0.257528524643512</v>
      </c>
      <c r="AA463" s="116">
        <f>S463-S451</f>
        <v>-0.199999999999999</v>
      </c>
      <c r="AB463" s="425">
        <f>P463-P403</f>
        <v>0.836859682425084</v>
      </c>
      <c r="AC463" s="425">
        <f>Q463-Q403</f>
        <v>0.277856745137119</v>
      </c>
      <c r="AD463" s="425">
        <f>R463-R403</f>
        <v>0.693022580749339</v>
      </c>
      <c r="AE463" s="235">
        <f>S463-S403</f>
        <v>0.470000000000001</v>
      </c>
      <c r="AG463" s="554">
        <f>N463</f>
        <v>38807.0</v>
      </c>
      <c r="AH463" s="435">
        <f>IFERROR(INDEX('RBA 5Y yield'!$B$5:$B$661,MATCH(N463,'RBA 5Y yield'!$A$5:$A$661,1))*100,"")</f>
        <v>5.2976</v>
      </c>
      <c r="AI463" s="435">
        <f>IF(AND(ISNUMBER(AH463),ISNUMBER(AH462)),AH463-AH462,"")</f>
        <v>0.0590999999999999</v>
      </c>
      <c r="AJ463" s="435">
        <f>IF(AND(ISNUMBER(AH463),ISNUMBER(AH451)),AH463-AH451,"")</f>
        <v>-0.3367</v>
      </c>
      <c r="AK463" s="435">
        <f>IF(AND(ISNUMBER(AH463),ISNUMBER(AH403)),AH463-AH403,"")</f>
        <v>0.496</v>
      </c>
      <c r="AL463" s="560">
        <f>IFERROR(LN(INDEX(Data!$B$2:$B$497,MATCH(N463,Data!$A$2:$A$497,1))/INDEX(Data!$B$2:$B$497,MATCH(N451,Data!$A$2:$A$497,1))),"")</f>
        <v>0.257528524643512</v>
      </c>
      <c r="AM463" s="560">
        <f>IFERROR(LN(INDEX(Data!$C$2:$C$497,MATCH(N463,Data!$A$2:$A$497,1))/INDEX(Data!$C$2:$C$497,MATCH(N451,Data!$A$2:$A$497,1))),"")</f>
        <v>0.28722484209277</v>
      </c>
      <c r="AN463" s="560">
        <f>IFERROR(LN(INDEX(Data!$D$2:$D$497,MATCH(N463,Data!$A$2:$A$497,1))/INDEX(Data!$D$2:$D$497,MATCH(N451,Data!$A$2:$A$497,1))),"")</f>
        <v>0.4486595160054</v>
      </c>
      <c r="AO463" s="560">
        <f>IFERROR(LN(INDEX(Data!$E$2:$E$497,MATCH(N463,Data!$A$2:$A$497,1))/INDEX(Data!$E$2:$E$497,MATCH(N451,Data!$A$2:$A$497,1))),"")</f>
        <v>0.382842608970948</v>
      </c>
      <c r="AP463" s="560">
        <f>IFERROR(LN(INDEX(Data!$F$2:$F$497,MATCH(N463,Data!$A$2:$A$497,1))/INDEX(Data!$F$2:$F$497,MATCH(N451,Data!$A$2:$A$497,1))),"")</f>
        <v>0.0962361327174895</v>
      </c>
      <c r="AQ463" s="560">
        <f>IFERROR(LN(INDEX(Data!$G$2:$G$497,MATCH(N463,Data!$A$2:$A$497,1))/INDEX(Data!$G$2:$G$497,MATCH(N451,Data!$A$2:$A$497,1))),"")</f>
        <v>0.0476022523355568</v>
      </c>
      <c r="AR463" s="560">
        <f>IFERROR(LN(INDEX(Data!$H$2:$H$497,MATCH(N463,Data!$A$2:$A$497,1))/INDEX(Data!$H$2:$H$497,MATCH(N451,Data!$A$2:$A$497,1))),"")</f>
        <v>0.104988534237664</v>
      </c>
      <c r="AS463" s="560">
        <f>IFERROR(LN(INDEX(Data!$I$2:$I$497,MATCH(N463,Data!$A$2:$A$497,1))/INDEX(Data!$I$2:$I$497,MATCH(N451,Data!$A$2:$A$497,1))),"")</f>
        <v>0.35567845860854</v>
      </c>
      <c r="AT463" s="560">
        <f>IFERROR(LN(INDEX(Data!$J$2:$J$497,MATCH(N463,Data!$A$2:$A$497,1))/INDEX(Data!$J$2:$J$497,MATCH(N451,Data!$A$2:$A$497,1))),"")</f>
        <v>0.0652215365821162</v>
      </c>
      <c r="AU463" s="560">
        <f>IFERROR(LN(INDEX(Data!$K$2:$K$497,MATCH(N463,Data!$A$2:$A$497,1))/INDEX(Data!$K$2:$K$497,MATCH(N451,Data!$A$2:$A$497,1))),"")</f>
        <v>0.0473470922935571</v>
      </c>
      <c r="AV463" s="561">
        <f>IFERROR(LN(INDEX(Data!$L$2:$L$497,MATCH(N463,Data!$A$2:$A$497,1))/INDEX(Data!$L$2:$L$497,MATCH(N451,Data!$A$2:$A$497,1))),"")</f>
        <v>0.0564227967229816</v>
      </c>
    </row>
    <row r="464">
      <c r="N464" s="337" t="n">
        <v>38837</v>
      </c>
      <c r="O464" s="116">
        <f>INDEX('Additional data'!$B$2:$B$965,MATCH(DATE(YEAR(N464),MONTH(N464),1),'Additional data'!$A$2:$A$965,0))</f>
        <v>69.69</v>
      </c>
      <c r="P464" s="489">
        <f>LN(O464)</f>
        <v>4.24405683545043</v>
      </c>
      <c r="Q464" s="489">
        <f>Q463+LN(1+INDEX('Additional data'!$H$2:$H$1196,MATCH(N464,'Additional data'!$G$2:$G$1196,1))+INDEX('Additional data'!$I$2:$I$1196,MATCH(N464,'Additional data'!$G$2:$G$1196,1)))</f>
        <v>3.84867923587275</v>
      </c>
      <c r="R464" s="489">
        <f>LN(INDEX(Data!$B$2:$B$497,MATCH(N464,Data!$A$2:$A$497,1)))</f>
        <v>10.3345238790175</v>
      </c>
      <c r="S464" s="116">
        <f>IF(INDEX('Additional data'!$E$2:$E$699,MATCH(DATE(YEAR(N464),MONTH(N464),1),'Additional data'!$D$2:$D$699,0))=0,(INDEX('Additional data'!$E$2:$E$699,MATCH(DATE(YEAR(N464),MONTH(N464),1),'Additional data'!$D$2:$D$699,0)-1)+INDEX('Additional data'!$E$2:$E$699,MATCH(DATE(YEAR(N464),MONTH(N464),1),'Additional data'!$D$2:$D$699,0)+1))/2,INDEX('Additional data'!$E$2:$E$699,MATCH(DATE(YEAR(N464),MONTH(N464),1),'Additional data'!$D$2:$D$699,0)))</f>
        <v>5.69</v>
      </c>
      <c r="T464" s="425">
        <f>P464-P463</f>
        <v>0.102510671744033</v>
      </c>
      <c r="U464" s="425">
        <f>Q464-Q463</f>
        <v>0.0108410231778748</v>
      </c>
      <c r="V464" s="425">
        <f>R464-R463</f>
        <v>0.0237610909760413</v>
      </c>
      <c r="W464" s="116">
        <f>S464-S463</f>
        <v>0.0800000000000001</v>
      </c>
      <c r="X464" s="425">
        <f>P464-P452</f>
        <v>0.273010489572821</v>
      </c>
      <c r="Y464" s="425">
        <f>Q464-Q452</f>
        <v>0.169724979779914</v>
      </c>
      <c r="Z464" s="425">
        <f>R464-R452</f>
        <v>0.319834231121847</v>
      </c>
      <c r="AA464" s="116">
        <f>S464-S452</f>
        <v>-0.0599999999999996</v>
      </c>
      <c r="AB464" s="425">
        <f>P464-P404</f>
        <v>0.933148925135733</v>
      </c>
      <c r="AC464" s="425">
        <f>Q464-Q404</f>
        <v>0.20877814513912</v>
      </c>
      <c r="AD464" s="425">
        <f>R464-R404</f>
        <v>0.661356065145506</v>
      </c>
      <c r="AE464" s="235">
        <f>S464-S404</f>
        <v>0.83</v>
      </c>
      <c r="AG464" s="554">
        <f>N464</f>
        <v>38837.0</v>
      </c>
      <c r="AH464" s="435">
        <f>IFERROR(INDEX('RBA 5Y yield'!$B$5:$B$661,MATCH(N464,'RBA 5Y yield'!$A$5:$A$661,1))*100,"")</f>
        <v>5.55</v>
      </c>
      <c r="AI464" s="435">
        <f>IF(AND(ISNUMBER(AH464),ISNUMBER(AH463)),AH464-AH463,"")</f>
        <v>0.2524</v>
      </c>
      <c r="AJ464" s="435">
        <f>IF(AND(ISNUMBER(AH464),ISNUMBER(AH452)),AH464-AH452,"")</f>
        <v>0.1045</v>
      </c>
      <c r="AK464" s="435">
        <f>IF(AND(ISNUMBER(AH464),ISNUMBER(AH404)),AH464-AH404,"")</f>
        <v>0.388599999999999</v>
      </c>
      <c r="AL464" s="560">
        <f>IFERROR(LN(INDEX(Data!$B$2:$B$497,MATCH(N464,Data!$A$2:$A$497,1))/INDEX(Data!$B$2:$B$497,MATCH(N452,Data!$A$2:$A$497,1))),"")</f>
        <v>0.319834231121847</v>
      </c>
      <c r="AM464" s="560">
        <f>IFERROR(LN(INDEX(Data!$C$2:$C$497,MATCH(N464,Data!$A$2:$A$497,1))/INDEX(Data!$C$2:$C$497,MATCH(N452,Data!$A$2:$A$497,1))),"")</f>
        <v>0.266423300746738</v>
      </c>
      <c r="AN464" s="560">
        <f>IFERROR(LN(INDEX(Data!$D$2:$D$497,MATCH(N464,Data!$A$2:$A$497,1))/INDEX(Data!$D$2:$D$497,MATCH(N452,Data!$A$2:$A$497,1))),"")</f>
        <v>0.4841355686832</v>
      </c>
      <c r="AO464" s="560">
        <f>IFERROR(LN(INDEX(Data!$E$2:$E$497,MATCH(N464,Data!$A$2:$A$497,1))/INDEX(Data!$E$2:$E$497,MATCH(N452,Data!$A$2:$A$497,1))),"")</f>
        <v>0.257033316871501</v>
      </c>
      <c r="AP464" s="560">
        <f>IFERROR(LN(INDEX(Data!$F$2:$F$497,MATCH(N464,Data!$A$2:$A$497,1))/INDEX(Data!$F$2:$F$497,MATCH(N452,Data!$A$2:$A$497,1))),"")</f>
        <v>0.199723090160456</v>
      </c>
      <c r="AQ464" s="560">
        <f>IFERROR(LN(INDEX(Data!$G$2:$G$497,MATCH(N464,Data!$A$2:$A$497,1))/INDEX(Data!$G$2:$G$497,MATCH(N452,Data!$A$2:$A$497,1))),"")</f>
        <v>0.0476022523355568</v>
      </c>
      <c r="AR464" s="560">
        <f>IFERROR(LN(INDEX(Data!$H$2:$H$497,MATCH(N464,Data!$A$2:$A$497,1))/INDEX(Data!$H$2:$H$497,MATCH(N452,Data!$A$2:$A$497,1))),"")</f>
        <v>0.0946597106605268</v>
      </c>
      <c r="AS464" s="560">
        <f>IFERROR(LN(INDEX(Data!$I$2:$I$497,MATCH(N464,Data!$A$2:$A$497,1))/INDEX(Data!$I$2:$I$497,MATCH(N452,Data!$A$2:$A$497,1))),"")</f>
        <v>0.35567845860854</v>
      </c>
      <c r="AT464" s="560">
        <f>IFERROR(LN(INDEX(Data!$J$2:$J$497,MATCH(N464,Data!$A$2:$A$497,1))/INDEX(Data!$J$2:$J$497,MATCH(N452,Data!$A$2:$A$497,1))),"")</f>
        <v>0.0440208785260271</v>
      </c>
      <c r="AU464" s="560">
        <f>IFERROR(LN(INDEX(Data!$K$2:$K$497,MATCH(N464,Data!$A$2:$A$497,1))/INDEX(Data!$K$2:$K$497,MATCH(N452,Data!$A$2:$A$497,1))),"")</f>
        <v>0.030280975186485</v>
      </c>
      <c r="AV464" s="561">
        <f>IFERROR(LN(INDEX(Data!$L$2:$L$497,MATCH(N464,Data!$A$2:$A$497,1))/INDEX(Data!$L$2:$L$497,MATCH(N452,Data!$A$2:$A$497,1))),"")</f>
        <v>0.0558852038454222</v>
      </c>
    </row>
    <row r="465">
      <c r="N465" s="337" t="n">
        <v>38868</v>
      </c>
      <c r="O465" s="116">
        <f>INDEX('Additional data'!$B$2:$B$965,MATCH(DATE(YEAR(N465),MONTH(N465),1),'Additional data'!$A$2:$A$965,0))</f>
        <v>70.94</v>
      </c>
      <c r="P465" s="489">
        <f>LN(O465)</f>
        <v>4.26183444934548</v>
      </c>
      <c r="Q465" s="489">
        <f>Q464+LN(1+INDEX('Additional data'!$H$2:$H$1196,MATCH(N465,'Additional data'!$G$2:$G$1196,1))+INDEX('Additional data'!$I$2:$I$1196,MATCH(N465,'Additional data'!$G$2:$G$1196,1)))</f>
        <v>3.81687892332295</v>
      </c>
      <c r="R465" s="489">
        <f>LN(INDEX(Data!$B$2:$B$497,MATCH(N465,Data!$A$2:$A$497,1)))</f>
        <v>10.2901867777429</v>
      </c>
      <c r="S465" s="116">
        <f>IF(INDEX('Additional data'!$E$2:$E$699,MATCH(DATE(YEAR(N465),MONTH(N465),1),'Additional data'!$D$2:$D$699,0))=0,(INDEX('Additional data'!$E$2:$E$699,MATCH(DATE(YEAR(N465),MONTH(N465),1),'Additional data'!$D$2:$D$699,0)-1)+INDEX('Additional data'!$E$2:$E$699,MATCH(DATE(YEAR(N465),MONTH(N465),1),'Additional data'!$D$2:$D$699,0)+1))/2,INDEX('Additional data'!$E$2:$E$699,MATCH(DATE(YEAR(N465),MONTH(N465),1),'Additional data'!$D$2:$D$699,0)))</f>
        <v>5.87</v>
      </c>
      <c r="T465" s="425">
        <f>P465-P464</f>
        <v>0.0177776138950483</v>
      </c>
      <c r="U465" s="425">
        <f>Q465-Q464</f>
        <v>-0.0318003125497977</v>
      </c>
      <c r="V465" s="425">
        <f>R465-R464</f>
        <v>-0.0443371012745839</v>
      </c>
      <c r="W465" s="116">
        <f>S465-S464</f>
        <v>0.18</v>
      </c>
      <c r="X465" s="425">
        <f>P465-P453</f>
        <v>0.353217237052163</v>
      </c>
      <c r="Y465" s="425">
        <f>Q465-Q453</f>
        <v>0.0997622061357673</v>
      </c>
      <c r="Z465" s="425">
        <f>R465-R453</f>
        <v>0.241967522140532</v>
      </c>
      <c r="AA465" s="116">
        <f>S465-S453</f>
        <v>0.19</v>
      </c>
      <c r="AB465" s="425">
        <f>P465-P405</f>
        <v>0.907030107253031</v>
      </c>
      <c r="AC465" s="425">
        <f>Q465-Q405</f>
        <v>0.167027501736155</v>
      </c>
      <c r="AD465" s="425">
        <f>R465-R405</f>
        <v>0.6011556193735</v>
      </c>
      <c r="AE465" s="235">
        <f>S465-S405</f>
        <v>0.98</v>
      </c>
      <c r="AG465" s="554">
        <f>N465</f>
        <v>38868.0</v>
      </c>
      <c r="AH465" s="435">
        <f>IFERROR(INDEX('RBA 5Y yield'!$B$5:$B$661,MATCH(N465,'RBA 5Y yield'!$A$5:$A$661,1))*100,"")</f>
        <v>5.7309</v>
      </c>
      <c r="AI465" s="435">
        <f>IF(AND(ISNUMBER(AH465),ISNUMBER(AH464)),AH465-AH464,"")</f>
        <v>0.1809</v>
      </c>
      <c r="AJ465" s="435">
        <f>IF(AND(ISNUMBER(AH465),ISNUMBER(AH453)),AH465-AH453,"")</f>
        <v>0.4832</v>
      </c>
      <c r="AK465" s="435">
        <f>IF(AND(ISNUMBER(AH465),ISNUMBER(AH405)),AH465-AH405,"")</f>
        <v>0.2261</v>
      </c>
      <c r="AL465" s="560">
        <f>IFERROR(LN(INDEX(Data!$B$2:$B$497,MATCH(N465,Data!$A$2:$A$497,1))/INDEX(Data!$B$2:$B$497,MATCH(N453,Data!$A$2:$A$497,1))),"")</f>
        <v>0.241967522140532</v>
      </c>
      <c r="AM465" s="560">
        <f>IFERROR(LN(INDEX(Data!$C$2:$C$497,MATCH(N465,Data!$A$2:$A$497,1))/INDEX(Data!$C$2:$C$497,MATCH(N453,Data!$A$2:$A$497,1))),"")</f>
        <v>0.163682083274299</v>
      </c>
      <c r="AN465" s="560">
        <f>IFERROR(LN(INDEX(Data!$D$2:$D$497,MATCH(N465,Data!$A$2:$A$497,1))/INDEX(Data!$D$2:$D$497,MATCH(N453,Data!$A$2:$A$497,1))),"")</f>
        <v>0.335787913809331</v>
      </c>
      <c r="AO465" s="560">
        <f>IFERROR(LN(INDEX(Data!$E$2:$E$497,MATCH(N465,Data!$A$2:$A$497,1))/INDEX(Data!$E$2:$E$497,MATCH(N453,Data!$A$2:$A$497,1))),"")</f>
        <v>0.174552636503373</v>
      </c>
      <c r="AP465" s="560">
        <f>IFERROR(LN(INDEX(Data!$F$2:$F$497,MATCH(N465,Data!$A$2:$A$497,1))/INDEX(Data!$F$2:$F$497,MATCH(N453,Data!$A$2:$A$497,1))),"")</f>
        <v>0.176263761293608</v>
      </c>
      <c r="AQ465" s="560">
        <f>IFERROR(LN(INDEX(Data!$G$2:$G$497,MATCH(N465,Data!$A$2:$A$497,1))/INDEX(Data!$G$2:$G$497,MATCH(N453,Data!$A$2:$A$497,1))),"")</f>
        <v>0.0476022523355568</v>
      </c>
      <c r="AR465" s="560">
        <f>IFERROR(LN(INDEX(Data!$H$2:$H$497,MATCH(N465,Data!$A$2:$A$497,1))/INDEX(Data!$H$2:$H$497,MATCH(N453,Data!$A$2:$A$497,1))),"")</f>
        <v>0.0923039969680679</v>
      </c>
      <c r="AS465" s="560">
        <f>IFERROR(LN(INDEX(Data!$I$2:$I$497,MATCH(N465,Data!$A$2:$A$497,1))/INDEX(Data!$I$2:$I$497,MATCH(N453,Data!$A$2:$A$497,1))),"")</f>
        <v>0.35567845860854</v>
      </c>
      <c r="AT465" s="560">
        <f>IFERROR(LN(INDEX(Data!$J$2:$J$497,MATCH(N465,Data!$A$2:$A$497,1))/INDEX(Data!$J$2:$J$497,MATCH(N453,Data!$A$2:$A$497,1))),"")</f>
        <v>0.0376525360813294</v>
      </c>
      <c r="AU465" s="560">
        <f>IFERROR(LN(INDEX(Data!$K$2:$K$497,MATCH(N465,Data!$A$2:$A$497,1))/INDEX(Data!$K$2:$K$497,MATCH(N453,Data!$A$2:$A$497,1))),"")</f>
        <v>0.0220907612673042</v>
      </c>
      <c r="AV465" s="561">
        <f>IFERROR(LN(INDEX(Data!$L$2:$L$497,MATCH(N465,Data!$A$2:$A$497,1))/INDEX(Data!$L$2:$L$497,MATCH(N453,Data!$A$2:$A$497,1))),"")</f>
        <v>0.0558739178188723</v>
      </c>
    </row>
    <row r="466">
      <c r="N466" s="337" t="n">
        <v>38898</v>
      </c>
      <c r="O466" s="116">
        <f>INDEX('Additional data'!$B$2:$B$965,MATCH(DATE(YEAR(N466),MONTH(N466),1),'Additional data'!$A$2:$A$965,0))</f>
        <v>70.96</v>
      </c>
      <c r="P466" s="489">
        <f>LN(O466)</f>
        <v>4.26211633800132</v>
      </c>
      <c r="Q466" s="489">
        <f>Q465+LN(1+INDEX('Additional data'!$H$2:$H$1196,MATCH(N466,'Additional data'!$G$2:$G$1196,1))+INDEX('Additional data'!$I$2:$I$1196,MATCH(N466,'Additional data'!$G$2:$G$1196,1)))</f>
        <v>3.81737879836461</v>
      </c>
      <c r="R466" s="489">
        <f>LN(INDEX(Data!$B$2:$B$497,MATCH(N466,Data!$A$2:$A$497,1)))</f>
        <v>10.3085794243336</v>
      </c>
      <c r="S466" s="116">
        <f>IF(INDEX('Additional data'!$E$2:$E$699,MATCH(DATE(YEAR(N466),MONTH(N466),1),'Additional data'!$D$2:$D$699,0))=0,(INDEX('Additional data'!$E$2:$E$699,MATCH(DATE(YEAR(N466),MONTH(N466),1),'Additional data'!$D$2:$D$699,0)-1)+INDEX('Additional data'!$E$2:$E$699,MATCH(DATE(YEAR(N466),MONTH(N466),1),'Additional data'!$D$2:$D$699,0)+1))/2,INDEX('Additional data'!$E$2:$E$699,MATCH(DATE(YEAR(N466),MONTH(N466),1),'Additional data'!$D$2:$D$699,0)))</f>
        <v>5.96</v>
      </c>
      <c r="T466" s="425">
        <f>P466-P465</f>
        <v>0.000281888655847773</v>
      </c>
      <c r="U466" s="425">
        <f>Q466-Q465</f>
        <v>0.000499875041651166</v>
      </c>
      <c r="V466" s="425">
        <f>R466-R465</f>
        <v>0.0183926465907458</v>
      </c>
      <c r="W466" s="116">
        <f>S466-S465</f>
        <v>0.0899999999999999</v>
      </c>
      <c r="X466" s="425">
        <f>P466-P454</f>
        <v>0.232132534939613</v>
      </c>
      <c r="Y466" s="425">
        <f>Q466-Q454</f>
        <v>0.0921947100996596</v>
      </c>
      <c r="Z466" s="425">
        <f>R466-R454</f>
        <v>0.216694394184563</v>
      </c>
      <c r="AA466" s="116">
        <f>S466-S454</f>
        <v>0.3</v>
      </c>
      <c r="AB466" s="425">
        <f>P466-P406</f>
        <v>0.944300565278219</v>
      </c>
      <c r="AC466" s="425">
        <f>Q466-Q406</f>
        <v>0.184266700782104</v>
      </c>
      <c r="AD466" s="425">
        <f>R466-R406</f>
        <v>0.582726350125354</v>
      </c>
      <c r="AE466" s="235">
        <f>S466-S406</f>
        <v>0.99</v>
      </c>
      <c r="AG466" s="554">
        <f>N466</f>
        <v>38898.0</v>
      </c>
      <c r="AH466" s="435">
        <f>IFERROR(INDEX('RBA 5Y yield'!$B$5:$B$661,MATCH(N466,'RBA 5Y yield'!$A$5:$A$661,1))*100,"")</f>
        <v>5.7483</v>
      </c>
      <c r="AI466" s="435">
        <f>IF(AND(ISNUMBER(AH466),ISNUMBER(AH465)),AH466-AH465,"")</f>
        <v>0.0173999999999994</v>
      </c>
      <c r="AJ466" s="435">
        <f>IF(AND(ISNUMBER(AH466),ISNUMBER(AH454)),AH466-AH454,"")</f>
        <v>0.609999999999999</v>
      </c>
      <c r="AK466" s="435">
        <f>IF(AND(ISNUMBER(AH466),ISNUMBER(AH406)),AH466-AH406,"")</f>
        <v>0.162799999999999</v>
      </c>
      <c r="AL466" s="560">
        <f>IFERROR(LN(INDEX(Data!$B$2:$B$497,MATCH(N466,Data!$A$2:$A$497,1))/INDEX(Data!$B$2:$B$497,MATCH(N454,Data!$A$2:$A$497,1))),"")</f>
        <v>0.216694394184563</v>
      </c>
      <c r="AM466" s="560">
        <f>IFERROR(LN(INDEX(Data!$C$2:$C$497,MATCH(N466,Data!$A$2:$A$497,1))/INDEX(Data!$C$2:$C$497,MATCH(N454,Data!$A$2:$A$497,1))),"")</f>
        <v>0.1720693342201</v>
      </c>
      <c r="AN466" s="560">
        <f>IFERROR(LN(INDEX(Data!$D$2:$D$497,MATCH(N466,Data!$A$2:$A$497,1))/INDEX(Data!$D$2:$D$497,MATCH(N454,Data!$A$2:$A$497,1))),"")</f>
        <v>0.319227386111624</v>
      </c>
      <c r="AO466" s="560">
        <f>IFERROR(LN(INDEX(Data!$E$2:$E$497,MATCH(N466,Data!$A$2:$A$497,1))/INDEX(Data!$E$2:$E$497,MATCH(N454,Data!$A$2:$A$497,1))),"")</f>
        <v>0.193151162337797</v>
      </c>
      <c r="AP466" s="560">
        <f>IFERROR(LN(INDEX(Data!$F$2:$F$497,MATCH(N466,Data!$A$2:$A$497,1))/INDEX(Data!$F$2:$F$497,MATCH(N454,Data!$A$2:$A$497,1))),"")</f>
        <v>0.151574056573526</v>
      </c>
      <c r="AQ466" s="560">
        <f>IFERROR(LN(INDEX(Data!$G$2:$G$497,MATCH(N466,Data!$A$2:$A$497,1))/INDEX(Data!$G$2:$G$497,MATCH(N454,Data!$A$2:$A$497,1))),"")</f>
        <v>0.076347534486405</v>
      </c>
      <c r="AR466" s="560">
        <f>IFERROR(LN(INDEX(Data!$H$2:$H$497,MATCH(N466,Data!$A$2:$A$497,1))/INDEX(Data!$H$2:$H$497,MATCH(N454,Data!$A$2:$A$497,1))),"")</f>
        <v>0.0903277117398549</v>
      </c>
      <c r="AS466" s="560">
        <f>IFERROR(LN(INDEX(Data!$I$2:$I$497,MATCH(N466,Data!$A$2:$A$497,1))/INDEX(Data!$I$2:$I$497,MATCH(N454,Data!$A$2:$A$497,1))),"")</f>
        <v>0.411351716798839</v>
      </c>
      <c r="AT466" s="560">
        <f>IFERROR(LN(INDEX(Data!$J$2:$J$497,MATCH(N466,Data!$A$2:$A$497,1))/INDEX(Data!$J$2:$J$497,MATCH(N454,Data!$A$2:$A$497,1))),"")</f>
        <v>0.033561666892476</v>
      </c>
      <c r="AU466" s="560">
        <f>IFERROR(LN(INDEX(Data!$K$2:$K$497,MATCH(N466,Data!$A$2:$A$497,1))/INDEX(Data!$K$2:$K$497,MATCH(N454,Data!$A$2:$A$497,1))),"")</f>
        <v>0.0119866615613328</v>
      </c>
      <c r="AV466" s="561">
        <f>IFERROR(LN(INDEX(Data!$L$2:$L$497,MATCH(N466,Data!$A$2:$A$497,1))/INDEX(Data!$L$2:$L$497,MATCH(N454,Data!$A$2:$A$497,1))),"")</f>
        <v>0.0560430174368575</v>
      </c>
    </row>
    <row r="467">
      <c r="N467" s="337" t="n">
        <v>38929</v>
      </c>
      <c r="O467" s="116">
        <f>INDEX('Additional data'!$B$2:$B$965,MATCH(DATE(YEAR(N467),MONTH(N467),1),'Additional data'!$A$2:$A$965,0))</f>
        <v>74.41</v>
      </c>
      <c r="P467" s="489">
        <f>LN(O467)</f>
        <v>4.30959034140917</v>
      </c>
      <c r="Q467" s="489">
        <f>Q466+LN(1+INDEX('Additional data'!$H$2:$H$1196,MATCH(N467,'Additional data'!$G$2:$G$1196,1))+INDEX('Additional data'!$I$2:$I$1196,MATCH(N467,'Additional data'!$G$2:$G$1196,1)))</f>
        <v>3.81367193643328</v>
      </c>
      <c r="R467" s="489">
        <f>LN(INDEX(Data!$B$2:$B$497,MATCH(N467,Data!$A$2:$A$497,1)))</f>
        <v>10.2933144521069</v>
      </c>
      <c r="S467" s="116">
        <f>IF(INDEX('Additional data'!$E$2:$E$699,MATCH(DATE(YEAR(N467),MONTH(N467),1),'Additional data'!$D$2:$D$699,0))=0,(INDEX('Additional data'!$E$2:$E$699,MATCH(DATE(YEAR(N467),MONTH(N467),1),'Additional data'!$D$2:$D$699,0)-1)+INDEX('Additional data'!$E$2:$E$699,MATCH(DATE(YEAR(N467),MONTH(N467),1),'Additional data'!$D$2:$D$699,0)+1))/2,INDEX('Additional data'!$E$2:$E$699,MATCH(DATE(YEAR(N467),MONTH(N467),1),'Additional data'!$D$2:$D$699,0)))</f>
        <v>6.05</v>
      </c>
      <c r="T467" s="425">
        <f>P467-P466</f>
        <v>0.0474740034078458</v>
      </c>
      <c r="U467" s="425">
        <f>Q467-Q466</f>
        <v>-0.00370686193132652</v>
      </c>
      <c r="V467" s="425">
        <f>R467-R466</f>
        <v>-0.0152649722266727</v>
      </c>
      <c r="W467" s="116">
        <f>S467-S466</f>
        <v>0.0899999999999999</v>
      </c>
      <c r="X467" s="425">
        <f>P467-P455</f>
        <v>0.237150614575119</v>
      </c>
      <c r="Y467" s="425">
        <f>Q467-Q455</f>
        <v>0.0477298556961654</v>
      </c>
      <c r="Z467" s="425">
        <f>R467-R455</f>
        <v>0.174136614971056</v>
      </c>
      <c r="AA467" s="116">
        <f>S467-S455</f>
        <v>0.399999999999999</v>
      </c>
      <c r="AB467" s="425">
        <f>P467-P407</f>
        <v>1.03433418310486</v>
      </c>
      <c r="AC467" s="425">
        <f>Q467-Q407</f>
        <v>0.199029355134439</v>
      </c>
      <c r="AD467" s="425">
        <f>R467-R407</f>
        <v>0.613398354922904</v>
      </c>
      <c r="AE467" s="235">
        <f>S467-S407</f>
        <v>1.01</v>
      </c>
      <c r="AG467" s="554">
        <f>N467</f>
        <v>38929.0</v>
      </c>
      <c r="AH467" s="435">
        <f>IFERROR(INDEX('RBA 5Y yield'!$B$5:$B$661,MATCH(N467,'RBA 5Y yield'!$A$5:$A$661,1))*100,"")</f>
        <v>5.8688</v>
      </c>
      <c r="AI467" s="435">
        <f>IF(AND(ISNUMBER(AH467),ISNUMBER(AH466)),AH467-AH466,"")</f>
        <v>0.1205</v>
      </c>
      <c r="AJ467" s="435">
        <f>IF(AND(ISNUMBER(AH467),ISNUMBER(AH455)),AH467-AH455,"")</f>
        <v>0.675199999999999</v>
      </c>
      <c r="AK467" s="435">
        <f>IF(AND(ISNUMBER(AH467),ISNUMBER(AH407)),AH467-AH407,"")</f>
        <v>0.0294999999999996</v>
      </c>
      <c r="AL467" s="560">
        <f>IFERROR(LN(INDEX(Data!$B$2:$B$497,MATCH(N467,Data!$A$2:$A$497,1))/INDEX(Data!$B$2:$B$497,MATCH(N455,Data!$A$2:$A$497,1))),"")</f>
        <v>0.174136614971057</v>
      </c>
      <c r="AM467" s="560">
        <f>IFERROR(LN(INDEX(Data!$C$2:$C$497,MATCH(N467,Data!$A$2:$A$497,1))/INDEX(Data!$C$2:$C$497,MATCH(N455,Data!$A$2:$A$497,1))),"")</f>
        <v>0.106844650662225</v>
      </c>
      <c r="AN467" s="560">
        <f>IFERROR(LN(INDEX(Data!$D$2:$D$497,MATCH(N467,Data!$A$2:$A$497,1))/INDEX(Data!$D$2:$D$497,MATCH(N455,Data!$A$2:$A$497,1))),"")</f>
        <v>0.230512436084426</v>
      </c>
      <c r="AO467" s="560">
        <f>IFERROR(LN(INDEX(Data!$E$2:$E$497,MATCH(N467,Data!$A$2:$A$497,1))/INDEX(Data!$E$2:$E$497,MATCH(N455,Data!$A$2:$A$497,1))),"")</f>
        <v>0.136084023931969</v>
      </c>
      <c r="AP467" s="560">
        <f>IFERROR(LN(INDEX(Data!$F$2:$F$497,MATCH(N467,Data!$A$2:$A$497,1))/INDEX(Data!$F$2:$F$497,MATCH(N455,Data!$A$2:$A$497,1))),"")</f>
        <v>0.084096311472003</v>
      </c>
      <c r="AQ467" s="560">
        <f>IFERROR(LN(INDEX(Data!$G$2:$G$497,MATCH(N467,Data!$A$2:$A$497,1))/INDEX(Data!$G$2:$G$497,MATCH(N455,Data!$A$2:$A$497,1))),"")</f>
        <v>0.076347534486405</v>
      </c>
      <c r="AR467" s="560">
        <f>IFERROR(LN(INDEX(Data!$H$2:$H$497,MATCH(N467,Data!$A$2:$A$497,1))/INDEX(Data!$H$2:$H$497,MATCH(N455,Data!$A$2:$A$497,1))),"")</f>
        <v>0.0937315565045484</v>
      </c>
      <c r="AS467" s="560">
        <f>IFERROR(LN(INDEX(Data!$I$2:$I$497,MATCH(N467,Data!$A$2:$A$497,1))/INDEX(Data!$I$2:$I$497,MATCH(N455,Data!$A$2:$A$497,1))),"")</f>
        <v>0.411351716798839</v>
      </c>
      <c r="AT467" s="560">
        <f>IFERROR(LN(INDEX(Data!$J$2:$J$497,MATCH(N467,Data!$A$2:$A$497,1))/INDEX(Data!$J$2:$J$497,MATCH(N455,Data!$A$2:$A$497,1))),"")</f>
        <v>0.0298159397504094</v>
      </c>
      <c r="AU467" s="560">
        <f>IFERROR(LN(INDEX(Data!$K$2:$K$497,MATCH(N467,Data!$A$2:$A$497,1))/INDEX(Data!$K$2:$K$497,MATCH(N455,Data!$A$2:$A$497,1))),"")</f>
        <v>0.0275163696537084</v>
      </c>
      <c r="AV467" s="561">
        <f>IFERROR(LN(INDEX(Data!$L$2:$L$497,MATCH(N467,Data!$A$2:$A$497,1))/INDEX(Data!$L$2:$L$497,MATCH(N455,Data!$A$2:$A$497,1))),"")</f>
        <v>0.0560691060650651</v>
      </c>
    </row>
    <row r="468">
      <c r="N468" s="337" t="n">
        <v>38960</v>
      </c>
      <c r="O468" s="116">
        <f>INDEX('Additional data'!$B$2:$B$965,MATCH(DATE(YEAR(N468),MONTH(N468),1),'Additional data'!$A$2:$A$965,0))</f>
        <v>73.05</v>
      </c>
      <c r="P468" s="489">
        <f>LN(O468)</f>
        <v>4.29114413819671</v>
      </c>
      <c r="Q468" s="489">
        <f>Q467+LN(1+INDEX('Additional data'!$H$2:$H$1196,MATCH(N468,'Additional data'!$G$2:$G$1196,1))+INDEX('Additional data'!$I$2:$I$1196,MATCH(N468,'Additional data'!$G$2:$G$1196,1)))</f>
        <v>3.8378766251301</v>
      </c>
      <c r="R468" s="489">
        <f>LN(INDEX(Data!$B$2:$B$497,MATCH(N468,Data!$A$2:$A$497,1)))</f>
        <v>10.3245719749118</v>
      </c>
      <c r="S468" s="116">
        <f>IF(INDEX('Additional data'!$E$2:$E$699,MATCH(DATE(YEAR(N468),MONTH(N468),1),'Additional data'!$D$2:$D$699,0))=0,(INDEX('Additional data'!$E$2:$E$699,MATCH(DATE(YEAR(N468),MONTH(N468),1),'Additional data'!$D$2:$D$699,0)-1)+INDEX('Additional data'!$E$2:$E$699,MATCH(DATE(YEAR(N468),MONTH(N468),1),'Additional data'!$D$2:$D$699,0)+1))/2,INDEX('Additional data'!$E$2:$E$699,MATCH(DATE(YEAR(N468),MONTH(N468),1),'Additional data'!$D$2:$D$699,0)))</f>
        <v>6.19</v>
      </c>
      <c r="T468" s="425">
        <f>P468-P467</f>
        <v>-0.018446203212461</v>
      </c>
      <c r="U468" s="425">
        <f>Q468-Q467</f>
        <v>0.0242046886968175</v>
      </c>
      <c r="V468" s="425">
        <f>R468-R467</f>
        <v>0.0312575228048342</v>
      </c>
      <c r="W468" s="116">
        <f>S468-S467</f>
        <v>0.140000000000001</v>
      </c>
      <c r="X468" s="425">
        <f>P468-P456</f>
        <v>0.117218513304269</v>
      </c>
      <c r="Y468" s="425">
        <f>Q468-Q456</f>
        <v>0.0809752890451319</v>
      </c>
      <c r="Z468" s="425">
        <f>R468-R456</f>
        <v>0.183897462942939</v>
      </c>
      <c r="AA468" s="116">
        <f>S468-S456</f>
        <v>0.57</v>
      </c>
      <c r="AB468" s="425">
        <f>P468-P408</f>
        <v>0.978049638089526</v>
      </c>
      <c r="AC468" s="425">
        <f>Q468-Q408</f>
        <v>0.286067353002825</v>
      </c>
      <c r="AD468" s="425">
        <f>R468-R408</f>
        <v>0.65728649120447</v>
      </c>
      <c r="AE468" s="235">
        <f>S468-S408</f>
        <v>1.24</v>
      </c>
      <c r="AG468" s="554">
        <f>N468</f>
        <v>38960.0</v>
      </c>
      <c r="AH468" s="435">
        <f>IFERROR(INDEX('RBA 5Y yield'!$B$5:$B$661,MATCH(N468,'RBA 5Y yield'!$A$5:$A$661,1))*100,"")</f>
        <v>5.8402</v>
      </c>
      <c r="AI468" s="435">
        <f>IF(AND(ISNUMBER(AH468),ISNUMBER(AH467)),AH468-AH467,"")</f>
        <v>-0.0285999999999991</v>
      </c>
      <c r="AJ468" s="435">
        <f>IF(AND(ISNUMBER(AH468),ISNUMBER(AH456)),AH468-AH456,"")</f>
        <v>0.6687</v>
      </c>
      <c r="AK468" s="435">
        <f>IF(AND(ISNUMBER(AH468),ISNUMBER(AH408)),AH468-AH408,"")</f>
        <v>0.3498</v>
      </c>
      <c r="AL468" s="560">
        <f>IFERROR(LN(INDEX(Data!$B$2:$B$497,MATCH(N468,Data!$A$2:$A$497,1))/INDEX(Data!$B$2:$B$497,MATCH(N456,Data!$A$2:$A$497,1))),"")</f>
        <v>0.18389746294294</v>
      </c>
      <c r="AM468" s="560">
        <f>IFERROR(LN(INDEX(Data!$C$2:$C$497,MATCH(N468,Data!$A$2:$A$497,1))/INDEX(Data!$C$2:$C$497,MATCH(N456,Data!$A$2:$A$497,1))),"")</f>
        <v>0.122986668916235</v>
      </c>
      <c r="AN468" s="560">
        <f>IFERROR(LN(INDEX(Data!$D$2:$D$497,MATCH(N468,Data!$A$2:$A$497,1))/INDEX(Data!$D$2:$D$497,MATCH(N456,Data!$A$2:$A$497,1))),"")</f>
        <v>0.236919578096022</v>
      </c>
      <c r="AO468" s="560">
        <f>IFERROR(LN(INDEX(Data!$E$2:$E$497,MATCH(N468,Data!$A$2:$A$497,1))/INDEX(Data!$E$2:$E$497,MATCH(N456,Data!$A$2:$A$497,1))),"")</f>
        <v>0.188606301168475</v>
      </c>
      <c r="AP468" s="560">
        <f>IFERROR(LN(INDEX(Data!$F$2:$F$497,MATCH(N468,Data!$A$2:$A$497,1))/INDEX(Data!$F$2:$F$497,MATCH(N456,Data!$A$2:$A$497,1))),"")</f>
        <v>-0.1405701509315</v>
      </c>
      <c r="AQ468" s="560">
        <f>IFERROR(LN(INDEX(Data!$G$2:$G$497,MATCH(N468,Data!$A$2:$A$497,1))/INDEX(Data!$G$2:$G$497,MATCH(N456,Data!$A$2:$A$497,1))),"")</f>
        <v>0.076347534486405</v>
      </c>
      <c r="AR468" s="560">
        <f>IFERROR(LN(INDEX(Data!$H$2:$H$497,MATCH(N468,Data!$A$2:$A$497,1))/INDEX(Data!$H$2:$H$497,MATCH(N456,Data!$A$2:$A$497,1))),"")</f>
        <v>0.0818794183617846</v>
      </c>
      <c r="AS468" s="560">
        <f>IFERROR(LN(INDEX(Data!$I$2:$I$497,MATCH(N468,Data!$A$2:$A$497,1))/INDEX(Data!$I$2:$I$497,MATCH(N456,Data!$A$2:$A$497,1))),"")</f>
        <v>0.411351716798839</v>
      </c>
      <c r="AT468" s="560">
        <f>IFERROR(LN(INDEX(Data!$J$2:$J$497,MATCH(N468,Data!$A$2:$A$497,1))/INDEX(Data!$J$2:$J$497,MATCH(N456,Data!$A$2:$A$497,1))),"")</f>
        <v>0.0321699133847846</v>
      </c>
      <c r="AU468" s="560">
        <f>IFERROR(LN(INDEX(Data!$K$2:$K$497,MATCH(N468,Data!$A$2:$A$497,1))/INDEX(Data!$K$2:$K$497,MATCH(N456,Data!$A$2:$A$497,1))),"")</f>
        <v>0.0313065900827307</v>
      </c>
      <c r="AV468" s="561">
        <f>IFERROR(LN(INDEX(Data!$L$2:$L$497,MATCH(N468,Data!$A$2:$A$497,1))/INDEX(Data!$L$2:$L$497,MATCH(N456,Data!$A$2:$A$497,1))),"")</f>
        <v>0.0565119811498465</v>
      </c>
    </row>
    <row r="469">
      <c r="N469" s="337" t="n">
        <v>38990</v>
      </c>
      <c r="O469" s="116">
        <f>INDEX('Additional data'!$B$2:$B$965,MATCH(DATE(YEAR(N469),MONTH(N469),1),'Additional data'!$A$2:$A$965,0))</f>
        <v>63.87</v>
      </c>
      <c r="P469" s="489">
        <f>LN(O469)</f>
        <v>4.1568497675735</v>
      </c>
      <c r="Q469" s="489">
        <f>Q468+LN(1+INDEX('Additional data'!$H$2:$H$1196,MATCH(N469,'Additional data'!$G$2:$G$1196,1))+INDEX('Additional data'!$I$2:$I$1196,MATCH(N469,'Additional data'!$G$2:$G$1196,1)))</f>
        <v>3.86012723406492</v>
      </c>
      <c r="R469" s="489">
        <f>LN(INDEX(Data!$B$2:$B$497,MATCH(N469,Data!$A$2:$A$497,1)))</f>
        <v>10.3369758183677</v>
      </c>
      <c r="S469" s="116">
        <f>IF(INDEX('Additional data'!$E$2:$E$699,MATCH(DATE(YEAR(N469),MONTH(N469),1),'Additional data'!$D$2:$D$699,0))=0,(INDEX('Additional data'!$E$2:$E$699,MATCH(DATE(YEAR(N469),MONTH(N469),1),'Additional data'!$D$2:$D$699,0)-1)+INDEX('Additional data'!$E$2:$E$699,MATCH(DATE(YEAR(N469),MONTH(N469),1),'Additional data'!$D$2:$D$699,0)+1))/2,INDEX('Additional data'!$E$2:$E$699,MATCH(DATE(YEAR(N469),MONTH(N469),1),'Additional data'!$D$2:$D$699,0)))</f>
        <v>6.21</v>
      </c>
      <c r="T469" s="425">
        <f>P469-P468</f>
        <v>-0.134294370623211</v>
      </c>
      <c r="U469" s="425">
        <f>Q469-Q468</f>
        <v>0.0222506089348196</v>
      </c>
      <c r="V469" s="425">
        <f>R469-R468</f>
        <v>0.0124038434559246</v>
      </c>
      <c r="W469" s="116">
        <f>S469-S468</f>
        <v>0.0199999999999996</v>
      </c>
      <c r="X469" s="425">
        <f>P469-P457</f>
        <v>-0.0262685067020305</v>
      </c>
      <c r="Y469" s="425">
        <f>Q469-Q457</f>
        <v>0.0955553916757319</v>
      </c>
      <c r="Z469" s="425">
        <f>R469-R457</f>
        <v>0.149840495243145</v>
      </c>
      <c r="AA469" s="116">
        <f>S469-S457</f>
        <v>0.59</v>
      </c>
      <c r="AB469" s="425">
        <f>P469-P409</f>
        <v>0.903379297940798</v>
      </c>
      <c r="AC469" s="425">
        <f>Q469-Q409</f>
        <v>0.402189177547716</v>
      </c>
      <c r="AD469" s="425">
        <f>R469-R409</f>
        <v>0.738791102774268</v>
      </c>
      <c r="AE469" s="235">
        <f>S469-S409</f>
        <v>1.66</v>
      </c>
      <c r="AG469" s="554">
        <f>N469</f>
        <v>38990.0</v>
      </c>
      <c r="AH469" s="435">
        <f>IFERROR(INDEX('RBA 5Y yield'!$B$5:$B$661,MATCH(N469,'RBA 5Y yield'!$A$5:$A$661,1))*100,"")</f>
        <v>5.739</v>
      </c>
      <c r="AI469" s="435">
        <f>IF(AND(ISNUMBER(AH469),ISNUMBER(AH468)),AH469-AH468,"")</f>
        <v>-0.1012</v>
      </c>
      <c r="AJ469" s="435">
        <f>IF(AND(ISNUMBER(AH469),ISNUMBER(AH457)),AH469-AH457,"")</f>
        <v>0.591</v>
      </c>
      <c r="AK469" s="435">
        <f>IF(AND(ISNUMBER(AH469),ISNUMBER(AH409)),AH469-AH409,"")</f>
        <v>0.6605</v>
      </c>
      <c r="AL469" s="560">
        <f>IFERROR(LN(INDEX(Data!$B$2:$B$497,MATCH(N469,Data!$A$2:$A$497,1))/INDEX(Data!$B$2:$B$497,MATCH(N457,Data!$A$2:$A$497,1))),"")</f>
        <v>0.149840495243145</v>
      </c>
      <c r="AM469" s="560">
        <f>IFERROR(LN(INDEX(Data!$C$2:$C$497,MATCH(N469,Data!$A$2:$A$497,1))/INDEX(Data!$C$2:$C$497,MATCH(N457,Data!$A$2:$A$497,1))),"")</f>
        <v>0.148122361002005</v>
      </c>
      <c r="AN469" s="560">
        <f>IFERROR(LN(INDEX(Data!$D$2:$D$497,MATCH(N469,Data!$A$2:$A$497,1))/INDEX(Data!$D$2:$D$497,MATCH(N457,Data!$A$2:$A$497,1))),"")</f>
        <v>0.207362822055414</v>
      </c>
      <c r="AO469" s="560">
        <f>IFERROR(LN(INDEX(Data!$E$2:$E$497,MATCH(N469,Data!$A$2:$A$497,1))/INDEX(Data!$E$2:$E$497,MATCH(N457,Data!$A$2:$A$497,1))),"")</f>
        <v>0.248392670850061</v>
      </c>
      <c r="AP469" s="560">
        <f>IFERROR(LN(INDEX(Data!$F$2:$F$497,MATCH(N469,Data!$A$2:$A$497,1))/INDEX(Data!$F$2:$F$497,MATCH(N457,Data!$A$2:$A$497,1))),"")</f>
        <v>-0.214436602968984</v>
      </c>
      <c r="AQ469" s="560">
        <f>IFERROR(LN(INDEX(Data!$G$2:$G$497,MATCH(N469,Data!$A$2:$A$497,1))/INDEX(Data!$G$2:$G$497,MATCH(N457,Data!$A$2:$A$497,1))),"")</f>
        <v>0.095751951251488</v>
      </c>
      <c r="AR469" s="560">
        <f>IFERROR(LN(INDEX(Data!$H$2:$H$497,MATCH(N469,Data!$A$2:$A$497,1))/INDEX(Data!$H$2:$H$497,MATCH(N457,Data!$A$2:$A$497,1))),"")</f>
        <v>0.0819776453644656</v>
      </c>
      <c r="AS469" s="560">
        <f>IFERROR(LN(INDEX(Data!$I$2:$I$497,MATCH(N469,Data!$A$2:$A$497,1))/INDEX(Data!$I$2:$I$497,MATCH(N457,Data!$A$2:$A$497,1))),"")</f>
        <v>0.296221668704963</v>
      </c>
      <c r="AT469" s="560">
        <f>IFERROR(LN(INDEX(Data!$J$2:$J$497,MATCH(N469,Data!$A$2:$A$497,1))/INDEX(Data!$J$2:$J$497,MATCH(N457,Data!$A$2:$A$497,1))),"")</f>
        <v>0.0467064967414015</v>
      </c>
      <c r="AU469" s="560">
        <f>IFERROR(LN(INDEX(Data!$K$2:$K$497,MATCH(N469,Data!$A$2:$A$497,1))/INDEX(Data!$K$2:$K$497,MATCH(N457,Data!$A$2:$A$497,1))),"")</f>
        <v>0.0422601270007882</v>
      </c>
      <c r="AV469" s="561">
        <f>IFERROR(LN(INDEX(Data!$L$2:$L$497,MATCH(N469,Data!$A$2:$A$497,1))/INDEX(Data!$L$2:$L$497,MATCH(N457,Data!$A$2:$A$497,1))),"")</f>
        <v>0.0570557884163122</v>
      </c>
    </row>
    <row r="470">
      <c r="N470" s="337" t="n">
        <v>39021</v>
      </c>
      <c r="O470" s="116">
        <f>INDEX('Additional data'!$B$2:$B$965,MATCH(DATE(YEAR(N470),MONTH(N470),1),'Additional data'!$A$2:$A$965,0))</f>
        <v>58.88</v>
      </c>
      <c r="P470" s="489">
        <f>LN(O470)</f>
        <v>4.07550147442062</v>
      </c>
      <c r="Q470" s="489">
        <f>Q469+LN(1+INDEX('Additional data'!$H$2:$H$1196,MATCH(N470,'Additional data'!$G$2:$G$1196,1))+INDEX('Additional data'!$I$2:$I$1196,MATCH(N470,'Additional data'!$G$2:$G$1196,1)))</f>
        <v>3.89578391127295</v>
      </c>
      <c r="R470" s="489">
        <f>LN(INDEX(Data!$B$2:$B$497,MATCH(N470,Data!$A$2:$A$497,1)))</f>
        <v>10.3839036583045</v>
      </c>
      <c r="S470" s="116">
        <f>IF(INDEX('Additional data'!$E$2:$E$699,MATCH(DATE(YEAR(N470),MONTH(N470),1),'Additional data'!$D$2:$D$699,0))=0,(INDEX('Additional data'!$E$2:$E$699,MATCH(DATE(YEAR(N470),MONTH(N470),1),'Additional data'!$D$2:$D$699,0)-1)+INDEX('Additional data'!$E$2:$E$699,MATCH(DATE(YEAR(N470),MONTH(N470),1),'Additional data'!$D$2:$D$699,0)+1))/2,INDEX('Additional data'!$E$2:$E$699,MATCH(DATE(YEAR(N470),MONTH(N470),1),'Additional data'!$D$2:$D$699,0)))</f>
        <v>6.28</v>
      </c>
      <c r="T470" s="425">
        <f>P470-P469</f>
        <v>-0.0813482931528764</v>
      </c>
      <c r="U470" s="425">
        <f>Q470-Q469</f>
        <v>0.0356566772080349</v>
      </c>
      <c r="V470" s="425">
        <f>R470-R469</f>
        <v>0.0469278399368118</v>
      </c>
      <c r="W470" s="116">
        <f>S470-S469</f>
        <v>0.0700000000000003</v>
      </c>
      <c r="X470" s="425">
        <f>P470-P458</f>
        <v>-0.0575829161174104</v>
      </c>
      <c r="Y470" s="425">
        <f>Q470-Q458</f>
        <v>0.14907058718508</v>
      </c>
      <c r="Z470" s="425">
        <f>R470-R458</f>
        <v>0.235834363461024</v>
      </c>
      <c r="AA470" s="116">
        <f>S470-S458</f>
        <v>0.65</v>
      </c>
      <c r="AB470" s="425">
        <f>P470-P410</f>
        <v>0.974958836514285</v>
      </c>
      <c r="AC470" s="425">
        <f>Q470-Q410</f>
        <v>0.411203923809329</v>
      </c>
      <c r="AD470" s="425">
        <f>R470-R410</f>
        <v>0.719953555701254</v>
      </c>
      <c r="AE470" s="235">
        <f>S470-S410</f>
        <v>1.92</v>
      </c>
      <c r="AG470" s="554">
        <f>N470</f>
        <v>39021.0</v>
      </c>
      <c r="AH470" s="435">
        <f>IFERROR(INDEX('RBA 5Y yield'!$B$5:$B$661,MATCH(N470,'RBA 5Y yield'!$A$5:$A$661,1))*100,"")</f>
        <v>5.829</v>
      </c>
      <c r="AI470" s="435">
        <f>IF(AND(ISNUMBER(AH470),ISNUMBER(AH469)),AH470-AH469,"")</f>
        <v>0.0899999999999999</v>
      </c>
      <c r="AJ470" s="435">
        <f>IF(AND(ISNUMBER(AH470),ISNUMBER(AH458)),AH470-AH458,"")</f>
        <v>0.4669</v>
      </c>
      <c r="AK470" s="435">
        <f>IF(AND(ISNUMBER(AH470),ISNUMBER(AH410)),AH470-AH410,"")</f>
        <v>1.014</v>
      </c>
      <c r="AL470" s="560">
        <f>IFERROR(LN(INDEX(Data!$B$2:$B$497,MATCH(N470,Data!$A$2:$A$497,1))/INDEX(Data!$B$2:$B$497,MATCH(N458,Data!$A$2:$A$497,1))),"")</f>
        <v>0.235834363461024</v>
      </c>
      <c r="AM470" s="560">
        <f>IFERROR(LN(INDEX(Data!$C$2:$C$497,MATCH(N470,Data!$A$2:$A$497,1))/INDEX(Data!$C$2:$C$497,MATCH(N458,Data!$A$2:$A$497,1))),"")</f>
        <v>0.139676309986718</v>
      </c>
      <c r="AN470" s="560">
        <f>IFERROR(LN(INDEX(Data!$D$2:$D$497,MATCH(N470,Data!$A$2:$A$497,1))/INDEX(Data!$D$2:$D$497,MATCH(N458,Data!$A$2:$A$497,1))),"")</f>
        <v>0.240136108536839</v>
      </c>
      <c r="AO470" s="560">
        <f>IFERROR(LN(INDEX(Data!$E$2:$E$497,MATCH(N470,Data!$A$2:$A$497,1))/INDEX(Data!$E$2:$E$497,MATCH(N458,Data!$A$2:$A$497,1))),"")</f>
        <v>0.263883423496795</v>
      </c>
      <c r="AP470" s="560">
        <f>IFERROR(LN(INDEX(Data!$F$2:$F$497,MATCH(N470,Data!$A$2:$A$497,1))/INDEX(Data!$F$2:$F$497,MATCH(N458,Data!$A$2:$A$497,1))),"")</f>
        <v>-0.189636943126258</v>
      </c>
      <c r="AQ470" s="560">
        <f>IFERROR(LN(INDEX(Data!$G$2:$G$497,MATCH(N470,Data!$A$2:$A$497,1))/INDEX(Data!$G$2:$G$497,MATCH(N458,Data!$A$2:$A$497,1))),"")</f>
        <v>0.095751951251488</v>
      </c>
      <c r="AR470" s="560">
        <f>IFERROR(LN(INDEX(Data!$H$2:$H$497,MATCH(N470,Data!$A$2:$A$497,1))/INDEX(Data!$H$2:$H$497,MATCH(N458,Data!$A$2:$A$497,1))),"")</f>
        <v>0.0592098477612648</v>
      </c>
      <c r="AS470" s="560">
        <f>IFERROR(LN(INDEX(Data!$I$2:$I$497,MATCH(N470,Data!$A$2:$A$497,1))/INDEX(Data!$I$2:$I$497,MATCH(N458,Data!$A$2:$A$497,1))),"")</f>
        <v>0.296221668704963</v>
      </c>
      <c r="AT470" s="560">
        <f>IFERROR(LN(INDEX(Data!$J$2:$J$497,MATCH(N470,Data!$A$2:$A$497,1))/INDEX(Data!$J$2:$J$497,MATCH(N458,Data!$A$2:$A$497,1))),"")</f>
        <v>0.0430759533357091</v>
      </c>
      <c r="AU470" s="560">
        <f>IFERROR(LN(INDEX(Data!$K$2:$K$497,MATCH(N470,Data!$A$2:$A$497,1))/INDEX(Data!$K$2:$K$497,MATCH(N458,Data!$A$2:$A$497,1))),"")</f>
        <v>0.0533309465431653</v>
      </c>
      <c r="AV470" s="561">
        <f>IFERROR(LN(INDEX(Data!$L$2:$L$497,MATCH(N470,Data!$A$2:$A$497,1))/INDEX(Data!$L$2:$L$497,MATCH(N458,Data!$A$2:$A$497,1))),"")</f>
        <v>0.0573456568344913</v>
      </c>
    </row>
    <row r="471">
      <c r="N471" s="337" t="n">
        <v>39051</v>
      </c>
      <c r="O471" s="116">
        <f>INDEX('Additional data'!$B$2:$B$965,MATCH(DATE(YEAR(N471),MONTH(N471),1),'Additional data'!$A$2:$A$965,0))</f>
        <v>59.37</v>
      </c>
      <c r="P471" s="489">
        <f>LN(O471)</f>
        <v>4.08378904828258</v>
      </c>
      <c r="Q471" s="489">
        <f>Q470+LN(1+INDEX('Additional data'!$H$2:$H$1196,MATCH(N471,'Additional data'!$G$2:$G$1196,1))+INDEX('Additional data'!$I$2:$I$1196,MATCH(N471,'Additional data'!$G$2:$G$1196,1)))</f>
        <v>3.91676231765814</v>
      </c>
      <c r="R471" s="489">
        <f>LN(INDEX(Data!$B$2:$B$497,MATCH(N471,Data!$A$2:$A$497,1)))</f>
        <v>10.408361158133</v>
      </c>
      <c r="S471" s="116">
        <f>IF(INDEX('Additional data'!$E$2:$E$699,MATCH(DATE(YEAR(N471),MONTH(N471),1),'Additional data'!$D$2:$D$699,0))=0,(INDEX('Additional data'!$E$2:$E$699,MATCH(DATE(YEAR(N471),MONTH(N471),1),'Additional data'!$D$2:$D$699,0)-1)+INDEX('Additional data'!$E$2:$E$699,MATCH(DATE(YEAR(N471),MONTH(N471),1),'Additional data'!$D$2:$D$699,0)+1))/2,INDEX('Additional data'!$E$2:$E$699,MATCH(DATE(YEAR(N471),MONTH(N471),1),'Additional data'!$D$2:$D$699,0)))</f>
        <v>6.37</v>
      </c>
      <c r="T471" s="425">
        <f>P471-P470</f>
        <v>0.00828757386196255</v>
      </c>
      <c r="U471" s="425">
        <f>Q471-Q470</f>
        <v>0.0209784063851917</v>
      </c>
      <c r="V471" s="425">
        <f>R471-R470</f>
        <v>0.0244574998284435</v>
      </c>
      <c r="W471" s="116">
        <f>S471-S470</f>
        <v>0.0899999999999999</v>
      </c>
      <c r="X471" s="425">
        <f>P471-P459</f>
        <v>0.0181869549261373</v>
      </c>
      <c r="Y471" s="425">
        <f>Q471-Q459</f>
        <v>0.131597807196019</v>
      </c>
      <c r="Z471" s="425">
        <f>R471-R459</f>
        <v>0.217244097026509</v>
      </c>
      <c r="AA471" s="116">
        <f>S471-S459</f>
        <v>0.74</v>
      </c>
      <c r="AB471" s="425">
        <f>P471-P411</f>
        <v>1.10469441588162</v>
      </c>
      <c r="AC471" s="425">
        <f>Q471-Q411</f>
        <v>0.35800293202027</v>
      </c>
      <c r="AD471" s="425">
        <f>R471-R411</f>
        <v>0.711218915717396</v>
      </c>
      <c r="AE471" s="235">
        <f>S471-S411</f>
        <v>2.09</v>
      </c>
      <c r="AG471" s="554">
        <f>N471</f>
        <v>39051.0</v>
      </c>
      <c r="AH471" s="435">
        <f>IFERROR(INDEX('RBA 5Y yield'!$B$5:$B$661,MATCH(N471,'RBA 5Y yield'!$A$5:$A$661,1))*100,"")</f>
        <v>5.7957</v>
      </c>
      <c r="AI471" s="435">
        <f>IF(AND(ISNUMBER(AH471),ISNUMBER(AH470)),AH471-AH470,"")</f>
        <v>-0.0332999999999997</v>
      </c>
      <c r="AJ471" s="435">
        <f>IF(AND(ISNUMBER(AH471),ISNUMBER(AH459)),AH471-AH459,"")</f>
        <v>0.4221</v>
      </c>
      <c r="AK471" s="435">
        <f>IF(AND(ISNUMBER(AH471),ISNUMBER(AH411)),AH471-AH411,"")</f>
        <v>0.862299999999999</v>
      </c>
      <c r="AL471" s="560">
        <f>IFERROR(LN(INDEX(Data!$B$2:$B$497,MATCH(N471,Data!$A$2:$A$497,1))/INDEX(Data!$B$2:$B$497,MATCH(N459,Data!$A$2:$A$497,1))),"")</f>
        <v>0.217244097026508</v>
      </c>
      <c r="AM471" s="560">
        <f>IFERROR(LN(INDEX(Data!$C$2:$C$497,MATCH(N471,Data!$A$2:$A$497,1))/INDEX(Data!$C$2:$C$497,MATCH(N459,Data!$A$2:$A$497,1))),"")</f>
        <v>0.0801532815339024</v>
      </c>
      <c r="AN471" s="560">
        <f>IFERROR(LN(INDEX(Data!$D$2:$D$497,MATCH(N471,Data!$A$2:$A$497,1))/INDEX(Data!$D$2:$D$497,MATCH(N459,Data!$A$2:$A$497,1))),"")</f>
        <v>0.203251020988033</v>
      </c>
      <c r="AO471" s="560">
        <f>IFERROR(LN(INDEX(Data!$E$2:$E$497,MATCH(N471,Data!$A$2:$A$497,1))/INDEX(Data!$E$2:$E$497,MATCH(N459,Data!$A$2:$A$497,1))),"")</f>
        <v>0.243322146653925</v>
      </c>
      <c r="AP471" s="560">
        <f>IFERROR(LN(INDEX(Data!$F$2:$F$497,MATCH(N471,Data!$A$2:$A$497,1))/INDEX(Data!$F$2:$F$497,MATCH(N459,Data!$A$2:$A$497,1))),"")</f>
        <v>-0.125963618222003</v>
      </c>
      <c r="AQ471" s="560">
        <f>IFERROR(LN(INDEX(Data!$G$2:$G$497,MATCH(N471,Data!$A$2:$A$497,1))/INDEX(Data!$G$2:$G$497,MATCH(N459,Data!$A$2:$A$497,1))),"")</f>
        <v>0.095751951251488</v>
      </c>
      <c r="AR471" s="560">
        <f>IFERROR(LN(INDEX(Data!$H$2:$H$497,MATCH(N471,Data!$A$2:$A$497,1))/INDEX(Data!$H$2:$H$497,MATCH(N459,Data!$A$2:$A$497,1))),"")</f>
        <v>0.0393635513893336</v>
      </c>
      <c r="AS471" s="560">
        <f>IFERROR(LN(INDEX(Data!$I$2:$I$497,MATCH(N471,Data!$A$2:$A$497,1))/INDEX(Data!$I$2:$I$497,MATCH(N459,Data!$A$2:$A$497,1))),"")</f>
        <v>0.296221668704963</v>
      </c>
      <c r="AT471" s="560">
        <f>IFERROR(LN(INDEX(Data!$J$2:$J$497,MATCH(N471,Data!$A$2:$A$497,1))/INDEX(Data!$J$2:$J$497,MATCH(N459,Data!$A$2:$A$497,1))),"")</f>
        <v>0.0431517033332448</v>
      </c>
      <c r="AU471" s="560">
        <f>IFERROR(LN(INDEX(Data!$K$2:$K$497,MATCH(N471,Data!$A$2:$A$497,1))/INDEX(Data!$K$2:$K$497,MATCH(N459,Data!$A$2:$A$497,1))),"")</f>
        <v>0.0566391638503432</v>
      </c>
      <c r="AV471" s="561">
        <f>IFERROR(LN(INDEX(Data!$L$2:$L$497,MATCH(N471,Data!$A$2:$A$497,1))/INDEX(Data!$L$2:$L$497,MATCH(N459,Data!$A$2:$A$497,1))),"")</f>
        <v>0.0578650177191716</v>
      </c>
    </row>
    <row r="472">
      <c r="N472" s="337" t="n">
        <v>39082</v>
      </c>
      <c r="O472" s="116">
        <f>INDEX('Additional data'!$B$2:$B$965,MATCH(DATE(YEAR(N472),MONTH(N472),1),'Additional data'!$A$2:$A$965,0))</f>
        <v>62.03</v>
      </c>
      <c r="P472" s="489">
        <f>LN(O472)</f>
        <v>4.12761813898503</v>
      </c>
      <c r="Q472" s="489">
        <f>Q471+LN(1+INDEX('Additional data'!$H$2:$H$1196,MATCH(N472,'Additional data'!$G$2:$G$1196,1))+INDEX('Additional data'!$I$2:$I$1196,MATCH(N472,'Additional data'!$G$2:$G$1196,1)))</f>
        <v>3.9291848376567</v>
      </c>
      <c r="R472" s="489">
        <f>LN(INDEX(Data!$B$2:$B$497,MATCH(N472,Data!$A$2:$A$497,1)))</f>
        <v>10.4438979782057</v>
      </c>
      <c r="S472" s="116">
        <f>IF(INDEX('Additional data'!$E$2:$E$699,MATCH(DATE(YEAR(N472),MONTH(N472),1),'Additional data'!$D$2:$D$699,0))=0,(INDEX('Additional data'!$E$2:$E$699,MATCH(DATE(YEAR(N472),MONTH(N472),1),'Additional data'!$D$2:$D$699,0)-1)+INDEX('Additional data'!$E$2:$E$699,MATCH(DATE(YEAR(N472),MONTH(N472),1),'Additional data'!$D$2:$D$699,0)+1))/2,INDEX('Additional data'!$E$2:$E$699,MATCH(DATE(YEAR(N472),MONTH(N472),1),'Additional data'!$D$2:$D$699,0)))</f>
        <v>6.39</v>
      </c>
      <c r="T472" s="425">
        <f>P472-P471</f>
        <v>0.0438290907024426</v>
      </c>
      <c r="U472" s="425">
        <f>Q472-Q471</f>
        <v>0.012422519998557</v>
      </c>
      <c r="V472" s="425">
        <f>R472-R471</f>
        <v>0.0355368200727089</v>
      </c>
      <c r="W472" s="116">
        <f>S472-S471</f>
        <v>0.0199999999999996</v>
      </c>
      <c r="X472" s="425">
        <f>P472-P460</f>
        <v>0.0428189896064568</v>
      </c>
      <c r="Y472" s="425">
        <f>Q472-Q460</f>
        <v>0.143220647024011</v>
      </c>
      <c r="Z472" s="425">
        <f>R472-R460</f>
        <v>0.222868127962094</v>
      </c>
      <c r="AA472" s="116">
        <f>S472-S460</f>
        <v>0.76</v>
      </c>
      <c r="AB472" s="425">
        <f>P472-P412</f>
        <v>1.16595984576479</v>
      </c>
      <c r="AC472" s="425">
        <f>Q472-Q412</f>
        <v>0.352978538415106</v>
      </c>
      <c r="AD472" s="425">
        <f>R472-R412</f>
        <v>0.720512567188656</v>
      </c>
      <c r="AE472" s="235">
        <f>S472-S412</f>
        <v>2.14</v>
      </c>
      <c r="AG472" s="554">
        <f>N472</f>
        <v>39082.0</v>
      </c>
      <c r="AH472" s="435">
        <f>IFERROR(INDEX('RBA 5Y yield'!$B$5:$B$661,MATCH(N472,'RBA 5Y yield'!$A$5:$A$661,1))*100,"")</f>
        <v>5.8684</v>
      </c>
      <c r="AI472" s="435">
        <f>IF(AND(ISNUMBER(AH472),ISNUMBER(AH471)),AH472-AH471,"")</f>
        <v>0.0727000000000002</v>
      </c>
      <c r="AJ472" s="435">
        <f>IF(AND(ISNUMBER(AH472),ISNUMBER(AH460)),AH472-AH460,"")</f>
        <v>0.5256</v>
      </c>
      <c r="AK472" s="435">
        <f>IF(AND(ISNUMBER(AH472),ISNUMBER(AH412)),AH472-AH412,"")</f>
        <v>0.540500000000001</v>
      </c>
      <c r="AL472" s="560">
        <f>IFERROR(LN(INDEX(Data!$B$2:$B$497,MATCH(N472,Data!$A$2:$A$497,1))/INDEX(Data!$B$2:$B$497,MATCH(N460,Data!$A$2:$A$497,1))),"")</f>
        <v>0.222868127962095</v>
      </c>
      <c r="AM472" s="560">
        <f>IFERROR(LN(INDEX(Data!$C$2:$C$497,MATCH(N472,Data!$A$2:$A$497,1))/INDEX(Data!$C$2:$C$497,MATCH(N460,Data!$A$2:$A$497,1))),"")</f>
        <v>0.0775751022653941</v>
      </c>
      <c r="AN472" s="560">
        <f>IFERROR(LN(INDEX(Data!$D$2:$D$497,MATCH(N472,Data!$A$2:$A$497,1))/INDEX(Data!$D$2:$D$497,MATCH(N460,Data!$A$2:$A$497,1))),"")</f>
        <v>0.181574311341854</v>
      </c>
      <c r="AO472" s="560">
        <f>IFERROR(LN(INDEX(Data!$E$2:$E$497,MATCH(N472,Data!$A$2:$A$497,1))/INDEX(Data!$E$2:$E$497,MATCH(N460,Data!$A$2:$A$497,1))),"")</f>
        <v>0.236698939105091</v>
      </c>
      <c r="AP472" s="560">
        <f>IFERROR(LN(INDEX(Data!$F$2:$F$497,MATCH(N472,Data!$A$2:$A$497,1))/INDEX(Data!$F$2:$F$497,MATCH(N460,Data!$A$2:$A$497,1))),"")</f>
        <v>-0.23545755627549</v>
      </c>
      <c r="AQ472" s="560">
        <f>IFERROR(LN(INDEX(Data!$G$2:$G$497,MATCH(N472,Data!$A$2:$A$497,1))/INDEX(Data!$G$2:$G$497,MATCH(N460,Data!$A$2:$A$497,1))),"")</f>
        <v>0.0942203954781186</v>
      </c>
      <c r="AR472" s="560">
        <f>IFERROR(LN(INDEX(Data!$H$2:$H$497,MATCH(N472,Data!$A$2:$A$497,1))/INDEX(Data!$H$2:$H$497,MATCH(N460,Data!$A$2:$A$497,1))),"")</f>
        <v>0.0654950878537706</v>
      </c>
      <c r="AS472" s="560">
        <f>IFERROR(LN(INDEX(Data!$I$2:$I$497,MATCH(N472,Data!$A$2:$A$497,1))/INDEX(Data!$I$2:$I$497,MATCH(N460,Data!$A$2:$A$497,1))),"")</f>
        <v>0.335727284764075</v>
      </c>
      <c r="AT472" s="560">
        <f>IFERROR(LN(INDEX(Data!$J$2:$J$497,MATCH(N472,Data!$A$2:$A$497,1))/INDEX(Data!$J$2:$J$497,MATCH(N460,Data!$A$2:$A$497,1))),"")</f>
        <v>0.0309275974832877</v>
      </c>
      <c r="AU472" s="560">
        <f>IFERROR(LN(INDEX(Data!$K$2:$K$497,MATCH(N472,Data!$A$2:$A$497,1))/INDEX(Data!$K$2:$K$497,MATCH(N460,Data!$A$2:$A$497,1))),"")</f>
        <v>0.0431464839426407</v>
      </c>
      <c r="AV472" s="561">
        <f>IFERROR(LN(INDEX(Data!$L$2:$L$497,MATCH(N472,Data!$A$2:$A$497,1))/INDEX(Data!$L$2:$L$497,MATCH(N460,Data!$A$2:$A$497,1))),"")</f>
        <v>0.0584711760063456</v>
      </c>
    </row>
    <row r="473">
      <c r="N473" s="337" t="n">
        <v>39113</v>
      </c>
      <c r="O473" s="116">
        <f>INDEX('Additional data'!$B$2:$B$965,MATCH(DATE(YEAR(N473),MONTH(N473),1),'Additional data'!$A$2:$A$965,0))</f>
        <v>54.57</v>
      </c>
      <c r="P473" s="489">
        <f>LN(O473)</f>
        <v>3.99948428119814</v>
      </c>
      <c r="Q473" s="489">
        <f>Q472+LN(1+INDEX('Additional data'!$H$2:$H$1196,MATCH(N473,'Additional data'!$G$2:$G$1196,1))+INDEX('Additional data'!$I$2:$I$1196,MATCH(N473,'Additional data'!$G$2:$G$1196,1)))</f>
        <v>3.9472212001428</v>
      </c>
      <c r="R473" s="489">
        <f>LN(INDEX(Data!$B$2:$B$497,MATCH(N473,Data!$A$2:$A$497,1)))</f>
        <v>10.4638386700505</v>
      </c>
      <c r="S473" s="116">
        <f>IF(INDEX('Additional data'!$E$2:$E$699,MATCH(DATE(YEAR(N473),MONTH(N473),1),'Additional data'!$D$2:$D$699,0))=0,(INDEX('Additional data'!$E$2:$E$699,MATCH(DATE(YEAR(N473),MONTH(N473),1),'Additional data'!$D$2:$D$699,0)-1)+INDEX('Additional data'!$E$2:$E$699,MATCH(DATE(YEAR(N473),MONTH(N473),1),'Additional data'!$D$2:$D$699,0)+1))/2,INDEX('Additional data'!$E$2:$E$699,MATCH(DATE(YEAR(N473),MONTH(N473),1),'Additional data'!$D$2:$D$699,0)))</f>
        <v>6.43</v>
      </c>
      <c r="T473" s="425">
        <f>P473-P472</f>
        <v>-0.128133857786886</v>
      </c>
      <c r="U473" s="425">
        <f>Q473-Q472</f>
        <v>0.0180363624860984</v>
      </c>
      <c r="V473" s="425">
        <f>R473-R472</f>
        <v>0.0199406918448073</v>
      </c>
      <c r="W473" s="116">
        <f>S473-S472</f>
        <v>0.04</v>
      </c>
      <c r="X473" s="425">
        <f>P473-P461</f>
        <v>-0.182718521545645</v>
      </c>
      <c r="Y473" s="425">
        <f>Q473-Q461</f>
        <v>0.128015675730308</v>
      </c>
      <c r="Z473" s="425">
        <f>R473-R461</f>
        <v>0.207002273919718</v>
      </c>
      <c r="AA473" s="116">
        <f>S473-S461</f>
        <v>0.8</v>
      </c>
      <c r="AB473" s="425">
        <f>P473-P413</f>
        <v>1.02038964879717</v>
      </c>
      <c r="AC473" s="425">
        <f>Q473-Q413</f>
        <v>0.38410014044986</v>
      </c>
      <c r="AD473" s="425">
        <f>R473-R413</f>
        <v>0.727371161847803</v>
      </c>
      <c r="AE473" s="235">
        <f>S473-S413</f>
        <v>2.17</v>
      </c>
      <c r="AG473" s="554">
        <f>N473</f>
        <v>39113.0</v>
      </c>
      <c r="AH473" s="435">
        <f>IFERROR(INDEX('RBA 5Y yield'!$B$5:$B$661,MATCH(N473,'RBA 5Y yield'!$A$5:$A$661,1))*100,"")</f>
        <v>6.0471</v>
      </c>
      <c r="AI473" s="435">
        <f>IF(AND(ISNUMBER(AH473),ISNUMBER(AH472)),AH473-AH472,"")</f>
        <v>0.178699999999999</v>
      </c>
      <c r="AJ473" s="435">
        <f>IF(AND(ISNUMBER(AH473),ISNUMBER(AH461)),AH473-AH461,"")</f>
        <v>0.8706</v>
      </c>
      <c r="AK473" s="435">
        <f>IF(AND(ISNUMBER(AH473),ISNUMBER(AH413)),AH473-AH413,"")</f>
        <v>0.635199999999999</v>
      </c>
      <c r="AL473" s="560">
        <f>IFERROR(LN(INDEX(Data!$B$2:$B$497,MATCH(N473,Data!$A$2:$A$497,1))/INDEX(Data!$B$2:$B$497,MATCH(N461,Data!$A$2:$A$497,1))),"")</f>
        <v>0.207002273919719</v>
      </c>
      <c r="AM473" s="560">
        <f>IFERROR(LN(INDEX(Data!$C$2:$C$497,MATCH(N473,Data!$A$2:$A$497,1))/INDEX(Data!$C$2:$C$497,MATCH(N461,Data!$A$2:$A$497,1))),"")</f>
        <v>0.111868591117373</v>
      </c>
      <c r="AN473" s="560">
        <f>IFERROR(LN(INDEX(Data!$D$2:$D$497,MATCH(N473,Data!$A$2:$A$497,1))/INDEX(Data!$D$2:$D$497,MATCH(N461,Data!$A$2:$A$497,1))),"")</f>
        <v>0.148905538458268</v>
      </c>
      <c r="AO473" s="560">
        <f>IFERROR(LN(INDEX(Data!$E$2:$E$497,MATCH(N473,Data!$A$2:$A$497,1))/INDEX(Data!$E$2:$E$497,MATCH(N461,Data!$A$2:$A$497,1))),"")</f>
        <v>0.298625033552364</v>
      </c>
      <c r="AP473" s="560">
        <f>IFERROR(LN(INDEX(Data!$F$2:$F$497,MATCH(N473,Data!$A$2:$A$497,1))/INDEX(Data!$F$2:$F$497,MATCH(N461,Data!$A$2:$A$497,1))),"")</f>
        <v>-0.252904229175573</v>
      </c>
      <c r="AQ473" s="560">
        <f>IFERROR(LN(INDEX(Data!$G$2:$G$497,MATCH(N473,Data!$A$2:$A$497,1))/INDEX(Data!$G$2:$G$497,MATCH(N461,Data!$A$2:$A$497,1))),"")</f>
        <v>0.0942203954781186</v>
      </c>
      <c r="AR473" s="560">
        <f>IFERROR(LN(INDEX(Data!$H$2:$H$497,MATCH(N473,Data!$A$2:$A$497,1))/INDEX(Data!$H$2:$H$497,MATCH(N461,Data!$A$2:$A$497,1))),"")</f>
        <v>0.0846700829847437</v>
      </c>
      <c r="AS473" s="560">
        <f>IFERROR(LN(INDEX(Data!$I$2:$I$497,MATCH(N473,Data!$A$2:$A$497,1))/INDEX(Data!$I$2:$I$497,MATCH(N461,Data!$A$2:$A$497,1))),"")</f>
        <v>0.335727284764075</v>
      </c>
      <c r="AT473" s="560">
        <f>IFERROR(LN(INDEX(Data!$J$2:$J$497,MATCH(N473,Data!$A$2:$A$497,1))/INDEX(Data!$J$2:$J$497,MATCH(N461,Data!$A$2:$A$497,1))),"")</f>
        <v>0.0339449335754837</v>
      </c>
      <c r="AU473" s="560">
        <f>IFERROR(LN(INDEX(Data!$K$2:$K$497,MATCH(N473,Data!$A$2:$A$497,1))/INDEX(Data!$K$2:$K$497,MATCH(N461,Data!$A$2:$A$497,1))),"")</f>
        <v>0.0432431102988628</v>
      </c>
      <c r="AV473" s="561">
        <f>IFERROR(LN(INDEX(Data!$L$2:$L$497,MATCH(N473,Data!$A$2:$A$497,1))/INDEX(Data!$L$2:$L$497,MATCH(N461,Data!$A$2:$A$497,1))),"")</f>
        <v>0.0591606516504931</v>
      </c>
    </row>
    <row r="474">
      <c r="N474" s="337" t="n">
        <v>39141</v>
      </c>
      <c r="O474" s="116">
        <f>INDEX('Additional data'!$B$2:$B$965,MATCH(DATE(YEAR(N474),MONTH(N474),1),'Additional data'!$A$2:$A$965,0))</f>
        <v>59.26</v>
      </c>
      <c r="P474" s="489">
        <f>LN(O474)</f>
        <v>4.08193454214542</v>
      </c>
      <c r="Q474" s="489">
        <f>Q473+LN(1+INDEX('Additional data'!$H$2:$H$1196,MATCH(N474,'Additional data'!$G$2:$G$1196,1))+INDEX('Additional data'!$I$2:$I$1196,MATCH(N474,'Additional data'!$G$2:$G$1196,1)))</f>
        <v>3.93129504959254</v>
      </c>
      <c r="R474" s="489">
        <f>LN(INDEX(Data!$B$2:$B$497,MATCH(N474,Data!$A$2:$A$497,1)))</f>
        <v>10.4796418227085</v>
      </c>
      <c r="S474" s="116">
        <f>IF(INDEX('Additional data'!$E$2:$E$699,MATCH(DATE(YEAR(N474),MONTH(N474),1),'Additional data'!$D$2:$D$699,0))=0,(INDEX('Additional data'!$E$2:$E$699,MATCH(DATE(YEAR(N474),MONTH(N474),1),'Additional data'!$D$2:$D$699,0)-1)+INDEX('Additional data'!$E$2:$E$699,MATCH(DATE(YEAR(N474),MONTH(N474),1),'Additional data'!$D$2:$D$699,0)+1))/2,INDEX('Additional data'!$E$2:$E$699,MATCH(DATE(YEAR(N474),MONTH(N474),1),'Additional data'!$D$2:$D$699,0)))</f>
        <v>6.37</v>
      </c>
      <c r="T474" s="425">
        <f>P474-P473</f>
        <v>0.0824502609472781</v>
      </c>
      <c r="U474" s="425">
        <f>Q474-Q473</f>
        <v>-0.0159261505502593</v>
      </c>
      <c r="V474" s="425">
        <f>R474-R473</f>
        <v>0.0158031526580142</v>
      </c>
      <c r="W474" s="116">
        <f>S474-S473</f>
        <v>-0.0599999999999996</v>
      </c>
      <c r="X474" s="425">
        <f>P474-P462</f>
        <v>-0.0392142228287327</v>
      </c>
      <c r="Y474" s="425">
        <f>Q474-Q462</f>
        <v>0.111689605158722</v>
      </c>
      <c r="Z474" s="425">
        <f>R474-R462</f>
        <v>0.215826495948987</v>
      </c>
      <c r="AA474" s="116">
        <f>S474-S462</f>
        <v>0.76</v>
      </c>
      <c r="AB474" s="425">
        <f>P474-P414</f>
        <v>1.04987033934404</v>
      </c>
      <c r="AC474" s="425">
        <f>Q474-Q414</f>
        <v>0.390112897418355</v>
      </c>
      <c r="AD474" s="425">
        <f>R474-R414</f>
        <v>0.753812039350452</v>
      </c>
      <c r="AE474" s="235">
        <f>S474-S414</f>
        <v>2.06</v>
      </c>
      <c r="AG474" s="554">
        <f>N474</f>
        <v>39141.0</v>
      </c>
      <c r="AH474" s="435">
        <f>IFERROR(INDEX('RBA 5Y yield'!$B$5:$B$661,MATCH(N474,'RBA 5Y yield'!$A$5:$A$661,1))*100,"")</f>
        <v>5.965</v>
      </c>
      <c r="AI474" s="435">
        <f>IF(AND(ISNUMBER(AH474),ISNUMBER(AH473)),AH474-AH473,"")</f>
        <v>-0.0820999999999996</v>
      </c>
      <c r="AJ474" s="435">
        <f>IF(AND(ISNUMBER(AH474),ISNUMBER(AH462)),AH474-AH462,"")</f>
        <v>0.7265</v>
      </c>
      <c r="AK474" s="435">
        <f>IF(AND(ISNUMBER(AH474),ISNUMBER(AH414)),AH474-AH414,"")</f>
        <v>0.3333</v>
      </c>
      <c r="AL474" s="560">
        <f>IFERROR(LN(INDEX(Data!$B$2:$B$497,MATCH(N474,Data!$A$2:$A$497,1))/INDEX(Data!$B$2:$B$497,MATCH(N462,Data!$A$2:$A$497,1))),"")</f>
        <v>0.215826495948988</v>
      </c>
      <c r="AM474" s="560">
        <f>IFERROR(LN(INDEX(Data!$C$2:$C$497,MATCH(N474,Data!$A$2:$A$497,1))/INDEX(Data!$C$2:$C$497,MATCH(N462,Data!$A$2:$A$497,1))),"")</f>
        <v>0.0615211959825277</v>
      </c>
      <c r="AN474" s="560">
        <f>IFERROR(LN(INDEX(Data!$D$2:$D$497,MATCH(N474,Data!$A$2:$A$497,1))/INDEX(Data!$D$2:$D$497,MATCH(N462,Data!$A$2:$A$497,1))),"")</f>
        <v>0.107287717463689</v>
      </c>
      <c r="AO474" s="560">
        <f>IFERROR(LN(INDEX(Data!$E$2:$E$497,MATCH(N474,Data!$A$2:$A$497,1))/INDEX(Data!$E$2:$E$497,MATCH(N462,Data!$A$2:$A$497,1))),"")</f>
        <v>0.22749869046255</v>
      </c>
      <c r="AP474" s="560">
        <f>IFERROR(LN(INDEX(Data!$F$2:$F$497,MATCH(N474,Data!$A$2:$A$497,1))/INDEX(Data!$F$2:$F$497,MATCH(N462,Data!$A$2:$A$497,1))),"")</f>
        <v>-0.139541357542139</v>
      </c>
      <c r="AQ474" s="560">
        <f>IFERROR(LN(INDEX(Data!$G$2:$G$497,MATCH(N474,Data!$A$2:$A$497,1))/INDEX(Data!$G$2:$G$497,MATCH(N462,Data!$A$2:$A$497,1))),"")</f>
        <v>0.0942203954781186</v>
      </c>
      <c r="AR474" s="560">
        <f>IFERROR(LN(INDEX(Data!$H$2:$H$497,MATCH(N474,Data!$A$2:$A$497,1))/INDEX(Data!$H$2:$H$497,MATCH(N462,Data!$A$2:$A$497,1))),"")</f>
        <v>0.0984211034419952</v>
      </c>
      <c r="AS474" s="560">
        <f>IFERROR(LN(INDEX(Data!$I$2:$I$497,MATCH(N474,Data!$A$2:$A$497,1))/INDEX(Data!$I$2:$I$497,MATCH(N462,Data!$A$2:$A$497,1))),"")</f>
        <v>0.335727284764075</v>
      </c>
      <c r="AT474" s="560">
        <f>IFERROR(LN(INDEX(Data!$J$2:$J$497,MATCH(N474,Data!$A$2:$A$497,1))/INDEX(Data!$J$2:$J$497,MATCH(N462,Data!$A$2:$A$497,1))),"")</f>
        <v>0.0401460450082254</v>
      </c>
      <c r="AU474" s="560">
        <f>IFERROR(LN(INDEX(Data!$K$2:$K$497,MATCH(N474,Data!$A$2:$A$497,1))/INDEX(Data!$K$2:$K$497,MATCH(N462,Data!$A$2:$A$497,1))),"")</f>
        <v>0.0526559606130508</v>
      </c>
      <c r="AV474" s="561">
        <f>IFERROR(LN(INDEX(Data!$L$2:$L$497,MATCH(N474,Data!$A$2:$A$497,1))/INDEX(Data!$L$2:$L$497,MATCH(N462,Data!$A$2:$A$497,1))),"")</f>
        <v>0.059772643057098</v>
      </c>
    </row>
    <row r="475">
      <c r="N475" s="337" t="n">
        <v>39172</v>
      </c>
      <c r="O475" s="116">
        <f>INDEX('Additional data'!$B$2:$B$965,MATCH(DATE(YEAR(N475),MONTH(N475),1),'Additional data'!$A$2:$A$965,0))</f>
        <v>60.56</v>
      </c>
      <c r="P475" s="489">
        <f>LN(O475)</f>
        <v>4.10363460912919</v>
      </c>
      <c r="Q475" s="489">
        <f>Q474+LN(1+INDEX('Additional data'!$H$2:$H$1196,MATCH(N475,'Additional data'!$G$2:$G$1196,1))+INDEX('Additional data'!$I$2:$I$1196,MATCH(N475,'Additional data'!$G$2:$G$1196,1)))</f>
        <v>3.94263055925628</v>
      </c>
      <c r="R475" s="489">
        <f>LN(INDEX(Data!$B$2:$B$497,MATCH(N475,Data!$A$2:$A$497,1)))</f>
        <v>10.5123581313791</v>
      </c>
      <c r="S475" s="116">
        <f>IF(INDEX('Additional data'!$E$2:$E$699,MATCH(DATE(YEAR(N475),MONTH(N475),1),'Additional data'!$D$2:$D$699,0))=0,(INDEX('Additional data'!$E$2:$E$699,MATCH(DATE(YEAR(N475),MONTH(N475),1),'Additional data'!$D$2:$D$699,0)-1)+INDEX('Additional data'!$E$2:$E$699,MATCH(DATE(YEAR(N475),MONTH(N475),1),'Additional data'!$D$2:$D$699,0)+1))/2,INDEX('Additional data'!$E$2:$E$699,MATCH(DATE(YEAR(N475),MONTH(N475),1),'Additional data'!$D$2:$D$699,0)))</f>
        <v>6.43</v>
      </c>
      <c r="T475" s="425">
        <f>P475-P474</f>
        <v>0.021700066983775</v>
      </c>
      <c r="U475" s="425">
        <f>Q475-Q474</f>
        <v>0.0113355096637457</v>
      </c>
      <c r="V475" s="425">
        <f>R475-R474</f>
        <v>0.032716308670647</v>
      </c>
      <c r="W475" s="116">
        <f>S475-S474</f>
        <v>0.0599999999999996</v>
      </c>
      <c r="X475" s="425">
        <f>P475-P463</f>
        <v>-0.0379115545772013</v>
      </c>
      <c r="Y475" s="425">
        <f>Q475-Q463</f>
        <v>0.104792346561407</v>
      </c>
      <c r="Z475" s="425">
        <f>R475-R463</f>
        <v>0.201595343337722</v>
      </c>
      <c r="AA475" s="116">
        <f>S475-S463</f>
        <v>0.819999999999999</v>
      </c>
      <c r="AB475" s="425">
        <f>P475-P415</f>
        <v>0.908232140446635</v>
      </c>
      <c r="AC475" s="425">
        <f>Q475-Q415</f>
        <v>0.358676315238231</v>
      </c>
      <c r="AD475" s="425">
        <f>R475-R415</f>
        <v>0.77872333522788</v>
      </c>
      <c r="AE475" s="235">
        <f>S475-S415</f>
        <v>1.97</v>
      </c>
      <c r="AG475" s="554">
        <f>N475</f>
        <v>39172.0</v>
      </c>
      <c r="AH475" s="435">
        <f>IFERROR(INDEX('RBA 5Y yield'!$B$5:$B$661,MATCH(N475,'RBA 5Y yield'!$A$5:$A$661,1))*100,"")</f>
        <v>5.9493</v>
      </c>
      <c r="AI475" s="435">
        <f>IF(AND(ISNUMBER(AH475),ISNUMBER(AH474)),AH475-AH474,"")</f>
        <v>-0.0156999999999998</v>
      </c>
      <c r="AJ475" s="435">
        <f>IF(AND(ISNUMBER(AH475),ISNUMBER(AH463)),AH475-AH463,"")</f>
        <v>0.6517</v>
      </c>
      <c r="AK475" s="435">
        <f>IF(AND(ISNUMBER(AH475),ISNUMBER(AH415)),AH475-AH415,"")</f>
        <v>-0.0482000000000005</v>
      </c>
      <c r="AL475" s="560">
        <f>IFERROR(LN(INDEX(Data!$B$2:$B$497,MATCH(N475,Data!$A$2:$A$497,1))/INDEX(Data!$B$2:$B$497,MATCH(N463,Data!$A$2:$A$497,1))),"")</f>
        <v>0.201595343337722</v>
      </c>
      <c r="AM475" s="560">
        <f>IFERROR(LN(INDEX(Data!$C$2:$C$497,MATCH(N475,Data!$A$2:$A$497,1))/INDEX(Data!$C$2:$C$497,MATCH(N463,Data!$A$2:$A$497,1))),"")</f>
        <v>-0.0135693517247233</v>
      </c>
      <c r="AN475" s="560">
        <f>IFERROR(LN(INDEX(Data!$D$2:$D$497,MATCH(N475,Data!$A$2:$A$497,1))/INDEX(Data!$D$2:$D$497,MATCH(N463,Data!$A$2:$A$497,1))),"")</f>
        <v>0.059474122497544</v>
      </c>
      <c r="AO475" s="560">
        <f>IFERROR(LN(INDEX(Data!$E$2:$E$497,MATCH(N475,Data!$A$2:$A$497,1))/INDEX(Data!$E$2:$E$497,MATCH(N463,Data!$A$2:$A$497,1))),"")</f>
        <v>0.115145793903172</v>
      </c>
      <c r="AP475" s="560">
        <f>IFERROR(LN(INDEX(Data!$F$2:$F$497,MATCH(N475,Data!$A$2:$A$497,1))/INDEX(Data!$F$2:$F$497,MATCH(N463,Data!$A$2:$A$497,1))),"")</f>
        <v>-0.223625801352787</v>
      </c>
      <c r="AQ475" s="560">
        <f>IFERROR(LN(INDEX(Data!$G$2:$G$497,MATCH(N475,Data!$A$2:$A$497,1))/INDEX(Data!$G$2:$G$497,MATCH(N463,Data!$A$2:$A$497,1))),"")</f>
        <v>0.0921278225558104</v>
      </c>
      <c r="AR475" s="560">
        <f>IFERROR(LN(INDEX(Data!$H$2:$H$497,MATCH(N475,Data!$A$2:$A$497,1))/INDEX(Data!$H$2:$H$497,MATCH(N463,Data!$A$2:$A$497,1))),"")</f>
        <v>0.11318446385339</v>
      </c>
      <c r="AS475" s="560">
        <f>IFERROR(LN(INDEX(Data!$I$2:$I$497,MATCH(N475,Data!$A$2:$A$497,1))/INDEX(Data!$I$2:$I$497,MATCH(N463,Data!$A$2:$A$497,1))),"")</f>
        <v>0.257455119867787</v>
      </c>
      <c r="AT475" s="560">
        <f>IFERROR(LN(INDEX(Data!$J$2:$J$497,MATCH(N475,Data!$A$2:$A$497,1))/INDEX(Data!$J$2:$J$497,MATCH(N463,Data!$A$2:$A$497,1))),"")</f>
        <v>0.0363505960937126</v>
      </c>
      <c r="AU475" s="560">
        <f>IFERROR(LN(INDEX(Data!$K$2:$K$497,MATCH(N475,Data!$A$2:$A$497,1))/INDEX(Data!$K$2:$K$497,MATCH(N463,Data!$A$2:$A$497,1))),"")</f>
        <v>0.0618149346429617</v>
      </c>
      <c r="AV475" s="561">
        <f>IFERROR(LN(INDEX(Data!$L$2:$L$497,MATCH(N475,Data!$A$2:$A$497,1))/INDEX(Data!$L$2:$L$497,MATCH(N463,Data!$A$2:$A$497,1))),"")</f>
        <v>0.0602662197675478</v>
      </c>
    </row>
    <row r="476">
      <c r="N476" s="337" t="n">
        <v>39202</v>
      </c>
      <c r="O476" s="116">
        <f>INDEX('Additional data'!$B$2:$B$965,MATCH(DATE(YEAR(N476),MONTH(N476),1),'Additional data'!$A$2:$A$965,0))</f>
        <v>63.97</v>
      </c>
      <c r="P476" s="489">
        <f>LN(O476)</f>
        <v>4.15841422346205</v>
      </c>
      <c r="Q476" s="489">
        <f>Q475+LN(1+INDEX('Additional data'!$H$2:$H$1196,MATCH(N476,'Additional data'!$G$2:$G$1196,1))+INDEX('Additional data'!$I$2:$I$1196,MATCH(N476,'Additional data'!$G$2:$G$1196,1)))</f>
        <v>3.98117796886852</v>
      </c>
      <c r="R476" s="489">
        <f>LN(INDEX(Data!$B$2:$B$497,MATCH(N476,Data!$A$2:$A$497,1)))</f>
        <v>10.5423609752208</v>
      </c>
      <c r="S476" s="116">
        <f>IF(INDEX('Additional data'!$E$2:$E$699,MATCH(DATE(YEAR(N476),MONTH(N476),1),'Additional data'!$D$2:$D$699,0))=0,(INDEX('Additional data'!$E$2:$E$699,MATCH(DATE(YEAR(N476),MONTH(N476),1),'Additional data'!$D$2:$D$699,0)-1)+INDEX('Additional data'!$E$2:$E$699,MATCH(DATE(YEAR(N476),MONTH(N476),1),'Additional data'!$D$2:$D$699,0)+1))/2,INDEX('Additional data'!$E$2:$E$699,MATCH(DATE(YEAR(N476),MONTH(N476),1),'Additional data'!$D$2:$D$699,0)))</f>
        <v>6.48</v>
      </c>
      <c r="T476" s="425">
        <f>P476-P475</f>
        <v>0.0547796143328521</v>
      </c>
      <c r="U476" s="425">
        <f>Q476-Q475</f>
        <v>0.0385474096122387</v>
      </c>
      <c r="V476" s="425">
        <f>R476-R475</f>
        <v>0.0300028438416664</v>
      </c>
      <c r="W476" s="116">
        <f>S476-S475</f>
        <v>0.0500000000000007</v>
      </c>
      <c r="X476" s="425">
        <f>P476-P464</f>
        <v>-0.0856426119883817</v>
      </c>
      <c r="Y476" s="425">
        <f>Q476-Q464</f>
        <v>0.132498732995771</v>
      </c>
      <c r="Z476" s="425">
        <f>R476-R464</f>
        <v>0.207837096203347</v>
      </c>
      <c r="AA476" s="116">
        <f>S476-S464</f>
        <v>0.79</v>
      </c>
      <c r="AB476" s="425">
        <f>P476-P416</f>
        <v>0.889986619764597</v>
      </c>
      <c r="AC476" s="425">
        <f>Q476-Q416</f>
        <v>0.449148797715389</v>
      </c>
      <c r="AD476" s="425">
        <f>R476-R416</f>
        <v>0.826651036726029</v>
      </c>
      <c r="AE476" s="235">
        <f>S476-S416</f>
        <v>1.89</v>
      </c>
      <c r="AG476" s="554">
        <f>N476</f>
        <v>39202.0</v>
      </c>
      <c r="AH476" s="435">
        <f>IFERROR(INDEX('RBA 5Y yield'!$B$5:$B$661,MATCH(N476,'RBA 5Y yield'!$A$5:$A$661,1))*100,"")</f>
        <v>6.1083</v>
      </c>
      <c r="AI476" s="435">
        <f>IF(AND(ISNUMBER(AH476),ISNUMBER(AH475)),AH476-AH475,"")</f>
        <v>0.159</v>
      </c>
      <c r="AJ476" s="435">
        <f>IF(AND(ISNUMBER(AH476),ISNUMBER(AH464)),AH476-AH464,"")</f>
        <v>0.5583</v>
      </c>
      <c r="AK476" s="435">
        <f>IF(AND(ISNUMBER(AH476),ISNUMBER(AH416)),AH476-AH416,"")</f>
        <v>0.1448</v>
      </c>
      <c r="AL476" s="560">
        <f>IFERROR(LN(INDEX(Data!$B$2:$B$497,MATCH(N476,Data!$A$2:$A$497,1))/INDEX(Data!$B$2:$B$497,MATCH(N464,Data!$A$2:$A$497,1))),"")</f>
        <v>0.207837096203346</v>
      </c>
      <c r="AM476" s="560">
        <f>IFERROR(LN(INDEX(Data!$C$2:$C$497,MATCH(N476,Data!$A$2:$A$497,1))/INDEX(Data!$C$2:$C$497,MATCH(N464,Data!$A$2:$A$497,1))),"")</f>
        <v>0.0440583249566858</v>
      </c>
      <c r="AN476" s="560">
        <f>IFERROR(LN(INDEX(Data!$D$2:$D$497,MATCH(N476,Data!$A$2:$A$497,1))/INDEX(Data!$D$2:$D$497,MATCH(N464,Data!$A$2:$A$497,1))),"")</f>
        <v>0.0751468436380144</v>
      </c>
      <c r="AO476" s="560">
        <f>IFERROR(LN(INDEX(Data!$E$2:$E$497,MATCH(N476,Data!$A$2:$A$497,1))/INDEX(Data!$E$2:$E$497,MATCH(N464,Data!$A$2:$A$497,1))),"")</f>
        <v>0.174060008560119</v>
      </c>
      <c r="AP476" s="560">
        <f>IFERROR(LN(INDEX(Data!$F$2:$F$497,MATCH(N476,Data!$A$2:$A$497,1))/INDEX(Data!$F$2:$F$497,MATCH(N464,Data!$A$2:$A$497,1))),"")</f>
        <v>-0.255545397929627</v>
      </c>
      <c r="AQ476" s="560">
        <f>IFERROR(LN(INDEX(Data!$G$2:$G$497,MATCH(N476,Data!$A$2:$A$497,1))/INDEX(Data!$G$2:$G$497,MATCH(N464,Data!$A$2:$A$497,1))),"")</f>
        <v>0.0921278225558104</v>
      </c>
      <c r="AR476" s="560">
        <f>IFERROR(LN(INDEX(Data!$H$2:$H$497,MATCH(N476,Data!$A$2:$A$497,1))/INDEX(Data!$H$2:$H$497,MATCH(N464,Data!$A$2:$A$497,1))),"")</f>
        <v>0.133247398999322</v>
      </c>
      <c r="AS476" s="560">
        <f>IFERROR(LN(INDEX(Data!$I$2:$I$497,MATCH(N476,Data!$A$2:$A$497,1))/INDEX(Data!$I$2:$I$497,MATCH(N464,Data!$A$2:$A$497,1))),"")</f>
        <v>0.257455119867787</v>
      </c>
      <c r="AT476" s="560">
        <f>IFERROR(LN(INDEX(Data!$J$2:$J$497,MATCH(N476,Data!$A$2:$A$497,1))/INDEX(Data!$J$2:$J$497,MATCH(N464,Data!$A$2:$A$497,1))),"")</f>
        <v>0.0488435659217504</v>
      </c>
      <c r="AU476" s="560">
        <f>IFERROR(LN(INDEX(Data!$K$2:$K$497,MATCH(N476,Data!$A$2:$A$497,1))/INDEX(Data!$K$2:$K$497,MATCH(N464,Data!$A$2:$A$497,1))),"")</f>
        <v>0.0683328908642809</v>
      </c>
      <c r="AV476" s="561">
        <f>IFERROR(LN(INDEX(Data!$L$2:$L$497,MATCH(N476,Data!$A$2:$A$497,1))/INDEX(Data!$L$2:$L$497,MATCH(N464,Data!$A$2:$A$497,1))),"")</f>
        <v>0.0613136193780599</v>
      </c>
    </row>
    <row r="477">
      <c r="N477" s="337" t="n">
        <v>39233</v>
      </c>
      <c r="O477" s="116">
        <f>INDEX('Additional data'!$B$2:$B$965,MATCH(DATE(YEAR(N477),MONTH(N477),1),'Additional data'!$A$2:$A$965,0))</f>
        <v>63.46</v>
      </c>
      <c r="P477" s="489">
        <f>LN(O477)</f>
        <v>4.15040978615505</v>
      </c>
      <c r="Q477" s="489">
        <f>Q476+LN(1+INDEX('Additional data'!$H$2:$H$1196,MATCH(N477,'Additional data'!$G$2:$G$1196,1))+INDEX('Additional data'!$I$2:$I$1196,MATCH(N477,'Additional data'!$G$2:$G$1196,1)))</f>
        <v>4.01693113857434</v>
      </c>
      <c r="R477" s="489">
        <f>LN(INDEX(Data!$B$2:$B$497,MATCH(N477,Data!$A$2:$A$497,1)))</f>
        <v>10.5737810916862</v>
      </c>
      <c r="S477" s="116">
        <f>IF(INDEX('Additional data'!$E$2:$E$699,MATCH(DATE(YEAR(N477),MONTH(N477),1),'Additional data'!$D$2:$D$699,0))=0,(INDEX('Additional data'!$E$2:$E$699,MATCH(DATE(YEAR(N477),MONTH(N477),1),'Additional data'!$D$2:$D$699,0)-1)+INDEX('Additional data'!$E$2:$E$699,MATCH(DATE(YEAR(N477),MONTH(N477),1),'Additional data'!$D$2:$D$699,0)+1))/2,INDEX('Additional data'!$E$2:$E$699,MATCH(DATE(YEAR(N477),MONTH(N477),1),'Additional data'!$D$2:$D$699,0)))</f>
        <v>6.37</v>
      </c>
      <c r="T477" s="425">
        <f>P477-P476</f>
        <v>-0.00800443730699652</v>
      </c>
      <c r="U477" s="425">
        <f>Q477-Q476</f>
        <v>0.0357531697058175</v>
      </c>
      <c r="V477" s="425">
        <f>R477-R476</f>
        <v>0.0314201164654104</v>
      </c>
      <c r="W477" s="116">
        <f>S477-S476</f>
        <v>-0.11</v>
      </c>
      <c r="X477" s="425">
        <f>P477-P465</f>
        <v>-0.111424663190427</v>
      </c>
      <c r="Y477" s="425">
        <f>Q477-Q465</f>
        <v>0.200052215251386</v>
      </c>
      <c r="Z477" s="425">
        <f>R477-R465</f>
        <v>0.283594313943341</v>
      </c>
      <c r="AA477" s="116">
        <f>S477-S465</f>
        <v>0.5</v>
      </c>
      <c r="AB477" s="425">
        <f>P477-P417</f>
        <v>0.853832453622997</v>
      </c>
      <c r="AC477" s="425">
        <f>Q477-Q417</f>
        <v>0.49717699829682</v>
      </c>
      <c r="AD477" s="425">
        <f>R477-R417</f>
        <v>0.848995773600192</v>
      </c>
      <c r="AE477" s="235">
        <f>S477-S417</f>
        <v>1.53</v>
      </c>
      <c r="AG477" s="554">
        <f>N477</f>
        <v>39233.0</v>
      </c>
      <c r="AH477" s="435">
        <f>IFERROR(INDEX('RBA 5Y yield'!$B$5:$B$661,MATCH(N477,'RBA 5Y yield'!$A$5:$A$661,1))*100,"")</f>
        <v>6.0717</v>
      </c>
      <c r="AI477" s="435">
        <f>IF(AND(ISNUMBER(AH477),ISNUMBER(AH476)),AH477-AH476,"")</f>
        <v>-0.0366</v>
      </c>
      <c r="AJ477" s="435">
        <f>IF(AND(ISNUMBER(AH477),ISNUMBER(AH465)),AH477-AH465,"")</f>
        <v>0.3408</v>
      </c>
      <c r="AK477" s="435">
        <f>IF(AND(ISNUMBER(AH477),ISNUMBER(AH417)),AH477-AH417,"")</f>
        <v>0.1089</v>
      </c>
      <c r="AL477" s="560">
        <f>IFERROR(LN(INDEX(Data!$B$2:$B$497,MATCH(N477,Data!$A$2:$A$497,1))/INDEX(Data!$B$2:$B$497,MATCH(N465,Data!$A$2:$A$497,1))),"")</f>
        <v>0.283594313943341</v>
      </c>
      <c r="AM477" s="560">
        <f>IFERROR(LN(INDEX(Data!$C$2:$C$497,MATCH(N477,Data!$A$2:$A$497,1))/INDEX(Data!$C$2:$C$497,MATCH(N465,Data!$A$2:$A$497,1))),"")</f>
        <v>0.121081179485074</v>
      </c>
      <c r="AN477" s="560">
        <f>IFERROR(LN(INDEX(Data!$D$2:$D$497,MATCH(N477,Data!$A$2:$A$497,1))/INDEX(Data!$D$2:$D$497,MATCH(N465,Data!$A$2:$A$497,1))),"")</f>
        <v>0.19434192972686</v>
      </c>
      <c r="AO477" s="560">
        <f>IFERROR(LN(INDEX(Data!$E$2:$E$497,MATCH(N477,Data!$A$2:$A$497,1))/INDEX(Data!$E$2:$E$497,MATCH(N465,Data!$A$2:$A$497,1))),"")</f>
        <v>0.212506193947856</v>
      </c>
      <c r="AP477" s="560">
        <f>IFERROR(LN(INDEX(Data!$F$2:$F$497,MATCH(N477,Data!$A$2:$A$497,1))/INDEX(Data!$F$2:$F$497,MATCH(N465,Data!$A$2:$A$497,1))),"")</f>
        <v>-0.264556930132436</v>
      </c>
      <c r="AQ477" s="560">
        <f>IFERROR(LN(INDEX(Data!$G$2:$G$497,MATCH(N477,Data!$A$2:$A$497,1))/INDEX(Data!$G$2:$G$497,MATCH(N465,Data!$A$2:$A$497,1))),"")</f>
        <v>0.0921278225558104</v>
      </c>
      <c r="AR477" s="560">
        <f>IFERROR(LN(INDEX(Data!$H$2:$H$497,MATCH(N477,Data!$A$2:$A$497,1))/INDEX(Data!$H$2:$H$497,MATCH(N465,Data!$A$2:$A$497,1))),"")</f>
        <v>0.105244971456084</v>
      </c>
      <c r="AS477" s="560">
        <f>IFERROR(LN(INDEX(Data!$I$2:$I$497,MATCH(N477,Data!$A$2:$A$497,1))/INDEX(Data!$I$2:$I$497,MATCH(N465,Data!$A$2:$A$497,1))),"")</f>
        <v>0.257455119867787</v>
      </c>
      <c r="AT477" s="560">
        <f>IFERROR(LN(INDEX(Data!$J$2:$J$497,MATCH(N477,Data!$A$2:$A$497,1))/INDEX(Data!$J$2:$J$497,MATCH(N465,Data!$A$2:$A$497,1))),"")</f>
        <v>0.0453542395893198</v>
      </c>
      <c r="AU477" s="560">
        <f>IFERROR(LN(INDEX(Data!$K$2:$K$497,MATCH(N477,Data!$A$2:$A$497,1))/INDEX(Data!$K$2:$K$497,MATCH(N465,Data!$A$2:$A$497,1))),"")</f>
        <v>0.0586875321517711</v>
      </c>
      <c r="AV477" s="561">
        <f>IFERROR(LN(INDEX(Data!$L$2:$L$497,MATCH(N477,Data!$A$2:$A$497,1))/INDEX(Data!$L$2:$L$497,MATCH(N465,Data!$A$2:$A$497,1))),"")</f>
        <v>0.0618770762706241</v>
      </c>
    </row>
    <row r="478">
      <c r="N478" s="337" t="n">
        <v>39263</v>
      </c>
      <c r="O478" s="116">
        <f>INDEX('Additional data'!$B$2:$B$965,MATCH(DATE(YEAR(N478),MONTH(N478),1),'Additional data'!$A$2:$A$965,0))</f>
        <v>67.48</v>
      </c>
      <c r="P478" s="489">
        <f>LN(O478)</f>
        <v>4.21183125767777</v>
      </c>
      <c r="Q478" s="489">
        <f>Q477+LN(1+INDEX('Additional data'!$H$2:$H$1196,MATCH(N478,'Additional data'!$G$2:$G$1196,1))+INDEX('Additional data'!$I$2:$I$1196,MATCH(N478,'Additional data'!$G$2:$G$1196,1)))</f>
        <v>4.0012081781091</v>
      </c>
      <c r="R478" s="489">
        <f>LN(INDEX(Data!$B$2:$B$497,MATCH(N478,Data!$A$2:$A$497,1)))</f>
        <v>10.5731054273518</v>
      </c>
      <c r="S478" s="116">
        <f>IF(INDEX('Additional data'!$E$2:$E$699,MATCH(DATE(YEAR(N478),MONTH(N478),1),'Additional data'!$D$2:$D$699,0))=0,(INDEX('Additional data'!$E$2:$E$699,MATCH(DATE(YEAR(N478),MONTH(N478),1),'Additional data'!$D$2:$D$699,0)-1)+INDEX('Additional data'!$E$2:$E$699,MATCH(DATE(YEAR(N478),MONTH(N478),1),'Additional data'!$D$2:$D$699,0)+1))/2,INDEX('Additional data'!$E$2:$E$699,MATCH(DATE(YEAR(N478),MONTH(N478),1),'Additional data'!$D$2:$D$699,0)))</f>
        <v>6.42</v>
      </c>
      <c r="T478" s="425">
        <f>P478-P477</f>
        <v>0.0614214715227179</v>
      </c>
      <c r="U478" s="425">
        <f>Q478-Q477</f>
        <v>-0.0157229604652365</v>
      </c>
      <c r="V478" s="425">
        <f>R478-R477</f>
        <v>-0.000675664334378823</v>
      </c>
      <c r="W478" s="116">
        <f>S478-S477</f>
        <v>0.0499999999999998</v>
      </c>
      <c r="X478" s="425">
        <f>P478-P466</f>
        <v>-0.0502850803235564</v>
      </c>
      <c r="Y478" s="425">
        <f>Q478-Q466</f>
        <v>0.183829379744499</v>
      </c>
      <c r="Z478" s="425">
        <f>R478-R466</f>
        <v>0.264526003018217</v>
      </c>
      <c r="AA478" s="116">
        <f>S478-S466</f>
        <v>0.46</v>
      </c>
      <c r="AB478" s="425">
        <f>P478-P418</f>
        <v>0.972368799201178</v>
      </c>
      <c r="AC478" s="425">
        <f>Q478-Q418</f>
        <v>0.555100577999882</v>
      </c>
      <c r="AD478" s="425">
        <f>R478-R418</f>
        <v>0.893308638323203</v>
      </c>
      <c r="AE478" s="235">
        <f>S478-S418</f>
        <v>1.35</v>
      </c>
      <c r="AG478" s="554">
        <f>N478</f>
        <v>39263.0</v>
      </c>
      <c r="AH478" s="435">
        <f>IFERROR(INDEX('RBA 5Y yield'!$B$5:$B$661,MATCH(N478,'RBA 5Y yield'!$A$5:$A$661,1))*100,"")</f>
        <v>6.336</v>
      </c>
      <c r="AI478" s="435">
        <f>IF(AND(ISNUMBER(AH478),ISNUMBER(AH477)),AH478-AH477,"")</f>
        <v>0.2643</v>
      </c>
      <c r="AJ478" s="435">
        <f>IF(AND(ISNUMBER(AH478),ISNUMBER(AH466)),AH478-AH466,"")</f>
        <v>0.587700000000001</v>
      </c>
      <c r="AK478" s="435">
        <f>IF(AND(ISNUMBER(AH478),ISNUMBER(AH418)),AH478-AH418,"")</f>
        <v>0.5028</v>
      </c>
      <c r="AL478" s="560">
        <f>IFERROR(LN(INDEX(Data!$B$2:$B$497,MATCH(N478,Data!$A$2:$A$497,1))/INDEX(Data!$B$2:$B$497,MATCH(N466,Data!$A$2:$A$497,1))),"")</f>
        <v>0.264526003018217</v>
      </c>
      <c r="AM478" s="560">
        <f>IFERROR(LN(INDEX(Data!$C$2:$C$497,MATCH(N478,Data!$A$2:$A$497,1))/INDEX(Data!$C$2:$C$497,MATCH(N466,Data!$A$2:$A$497,1))),"")</f>
        <v>0.06718263498478</v>
      </c>
      <c r="AN478" s="560">
        <f>IFERROR(LN(INDEX(Data!$D$2:$D$497,MATCH(N478,Data!$A$2:$A$497,1))/INDEX(Data!$D$2:$D$497,MATCH(N466,Data!$A$2:$A$497,1))),"")</f>
        <v>0.199979992871457</v>
      </c>
      <c r="AO478" s="560">
        <f>IFERROR(LN(INDEX(Data!$E$2:$E$497,MATCH(N478,Data!$A$2:$A$497,1))/INDEX(Data!$E$2:$E$497,MATCH(N466,Data!$A$2:$A$497,1))),"")</f>
        <v>0.0412965829867946</v>
      </c>
      <c r="AP478" s="560">
        <f>IFERROR(LN(INDEX(Data!$F$2:$F$497,MATCH(N478,Data!$A$2:$A$497,1))/INDEX(Data!$F$2:$F$497,MATCH(N466,Data!$A$2:$A$497,1))),"")</f>
        <v>-0.283470977684723</v>
      </c>
      <c r="AQ478" s="560">
        <f>IFERROR(LN(INDEX(Data!$G$2:$G$497,MATCH(N478,Data!$A$2:$A$497,1))/INDEX(Data!$G$2:$G$497,MATCH(N466,Data!$A$2:$A$497,1))),"")</f>
        <v>0.100182711172548</v>
      </c>
      <c r="AR478" s="560">
        <f>IFERROR(LN(INDEX(Data!$H$2:$H$497,MATCH(N478,Data!$A$2:$A$497,1))/INDEX(Data!$H$2:$H$497,MATCH(N466,Data!$A$2:$A$497,1))),"")</f>
        <v>0.116262198769793</v>
      </c>
      <c r="AS478" s="560">
        <f>IFERROR(LN(INDEX(Data!$I$2:$I$497,MATCH(N478,Data!$A$2:$A$497,1))/INDEX(Data!$I$2:$I$497,MATCH(N466,Data!$A$2:$A$497,1))),"")</f>
        <v>0.248085824109972</v>
      </c>
      <c r="AT478" s="560">
        <f>IFERROR(LN(INDEX(Data!$J$2:$J$497,MATCH(N478,Data!$A$2:$A$497,1))/INDEX(Data!$J$2:$J$497,MATCH(N466,Data!$A$2:$A$497,1))),"")</f>
        <v>0.0391043083775972</v>
      </c>
      <c r="AU478" s="560">
        <f>IFERROR(LN(INDEX(Data!$K$2:$K$497,MATCH(N478,Data!$A$2:$A$497,1))/INDEX(Data!$K$2:$K$497,MATCH(N466,Data!$A$2:$A$497,1))),"")</f>
        <v>0.0555995194998014</v>
      </c>
      <c r="AV478" s="561">
        <f>IFERROR(LN(INDEX(Data!$L$2:$L$497,MATCH(N478,Data!$A$2:$A$497,1))/INDEX(Data!$L$2:$L$497,MATCH(N466,Data!$A$2:$A$497,1))),"")</f>
        <v>0.0622550674789094</v>
      </c>
    </row>
    <row r="479">
      <c r="N479" s="337" t="n">
        <v>39294</v>
      </c>
      <c r="O479" s="116">
        <f>INDEX('Additional data'!$B$2:$B$965,MATCH(DATE(YEAR(N479),MONTH(N479),1),'Additional data'!$A$2:$A$965,0))</f>
        <v>74.18</v>
      </c>
      <c r="P479" s="489">
        <f>LN(O479)</f>
        <v>4.30649457206145</v>
      </c>
      <c r="Q479" s="489">
        <f>Q478+LN(1+INDEX('Additional data'!$H$2:$H$1196,MATCH(N479,'Additional data'!$G$2:$G$1196,1))+INDEX('Additional data'!$I$2:$I$1196,MATCH(N479,'Additional data'!$G$2:$G$1196,1)))</f>
        <v>3.9674445479563</v>
      </c>
      <c r="R479" s="489">
        <f>LN(INDEX(Data!$B$2:$B$497,MATCH(N479,Data!$A$2:$A$497,1)))</f>
        <v>10.5534855797159</v>
      </c>
      <c r="S479" s="116">
        <f>IF(INDEX('Additional data'!$E$2:$E$699,MATCH(DATE(YEAR(N479),MONTH(N479),1),'Additional data'!$D$2:$D$699,0))=0,(INDEX('Additional data'!$E$2:$E$699,MATCH(DATE(YEAR(N479),MONTH(N479),1),'Additional data'!$D$2:$D$699,0)-1)+INDEX('Additional data'!$E$2:$E$699,MATCH(DATE(YEAR(N479),MONTH(N479),1),'Additional data'!$D$2:$D$699,0)+1))/2,INDEX('Additional data'!$E$2:$E$699,MATCH(DATE(YEAR(N479),MONTH(N479),1),'Additional data'!$D$2:$D$699,0)))</f>
        <v>6.47</v>
      </c>
      <c r="T479" s="425">
        <f>P479-P478</f>
        <v>0.0946633143836779</v>
      </c>
      <c r="U479" s="425">
        <f>Q479-Q478</f>
        <v>-0.033763630152809</v>
      </c>
      <c r="V479" s="425">
        <f>R479-R478</f>
        <v>-0.019619847635898</v>
      </c>
      <c r="W479" s="116">
        <f>S479-S478</f>
        <v>0.0499999999999998</v>
      </c>
      <c r="X479" s="425">
        <f>P479-P467</f>
        <v>-0.00309576934772426</v>
      </c>
      <c r="Y479" s="425">
        <f>Q479-Q467</f>
        <v>0.153772611523016</v>
      </c>
      <c r="Z479" s="425">
        <f>R479-R467</f>
        <v>0.260171127608992</v>
      </c>
      <c r="AA479" s="116">
        <f>S479-S467</f>
        <v>0.42</v>
      </c>
      <c r="AB479" s="425">
        <f>P479-P419</f>
        <v>1.01288240107923</v>
      </c>
      <c r="AC479" s="425">
        <f>Q479-Q419</f>
        <v>0.605153433940183</v>
      </c>
      <c r="AD479" s="425">
        <f>R479-R419</f>
        <v>0.915655367875841</v>
      </c>
      <c r="AE479" s="235">
        <f>S479-S419</f>
        <v>1.49</v>
      </c>
      <c r="AG479" s="554">
        <f>N479</f>
        <v>39294.0</v>
      </c>
      <c r="AH479" s="435">
        <f>IFERROR(INDEX('RBA 5Y yield'!$B$5:$B$661,MATCH(N479,'RBA 5Y yield'!$A$5:$A$661,1))*100,"")</f>
        <v>6.3041</v>
      </c>
      <c r="AI479" s="435">
        <f>IF(AND(ISNUMBER(AH479),ISNUMBER(AH478)),AH479-AH478,"")</f>
        <v>-0.0319000000000003</v>
      </c>
      <c r="AJ479" s="435">
        <f>IF(AND(ISNUMBER(AH479),ISNUMBER(AH467)),AH479-AH467,"")</f>
        <v>0.435300000000001</v>
      </c>
      <c r="AK479" s="435">
        <f>IF(AND(ISNUMBER(AH479),ISNUMBER(AH419)),AH479-AH419,"")</f>
        <v>0.6871</v>
      </c>
      <c r="AL479" s="560">
        <f>IFERROR(LN(INDEX(Data!$B$2:$B$497,MATCH(N479,Data!$A$2:$A$497,1))/INDEX(Data!$B$2:$B$497,MATCH(N467,Data!$A$2:$A$497,1))),"")</f>
        <v>0.260171127608991</v>
      </c>
      <c r="AM479" s="560">
        <f>IFERROR(LN(INDEX(Data!$C$2:$C$497,MATCH(N479,Data!$A$2:$A$497,1))/INDEX(Data!$C$2:$C$497,MATCH(N467,Data!$A$2:$A$497,1))),"")</f>
        <v>0.0517194341350766</v>
      </c>
      <c r="AN479" s="560">
        <f>IFERROR(LN(INDEX(Data!$D$2:$D$497,MATCH(N479,Data!$A$2:$A$497,1))/INDEX(Data!$D$2:$D$497,MATCH(N467,Data!$A$2:$A$497,1))),"")</f>
        <v>0.257599282459802</v>
      </c>
      <c r="AO479" s="560">
        <f>IFERROR(LN(INDEX(Data!$E$2:$E$497,MATCH(N479,Data!$A$2:$A$497,1))/INDEX(Data!$E$2:$E$497,MATCH(N467,Data!$A$2:$A$497,1))),"")</f>
        <v>-0.0433043550774859</v>
      </c>
      <c r="AP479" s="560">
        <f>IFERROR(LN(INDEX(Data!$F$2:$F$497,MATCH(N479,Data!$A$2:$A$497,1))/INDEX(Data!$F$2:$F$497,MATCH(N467,Data!$A$2:$A$497,1))),"")</f>
        <v>-0.228255231176549</v>
      </c>
      <c r="AQ479" s="560">
        <f>IFERROR(LN(INDEX(Data!$G$2:$G$497,MATCH(N479,Data!$A$2:$A$497,1))/INDEX(Data!$G$2:$G$497,MATCH(N467,Data!$A$2:$A$497,1))),"")</f>
        <v>0.100182711172548</v>
      </c>
      <c r="AR479" s="560">
        <f>IFERROR(LN(INDEX(Data!$H$2:$H$497,MATCH(N479,Data!$A$2:$A$497,1))/INDEX(Data!$H$2:$H$497,MATCH(N467,Data!$A$2:$A$497,1))),"")</f>
        <v>0.11946096076642</v>
      </c>
      <c r="AS479" s="560">
        <f>IFERROR(LN(INDEX(Data!$I$2:$I$497,MATCH(N479,Data!$A$2:$A$497,1))/INDEX(Data!$I$2:$I$497,MATCH(N467,Data!$A$2:$A$497,1))),"")</f>
        <v>0.248085824109972</v>
      </c>
      <c r="AT479" s="560">
        <f>IFERROR(LN(INDEX(Data!$J$2:$J$497,MATCH(N479,Data!$A$2:$A$497,1))/INDEX(Data!$J$2:$J$497,MATCH(N467,Data!$A$2:$A$497,1))),"")</f>
        <v>0.0449611039231409</v>
      </c>
      <c r="AU479" s="560">
        <f>IFERROR(LN(INDEX(Data!$K$2:$K$497,MATCH(N479,Data!$A$2:$A$497,1))/INDEX(Data!$K$2:$K$497,MATCH(N467,Data!$A$2:$A$497,1))),"")</f>
        <v>0.0544881852840689</v>
      </c>
      <c r="AV479" s="561">
        <f>IFERROR(LN(INDEX(Data!$L$2:$L$497,MATCH(N479,Data!$A$2:$A$497,1))/INDEX(Data!$L$2:$L$497,MATCH(N467,Data!$A$2:$A$497,1))),"")</f>
        <v>0.0626809261527419</v>
      </c>
    </row>
    <row r="480">
      <c r="N480" s="337" t="n">
        <v>39325</v>
      </c>
      <c r="O480" s="116">
        <f>INDEX('Additional data'!$B$2:$B$965,MATCH(DATE(YEAR(N480),MONTH(N480),1),'Additional data'!$A$2:$A$965,0))</f>
        <v>72.39</v>
      </c>
      <c r="P480" s="489">
        <f>LN(O480)</f>
        <v>4.28206816830505</v>
      </c>
      <c r="Q480" s="489">
        <f>Q479+LN(1+INDEX('Additional data'!$H$2:$H$1196,MATCH(N480,'Additional data'!$G$2:$G$1196,1))+INDEX('Additional data'!$I$2:$I$1196,MATCH(N480,'Additional data'!$G$2:$G$1196,1)))</f>
        <v>3.98095289798109</v>
      </c>
      <c r="R480" s="489">
        <f>LN(INDEX(Data!$B$2:$B$497,MATCH(N480,Data!$A$2:$A$497,1)))</f>
        <v>10.5703177594453</v>
      </c>
      <c r="S480" s="116">
        <f>IF(INDEX('Additional data'!$E$2:$E$699,MATCH(DATE(YEAR(N480),MONTH(N480),1),'Additional data'!$D$2:$D$699,0))=0,(INDEX('Additional data'!$E$2:$E$699,MATCH(DATE(YEAR(N480),MONTH(N480),1),'Additional data'!$D$2:$D$699,0)-1)+INDEX('Additional data'!$E$2:$E$699,MATCH(DATE(YEAR(N480),MONTH(N480),1),'Additional data'!$D$2:$D$699,0)+1))/2,INDEX('Additional data'!$E$2:$E$699,MATCH(DATE(YEAR(N480),MONTH(N480),1),'Additional data'!$D$2:$D$699,0)))</f>
        <v>6.75</v>
      </c>
      <c r="T480" s="425">
        <f>P480-P479</f>
        <v>-0.0244264037563955</v>
      </c>
      <c r="U480" s="425">
        <f>Q480-Q479</f>
        <v>0.0135083500247921</v>
      </c>
      <c r="V480" s="425">
        <f>R480-R479</f>
        <v>0.0168321797293736</v>
      </c>
      <c r="W480" s="116">
        <f>S480-S479</f>
        <v>0.28</v>
      </c>
      <c r="X480" s="425">
        <f>P480-P468</f>
        <v>-0.00907596989165871</v>
      </c>
      <c r="Y480" s="425">
        <f>Q480-Q468</f>
        <v>0.143076272850991</v>
      </c>
      <c r="Z480" s="425">
        <f>R480-R468</f>
        <v>0.245745784533531</v>
      </c>
      <c r="AA480" s="116">
        <f>S480-S468</f>
        <v>0.56</v>
      </c>
      <c r="AB480" s="425">
        <f>P480-P420</f>
        <v>0.936383496573153</v>
      </c>
      <c r="AC480" s="425">
        <f>Q480-Q420</f>
        <v>0.612282177000937</v>
      </c>
      <c r="AD480" s="425">
        <f>R480-R420</f>
        <v>0.91456650861266</v>
      </c>
      <c r="AE480" s="235">
        <f>S480-S420</f>
        <v>1.79</v>
      </c>
      <c r="AG480" s="554">
        <f>N480</f>
        <v>39325.0</v>
      </c>
      <c r="AH480" s="435">
        <f>IFERROR(INDEX('RBA 5Y yield'!$B$5:$B$661,MATCH(N480,'RBA 5Y yield'!$A$5:$A$661,1))*100,"")</f>
        <v>6.1316</v>
      </c>
      <c r="AI480" s="435">
        <f>IF(AND(ISNUMBER(AH480),ISNUMBER(AH479)),AH480-AH479,"")</f>
        <v>-0.172499999999999</v>
      </c>
      <c r="AJ480" s="435">
        <f>IF(AND(ISNUMBER(AH480),ISNUMBER(AH468)),AH480-AH468,"")</f>
        <v>0.2914</v>
      </c>
      <c r="AK480" s="435">
        <f>IF(AND(ISNUMBER(AH480),ISNUMBER(AH420)),AH480-AH420,"")</f>
        <v>0.7411</v>
      </c>
      <c r="AL480" s="560">
        <f>IFERROR(LN(INDEX(Data!$B$2:$B$497,MATCH(N480,Data!$A$2:$A$497,1))/INDEX(Data!$B$2:$B$497,MATCH(N468,Data!$A$2:$A$497,1))),"")</f>
        <v>0.24574578453353</v>
      </c>
      <c r="AM480" s="560">
        <f>IFERROR(LN(INDEX(Data!$C$2:$C$497,MATCH(N480,Data!$A$2:$A$497,1))/INDEX(Data!$C$2:$C$497,MATCH(N468,Data!$A$2:$A$497,1))),"")</f>
        <v>0.0742082803662642</v>
      </c>
      <c r="AN480" s="560">
        <f>IFERROR(LN(INDEX(Data!$D$2:$D$497,MATCH(N480,Data!$A$2:$A$497,1))/INDEX(Data!$D$2:$D$497,MATCH(N468,Data!$A$2:$A$497,1))),"")</f>
        <v>0.268186815166119</v>
      </c>
      <c r="AO480" s="560">
        <f>IFERROR(LN(INDEX(Data!$E$2:$E$497,MATCH(N480,Data!$A$2:$A$497,1))/INDEX(Data!$E$2:$E$497,MATCH(N468,Data!$A$2:$A$497,1))),"")</f>
        <v>0.0190839726097856</v>
      </c>
      <c r="AP480" s="560">
        <f>IFERROR(LN(INDEX(Data!$F$2:$F$497,MATCH(N480,Data!$A$2:$A$497,1))/INDEX(Data!$F$2:$F$497,MATCH(N468,Data!$A$2:$A$497,1))),"")</f>
        <v>-0.147349381106612</v>
      </c>
      <c r="AQ480" s="560">
        <f>IFERROR(LN(INDEX(Data!$G$2:$G$497,MATCH(N480,Data!$A$2:$A$497,1))/INDEX(Data!$G$2:$G$497,MATCH(N468,Data!$A$2:$A$497,1))),"")</f>
        <v>0.100182711172548</v>
      </c>
      <c r="AR480" s="560">
        <f>IFERROR(LN(INDEX(Data!$H$2:$H$497,MATCH(N480,Data!$A$2:$A$497,1))/INDEX(Data!$H$2:$H$497,MATCH(N468,Data!$A$2:$A$497,1))),"")</f>
        <v>0.126449807104573</v>
      </c>
      <c r="AS480" s="560">
        <f>IFERROR(LN(INDEX(Data!$I$2:$I$497,MATCH(N480,Data!$A$2:$A$497,1))/INDEX(Data!$I$2:$I$497,MATCH(N468,Data!$A$2:$A$497,1))),"")</f>
        <v>0.248085824109972</v>
      </c>
      <c r="AT480" s="560">
        <f>IFERROR(LN(INDEX(Data!$J$2:$J$497,MATCH(N480,Data!$A$2:$A$497,1))/INDEX(Data!$J$2:$J$497,MATCH(N468,Data!$A$2:$A$497,1))),"")</f>
        <v>0.042994283631023</v>
      </c>
      <c r="AU480" s="560">
        <f>IFERROR(LN(INDEX(Data!$K$2:$K$497,MATCH(N480,Data!$A$2:$A$497,1))/INDEX(Data!$K$2:$K$497,MATCH(N468,Data!$A$2:$A$497,1))),"")</f>
        <v>0.0518417019337217</v>
      </c>
      <c r="AV480" s="561">
        <f>IFERROR(LN(INDEX(Data!$L$2:$L$497,MATCH(N480,Data!$A$2:$A$497,1))/INDEX(Data!$L$2:$L$497,MATCH(N468,Data!$A$2:$A$497,1))),"")</f>
        <v>0.0627603558362229</v>
      </c>
    </row>
    <row r="481">
      <c r="N481" s="337" t="n">
        <v>39355</v>
      </c>
      <c r="O481" s="116">
        <f>INDEX('Additional data'!$B$2:$B$965,MATCH(DATE(YEAR(N481),MONTH(N481),1),'Additional data'!$A$2:$A$965,0))</f>
        <v>79.93</v>
      </c>
      <c r="P481" s="489">
        <f>LN(O481)</f>
        <v>4.38115125163793</v>
      </c>
      <c r="Q481" s="489">
        <f>Q480+LN(1+INDEX('Additional data'!$H$2:$H$1196,MATCH(N481,'Additional data'!$G$2:$G$1196,1))+INDEX('Additional data'!$I$2:$I$1196,MATCH(N481,'Additional data'!$G$2:$G$1196,1)))</f>
        <v>4.01574072346675</v>
      </c>
      <c r="R481" s="489">
        <f>LN(INDEX(Data!$B$2:$B$497,MATCH(N481,Data!$A$2:$A$497,1)))</f>
        <v>10.6264819888765</v>
      </c>
      <c r="S481" s="116">
        <f>IF(INDEX('Additional data'!$E$2:$E$699,MATCH(DATE(YEAR(N481),MONTH(N481),1),'Additional data'!$D$2:$D$699,0))=0,(INDEX('Additional data'!$E$2:$E$699,MATCH(DATE(YEAR(N481),MONTH(N481),1),'Additional data'!$D$2:$D$699,0)-1)+INDEX('Additional data'!$E$2:$E$699,MATCH(DATE(YEAR(N481),MONTH(N481),1),'Additional data'!$D$2:$D$699,0)+1))/2,INDEX('Additional data'!$E$2:$E$699,MATCH(DATE(YEAR(N481),MONTH(N481),1),'Additional data'!$D$2:$D$699,0)))</f>
        <v>6.94</v>
      </c>
      <c r="T481" s="425">
        <f>P481-P480</f>
        <v>0.0990830833328777</v>
      </c>
      <c r="U481" s="425">
        <f>Q481-Q480</f>
        <v>0.034787825485664</v>
      </c>
      <c r="V481" s="425">
        <f>R481-R480</f>
        <v>0.0561642294312144</v>
      </c>
      <c r="W481" s="116">
        <f>S481-S480</f>
        <v>0.19</v>
      </c>
      <c r="X481" s="425">
        <f>P481-P469</f>
        <v>0.22430148406443</v>
      </c>
      <c r="Y481" s="425">
        <f>Q481-Q469</f>
        <v>0.155613489401835</v>
      </c>
      <c r="Z481" s="425">
        <f>R481-R469</f>
        <v>0.289506170508821</v>
      </c>
      <c r="AA481" s="116">
        <f>S481-S469</f>
        <v>0.73</v>
      </c>
      <c r="AB481" s="425">
        <f>P481-P421</f>
        <v>0.991014817335197</v>
      </c>
      <c r="AC481" s="425">
        <f>Q481-Q421</f>
        <v>0.754655213166538</v>
      </c>
      <c r="AD481" s="425">
        <f>R481-R421</f>
        <v>1.01248941778574</v>
      </c>
      <c r="AE481" s="235">
        <f>S481-S421</f>
        <v>2.02</v>
      </c>
      <c r="AG481" s="554">
        <f>N481</f>
        <v>39355.0</v>
      </c>
      <c r="AH481" s="435">
        <f>IFERROR(INDEX('RBA 5Y yield'!$B$5:$B$661,MATCH(N481,'RBA 5Y yield'!$A$5:$A$661,1))*100,"")</f>
        <v>6.2074</v>
      </c>
      <c r="AI481" s="435">
        <f>IF(AND(ISNUMBER(AH481),ISNUMBER(AH480)),AH481-AH480,"")</f>
        <v>0.0757999999999992</v>
      </c>
      <c r="AJ481" s="435">
        <f>IF(AND(ISNUMBER(AH481),ISNUMBER(AH469)),AH481-AH469,"")</f>
        <v>0.4684</v>
      </c>
      <c r="AK481" s="435">
        <f>IF(AND(ISNUMBER(AH481),ISNUMBER(AH421)),AH481-AH421,"")</f>
        <v>0.9795</v>
      </c>
      <c r="AL481" s="560">
        <f>IFERROR(LN(INDEX(Data!$B$2:$B$497,MATCH(N481,Data!$A$2:$A$497,1))/INDEX(Data!$B$2:$B$497,MATCH(N469,Data!$A$2:$A$497,1))),"")</f>
        <v>0.289506170508821</v>
      </c>
      <c r="AM481" s="560">
        <f>IFERROR(LN(INDEX(Data!$C$2:$C$497,MATCH(N481,Data!$A$2:$A$497,1))/INDEX(Data!$C$2:$C$497,MATCH(N469,Data!$A$2:$A$497,1))),"")</f>
        <v>-0.0213012731987997</v>
      </c>
      <c r="AN481" s="560">
        <f>IFERROR(LN(INDEX(Data!$D$2:$D$497,MATCH(N481,Data!$A$2:$A$497,1))/INDEX(Data!$D$2:$D$497,MATCH(N469,Data!$A$2:$A$497,1))),"")</f>
        <v>0.227373350276777</v>
      </c>
      <c r="AO481" s="560">
        <f>IFERROR(LN(INDEX(Data!$E$2:$E$497,MATCH(N481,Data!$A$2:$A$497,1))/INDEX(Data!$E$2:$E$497,MATCH(N469,Data!$A$2:$A$497,1))),"")</f>
        <v>-0.0920121482977421</v>
      </c>
      <c r="AP481" s="560">
        <f>IFERROR(LN(INDEX(Data!$F$2:$F$497,MATCH(N481,Data!$A$2:$A$497,1))/INDEX(Data!$F$2:$F$497,MATCH(N469,Data!$A$2:$A$497,1))),"")</f>
        <v>-0.0439206029626949</v>
      </c>
      <c r="AQ481" s="560">
        <f>IFERROR(LN(INDEX(Data!$G$2:$G$497,MATCH(N481,Data!$A$2:$A$497,1))/INDEX(Data!$G$2:$G$497,MATCH(N469,Data!$A$2:$A$497,1))),"")</f>
        <v>0.1172149483832</v>
      </c>
      <c r="AR481" s="560">
        <f>IFERROR(LN(INDEX(Data!$H$2:$H$497,MATCH(N481,Data!$A$2:$A$497,1))/INDEX(Data!$H$2:$H$497,MATCH(N469,Data!$A$2:$A$497,1))),"")</f>
        <v>0.128608363672683</v>
      </c>
      <c r="AS481" s="560">
        <f>IFERROR(LN(INDEX(Data!$I$2:$I$497,MATCH(N481,Data!$A$2:$A$497,1))/INDEX(Data!$I$2:$I$497,MATCH(N469,Data!$A$2:$A$497,1))),"")</f>
        <v>0.179658745301298</v>
      </c>
      <c r="AT481" s="560">
        <f>IFERROR(LN(INDEX(Data!$J$2:$J$497,MATCH(N481,Data!$A$2:$A$497,1))/INDEX(Data!$J$2:$J$497,MATCH(N469,Data!$A$2:$A$497,1))),"")</f>
        <v>0.0341426928612865</v>
      </c>
      <c r="AU481" s="560">
        <f>IFERROR(LN(INDEX(Data!$K$2:$K$497,MATCH(N481,Data!$A$2:$A$497,1))/INDEX(Data!$K$2:$K$497,MATCH(N469,Data!$A$2:$A$497,1))),"")</f>
        <v>0.049307354450214</v>
      </c>
      <c r="AV481" s="561">
        <f>IFERROR(LN(INDEX(Data!$L$2:$L$497,MATCH(N481,Data!$A$2:$A$497,1))/INDEX(Data!$L$2:$L$497,MATCH(N469,Data!$A$2:$A$497,1))),"")</f>
        <v>0.0633748821948073</v>
      </c>
    </row>
    <row r="482">
      <c r="N482" s="337" t="n">
        <v>39386</v>
      </c>
      <c r="O482" s="116">
        <f>INDEX('Additional data'!$B$2:$B$965,MATCH(DATE(YEAR(N482),MONTH(N482),1),'Additional data'!$A$2:$A$965,0))</f>
        <v>86.2</v>
      </c>
      <c r="P482" s="489">
        <f>LN(O482)</f>
        <v>4.45667017766965</v>
      </c>
      <c r="Q482" s="489">
        <f>Q481+LN(1+INDEX('Additional data'!$H$2:$H$1196,MATCH(N482,'Additional data'!$G$2:$G$1196,1))+INDEX('Additional data'!$I$2:$I$1196,MATCH(N482,'Additional data'!$G$2:$G$1196,1)))</f>
        <v>4.03662120104611</v>
      </c>
      <c r="R482" s="489">
        <f>LN(INDEX(Data!$B$2:$B$497,MATCH(N482,Data!$A$2:$A$497,1)))</f>
        <v>10.6567511552127</v>
      </c>
      <c r="S482" s="116">
        <f>IF(INDEX('Additional data'!$E$2:$E$699,MATCH(DATE(YEAR(N482),MONTH(N482),1),'Additional data'!$D$2:$D$699,0))=0,(INDEX('Additional data'!$E$2:$E$699,MATCH(DATE(YEAR(N482),MONTH(N482),1),'Additional data'!$D$2:$D$699,0)-1)+INDEX('Additional data'!$E$2:$E$699,MATCH(DATE(YEAR(N482),MONTH(N482),1),'Additional data'!$D$2:$D$699,0)+1))/2,INDEX('Additional data'!$E$2:$E$699,MATCH(DATE(YEAR(N482),MONTH(N482),1),'Additional data'!$D$2:$D$699,0)))</f>
        <v>6.91</v>
      </c>
      <c r="T482" s="425">
        <f>P482-P481</f>
        <v>0.0755189260317204</v>
      </c>
      <c r="U482" s="425">
        <f>Q482-Q481</f>
        <v>0.0208804775793556</v>
      </c>
      <c r="V482" s="425">
        <f>R482-R481</f>
        <v>0.0302691663361525</v>
      </c>
      <c r="W482" s="116">
        <f>S482-S481</f>
        <v>-0.0300000000000003</v>
      </c>
      <c r="X482" s="425">
        <f>P482-P470</f>
        <v>0.381168703249027</v>
      </c>
      <c r="Y482" s="425">
        <f>Q482-Q470</f>
        <v>0.140837289773156</v>
      </c>
      <c r="Z482" s="425">
        <f>R482-R470</f>
        <v>0.272847496908161</v>
      </c>
      <c r="AA482" s="116">
        <f>S482-S470</f>
        <v>0.63</v>
      </c>
      <c r="AB482" s="425">
        <f>P482-P422</f>
        <v>1.09456018471554</v>
      </c>
      <c r="AC482" s="425">
        <f>Q482-Q422</f>
        <v>0.698759851943844</v>
      </c>
      <c r="AD482" s="425">
        <f>R482-R422</f>
        <v>1.0174352244307</v>
      </c>
      <c r="AE482" s="235">
        <f>S482-S422</f>
        <v>2.01</v>
      </c>
      <c r="AG482" s="554">
        <f>N482</f>
        <v>39386.0</v>
      </c>
      <c r="AH482" s="435">
        <f>IFERROR(INDEX('RBA 5Y yield'!$B$5:$B$661,MATCH(N482,'RBA 5Y yield'!$A$5:$A$661,1))*100,"")</f>
        <v>6.4548</v>
      </c>
      <c r="AI482" s="435">
        <f>IF(AND(ISNUMBER(AH482),ISNUMBER(AH481)),AH482-AH481,"")</f>
        <v>0.2474</v>
      </c>
      <c r="AJ482" s="435">
        <f>IF(AND(ISNUMBER(AH482),ISNUMBER(AH470)),AH482-AH470,"")</f>
        <v>0.6258</v>
      </c>
      <c r="AK482" s="435">
        <f>IF(AND(ISNUMBER(AH482),ISNUMBER(AH422)),AH482-AH422,"")</f>
        <v>1.1387</v>
      </c>
      <c r="AL482" s="560">
        <f>IFERROR(LN(INDEX(Data!$B$2:$B$497,MATCH(N482,Data!$A$2:$A$497,1))/INDEX(Data!$B$2:$B$497,MATCH(N470,Data!$A$2:$A$497,1))),"")</f>
        <v>0.272847496908161</v>
      </c>
      <c r="AM482" s="560">
        <f>IFERROR(LN(INDEX(Data!$C$2:$C$497,MATCH(N482,Data!$A$2:$A$497,1))/INDEX(Data!$C$2:$C$497,MATCH(N470,Data!$A$2:$A$497,1))),"")</f>
        <v>-0.0402951100634765</v>
      </c>
      <c r="AN482" s="560">
        <f>IFERROR(LN(INDEX(Data!$D$2:$D$497,MATCH(N482,Data!$A$2:$A$497,1))/INDEX(Data!$D$2:$D$497,MATCH(N470,Data!$A$2:$A$497,1))),"")</f>
        <v>0.268841103060033</v>
      </c>
      <c r="AO482" s="560">
        <f>IFERROR(LN(INDEX(Data!$E$2:$E$497,MATCH(N482,Data!$A$2:$A$497,1))/INDEX(Data!$E$2:$E$497,MATCH(N470,Data!$A$2:$A$497,1))),"")</f>
        <v>-0.150482265673717</v>
      </c>
      <c r="AP482" s="560">
        <f>IFERROR(LN(INDEX(Data!$F$2:$F$497,MATCH(N482,Data!$A$2:$A$497,1))/INDEX(Data!$F$2:$F$497,MATCH(N470,Data!$A$2:$A$497,1))),"")</f>
        <v>0.063993056256328</v>
      </c>
      <c r="AQ482" s="560">
        <f>IFERROR(LN(INDEX(Data!$G$2:$G$497,MATCH(N482,Data!$A$2:$A$497,1))/INDEX(Data!$G$2:$G$497,MATCH(N470,Data!$A$2:$A$497,1))),"")</f>
        <v>0.1172149483832</v>
      </c>
      <c r="AR482" s="560">
        <f>IFERROR(LN(INDEX(Data!$H$2:$H$497,MATCH(N482,Data!$A$2:$A$497,1))/INDEX(Data!$H$2:$H$497,MATCH(N470,Data!$A$2:$A$497,1))),"")</f>
        <v>0.155789880372879</v>
      </c>
      <c r="AS482" s="560">
        <f>IFERROR(LN(INDEX(Data!$I$2:$I$497,MATCH(N482,Data!$A$2:$A$497,1))/INDEX(Data!$I$2:$I$497,MATCH(N470,Data!$A$2:$A$497,1))),"")</f>
        <v>0.179658745301298</v>
      </c>
      <c r="AT482" s="560">
        <f>IFERROR(LN(INDEX(Data!$J$2:$J$497,MATCH(N482,Data!$A$2:$A$497,1))/INDEX(Data!$J$2:$J$497,MATCH(N470,Data!$A$2:$A$497,1))),"")</f>
        <v>0.0356033198728043</v>
      </c>
      <c r="AU482" s="560">
        <f>IFERROR(LN(INDEX(Data!$K$2:$K$497,MATCH(N482,Data!$A$2:$A$497,1))/INDEX(Data!$K$2:$K$497,MATCH(N470,Data!$A$2:$A$497,1))),"")</f>
        <v>0.0528812159918992</v>
      </c>
      <c r="AV482" s="561">
        <f>IFERROR(LN(INDEX(Data!$L$2:$L$497,MATCH(N482,Data!$A$2:$A$497,1))/INDEX(Data!$L$2:$L$497,MATCH(N470,Data!$A$2:$A$497,1))),"")</f>
        <v>0.0640371436136887</v>
      </c>
    </row>
    <row r="483">
      <c r="N483" s="337" t="n">
        <v>39416</v>
      </c>
      <c r="O483" s="116">
        <f>INDEX('Additional data'!$B$2:$B$965,MATCH(DATE(YEAR(N483),MONTH(N483),1),'Additional data'!$A$2:$A$965,0))</f>
        <v>94.62</v>
      </c>
      <c r="P483" s="489">
        <f>LN(O483)</f>
        <v>4.549868870203</v>
      </c>
      <c r="Q483" s="489">
        <f>Q482+LN(1+INDEX('Additional data'!$H$2:$H$1196,MATCH(N483,'Additional data'!$G$2:$G$1196,1))+INDEX('Additional data'!$I$2:$I$1196,MATCH(N483,'Additional data'!$G$2:$G$1196,1)))</f>
        <v>3.99099602301983</v>
      </c>
      <c r="R483" s="489">
        <f>LN(INDEX(Data!$B$2:$B$497,MATCH(N483,Data!$A$2:$A$497,1)))</f>
        <v>10.6329236768487</v>
      </c>
      <c r="S483" s="116">
        <f>IF(INDEX('Additional data'!$E$2:$E$699,MATCH(DATE(YEAR(N483),MONTH(N483),1),'Additional data'!$D$2:$D$699,0))=0,(INDEX('Additional data'!$E$2:$E$699,MATCH(DATE(YEAR(N483),MONTH(N483),1),'Additional data'!$D$2:$D$699,0)-1)+INDEX('Additional data'!$E$2:$E$699,MATCH(DATE(YEAR(N483),MONTH(N483),1),'Additional data'!$D$2:$D$699,0)+1))/2,INDEX('Additional data'!$E$2:$E$699,MATCH(DATE(YEAR(N483),MONTH(N483),1),'Additional data'!$D$2:$D$699,0)))</f>
        <v>7.15</v>
      </c>
      <c r="T483" s="425">
        <f>P483-P482</f>
        <v>0.0931986925333543</v>
      </c>
      <c r="U483" s="425">
        <f>Q483-Q482</f>
        <v>-0.0456251780262758</v>
      </c>
      <c r="V483" s="425">
        <f>R483-R482</f>
        <v>-0.0238274783639554</v>
      </c>
      <c r="W483" s="116">
        <f>S483-S482</f>
        <v>0.24</v>
      </c>
      <c r="X483" s="425">
        <f>P483-P471</f>
        <v>0.466079821920419</v>
      </c>
      <c r="Y483" s="425">
        <f>Q483-Q471</f>
        <v>0.0742337053616886</v>
      </c>
      <c r="Z483" s="425">
        <f>R483-R471</f>
        <v>0.224562518715763</v>
      </c>
      <c r="AA483" s="116">
        <f>S483-S471</f>
        <v>0.78</v>
      </c>
      <c r="AB483" s="425">
        <f>P483-P423</f>
        <v>1.28144126650555</v>
      </c>
      <c r="AC483" s="425">
        <f>Q483-Q423</f>
        <v>0.594111333468107</v>
      </c>
      <c r="AD483" s="425">
        <f>R483-R423</f>
        <v>0.97901053872461</v>
      </c>
      <c r="AE483" s="235">
        <f>S483-S423</f>
        <v>2.31</v>
      </c>
      <c r="AG483" s="554">
        <f>N483</f>
        <v>39416.0</v>
      </c>
      <c r="AH483" s="435">
        <f>IFERROR(INDEX('RBA 5Y yield'!$B$5:$B$661,MATCH(N483,'RBA 5Y yield'!$A$5:$A$661,1))*100,"")</f>
        <v>6.3614</v>
      </c>
      <c r="AI483" s="435">
        <f>IF(AND(ISNUMBER(AH483),ISNUMBER(AH482)),AH483-AH482,"")</f>
        <v>-0.093399999999999</v>
      </c>
      <c r="AJ483" s="435">
        <f>IF(AND(ISNUMBER(AH483),ISNUMBER(AH471)),AH483-AH471,"")</f>
        <v>0.565700000000001</v>
      </c>
      <c r="AK483" s="435">
        <f>IF(AND(ISNUMBER(AH483),ISNUMBER(AH423)),AH483-AH423,"")</f>
        <v>1.2519</v>
      </c>
      <c r="AL483" s="560">
        <f>IFERROR(LN(INDEX(Data!$B$2:$B$497,MATCH(N483,Data!$A$2:$A$497,1))/INDEX(Data!$B$2:$B$497,MATCH(N471,Data!$A$2:$A$497,1))),"")</f>
        <v>0.224562518715763</v>
      </c>
      <c r="AM483" s="560">
        <f>IFERROR(LN(INDEX(Data!$C$2:$C$497,MATCH(N483,Data!$A$2:$A$497,1))/INDEX(Data!$C$2:$C$497,MATCH(N471,Data!$A$2:$A$497,1))),"")</f>
        <v>-0.0286521422784485</v>
      </c>
      <c r="AN483" s="560">
        <f>IFERROR(LN(INDEX(Data!$D$2:$D$497,MATCH(N483,Data!$A$2:$A$497,1))/INDEX(Data!$D$2:$D$497,MATCH(N471,Data!$A$2:$A$497,1))),"")</f>
        <v>0.20863546205393</v>
      </c>
      <c r="AO483" s="560">
        <f>IFERROR(LN(INDEX(Data!$E$2:$E$497,MATCH(N483,Data!$A$2:$A$497,1))/INDEX(Data!$E$2:$E$497,MATCH(N471,Data!$A$2:$A$497,1))),"")</f>
        <v>-0.21215134256827</v>
      </c>
      <c r="AP483" s="560">
        <f>IFERROR(LN(INDEX(Data!$F$2:$F$497,MATCH(N483,Data!$A$2:$A$497,1))/INDEX(Data!$F$2:$F$497,MATCH(N471,Data!$A$2:$A$497,1))),"")</f>
        <v>0.0392453557205301</v>
      </c>
      <c r="AQ483" s="560">
        <f>IFERROR(LN(INDEX(Data!$G$2:$G$497,MATCH(N483,Data!$A$2:$A$497,1))/INDEX(Data!$G$2:$G$497,MATCH(N471,Data!$A$2:$A$497,1))),"")</f>
        <v>0.1172149483832</v>
      </c>
      <c r="AR483" s="560">
        <f>IFERROR(LN(INDEX(Data!$H$2:$H$497,MATCH(N483,Data!$A$2:$A$497,1))/INDEX(Data!$H$2:$H$497,MATCH(N471,Data!$A$2:$A$497,1))),"")</f>
        <v>0.154168806056381</v>
      </c>
      <c r="AS483" s="560">
        <f>IFERROR(LN(INDEX(Data!$I$2:$I$497,MATCH(N483,Data!$A$2:$A$497,1))/INDEX(Data!$I$2:$I$497,MATCH(N471,Data!$A$2:$A$497,1))),"")</f>
        <v>0.179658745301298</v>
      </c>
      <c r="AT483" s="560">
        <f>IFERROR(LN(INDEX(Data!$J$2:$J$497,MATCH(N483,Data!$A$2:$A$497,1))/INDEX(Data!$J$2:$J$497,MATCH(N471,Data!$A$2:$A$497,1))),"")</f>
        <v>0.0326160558902415</v>
      </c>
      <c r="AU483" s="560">
        <f>IFERROR(LN(INDEX(Data!$K$2:$K$497,MATCH(N483,Data!$A$2:$A$497,1))/INDEX(Data!$K$2:$K$497,MATCH(N471,Data!$A$2:$A$497,1))),"")</f>
        <v>0.0567922615346261</v>
      </c>
      <c r="AV483" s="561">
        <f>IFERROR(LN(INDEX(Data!$L$2:$L$497,MATCH(N483,Data!$A$2:$A$497,1))/INDEX(Data!$L$2:$L$497,MATCH(N471,Data!$A$2:$A$497,1))),"")</f>
        <v>0.0644485495314909</v>
      </c>
    </row>
    <row r="484">
      <c r="N484" s="337" t="n">
        <v>39447</v>
      </c>
      <c r="O484" s="116">
        <f>INDEX('Additional data'!$B$2:$B$965,MATCH(DATE(YEAR(N484),MONTH(N484),1),'Additional data'!$A$2:$A$965,0))</f>
        <v>91.73</v>
      </c>
      <c r="P484" s="489">
        <f>LN(O484)</f>
        <v>4.51884947952156</v>
      </c>
      <c r="Q484" s="489">
        <f>Q483+LN(1+INDEX('Additional data'!$H$2:$H$1196,MATCH(N484,'Additional data'!$G$2:$G$1196,1))+INDEX('Additional data'!$I$2:$I$1196,MATCH(N484,'Additional data'!$G$2:$G$1196,1)))</f>
        <v>3.98497795069427</v>
      </c>
      <c r="R484" s="489">
        <f>LN(INDEX(Data!$B$2:$B$497,MATCH(N484,Data!$A$2:$A$497,1)))</f>
        <v>10.6090170794482</v>
      </c>
      <c r="S484" s="116">
        <f>IF(INDEX('Additional data'!$E$2:$E$699,MATCH(DATE(YEAR(N484),MONTH(N484),1),'Additional data'!$D$2:$D$699,0))=0,(INDEX('Additional data'!$E$2:$E$699,MATCH(DATE(YEAR(N484),MONTH(N484),1),'Additional data'!$D$2:$D$699,0)-1)+INDEX('Additional data'!$E$2:$E$699,MATCH(DATE(YEAR(N484),MONTH(N484),1),'Additional data'!$D$2:$D$699,0)+1))/2,INDEX('Additional data'!$E$2:$E$699,MATCH(DATE(YEAR(N484),MONTH(N484),1),'Additional data'!$D$2:$D$699,0)))</f>
        <v>7.29</v>
      </c>
      <c r="T484" s="425">
        <f>P484-P483</f>
        <v>-0.031019390681438</v>
      </c>
      <c r="U484" s="425">
        <f>Q484-Q483</f>
        <v>-0.00601807232556295</v>
      </c>
      <c r="V484" s="425">
        <f>R484-R483</f>
        <v>-0.0239065974005488</v>
      </c>
      <c r="W484" s="116">
        <f>S484-S483</f>
        <v>0.14</v>
      </c>
      <c r="X484" s="425">
        <f>P484-P472</f>
        <v>0.391231340536538</v>
      </c>
      <c r="Y484" s="425">
        <f>Q484-Q472</f>
        <v>0.0557931130375686</v>
      </c>
      <c r="Z484" s="425">
        <f>R484-R472</f>
        <v>0.165119101242505</v>
      </c>
      <c r="AA484" s="116">
        <f>S484-S472</f>
        <v>0.9</v>
      </c>
      <c r="AB484" s="425">
        <f>P484-P424</f>
        <v>1.13717476434827</v>
      </c>
      <c r="AC484" s="425">
        <f>Q484-Q424</f>
        <v>0.646252175316076</v>
      </c>
      <c r="AD484" s="425">
        <f>R484-R424</f>
        <v>0.970061639465127</v>
      </c>
      <c r="AE484" s="235">
        <f>S484-S424</f>
        <v>2.46</v>
      </c>
      <c r="AG484" s="554">
        <f>N484</f>
        <v>39447.0</v>
      </c>
      <c r="AH484" s="435">
        <f>IFERROR(INDEX('RBA 5Y yield'!$B$5:$B$661,MATCH(N484,'RBA 5Y yield'!$A$5:$A$661,1))*100,"")</f>
        <v>6.4637</v>
      </c>
      <c r="AI484" s="435">
        <f>IF(AND(ISNUMBER(AH484),ISNUMBER(AH483)),AH484-AH483,"")</f>
        <v>0.1023</v>
      </c>
      <c r="AJ484" s="435">
        <f>IF(AND(ISNUMBER(AH484),ISNUMBER(AH472)),AH484-AH472,"")</f>
        <v>0.5953</v>
      </c>
      <c r="AK484" s="435">
        <f>IF(AND(ISNUMBER(AH484),ISNUMBER(AH424)),AH484-AH424,"")</f>
        <v>1.467</v>
      </c>
      <c r="AL484" s="560">
        <f>IFERROR(LN(INDEX(Data!$B$2:$B$497,MATCH(N484,Data!$A$2:$A$497,1))/INDEX(Data!$B$2:$B$497,MATCH(N472,Data!$A$2:$A$497,1))),"")</f>
        <v>0.165119101242505</v>
      </c>
      <c r="AM484" s="560">
        <f>IFERROR(LN(INDEX(Data!$C$2:$C$497,MATCH(N484,Data!$A$2:$A$497,1))/INDEX(Data!$C$2:$C$497,MATCH(N472,Data!$A$2:$A$497,1))),"")</f>
        <v>-0.0572571292118368</v>
      </c>
      <c r="AN484" s="560">
        <f>IFERROR(LN(INDEX(Data!$D$2:$D$497,MATCH(N484,Data!$A$2:$A$497,1))/INDEX(Data!$D$2:$D$497,MATCH(N472,Data!$A$2:$A$497,1))),"")</f>
        <v>0.181669604437749</v>
      </c>
      <c r="AO484" s="560">
        <f>IFERROR(LN(INDEX(Data!$E$2:$E$497,MATCH(N484,Data!$A$2:$A$497,1))/INDEX(Data!$E$2:$E$497,MATCH(N472,Data!$A$2:$A$497,1))),"")</f>
        <v>-0.261953583804634</v>
      </c>
      <c r="AP484" s="560">
        <f>IFERROR(LN(INDEX(Data!$F$2:$F$497,MATCH(N484,Data!$A$2:$A$497,1))/INDEX(Data!$F$2:$F$497,MATCH(N472,Data!$A$2:$A$497,1))),"")</f>
        <v>0.174757551032531</v>
      </c>
      <c r="AQ484" s="560">
        <f>IFERROR(LN(INDEX(Data!$G$2:$G$497,MATCH(N484,Data!$A$2:$A$497,1))/INDEX(Data!$G$2:$G$497,MATCH(N472,Data!$A$2:$A$497,1))),"")</f>
        <v>0.136702420161065</v>
      </c>
      <c r="AR484" s="560">
        <f>IFERROR(LN(INDEX(Data!$H$2:$H$497,MATCH(N484,Data!$A$2:$A$497,1))/INDEX(Data!$H$2:$H$497,MATCH(N472,Data!$A$2:$A$497,1))),"")</f>
        <v>0.139936169686493</v>
      </c>
      <c r="AS484" s="560">
        <f>IFERROR(LN(INDEX(Data!$I$2:$I$497,MATCH(N484,Data!$A$2:$A$497,1))/INDEX(Data!$I$2:$I$497,MATCH(N472,Data!$A$2:$A$497,1))),"")</f>
        <v>0.135015417691223</v>
      </c>
      <c r="AT484" s="560">
        <f>IFERROR(LN(INDEX(Data!$J$2:$J$497,MATCH(N484,Data!$A$2:$A$497,1))/INDEX(Data!$J$2:$J$497,MATCH(N472,Data!$A$2:$A$497,1))),"")</f>
        <v>0.0340420479029416</v>
      </c>
      <c r="AU484" s="560">
        <f>IFERROR(LN(INDEX(Data!$K$2:$K$497,MATCH(N484,Data!$A$2:$A$497,1))/INDEX(Data!$K$2:$K$497,MATCH(N472,Data!$A$2:$A$497,1))),"")</f>
        <v>0.06416589178276</v>
      </c>
      <c r="AV484" s="561">
        <f>IFERROR(LN(INDEX(Data!$L$2:$L$497,MATCH(N484,Data!$A$2:$A$497,1))/INDEX(Data!$L$2:$L$497,MATCH(N472,Data!$A$2:$A$497,1))),"")</f>
        <v>0.0651386698442312</v>
      </c>
    </row>
    <row r="485">
      <c r="N485" s="337" t="n">
        <v>39478</v>
      </c>
      <c r="O485" s="116">
        <f>INDEX('Additional data'!$B$2:$B$965,MATCH(DATE(YEAR(N485),MONTH(N485),1),'Additional data'!$A$2:$A$965,0))</f>
        <v>92.95</v>
      </c>
      <c r="P485" s="489">
        <f>LN(O485)</f>
        <v>4.53206171416745</v>
      </c>
      <c r="Q485" s="489">
        <f>Q484+LN(1+INDEX('Additional data'!$H$2:$H$1196,MATCH(N485,'Additional data'!$G$2:$G$1196,1))+INDEX('Additional data'!$I$2:$I$1196,MATCH(N485,'Additional data'!$G$2:$G$1196,1)))</f>
        <v>3.921825135689</v>
      </c>
      <c r="R485" s="489">
        <f>LN(INDEX(Data!$B$2:$B$497,MATCH(N485,Data!$A$2:$A$497,1)))</f>
        <v>10.4896790847792</v>
      </c>
      <c r="S485" s="116">
        <f>IF(INDEX('Additional data'!$E$2:$E$699,MATCH(DATE(YEAR(N485),MONTH(N485),1),'Additional data'!$D$2:$D$699,0))=0,(INDEX('Additional data'!$E$2:$E$699,MATCH(DATE(YEAR(N485),MONTH(N485),1),'Additional data'!$D$2:$D$699,0)-1)+INDEX('Additional data'!$E$2:$E$699,MATCH(DATE(YEAR(N485),MONTH(N485),1),'Additional data'!$D$2:$D$699,0)+1))/2,INDEX('Additional data'!$E$2:$E$699,MATCH(DATE(YEAR(N485),MONTH(N485),1),'Additional data'!$D$2:$D$699,0)))</f>
        <v>7.18</v>
      </c>
      <c r="T485" s="425">
        <f>P485-P484</f>
        <v>0.0132122346458887</v>
      </c>
      <c r="U485" s="425">
        <f>Q485-Q484</f>
        <v>-0.0631528150052687</v>
      </c>
      <c r="V485" s="425">
        <f>R485-R484</f>
        <v>-0.119337994668951</v>
      </c>
      <c r="W485" s="116">
        <f>S485-S484</f>
        <v>-0.11</v>
      </c>
      <c r="X485" s="425">
        <f>P485-P473</f>
        <v>0.532577432969312</v>
      </c>
      <c r="Y485" s="425">
        <f>Q485-Q473</f>
        <v>-0.0253960644537985</v>
      </c>
      <c r="Z485" s="425">
        <f>R485-R473</f>
        <v>0.0258404147287461</v>
      </c>
      <c r="AA485" s="116">
        <f>S485-S473</f>
        <v>0.75</v>
      </c>
      <c r="AB485" s="425">
        <f>P485-P425</f>
        <v>1.03737398941796</v>
      </c>
      <c r="AC485" s="425">
        <f>Q485-Q425</f>
        <v>0.608109523314976</v>
      </c>
      <c r="AD485" s="425">
        <f>R485-R425</f>
        <v>0.864139204743866</v>
      </c>
      <c r="AE485" s="235">
        <f>S485-S425</f>
        <v>2.38</v>
      </c>
      <c r="AG485" s="554">
        <f>N485</f>
        <v>39478.0</v>
      </c>
      <c r="AH485" s="435">
        <f>IFERROR(INDEX('RBA 5Y yield'!$B$5:$B$661,MATCH(N485,'RBA 5Y yield'!$A$5:$A$661,1))*100,"")</f>
        <v>6.3424</v>
      </c>
      <c r="AI485" s="435">
        <f>IF(AND(ISNUMBER(AH485),ISNUMBER(AH484)),AH485-AH484,"")</f>
        <v>-0.121300000000001</v>
      </c>
      <c r="AJ485" s="435">
        <f>IF(AND(ISNUMBER(AH485),ISNUMBER(AH473)),AH485-AH473,"")</f>
        <v>0.2953</v>
      </c>
      <c r="AK485" s="435">
        <f>IF(AND(ISNUMBER(AH485),ISNUMBER(AH425)),AH485-AH425,"")</f>
        <v>1.4364</v>
      </c>
      <c r="AL485" s="560">
        <f>IFERROR(LN(INDEX(Data!$B$2:$B$497,MATCH(N485,Data!$A$2:$A$497,1))/INDEX(Data!$B$2:$B$497,MATCH(N473,Data!$A$2:$A$497,1))),"")</f>
        <v>0.0258404147287447</v>
      </c>
      <c r="AM485" s="560">
        <f>IFERROR(LN(INDEX(Data!$C$2:$C$497,MATCH(N485,Data!$A$2:$A$497,1))/INDEX(Data!$C$2:$C$497,MATCH(N473,Data!$A$2:$A$497,1))),"")</f>
        <v>-0.196406619339517</v>
      </c>
      <c r="AN485" s="560">
        <f>IFERROR(LN(INDEX(Data!$D$2:$D$497,MATCH(N485,Data!$A$2:$A$497,1))/INDEX(Data!$D$2:$D$497,MATCH(N473,Data!$A$2:$A$497,1))),"")</f>
        <v>0.0179797751243077</v>
      </c>
      <c r="AO485" s="560">
        <f>IFERROR(LN(INDEX(Data!$E$2:$E$497,MATCH(N485,Data!$A$2:$A$497,1))/INDEX(Data!$E$2:$E$497,MATCH(N473,Data!$A$2:$A$497,1))),"")</f>
        <v>-0.403558505579513</v>
      </c>
      <c r="AP485" s="560">
        <f>IFERROR(LN(INDEX(Data!$F$2:$F$497,MATCH(N485,Data!$A$2:$A$497,1))/INDEX(Data!$F$2:$F$497,MATCH(N473,Data!$A$2:$A$497,1))),"")</f>
        <v>0.164051672313354</v>
      </c>
      <c r="AQ485" s="560">
        <f>IFERROR(LN(INDEX(Data!$G$2:$G$497,MATCH(N485,Data!$A$2:$A$497,1))/INDEX(Data!$G$2:$G$497,MATCH(N473,Data!$A$2:$A$497,1))),"")</f>
        <v>0.136702420161065</v>
      </c>
      <c r="AR485" s="560">
        <f>IFERROR(LN(INDEX(Data!$H$2:$H$497,MATCH(N485,Data!$A$2:$A$497,1))/INDEX(Data!$H$2:$H$497,MATCH(N473,Data!$A$2:$A$497,1))),"")</f>
        <v>0.12266526893248</v>
      </c>
      <c r="AS485" s="560">
        <f>IFERROR(LN(INDEX(Data!$I$2:$I$497,MATCH(N485,Data!$A$2:$A$497,1))/INDEX(Data!$I$2:$I$497,MATCH(N473,Data!$A$2:$A$497,1))),"")</f>
        <v>0.135015417691223</v>
      </c>
      <c r="AT485" s="560">
        <f>IFERROR(LN(INDEX(Data!$J$2:$J$497,MATCH(N485,Data!$A$2:$A$497,1))/INDEX(Data!$J$2:$J$497,MATCH(N473,Data!$A$2:$A$497,1))),"")</f>
        <v>0.0415213231834037</v>
      </c>
      <c r="AU485" s="560">
        <f>IFERROR(LN(INDEX(Data!$K$2:$K$497,MATCH(N485,Data!$A$2:$A$497,1))/INDEX(Data!$K$2:$K$497,MATCH(N473,Data!$A$2:$A$497,1))),"")</f>
        <v>0.08163309322421</v>
      </c>
      <c r="AV485" s="561">
        <f>IFERROR(LN(INDEX(Data!$L$2:$L$497,MATCH(N485,Data!$A$2:$A$497,1))/INDEX(Data!$L$2:$L$497,MATCH(N473,Data!$A$2:$A$497,1))),"")</f>
        <v>0.0656219911007471</v>
      </c>
    </row>
    <row r="486">
      <c r="N486" s="337" t="n">
        <v>39507</v>
      </c>
      <c r="O486" s="116">
        <f>INDEX('Additional data'!$B$2:$B$965,MATCH(DATE(YEAR(N486),MONTH(N486),1),'Additional data'!$A$2:$A$965,0))</f>
        <v>95.35</v>
      </c>
      <c r="P486" s="489">
        <f>LN(O486)</f>
        <v>4.55755433204643</v>
      </c>
      <c r="Q486" s="489">
        <f>Q485+LN(1+INDEX('Additional data'!$H$2:$H$1196,MATCH(N486,'Additional data'!$G$2:$G$1196,1))+INDEX('Additional data'!$I$2:$I$1196,MATCH(N486,'Additional data'!$G$2:$G$1196,1)))</f>
        <v>3.8917782143367</v>
      </c>
      <c r="R486" s="489">
        <f>LN(INDEX(Data!$B$2:$B$497,MATCH(N486,Data!$A$2:$A$497,1)))</f>
        <v>10.4922998857051</v>
      </c>
      <c r="S486" s="116">
        <f>IF(INDEX('Additional data'!$E$2:$E$699,MATCH(DATE(YEAR(N486),MONTH(N486),1),'Additional data'!$D$2:$D$699,0))=0,(INDEX('Additional data'!$E$2:$E$699,MATCH(DATE(YEAR(N486),MONTH(N486),1),'Additional data'!$D$2:$D$699,0)-1)+INDEX('Additional data'!$E$2:$E$699,MATCH(DATE(YEAR(N486),MONTH(N486),1),'Additional data'!$D$2:$D$699,0)+1))/2,INDEX('Additional data'!$E$2:$E$699,MATCH(DATE(YEAR(N486),MONTH(N486),1),'Additional data'!$D$2:$D$699,0)))</f>
        <v>7.69</v>
      </c>
      <c r="T486" s="425">
        <f>P486-P485</f>
        <v>0.0254926178789754</v>
      </c>
      <c r="U486" s="425">
        <f>Q486-Q485</f>
        <v>-0.0300469213522967</v>
      </c>
      <c r="V486" s="425">
        <f>R486-R485</f>
        <v>0.00262080092589301</v>
      </c>
      <c r="W486" s="116">
        <f>S486-S485</f>
        <v>0.510000000000001</v>
      </c>
      <c r="X486" s="425">
        <f>P486-P474</f>
        <v>0.47561978990101</v>
      </c>
      <c r="Y486" s="425">
        <f>Q486-Q474</f>
        <v>-0.0395168352558359</v>
      </c>
      <c r="Z486" s="425">
        <f>R486-R474</f>
        <v>0.0126580629966249</v>
      </c>
      <c r="AA486" s="116">
        <f>S486-S474</f>
        <v>1.32</v>
      </c>
      <c r="AB486" s="425">
        <f>P486-P426</f>
        <v>0.977653040502237</v>
      </c>
      <c r="AC486" s="425">
        <f>Q486-Q426</f>
        <v>0.596124744781088</v>
      </c>
      <c r="AD486" s="425">
        <f>R486-R426</f>
        <v>0.917921444254414</v>
      </c>
      <c r="AE486" s="235">
        <f>S486-S426</f>
        <v>2.94</v>
      </c>
      <c r="AG486" s="554">
        <f>N486</f>
        <v>39507.0</v>
      </c>
      <c r="AH486" s="435">
        <f>IFERROR(INDEX('RBA 5Y yield'!$B$5:$B$661,MATCH(N486,'RBA 5Y yield'!$A$5:$A$661,1))*100,"")</f>
        <v>6.501</v>
      </c>
      <c r="AI486" s="435">
        <f>IF(AND(ISNUMBER(AH486),ISNUMBER(AH485)),AH486-AH485,"")</f>
        <v>0.1586</v>
      </c>
      <c r="AJ486" s="435">
        <f>IF(AND(ISNUMBER(AH486),ISNUMBER(AH474)),AH486-AH474,"")</f>
        <v>0.536</v>
      </c>
      <c r="AK486" s="435">
        <f>IF(AND(ISNUMBER(AH486),ISNUMBER(AH426)),AH486-AH426,"")</f>
        <v>1.759</v>
      </c>
      <c r="AL486" s="560">
        <f>IFERROR(LN(INDEX(Data!$B$2:$B$497,MATCH(N486,Data!$A$2:$A$497,1))/INDEX(Data!$B$2:$B$497,MATCH(N474,Data!$A$2:$A$497,1))),"")</f>
        <v>0.0126580629966243</v>
      </c>
      <c r="AM486" s="560">
        <f>IFERROR(LN(INDEX(Data!$C$2:$C$497,MATCH(N486,Data!$A$2:$A$497,1))/INDEX(Data!$C$2:$C$497,MATCH(N474,Data!$A$2:$A$497,1))),"")</f>
        <v>-0.231789603339776</v>
      </c>
      <c r="AN486" s="560">
        <f>IFERROR(LN(INDEX(Data!$D$2:$D$497,MATCH(N486,Data!$A$2:$A$497,1))/INDEX(Data!$D$2:$D$497,MATCH(N474,Data!$A$2:$A$497,1))),"")</f>
        <v>0.054371142096751</v>
      </c>
      <c r="AO486" s="560">
        <f>IFERROR(LN(INDEX(Data!$E$2:$E$497,MATCH(N486,Data!$A$2:$A$497,1))/INDEX(Data!$E$2:$E$497,MATCH(N474,Data!$A$2:$A$497,1))),"")</f>
        <v>-0.451669485190308</v>
      </c>
      <c r="AP486" s="560">
        <f>IFERROR(LN(INDEX(Data!$F$2:$F$497,MATCH(N486,Data!$A$2:$A$497,1))/INDEX(Data!$F$2:$F$497,MATCH(N474,Data!$A$2:$A$497,1))),"")</f>
        <v>0.198693138439369</v>
      </c>
      <c r="AQ486" s="560">
        <f>IFERROR(LN(INDEX(Data!$G$2:$G$497,MATCH(N486,Data!$A$2:$A$497,1))/INDEX(Data!$G$2:$G$497,MATCH(N474,Data!$A$2:$A$497,1))),"")</f>
        <v>0.136702420161065</v>
      </c>
      <c r="AR486" s="560">
        <f>IFERROR(LN(INDEX(Data!$H$2:$H$497,MATCH(N486,Data!$A$2:$A$497,1))/INDEX(Data!$H$2:$H$497,MATCH(N474,Data!$A$2:$A$497,1))),"")</f>
        <v>0.115566047635556</v>
      </c>
      <c r="AS486" s="560">
        <f>IFERROR(LN(INDEX(Data!$I$2:$I$497,MATCH(N486,Data!$A$2:$A$497,1))/INDEX(Data!$I$2:$I$497,MATCH(N474,Data!$A$2:$A$497,1))),"")</f>
        <v>0.135015417691223</v>
      </c>
      <c r="AT486" s="560">
        <f>IFERROR(LN(INDEX(Data!$J$2:$J$497,MATCH(N486,Data!$A$2:$A$497,1))/INDEX(Data!$J$2:$J$497,MATCH(N474,Data!$A$2:$A$497,1))),"")</f>
        <v>0.0234468315767754</v>
      </c>
      <c r="AU486" s="560">
        <f>IFERROR(LN(INDEX(Data!$K$2:$K$497,MATCH(N486,Data!$A$2:$A$497,1))/INDEX(Data!$K$2:$K$497,MATCH(N474,Data!$A$2:$A$497,1))),"")</f>
        <v>0.0745341230560493</v>
      </c>
      <c r="AV486" s="561">
        <f>IFERROR(LN(INDEX(Data!$L$2:$L$497,MATCH(N486,Data!$A$2:$A$497,1))/INDEX(Data!$L$2:$L$497,MATCH(N474,Data!$A$2:$A$497,1))),"")</f>
        <v>0.0661126973858852</v>
      </c>
    </row>
    <row r="487">
      <c r="N487" s="337" t="n">
        <v>39538</v>
      </c>
      <c r="O487" s="116">
        <f>INDEX('Additional data'!$B$2:$B$965,MATCH(DATE(YEAR(N487),MONTH(N487),1),'Additional data'!$A$2:$A$965,0))</f>
        <v>105.56</v>
      </c>
      <c r="P487" s="489">
        <f>LN(O487)</f>
        <v>4.65927951163512</v>
      </c>
      <c r="Q487" s="489">
        <f>Q486+LN(1+INDEX('Additional data'!$H$2:$H$1196,MATCH(N487,'Additional data'!$G$2:$G$1196,1))+INDEX('Additional data'!$I$2:$I$1196,MATCH(N487,'Additional data'!$G$2:$G$1196,1)))</f>
        <v>3.88404841627476</v>
      </c>
      <c r="R487" s="489">
        <f>LN(INDEX(Data!$B$2:$B$497,MATCH(N487,Data!$A$2:$A$497,1)))</f>
        <v>10.4502942243258</v>
      </c>
      <c r="S487" s="116">
        <f>IF(INDEX('Additional data'!$E$2:$E$699,MATCH(DATE(YEAR(N487),MONTH(N487),1),'Additional data'!$D$2:$D$699,0))=0,(INDEX('Additional data'!$E$2:$E$699,MATCH(DATE(YEAR(N487),MONTH(N487),1),'Additional data'!$D$2:$D$699,0)-1)+INDEX('Additional data'!$E$2:$E$699,MATCH(DATE(YEAR(N487),MONTH(N487),1),'Additional data'!$D$2:$D$699,0)+1))/2,INDEX('Additional data'!$E$2:$E$699,MATCH(DATE(YEAR(N487),MONTH(N487),1),'Additional data'!$D$2:$D$699,0)))</f>
        <v>7.9</v>
      </c>
      <c r="T487" s="425">
        <f>P487-P486</f>
        <v>0.101725179588695</v>
      </c>
      <c r="U487" s="425">
        <f>Q487-Q486</f>
        <v>-0.0077297980619413</v>
      </c>
      <c r="V487" s="425">
        <f>R487-R486</f>
        <v>-0.0420056613793545</v>
      </c>
      <c r="W487" s="116">
        <f>S487-S486</f>
        <v>0.21</v>
      </c>
      <c r="X487" s="425">
        <f>P487-P475</f>
        <v>0.55564490250593</v>
      </c>
      <c r="Y487" s="425">
        <f>Q487-Q475</f>
        <v>-0.058582142981523</v>
      </c>
      <c r="Z487" s="425">
        <f>R487-R475</f>
        <v>-0.0620639070533766</v>
      </c>
      <c r="AA487" s="116">
        <f>S487-S475</f>
        <v>1.47</v>
      </c>
      <c r="AB487" s="425">
        <f>P487-P427</f>
        <v>1.14624264821743</v>
      </c>
      <c r="AC487" s="425">
        <f>Q487-Q427</f>
        <v>0.57656519496557</v>
      </c>
      <c r="AD487" s="425">
        <f>R487-R427</f>
        <v>0.841999076314211</v>
      </c>
      <c r="AE487" s="235">
        <f>S487-S427</f>
        <v>3.14</v>
      </c>
      <c r="AG487" s="554">
        <f>N487</f>
        <v>39538.0</v>
      </c>
      <c r="AH487" s="435">
        <f>IFERROR(INDEX('RBA 5Y yield'!$B$5:$B$661,MATCH(N487,'RBA 5Y yield'!$A$5:$A$661,1))*100,"")</f>
        <v>6.1003</v>
      </c>
      <c r="AI487" s="435">
        <f>IF(AND(ISNUMBER(AH487),ISNUMBER(AH486)),AH487-AH486,"")</f>
        <v>-0.4007</v>
      </c>
      <c r="AJ487" s="435">
        <f>IF(AND(ISNUMBER(AH487),ISNUMBER(AH475)),AH487-AH475,"")</f>
        <v>0.151</v>
      </c>
      <c r="AK487" s="435">
        <f>IF(AND(ISNUMBER(AH487),ISNUMBER(AH427)),AH487-AH427,"")</f>
        <v>1.2579</v>
      </c>
      <c r="AL487" s="560">
        <f>IFERROR(LN(INDEX(Data!$B$2:$B$497,MATCH(N487,Data!$A$2:$A$497,1))/INDEX(Data!$B$2:$B$497,MATCH(N475,Data!$A$2:$A$497,1))),"")</f>
        <v>-0.0620639070533776</v>
      </c>
      <c r="AM487" s="560">
        <f>IFERROR(LN(INDEX(Data!$C$2:$C$497,MATCH(N487,Data!$A$2:$A$497,1))/INDEX(Data!$C$2:$C$497,MATCH(N475,Data!$A$2:$A$497,1))),"")</f>
        <v>-0.218860885886799</v>
      </c>
      <c r="AN487" s="560">
        <f>IFERROR(LN(INDEX(Data!$D$2:$D$497,MATCH(N487,Data!$A$2:$A$497,1))/INDEX(Data!$D$2:$D$497,MATCH(N475,Data!$A$2:$A$497,1))),"")</f>
        <v>0.0284125446228128</v>
      </c>
      <c r="AO487" s="560">
        <f>IFERROR(LN(INDEX(Data!$E$2:$E$497,MATCH(N487,Data!$A$2:$A$497,1))/INDEX(Data!$E$2:$E$497,MATCH(N475,Data!$A$2:$A$497,1))),"")</f>
        <v>-0.369341571120239</v>
      </c>
      <c r="AP487" s="560">
        <f>IFERROR(LN(INDEX(Data!$F$2:$F$497,MATCH(N487,Data!$A$2:$A$497,1))/INDEX(Data!$F$2:$F$497,MATCH(N475,Data!$A$2:$A$497,1))),"")</f>
        <v>0.204395375087611</v>
      </c>
      <c r="AQ487" s="560">
        <f>IFERROR(LN(INDEX(Data!$G$2:$G$497,MATCH(N487,Data!$A$2:$A$497,1))/INDEX(Data!$G$2:$G$497,MATCH(N475,Data!$A$2:$A$497,1))),"")</f>
        <v>0.132383714711125</v>
      </c>
      <c r="AR487" s="560">
        <f>IFERROR(LN(INDEX(Data!$H$2:$H$497,MATCH(N487,Data!$A$2:$A$497,1))/INDEX(Data!$H$2:$H$497,MATCH(N475,Data!$A$2:$A$497,1))),"")</f>
        <v>0.107912315128669</v>
      </c>
      <c r="AS487" s="560">
        <f>IFERROR(LN(INDEX(Data!$I$2:$I$497,MATCH(N487,Data!$A$2:$A$497,1))/INDEX(Data!$I$2:$I$497,MATCH(N475,Data!$A$2:$A$497,1))),"")</f>
        <v>0.100974055498759</v>
      </c>
      <c r="AT487" s="560">
        <f>IFERROR(LN(INDEX(Data!$J$2:$J$497,MATCH(N487,Data!$A$2:$A$497,1))/INDEX(Data!$J$2:$J$497,MATCH(N475,Data!$A$2:$A$497,1))),"")</f>
        <v>0.0420089504567021</v>
      </c>
      <c r="AU487" s="560">
        <f>IFERROR(LN(INDEX(Data!$K$2:$K$497,MATCH(N487,Data!$A$2:$A$497,1))/INDEX(Data!$K$2:$K$497,MATCH(N475,Data!$A$2:$A$497,1))),"")</f>
        <v>0.0770503521970434</v>
      </c>
      <c r="AV487" s="561">
        <f>IFERROR(LN(INDEX(Data!$L$2:$L$497,MATCH(N487,Data!$A$2:$A$497,1))/INDEX(Data!$L$2:$L$497,MATCH(N475,Data!$A$2:$A$497,1))),"")</f>
        <v>0.0675297198491115</v>
      </c>
    </row>
    <row r="488">
      <c r="N488" s="337" t="n">
        <v>39568</v>
      </c>
      <c r="O488" s="116">
        <f>INDEX('Additional data'!$B$2:$B$965,MATCH(DATE(YEAR(N488),MONTH(N488),1),'Additional data'!$A$2:$A$965,0))</f>
        <v>112.57</v>
      </c>
      <c r="P488" s="489">
        <f>LN(O488)</f>
        <v>4.72357525036671</v>
      </c>
      <c r="Q488" s="489">
        <f>Q487+LN(1+INDEX('Additional data'!$H$2:$H$1196,MATCH(N488,'Additional data'!$G$2:$G$1196,1))+INDEX('Additional data'!$I$2:$I$1196,MATCH(N488,'Additional data'!$G$2:$G$1196,1)))</f>
        <v>3.93083657777352</v>
      </c>
      <c r="R488" s="489">
        <f>LN(INDEX(Data!$B$2:$B$497,MATCH(N488,Data!$A$2:$A$497,1)))</f>
        <v>10.4956848927598</v>
      </c>
      <c r="S488" s="116">
        <f>IF(INDEX('Additional data'!$E$2:$E$699,MATCH(DATE(YEAR(N488),MONTH(N488),1),'Additional data'!$D$2:$D$699,0))=0,(INDEX('Additional data'!$E$2:$E$699,MATCH(DATE(YEAR(N488),MONTH(N488),1),'Additional data'!$D$2:$D$699,0)-1)+INDEX('Additional data'!$E$2:$E$699,MATCH(DATE(YEAR(N488),MONTH(N488),1),'Additional data'!$D$2:$D$699,0)+1))/2,INDEX('Additional data'!$E$2:$E$699,MATCH(DATE(YEAR(N488),MONTH(N488),1),'Additional data'!$D$2:$D$699,0)))</f>
        <v>7.84</v>
      </c>
      <c r="T488" s="425">
        <f>P488-P487</f>
        <v>0.0642957387315892</v>
      </c>
      <c r="U488" s="425">
        <f>Q488-Q487</f>
        <v>0.0467881614987591</v>
      </c>
      <c r="V488" s="425">
        <f>R488-R487</f>
        <v>0.0453906684340524</v>
      </c>
      <c r="W488" s="116">
        <f>S488-S487</f>
        <v>-0.0600000000000005</v>
      </c>
      <c r="X488" s="425">
        <f>P488-P476</f>
        <v>0.565161026904667</v>
      </c>
      <c r="Y488" s="425">
        <f>Q488-Q476</f>
        <v>-0.0503413910950026</v>
      </c>
      <c r="Z488" s="425">
        <f>R488-R476</f>
        <v>-0.0466760824609906</v>
      </c>
      <c r="AA488" s="116">
        <f>S488-S476</f>
        <v>1.36</v>
      </c>
      <c r="AB488" s="425">
        <f>P488-P428</f>
        <v>1.38248179277426</v>
      </c>
      <c r="AC488" s="425">
        <f>Q488-Q428</f>
        <v>0.54380307770632</v>
      </c>
      <c r="AD488" s="425">
        <f>R488-R428</f>
        <v>0.844436789061362</v>
      </c>
      <c r="AE488" s="235">
        <f>S488-S428</f>
        <v>3.05</v>
      </c>
      <c r="AG488" s="554">
        <f>N488</f>
        <v>39568.0</v>
      </c>
      <c r="AH488" s="435">
        <f>IFERROR(INDEX('RBA 5Y yield'!$B$5:$B$661,MATCH(N488,'RBA 5Y yield'!$A$5:$A$661,1))*100,"")</f>
        <v>6.1862</v>
      </c>
      <c r="AI488" s="435">
        <f>IF(AND(ISNUMBER(AH488),ISNUMBER(AH487)),AH488-AH487,"")</f>
        <v>0.0859000000000005</v>
      </c>
      <c r="AJ488" s="435">
        <f>IF(AND(ISNUMBER(AH488),ISNUMBER(AH476)),AH488-AH476,"")</f>
        <v>0.0779000000000005</v>
      </c>
      <c r="AK488" s="435">
        <f>IF(AND(ISNUMBER(AH488),ISNUMBER(AH428)),AH488-AH428,"")</f>
        <v>1.2286</v>
      </c>
      <c r="AL488" s="560">
        <f>IFERROR(LN(INDEX(Data!$B$2:$B$497,MATCH(N488,Data!$A$2:$A$497,1))/INDEX(Data!$B$2:$B$497,MATCH(N476,Data!$A$2:$A$497,1))),"")</f>
        <v>-0.0466760824609904</v>
      </c>
      <c r="AM488" s="560">
        <f>IFERROR(LN(INDEX(Data!$C$2:$C$497,MATCH(N488,Data!$A$2:$A$497,1))/INDEX(Data!$C$2:$C$497,MATCH(N476,Data!$A$2:$A$497,1))),"")</f>
        <v>-0.195342477363603</v>
      </c>
      <c r="AN488" s="560">
        <f>IFERROR(LN(INDEX(Data!$D$2:$D$497,MATCH(N488,Data!$A$2:$A$497,1))/INDEX(Data!$D$2:$D$497,MATCH(N476,Data!$A$2:$A$497,1))),"")</f>
        <v>0.0616641748756777</v>
      </c>
      <c r="AO488" s="560">
        <f>IFERROR(LN(INDEX(Data!$E$2:$E$497,MATCH(N488,Data!$A$2:$A$497,1))/INDEX(Data!$E$2:$E$497,MATCH(N476,Data!$A$2:$A$497,1))),"")</f>
        <v>-0.33066030209379</v>
      </c>
      <c r="AP488" s="560">
        <f>IFERROR(LN(INDEX(Data!$F$2:$F$497,MATCH(N488,Data!$A$2:$A$497,1))/INDEX(Data!$F$2:$F$497,MATCH(N476,Data!$A$2:$A$497,1))),"")</f>
        <v>0.281853956243978</v>
      </c>
      <c r="AQ488" s="560">
        <f>IFERROR(LN(INDEX(Data!$G$2:$G$497,MATCH(N488,Data!$A$2:$A$497,1))/INDEX(Data!$G$2:$G$497,MATCH(N476,Data!$A$2:$A$497,1))),"")</f>
        <v>0.132383714711125</v>
      </c>
      <c r="AR488" s="560">
        <f>IFERROR(LN(INDEX(Data!$H$2:$H$497,MATCH(N488,Data!$A$2:$A$497,1))/INDEX(Data!$H$2:$H$497,MATCH(N476,Data!$A$2:$A$497,1))),"")</f>
        <v>0.104088968478169</v>
      </c>
      <c r="AS488" s="560">
        <f>IFERROR(LN(INDEX(Data!$I$2:$I$497,MATCH(N488,Data!$A$2:$A$497,1))/INDEX(Data!$I$2:$I$497,MATCH(N476,Data!$A$2:$A$497,1))),"")</f>
        <v>0.100974055498759</v>
      </c>
      <c r="AT488" s="560">
        <f>IFERROR(LN(INDEX(Data!$J$2:$J$497,MATCH(N488,Data!$A$2:$A$497,1))/INDEX(Data!$J$2:$J$497,MATCH(N476,Data!$A$2:$A$497,1))),"")</f>
        <v>0.0352663063538292</v>
      </c>
      <c r="AU488" s="560">
        <f>IFERROR(LN(INDEX(Data!$K$2:$K$497,MATCH(N488,Data!$A$2:$A$497,1))/INDEX(Data!$K$2:$K$497,MATCH(N476,Data!$A$2:$A$497,1))),"")</f>
        <v>0.071635684428236</v>
      </c>
      <c r="AV488" s="561">
        <f>IFERROR(LN(INDEX(Data!$L$2:$L$497,MATCH(N488,Data!$A$2:$A$497,1))/INDEX(Data!$L$2:$L$497,MATCH(N476,Data!$A$2:$A$497,1))),"")</f>
        <v>0.0685804323158817</v>
      </c>
    </row>
    <row r="489">
      <c r="N489" s="337" t="n">
        <v>39599</v>
      </c>
      <c r="O489" s="116">
        <f>INDEX('Additional data'!$B$2:$B$965,MATCH(DATE(YEAR(N489),MONTH(N489),1),'Additional data'!$A$2:$A$965,0))</f>
        <v>125.39</v>
      </c>
      <c r="P489" s="489">
        <f>LN(O489)</f>
        <v>4.83142888020245</v>
      </c>
      <c r="Q489" s="489">
        <f>Q488+LN(1+INDEX('Additional data'!$H$2:$H$1196,MATCH(N489,'Additional data'!$G$2:$G$1196,1))+INDEX('Additional data'!$I$2:$I$1196,MATCH(N489,'Additional data'!$G$2:$G$1196,1)))</f>
        <v>3.95112928104128</v>
      </c>
      <c r="R489" s="489">
        <f>LN(INDEX(Data!$B$2:$B$497,MATCH(N489,Data!$A$2:$A$497,1)))</f>
        <v>10.5199292942909</v>
      </c>
      <c r="S489" s="116">
        <f>IF(INDEX('Additional data'!$E$2:$E$699,MATCH(DATE(YEAR(N489),MONTH(N489),1),'Additional data'!$D$2:$D$699,0))=0,(INDEX('Additional data'!$E$2:$E$699,MATCH(DATE(YEAR(N489),MONTH(N489),1),'Additional data'!$D$2:$D$699,0)-1)+INDEX('Additional data'!$E$2:$E$699,MATCH(DATE(YEAR(N489),MONTH(N489),1),'Additional data'!$D$2:$D$699,0)+1))/2,INDEX('Additional data'!$E$2:$E$699,MATCH(DATE(YEAR(N489),MONTH(N489),1),'Additional data'!$D$2:$D$699,0)))</f>
        <v>7.75</v>
      </c>
      <c r="T489" s="425">
        <f>P489-P488</f>
        <v>0.107853629835734</v>
      </c>
      <c r="U489" s="425">
        <f>Q489-Q488</f>
        <v>0.0202927032677622</v>
      </c>
      <c r="V489" s="425">
        <f>R489-R488</f>
        <v>0.0242444015310728</v>
      </c>
      <c r="W489" s="116">
        <f>S489-S488</f>
        <v>-0.0899999999999999</v>
      </c>
      <c r="X489" s="425">
        <f>P489-P477</f>
        <v>0.681019094047398</v>
      </c>
      <c r="Y489" s="425">
        <f>Q489-Q477</f>
        <v>-0.0658018575330579</v>
      </c>
      <c r="Z489" s="425">
        <f>R489-R477</f>
        <v>-0.0538517973953283</v>
      </c>
      <c r="AA489" s="116">
        <f>S489-S477</f>
        <v>1.38</v>
      </c>
      <c r="AB489" s="425">
        <f>P489-P429</f>
        <v>1.4942368285162</v>
      </c>
      <c r="AC489" s="425">
        <f>Q489-Q429</f>
        <v>0.504506989562425</v>
      </c>
      <c r="AD489" s="425">
        <f>R489-R429</f>
        <v>0.863615917009684</v>
      </c>
      <c r="AE489" s="235">
        <f>S489-S429</f>
        <v>2.97</v>
      </c>
      <c r="AG489" s="554">
        <f>N489</f>
        <v>39599.0</v>
      </c>
      <c r="AH489" s="435">
        <f>IFERROR(INDEX('RBA 5Y yield'!$B$5:$B$661,MATCH(N489,'RBA 5Y yield'!$A$5:$A$661,1))*100,"")</f>
        <v>6.3336</v>
      </c>
      <c r="AI489" s="435">
        <f>IF(AND(ISNUMBER(AH489),ISNUMBER(AH488)),AH489-AH488,"")</f>
        <v>0.1474</v>
      </c>
      <c r="AJ489" s="435">
        <f>IF(AND(ISNUMBER(AH489),ISNUMBER(AH477)),AH489-AH477,"")</f>
        <v>0.261900000000001</v>
      </c>
      <c r="AK489" s="435">
        <f>IF(AND(ISNUMBER(AH489),ISNUMBER(AH429)),AH489-AH429,"")</f>
        <v>1.5897</v>
      </c>
      <c r="AL489" s="560">
        <f>IFERROR(LN(INDEX(Data!$B$2:$B$497,MATCH(N489,Data!$A$2:$A$497,1))/INDEX(Data!$B$2:$B$497,MATCH(N477,Data!$A$2:$A$497,1))),"")</f>
        <v>-0.0538517973953279</v>
      </c>
      <c r="AM489" s="560">
        <f>IFERROR(LN(INDEX(Data!$C$2:$C$497,MATCH(N489,Data!$A$2:$A$497,1))/INDEX(Data!$C$2:$C$497,MATCH(N477,Data!$A$2:$A$497,1))),"")</f>
        <v>-0.229739089305819</v>
      </c>
      <c r="AN489" s="560">
        <f>IFERROR(LN(INDEX(Data!$D$2:$D$497,MATCH(N489,Data!$A$2:$A$497,1))/INDEX(Data!$D$2:$D$497,MATCH(N477,Data!$A$2:$A$497,1))),"")</f>
        <v>0.024251584454337</v>
      </c>
      <c r="AO489" s="560">
        <f>IFERROR(LN(INDEX(Data!$E$2:$E$497,MATCH(N489,Data!$A$2:$A$497,1))/INDEX(Data!$E$2:$E$497,MATCH(N477,Data!$A$2:$A$497,1))),"")</f>
        <v>-0.37822934234898</v>
      </c>
      <c r="AP489" s="560">
        <f>IFERROR(LN(INDEX(Data!$F$2:$F$497,MATCH(N489,Data!$A$2:$A$497,1))/INDEX(Data!$F$2:$F$497,MATCH(N477,Data!$A$2:$A$497,1))),"")</f>
        <v>0.367267615488777</v>
      </c>
      <c r="AQ489" s="560">
        <f>IFERROR(LN(INDEX(Data!$G$2:$G$497,MATCH(N489,Data!$A$2:$A$497,1))/INDEX(Data!$G$2:$G$497,MATCH(N477,Data!$A$2:$A$497,1))),"")</f>
        <v>0.132383714711125</v>
      </c>
      <c r="AR489" s="560">
        <f>IFERROR(LN(INDEX(Data!$H$2:$H$497,MATCH(N489,Data!$A$2:$A$497,1))/INDEX(Data!$H$2:$H$497,MATCH(N477,Data!$A$2:$A$497,1))),"")</f>
        <v>0.136405974199198</v>
      </c>
      <c r="AS489" s="560">
        <f>IFERROR(LN(INDEX(Data!$I$2:$I$497,MATCH(N489,Data!$A$2:$A$497,1))/INDEX(Data!$I$2:$I$497,MATCH(N477,Data!$A$2:$A$497,1))),"")</f>
        <v>0.100974055498759</v>
      </c>
      <c r="AT489" s="560">
        <f>IFERROR(LN(INDEX(Data!$J$2:$J$497,MATCH(N489,Data!$A$2:$A$497,1))/INDEX(Data!$J$2:$J$497,MATCH(N477,Data!$A$2:$A$497,1))),"")</f>
        <v>0.0358679294615298</v>
      </c>
      <c r="AU489" s="560">
        <f>IFERROR(LN(INDEX(Data!$K$2:$K$497,MATCH(N489,Data!$A$2:$A$497,1))/INDEX(Data!$K$2:$K$497,MATCH(N477,Data!$A$2:$A$497,1))),"")</f>
        <v>0.0725534334522027</v>
      </c>
      <c r="AV489" s="561">
        <f>IFERROR(LN(INDEX(Data!$L$2:$L$497,MATCH(N489,Data!$A$2:$A$497,1))/INDEX(Data!$L$2:$L$497,MATCH(N477,Data!$A$2:$A$497,1))),"")</f>
        <v>0.0697315317030293</v>
      </c>
    </row>
    <row r="490">
      <c r="N490" s="337" t="n">
        <v>39629</v>
      </c>
      <c r="O490" s="116">
        <f>INDEX('Additional data'!$B$2:$B$965,MATCH(DATE(YEAR(N490),MONTH(N490),1),'Additional data'!$A$2:$A$965,0))</f>
        <v>133.93</v>
      </c>
      <c r="P490" s="489">
        <f>LN(O490)</f>
        <v>4.89731727539903</v>
      </c>
      <c r="Q490" s="489">
        <f>Q489+LN(1+INDEX('Additional data'!$H$2:$H$1196,MATCH(N490,'Additional data'!$G$2:$G$1196,1))+INDEX('Additional data'!$I$2:$I$1196,MATCH(N490,'Additional data'!$G$2:$G$1196,1)))</f>
        <v>3.86491758422222</v>
      </c>
      <c r="R490" s="489">
        <f>LN(INDEX(Data!$B$2:$B$497,MATCH(N490,Data!$A$2:$A$497,1)))</f>
        <v>10.443960129998</v>
      </c>
      <c r="S490" s="116">
        <f>IF(INDEX('Additional data'!$E$2:$E$699,MATCH(DATE(YEAR(N490),MONTH(N490),1),'Additional data'!$D$2:$D$699,0))=0,(INDEX('Additional data'!$E$2:$E$699,MATCH(DATE(YEAR(N490),MONTH(N490),1),'Additional data'!$D$2:$D$699,0)-1)+INDEX('Additional data'!$E$2:$E$699,MATCH(DATE(YEAR(N490),MONTH(N490),1),'Additional data'!$D$2:$D$699,0)+1))/2,INDEX('Additional data'!$E$2:$E$699,MATCH(DATE(YEAR(N490),MONTH(N490),1),'Additional data'!$D$2:$D$699,0)))</f>
        <v>7.81</v>
      </c>
      <c r="T490" s="425">
        <f>P490-P489</f>
        <v>0.0658883951965841</v>
      </c>
      <c r="U490" s="425">
        <f>Q490-Q489</f>
        <v>-0.0862116968190656</v>
      </c>
      <c r="V490" s="425">
        <f>R490-R489</f>
        <v>-0.0759691642928715</v>
      </c>
      <c r="W490" s="116">
        <f>S490-S489</f>
        <v>0.0599999999999996</v>
      </c>
      <c r="X490" s="425">
        <f>P490-P478</f>
        <v>0.685486017721264</v>
      </c>
      <c r="Y490" s="425">
        <f>Q490-Q478</f>
        <v>-0.136290593886887</v>
      </c>
      <c r="Z490" s="425">
        <f>R490-R478</f>
        <v>-0.129145297353821</v>
      </c>
      <c r="AA490" s="116">
        <f>S490-S478</f>
        <v>1.39</v>
      </c>
      <c r="AB490" s="425">
        <f>P490-P430</f>
        <v>1.47240336711956</v>
      </c>
      <c r="AC490" s="425">
        <f>Q490-Q430</f>
        <v>0.403209655325318</v>
      </c>
      <c r="AD490" s="425">
        <f>R490-R430</f>
        <v>0.775069152481846</v>
      </c>
      <c r="AE490" s="235">
        <f>S490-S430</f>
        <v>3.14</v>
      </c>
      <c r="AG490" s="554">
        <f>N490</f>
        <v>39629.0</v>
      </c>
      <c r="AH490" s="435">
        <f>IFERROR(INDEX('RBA 5Y yield'!$B$5:$B$661,MATCH(N490,'RBA 5Y yield'!$A$5:$A$661,1))*100,"")</f>
        <v>6.6903</v>
      </c>
      <c r="AI490" s="435">
        <f>IF(AND(ISNUMBER(AH490),ISNUMBER(AH489)),AH490-AH489,"")</f>
        <v>0.3567</v>
      </c>
      <c r="AJ490" s="435">
        <f>IF(AND(ISNUMBER(AH490),ISNUMBER(AH478)),AH490-AH478,"")</f>
        <v>0.3543</v>
      </c>
      <c r="AK490" s="435">
        <f>IF(AND(ISNUMBER(AH490),ISNUMBER(AH430)),AH490-AH430,"")</f>
        <v>2.1973</v>
      </c>
      <c r="AL490" s="560">
        <f>IFERROR(LN(INDEX(Data!$B$2:$B$497,MATCH(N490,Data!$A$2:$A$497,1))/INDEX(Data!$B$2:$B$497,MATCH(N478,Data!$A$2:$A$497,1))),"")</f>
        <v>-0.12914529735382</v>
      </c>
      <c r="AM490" s="560">
        <f>IFERROR(LN(INDEX(Data!$C$2:$C$497,MATCH(N490,Data!$A$2:$A$497,1))/INDEX(Data!$C$2:$C$497,MATCH(N478,Data!$A$2:$A$497,1))),"")</f>
        <v>-0.28756502266106</v>
      </c>
      <c r="AN490" s="560">
        <f>IFERROR(LN(INDEX(Data!$D$2:$D$497,MATCH(N490,Data!$A$2:$A$497,1))/INDEX(Data!$D$2:$D$497,MATCH(N478,Data!$A$2:$A$497,1))),"")</f>
        <v>-0.106895000599132</v>
      </c>
      <c r="AO490" s="560">
        <f>IFERROR(LN(INDEX(Data!$E$2:$E$497,MATCH(N490,Data!$A$2:$A$497,1))/INDEX(Data!$E$2:$E$497,MATCH(N478,Data!$A$2:$A$497,1))),"")</f>
        <v>-0.38721493478745</v>
      </c>
      <c r="AP490" s="560">
        <f>IFERROR(LN(INDEX(Data!$F$2:$F$497,MATCH(N490,Data!$A$2:$A$497,1))/INDEX(Data!$F$2:$F$497,MATCH(N478,Data!$A$2:$A$497,1))),"")</f>
        <v>0.442005555100281</v>
      </c>
      <c r="AQ490" s="560">
        <f>IFERROR(LN(INDEX(Data!$G$2:$G$497,MATCH(N490,Data!$A$2:$A$497,1))/INDEX(Data!$G$2:$G$497,MATCH(N478,Data!$A$2:$A$497,1))),"")</f>
        <v>0.0797849975381731</v>
      </c>
      <c r="AR490" s="560">
        <f>IFERROR(LN(INDEX(Data!$H$2:$H$497,MATCH(N490,Data!$A$2:$A$497,1))/INDEX(Data!$H$2:$H$497,MATCH(N478,Data!$A$2:$A$497,1))),"")</f>
        <v>0.127463743924651</v>
      </c>
      <c r="AS490" s="560">
        <f>IFERROR(LN(INDEX(Data!$I$2:$I$497,MATCH(N490,Data!$A$2:$A$497,1))/INDEX(Data!$I$2:$I$497,MATCH(N478,Data!$A$2:$A$497,1))),"")</f>
        <v>-0.0069298950131531</v>
      </c>
      <c r="AT490" s="560">
        <f>IFERROR(LN(INDEX(Data!$J$2:$J$497,MATCH(N490,Data!$A$2:$A$497,1))/INDEX(Data!$J$2:$J$497,MATCH(N478,Data!$A$2:$A$497,1))),"")</f>
        <v>0.0432574948953784</v>
      </c>
      <c r="AU490" s="560">
        <f>IFERROR(LN(INDEX(Data!$K$2:$K$497,MATCH(N490,Data!$A$2:$A$497,1))/INDEX(Data!$K$2:$K$497,MATCH(N478,Data!$A$2:$A$497,1))),"")</f>
        <v>0.0760777104573376</v>
      </c>
      <c r="AV490" s="561">
        <f>IFERROR(LN(INDEX(Data!$L$2:$L$497,MATCH(N490,Data!$A$2:$A$497,1))/INDEX(Data!$L$2:$L$497,MATCH(N478,Data!$A$2:$A$497,1))),"")</f>
        <v>0.0708295544700898</v>
      </c>
    </row>
    <row r="491">
      <c r="N491" s="337" t="n">
        <v>39660</v>
      </c>
      <c r="O491" s="116">
        <f>INDEX('Additional data'!$B$2:$B$965,MATCH(DATE(YEAR(N491),MONTH(N491),1),'Additional data'!$A$2:$A$965,0))</f>
        <v>133.44</v>
      </c>
      <c r="P491" s="489">
        <f>LN(O491)</f>
        <v>4.89365193861044</v>
      </c>
      <c r="Q491" s="489">
        <f>Q490+LN(1+INDEX('Additional data'!$H$2:$H$1196,MATCH(N491,'Additional data'!$G$2:$G$1196,1))+INDEX('Additional data'!$I$2:$I$1196,MATCH(N491,'Additional data'!$G$2:$G$1196,1)))</f>
        <v>3.85889951189665</v>
      </c>
      <c r="R491" s="489">
        <f>LN(INDEX(Data!$B$2:$B$497,MATCH(N491,Data!$A$2:$A$497,1)))</f>
        <v>10.3901940957108</v>
      </c>
      <c r="S491" s="116">
        <f>IF(INDEX('Additional data'!$E$2:$E$699,MATCH(DATE(YEAR(N491),MONTH(N491),1),'Additional data'!$D$2:$D$699,0))=0,(INDEX('Additional data'!$E$2:$E$699,MATCH(DATE(YEAR(N491),MONTH(N491),1),'Additional data'!$D$2:$D$699,0)-1)+INDEX('Additional data'!$E$2:$E$699,MATCH(DATE(YEAR(N491),MONTH(N491),1),'Additional data'!$D$2:$D$699,0)+1))/2,INDEX('Additional data'!$E$2:$E$699,MATCH(DATE(YEAR(N491),MONTH(N491),1),'Additional data'!$D$2:$D$699,0)))</f>
        <v>7.75</v>
      </c>
      <c r="T491" s="425">
        <f>P491-P490</f>
        <v>-0.00366533678859415</v>
      </c>
      <c r="U491" s="425">
        <f>Q491-Q490</f>
        <v>-0.00601807232556295</v>
      </c>
      <c r="V491" s="425">
        <f>R491-R490</f>
        <v>-0.0537660342871913</v>
      </c>
      <c r="W491" s="116">
        <f>S491-S490</f>
        <v>-0.0599999999999996</v>
      </c>
      <c r="X491" s="425">
        <f>P491-P479</f>
        <v>0.587157366548992</v>
      </c>
      <c r="Y491" s="425">
        <f>Q491-Q479</f>
        <v>-0.108545036059641</v>
      </c>
      <c r="Z491" s="425">
        <f>R491-R479</f>
        <v>-0.163291484005114</v>
      </c>
      <c r="AA491" s="116">
        <f>S491-S479</f>
        <v>1.28</v>
      </c>
      <c r="AB491" s="425">
        <f>P491-P431</f>
        <v>1.46743679397299</v>
      </c>
      <c r="AC491" s="425">
        <f>Q491-Q431</f>
        <v>0.373475056382439</v>
      </c>
      <c r="AD491" s="425">
        <f>R491-R431</f>
        <v>0.685854065920275</v>
      </c>
      <c r="AE491" s="235">
        <f>S491-S431</f>
        <v>3.03</v>
      </c>
      <c r="AG491" s="554">
        <f>N491</f>
        <v>39660.0</v>
      </c>
      <c r="AH491" s="435">
        <f>IFERROR(INDEX('RBA 5Y yield'!$B$5:$B$661,MATCH(N491,'RBA 5Y yield'!$A$5:$A$661,1))*100,"")</f>
        <v>6.4043</v>
      </c>
      <c r="AI491" s="435">
        <f>IF(AND(ISNUMBER(AH491),ISNUMBER(AH490)),AH491-AH490,"")</f>
        <v>-0.286000000000001</v>
      </c>
      <c r="AJ491" s="435">
        <f>IF(AND(ISNUMBER(AH491),ISNUMBER(AH479)),AH491-AH479,"")</f>
        <v>0.1002</v>
      </c>
      <c r="AK491" s="435">
        <f>IF(AND(ISNUMBER(AH491),ISNUMBER(AH431)),AH491-AH431,"")</f>
        <v>1.51</v>
      </c>
      <c r="AL491" s="560">
        <f>IFERROR(LN(INDEX(Data!$B$2:$B$497,MATCH(N491,Data!$A$2:$A$497,1))/INDEX(Data!$B$2:$B$497,MATCH(N479,Data!$A$2:$A$497,1))),"")</f>
        <v>-0.163291484005114</v>
      </c>
      <c r="AM491" s="560">
        <f>IFERROR(LN(INDEX(Data!$C$2:$C$497,MATCH(N491,Data!$A$2:$A$497,1))/INDEX(Data!$C$2:$C$497,MATCH(N479,Data!$A$2:$A$497,1))),"")</f>
        <v>-0.244870906205383</v>
      </c>
      <c r="AN491" s="560">
        <f>IFERROR(LN(INDEX(Data!$D$2:$D$497,MATCH(N491,Data!$A$2:$A$497,1))/INDEX(Data!$D$2:$D$497,MATCH(N479,Data!$A$2:$A$497,1))),"")</f>
        <v>-0.175844810522454</v>
      </c>
      <c r="AO491" s="560">
        <f>IFERROR(LN(INDEX(Data!$E$2:$E$497,MATCH(N491,Data!$A$2:$A$497,1))/INDEX(Data!$E$2:$E$497,MATCH(N479,Data!$A$2:$A$497,1))),"")</f>
        <v>-0.275878569602743</v>
      </c>
      <c r="AP491" s="560">
        <f>IFERROR(LN(INDEX(Data!$F$2:$F$497,MATCH(N491,Data!$A$2:$A$497,1))/INDEX(Data!$F$2:$F$497,MATCH(N479,Data!$A$2:$A$497,1))),"")</f>
        <v>0.287576607114512</v>
      </c>
      <c r="AQ491" s="560">
        <f>IFERROR(LN(INDEX(Data!$G$2:$G$497,MATCH(N491,Data!$A$2:$A$497,1))/INDEX(Data!$G$2:$G$497,MATCH(N479,Data!$A$2:$A$497,1))),"")</f>
        <v>0.0797849975381731</v>
      </c>
      <c r="AR491" s="560">
        <f>IFERROR(LN(INDEX(Data!$H$2:$H$497,MATCH(N491,Data!$A$2:$A$497,1))/INDEX(Data!$H$2:$H$497,MATCH(N479,Data!$A$2:$A$497,1))),"")</f>
        <v>0.101582483625911</v>
      </c>
      <c r="AS491" s="560">
        <f>IFERROR(LN(INDEX(Data!$I$2:$I$497,MATCH(N491,Data!$A$2:$A$497,1))/INDEX(Data!$I$2:$I$497,MATCH(N479,Data!$A$2:$A$497,1))),"")</f>
        <v>-0.0069298950131531</v>
      </c>
      <c r="AT491" s="560">
        <f>IFERROR(LN(INDEX(Data!$J$2:$J$497,MATCH(N491,Data!$A$2:$A$497,1))/INDEX(Data!$J$2:$J$497,MATCH(N479,Data!$A$2:$A$497,1))),"")</f>
        <v>0.0543039730203987</v>
      </c>
      <c r="AU491" s="560">
        <f>IFERROR(LN(INDEX(Data!$K$2:$K$497,MATCH(N491,Data!$A$2:$A$497,1))/INDEX(Data!$K$2:$K$497,MATCH(N479,Data!$A$2:$A$497,1))),"")</f>
        <v>0.0771940410587234</v>
      </c>
      <c r="AV491" s="561">
        <f>IFERROR(LN(INDEX(Data!$L$2:$L$497,MATCH(N491,Data!$A$2:$A$497,1))/INDEX(Data!$L$2:$L$497,MATCH(N479,Data!$A$2:$A$497,1))),"")</f>
        <v>0.072246992702552</v>
      </c>
    </row>
    <row r="492">
      <c r="N492" s="337" t="n">
        <v>39691</v>
      </c>
      <c r="O492" s="116">
        <f>INDEX('Additional data'!$B$2:$B$965,MATCH(DATE(YEAR(N492),MONTH(N492),1),'Additional data'!$A$2:$A$965,0))</f>
        <v>116.61</v>
      </c>
      <c r="P492" s="489">
        <f>LN(O492)</f>
        <v>4.75883503353224</v>
      </c>
      <c r="Q492" s="489">
        <f>Q491+LN(1+INDEX('Additional data'!$H$2:$H$1196,MATCH(N492,'Additional data'!$G$2:$G$1196,1))+INDEX('Additional data'!$I$2:$I$1196,MATCH(N492,'Additional data'!$G$2:$G$1196,1)))</f>
        <v>3.87536323792732</v>
      </c>
      <c r="R492" s="489">
        <f>LN(INDEX(Data!$B$2:$B$497,MATCH(N492,Data!$A$2:$A$497,1)))</f>
        <v>10.4296529185486</v>
      </c>
      <c r="S492" s="116">
        <f>IF(INDEX('Additional data'!$E$2:$E$699,MATCH(DATE(YEAR(N492),MONTH(N492),1),'Additional data'!$D$2:$D$699,0))=0,(INDEX('Additional data'!$E$2:$E$699,MATCH(DATE(YEAR(N492),MONTH(N492),1),'Additional data'!$D$2:$D$699,0)-1)+INDEX('Additional data'!$E$2:$E$699,MATCH(DATE(YEAR(N492),MONTH(N492),1),'Additional data'!$D$2:$D$699,0)+1))/2,INDEX('Additional data'!$E$2:$E$699,MATCH(DATE(YEAR(N492),MONTH(N492),1),'Additional data'!$D$2:$D$699,0)))</f>
        <v>7.31</v>
      </c>
      <c r="T492" s="425">
        <f>P492-P491</f>
        <v>-0.134816905078195</v>
      </c>
      <c r="U492" s="425">
        <f>Q492-Q491</f>
        <v>0.0164637260306653</v>
      </c>
      <c r="V492" s="425">
        <f>R492-R491</f>
        <v>0.0394588228378083</v>
      </c>
      <c r="W492" s="116">
        <f>S492-S491</f>
        <v>-0.44</v>
      </c>
      <c r="X492" s="425">
        <f>P492-P480</f>
        <v>0.476766865227192</v>
      </c>
      <c r="Y492" s="425">
        <f>Q492-Q480</f>
        <v>-0.105589660053768</v>
      </c>
      <c r="Z492" s="425">
        <f>R492-R480</f>
        <v>-0.14066484089668</v>
      </c>
      <c r="AA492" s="116">
        <f>S492-S480</f>
        <v>0.56</v>
      </c>
      <c r="AB492" s="425">
        <f>P492-P432</f>
        <v>1.30599441871825</v>
      </c>
      <c r="AC492" s="425">
        <f>Q492-Q432</f>
        <v>0.366222255795788</v>
      </c>
      <c r="AD492" s="425">
        <f>R492-R432</f>
        <v>0.690788036233611</v>
      </c>
      <c r="AE492" s="235">
        <f>S492-S432</f>
        <v>2.49</v>
      </c>
      <c r="AG492" s="554">
        <f>N492</f>
        <v>39691.0</v>
      </c>
      <c r="AH492" s="435">
        <f>IFERROR(INDEX('RBA 5Y yield'!$B$5:$B$661,MATCH(N492,'RBA 5Y yield'!$A$5:$A$661,1))*100,"")</f>
        <v>5.774</v>
      </c>
      <c r="AI492" s="435">
        <f>IF(AND(ISNUMBER(AH492),ISNUMBER(AH491)),AH492-AH491,"")</f>
        <v>-0.6303</v>
      </c>
      <c r="AJ492" s="435">
        <f>IF(AND(ISNUMBER(AH492),ISNUMBER(AH480)),AH492-AH480,"")</f>
        <v>-0.357600000000001</v>
      </c>
      <c r="AK492" s="435">
        <f>IF(AND(ISNUMBER(AH492),ISNUMBER(AH432)),AH492-AH432,"")</f>
        <v>0.5516</v>
      </c>
      <c r="AL492" s="560">
        <f>IFERROR(LN(INDEX(Data!$B$2:$B$497,MATCH(N492,Data!$A$2:$A$497,1))/INDEX(Data!$B$2:$B$497,MATCH(N480,Data!$A$2:$A$497,1))),"")</f>
        <v>-0.140664840896679</v>
      </c>
      <c r="AM492" s="560">
        <f>IFERROR(LN(INDEX(Data!$C$2:$C$497,MATCH(N492,Data!$A$2:$A$497,1))/INDEX(Data!$C$2:$C$497,MATCH(N480,Data!$A$2:$A$497,1))),"")</f>
        <v>-0.196498917302291</v>
      </c>
      <c r="AN492" s="560">
        <f>IFERROR(LN(INDEX(Data!$D$2:$D$497,MATCH(N492,Data!$A$2:$A$497,1))/INDEX(Data!$D$2:$D$497,MATCH(N480,Data!$A$2:$A$497,1))),"")</f>
        <v>-0.179446264759526</v>
      </c>
      <c r="AO492" s="560">
        <f>IFERROR(LN(INDEX(Data!$E$2:$E$497,MATCH(N492,Data!$A$2:$A$497,1))/INDEX(Data!$E$2:$E$497,MATCH(N480,Data!$A$2:$A$497,1))),"")</f>
        <v>-0.263085733633642</v>
      </c>
      <c r="AP492" s="560">
        <f>IFERROR(LN(INDEX(Data!$F$2:$F$497,MATCH(N492,Data!$A$2:$A$497,1))/INDEX(Data!$F$2:$F$497,MATCH(N480,Data!$A$2:$A$497,1))),"")</f>
        <v>0.29301454003447</v>
      </c>
      <c r="AQ492" s="560">
        <f>IFERROR(LN(INDEX(Data!$G$2:$G$497,MATCH(N492,Data!$A$2:$A$497,1))/INDEX(Data!$G$2:$G$497,MATCH(N480,Data!$A$2:$A$497,1))),"")</f>
        <v>0.0797849975381731</v>
      </c>
      <c r="AR492" s="560">
        <f>IFERROR(LN(INDEX(Data!$H$2:$H$497,MATCH(N492,Data!$A$2:$A$497,1))/INDEX(Data!$H$2:$H$497,MATCH(N480,Data!$A$2:$A$497,1))),"")</f>
        <v>0.10446361422653</v>
      </c>
      <c r="AS492" s="560">
        <f>IFERROR(LN(INDEX(Data!$I$2:$I$497,MATCH(N492,Data!$A$2:$A$497,1))/INDEX(Data!$I$2:$I$497,MATCH(N480,Data!$A$2:$A$497,1))),"")</f>
        <v>-0.0069298950131531</v>
      </c>
      <c r="AT492" s="560">
        <f>IFERROR(LN(INDEX(Data!$J$2:$J$497,MATCH(N492,Data!$A$2:$A$497,1))/INDEX(Data!$J$2:$J$497,MATCH(N480,Data!$A$2:$A$497,1))),"")</f>
        <v>0.0671561618951933</v>
      </c>
      <c r="AU492" s="560">
        <f>IFERROR(LN(INDEX(Data!$K$2:$K$497,MATCH(N492,Data!$A$2:$A$497,1))/INDEX(Data!$K$2:$K$497,MATCH(N480,Data!$A$2:$A$497,1))),"")</f>
        <v>0.0790686470405263</v>
      </c>
      <c r="AV492" s="561">
        <f>IFERROR(LN(INDEX(Data!$L$2:$L$497,MATCH(N492,Data!$A$2:$A$497,1))/INDEX(Data!$L$2:$L$497,MATCH(N480,Data!$A$2:$A$497,1))),"")</f>
        <v>0.0736106126081746</v>
      </c>
    </row>
    <row r="493">
      <c r="N493" s="337" t="n">
        <v>39721</v>
      </c>
      <c r="O493" s="116">
        <f>INDEX('Additional data'!$B$2:$B$965,MATCH(DATE(YEAR(N493),MONTH(N493),1),'Additional data'!$A$2:$A$965,0))</f>
        <v>103.9</v>
      </c>
      <c r="P493" s="489">
        <f>LN(O493)</f>
        <v>4.64342889810518</v>
      </c>
      <c r="Q493" s="489">
        <f>Q492+LN(1+INDEX('Additional data'!$H$2:$H$1196,MATCH(N493,'Additional data'!$G$2:$G$1196,1))+INDEX('Additional data'!$I$2:$I$1196,MATCH(N493,'Additional data'!$G$2:$G$1196,1)))</f>
        <v>3.77885233754648</v>
      </c>
      <c r="R493" s="489">
        <f>LN(INDEX(Data!$B$2:$B$497,MATCH(N493,Data!$A$2:$A$497,1)))</f>
        <v>10.3173805460366</v>
      </c>
      <c r="S493" s="116">
        <f>IF(INDEX('Additional data'!$E$2:$E$699,MATCH(DATE(YEAR(N493),MONTH(N493),1),'Additional data'!$D$2:$D$699,0))=0,(INDEX('Additional data'!$E$2:$E$699,MATCH(DATE(YEAR(N493),MONTH(N493),1),'Additional data'!$D$2:$D$699,0)-1)+INDEX('Additional data'!$E$2:$E$699,MATCH(DATE(YEAR(N493),MONTH(N493),1),'Additional data'!$D$2:$D$699,0)+1))/2,INDEX('Additional data'!$E$2:$E$699,MATCH(DATE(YEAR(N493),MONTH(N493),1),'Additional data'!$D$2:$D$699,0)))</f>
        <v>7.27</v>
      </c>
      <c r="T493" s="425">
        <f>P493-P492</f>
        <v>-0.11540613542706</v>
      </c>
      <c r="U493" s="425">
        <f>Q493-Q492</f>
        <v>-0.096510900380844</v>
      </c>
      <c r="V493" s="425">
        <f>R493-R492</f>
        <v>-0.112272372512068</v>
      </c>
      <c r="W493" s="116">
        <f>S493-S492</f>
        <v>-0.04</v>
      </c>
      <c r="X493" s="425">
        <f>P493-P481</f>
        <v>0.262277646467254</v>
      </c>
      <c r="Y493" s="425">
        <f>Q493-Q481</f>
        <v>-0.236888385920276</v>
      </c>
      <c r="Z493" s="425">
        <f>R493-R481</f>
        <v>-0.309101442839962</v>
      </c>
      <c r="AA493" s="116">
        <f>S493-S481</f>
        <v>0.329999999999999</v>
      </c>
      <c r="AB493" s="425">
        <f>P493-P433</f>
        <v>1.30092051279171</v>
      </c>
      <c r="AC493" s="425">
        <f>Q493-Q433</f>
        <v>0.281379160282626</v>
      </c>
      <c r="AD493" s="425">
        <f>R493-R433</f>
        <v>0.579892089405449</v>
      </c>
      <c r="AE493" s="235">
        <f>S493-S433</f>
        <v>2.36</v>
      </c>
      <c r="AG493" s="554">
        <f>N493</f>
        <v>39721.0</v>
      </c>
      <c r="AH493" s="435">
        <f>IFERROR(INDEX('RBA 5Y yield'!$B$5:$B$661,MATCH(N493,'RBA 5Y yield'!$A$5:$A$661,1))*100,"")</f>
        <v>5.5364</v>
      </c>
      <c r="AI493" s="435">
        <f>IF(AND(ISNUMBER(AH493),ISNUMBER(AH492)),AH493-AH492,"")</f>
        <v>-0.2376</v>
      </c>
      <c r="AJ493" s="435">
        <f>IF(AND(ISNUMBER(AH493),ISNUMBER(AH481)),AH493-AH481,"")</f>
        <v>-0.671</v>
      </c>
      <c r="AK493" s="435">
        <f>IF(AND(ISNUMBER(AH493),ISNUMBER(AH433)),AH493-AH433,"")</f>
        <v>0.2223</v>
      </c>
      <c r="AL493" s="560">
        <f>IFERROR(LN(INDEX(Data!$B$2:$B$497,MATCH(N493,Data!$A$2:$A$497,1))/INDEX(Data!$B$2:$B$497,MATCH(N481,Data!$A$2:$A$497,1))),"")</f>
        <v>-0.309101442839962</v>
      </c>
      <c r="AM493" s="560">
        <f>IFERROR(LN(INDEX(Data!$C$2:$C$497,MATCH(N493,Data!$A$2:$A$497,1))/INDEX(Data!$C$2:$C$497,MATCH(N481,Data!$A$2:$A$497,1))),"")</f>
        <v>-0.168037315773708</v>
      </c>
      <c r="AN493" s="560">
        <f>IFERROR(LN(INDEX(Data!$D$2:$D$497,MATCH(N493,Data!$A$2:$A$497,1))/INDEX(Data!$D$2:$D$497,MATCH(N481,Data!$A$2:$A$497,1))),"")</f>
        <v>-0.220204908184311</v>
      </c>
      <c r="AO493" s="560">
        <f>IFERROR(LN(INDEX(Data!$E$2:$E$497,MATCH(N493,Data!$A$2:$A$497,1))/INDEX(Data!$E$2:$E$497,MATCH(N481,Data!$A$2:$A$497,1))),"")</f>
        <v>-0.144484964326305</v>
      </c>
      <c r="AP493" s="560">
        <f>IFERROR(LN(INDEX(Data!$F$2:$F$497,MATCH(N493,Data!$A$2:$A$497,1))/INDEX(Data!$F$2:$F$497,MATCH(N481,Data!$A$2:$A$497,1))),"")</f>
        <v>0.234725262246883</v>
      </c>
      <c r="AQ493" s="560">
        <f>IFERROR(LN(INDEX(Data!$G$2:$G$497,MATCH(N493,Data!$A$2:$A$497,1))/INDEX(Data!$G$2:$G$497,MATCH(N481,Data!$A$2:$A$497,1))),"")</f>
        <v>0.0222625305630536</v>
      </c>
      <c r="AR493" s="560">
        <f>IFERROR(LN(INDEX(Data!$H$2:$H$497,MATCH(N493,Data!$A$2:$A$497,1))/INDEX(Data!$H$2:$H$497,MATCH(N481,Data!$A$2:$A$497,1))),"")</f>
        <v>0.103581131451212</v>
      </c>
      <c r="AS493" s="560">
        <f>IFERROR(LN(INDEX(Data!$I$2:$I$497,MATCH(N493,Data!$A$2:$A$497,1))/INDEX(Data!$I$2:$I$497,MATCH(N481,Data!$A$2:$A$497,1))),"")</f>
        <v>-0.00682139545670801</v>
      </c>
      <c r="AT493" s="560">
        <f>IFERROR(LN(INDEX(Data!$J$2:$J$497,MATCH(N493,Data!$A$2:$A$497,1))/INDEX(Data!$J$2:$J$497,MATCH(N481,Data!$A$2:$A$497,1))),"")</f>
        <v>0.0804096327104366</v>
      </c>
      <c r="AU493" s="560">
        <f>IFERROR(LN(INDEX(Data!$K$2:$K$497,MATCH(N493,Data!$A$2:$A$497,1))/INDEX(Data!$K$2:$K$497,MATCH(N481,Data!$A$2:$A$497,1))),"")</f>
        <v>0.0673169894161681</v>
      </c>
      <c r="AV493" s="561">
        <f>IFERROR(LN(INDEX(Data!$L$2:$L$497,MATCH(N493,Data!$A$2:$A$497,1))/INDEX(Data!$L$2:$L$497,MATCH(N481,Data!$A$2:$A$497,1))),"")</f>
        <v>0.0737457652978624</v>
      </c>
    </row>
    <row r="494">
      <c r="N494" s="337" t="n">
        <v>39752</v>
      </c>
      <c r="O494" s="116">
        <f>INDEX('Additional data'!$B$2:$B$965,MATCH(DATE(YEAR(N494),MONTH(N494),1),'Additional data'!$A$2:$A$965,0))</f>
        <v>76.65</v>
      </c>
      <c r="P494" s="489">
        <f>LN(O494)</f>
        <v>4.33924960531782</v>
      </c>
      <c r="Q494" s="489">
        <f>Q493+LN(1+INDEX('Additional data'!$H$2:$H$1196,MATCH(N494,'Additional data'!$G$2:$G$1196,1))+INDEX('Additional data'!$I$2:$I$1196,MATCH(N494,'Additional data'!$G$2:$G$1196,1)))</f>
        <v>3.59107593006956</v>
      </c>
      <c r="R494" s="489">
        <f>LN(INDEX(Data!$B$2:$B$497,MATCH(N494,Data!$A$2:$A$497,1)))</f>
        <v>10.1674757669137</v>
      </c>
      <c r="S494" s="116">
        <f>IF(INDEX('Additional data'!$E$2:$E$699,MATCH(DATE(YEAR(N494),MONTH(N494),1),'Additional data'!$D$2:$D$699,0))=0,(INDEX('Additional data'!$E$2:$E$699,MATCH(DATE(YEAR(N494),MONTH(N494),1),'Additional data'!$D$2:$D$699,0)-1)+INDEX('Additional data'!$E$2:$E$699,MATCH(DATE(YEAR(N494),MONTH(N494),1),'Additional data'!$D$2:$D$699,0)+1))/2,INDEX('Additional data'!$E$2:$E$699,MATCH(DATE(YEAR(N494),MONTH(N494),1),'Additional data'!$D$2:$D$699,0)))</f>
        <v>6.03</v>
      </c>
      <c r="T494" s="425">
        <f>P494-P493</f>
        <v>-0.304179292787358</v>
      </c>
      <c r="U494" s="425">
        <f>Q494-Q493</f>
        <v>-0.187776407476918</v>
      </c>
      <c r="V494" s="425">
        <f>R494-R493</f>
        <v>-0.149904779122904</v>
      </c>
      <c r="W494" s="116">
        <f>S494-S493</f>
        <v>-1.24</v>
      </c>
      <c r="X494" s="425">
        <f>P494-P482</f>
        <v>-0.117420572351825</v>
      </c>
      <c r="Y494" s="425">
        <f>Q494-Q482</f>
        <v>-0.44554527097655</v>
      </c>
      <c r="Z494" s="425">
        <f>R494-R482</f>
        <v>-0.489275388299019</v>
      </c>
      <c r="AA494" s="116">
        <f>S494-S482</f>
        <v>-0.88</v>
      </c>
      <c r="AB494" s="425">
        <f>P494-P434</f>
        <v>0.927112283617333</v>
      </c>
      <c r="AC494" s="425">
        <f>Q494-Q434</f>
        <v>0.0339197506445341</v>
      </c>
      <c r="AD494" s="425">
        <f>R494-R434</f>
        <v>0.395766744164131</v>
      </c>
      <c r="AE494" s="235">
        <f>S494-S434</f>
        <v>1.06</v>
      </c>
      <c r="AG494" s="554">
        <f>N494</f>
        <v>39752.0</v>
      </c>
      <c r="AH494" s="435">
        <f>IFERROR(INDEX('RBA 5Y yield'!$B$5:$B$661,MATCH(N494,'RBA 5Y yield'!$A$5:$A$661,1))*100,"")</f>
        <v>4.8284</v>
      </c>
      <c r="AI494" s="435">
        <f>IF(AND(ISNUMBER(AH494),ISNUMBER(AH493)),AH494-AH493,"")</f>
        <v>-0.707999999999999</v>
      </c>
      <c r="AJ494" s="435">
        <f>IF(AND(ISNUMBER(AH494),ISNUMBER(AH482)),AH494-AH482,"")</f>
        <v>-1.6264</v>
      </c>
      <c r="AK494" s="435">
        <f>IF(AND(ISNUMBER(AH494),ISNUMBER(AH434)),AH494-AH434,"")</f>
        <v>-0.6455</v>
      </c>
      <c r="AL494" s="560">
        <f>IFERROR(LN(INDEX(Data!$B$2:$B$497,MATCH(N494,Data!$A$2:$A$497,1))/INDEX(Data!$B$2:$B$497,MATCH(N482,Data!$A$2:$A$497,1))),"")</f>
        <v>-0.489275388299018</v>
      </c>
      <c r="AM494" s="560">
        <f>IFERROR(LN(INDEX(Data!$C$2:$C$497,MATCH(N494,Data!$A$2:$A$497,1))/INDEX(Data!$C$2:$C$497,MATCH(N482,Data!$A$2:$A$497,1))),"")</f>
        <v>-0.143086830391715</v>
      </c>
      <c r="AN494" s="560">
        <f>IFERROR(LN(INDEX(Data!$D$2:$D$497,MATCH(N494,Data!$A$2:$A$497,1))/INDEX(Data!$D$2:$D$497,MATCH(N482,Data!$A$2:$A$497,1))),"")</f>
        <v>-0.333521371712568</v>
      </c>
      <c r="AO494" s="560">
        <f>IFERROR(LN(INDEX(Data!$E$2:$E$497,MATCH(N494,Data!$A$2:$A$497,1))/INDEX(Data!$E$2:$E$497,MATCH(N482,Data!$A$2:$A$497,1))),"")</f>
        <v>-0.238510931470988</v>
      </c>
      <c r="AP494" s="560">
        <f>IFERROR(LN(INDEX(Data!$F$2:$F$497,MATCH(N494,Data!$A$2:$A$497,1))/INDEX(Data!$F$2:$F$497,MATCH(N482,Data!$A$2:$A$497,1))),"")</f>
        <v>0.0365337272885507</v>
      </c>
      <c r="AQ494" s="560">
        <f>IFERROR(LN(INDEX(Data!$G$2:$G$497,MATCH(N494,Data!$A$2:$A$497,1))/INDEX(Data!$G$2:$G$497,MATCH(N482,Data!$A$2:$A$497,1))),"")</f>
        <v>0.0222625305630536</v>
      </c>
      <c r="AR494" s="560">
        <f>IFERROR(LN(INDEX(Data!$H$2:$H$497,MATCH(N494,Data!$A$2:$A$497,1))/INDEX(Data!$H$2:$H$497,MATCH(N482,Data!$A$2:$A$497,1))),"")</f>
        <v>0.103091679138568</v>
      </c>
      <c r="AS494" s="560">
        <f>IFERROR(LN(INDEX(Data!$I$2:$I$497,MATCH(N494,Data!$A$2:$A$497,1))/INDEX(Data!$I$2:$I$497,MATCH(N482,Data!$A$2:$A$497,1))),"")</f>
        <v>-0.00682139545670801</v>
      </c>
      <c r="AT494" s="560">
        <f>IFERROR(LN(INDEX(Data!$J$2:$J$497,MATCH(N494,Data!$A$2:$A$497,1))/INDEX(Data!$J$2:$J$497,MATCH(N482,Data!$A$2:$A$497,1))),"")</f>
        <v>0.10068473635471</v>
      </c>
      <c r="AU494" s="560">
        <f>IFERROR(LN(INDEX(Data!$K$2:$K$497,MATCH(N494,Data!$A$2:$A$497,1))/INDEX(Data!$K$2:$K$497,MATCH(N482,Data!$A$2:$A$497,1))),"")</f>
        <v>0.0497097627819064</v>
      </c>
      <c r="AV494" s="561">
        <f>IFERROR(LN(INDEX(Data!$L$2:$L$497,MATCH(N494,Data!$A$2:$A$497,1))/INDEX(Data!$L$2:$L$497,MATCH(N482,Data!$A$2:$A$497,1))),"")</f>
        <v>0.0751488165403038</v>
      </c>
    </row>
    <row r="495">
      <c r="N495" s="337" t="n">
        <v>39782</v>
      </c>
      <c r="O495" s="116">
        <f>INDEX('Additional data'!$B$2:$B$965,MATCH(DATE(YEAR(N495),MONTH(N495),1),'Additional data'!$A$2:$A$965,0))</f>
        <v>57.44</v>
      </c>
      <c r="P495" s="489">
        <f>LN(O495)</f>
        <v>4.05074092473997</v>
      </c>
      <c r="Q495" s="489">
        <f>Q494+LN(1+INDEX('Additional data'!$H$2:$H$1196,MATCH(N495,'Additional data'!$G$2:$G$1196,1))+INDEX('Additional data'!$I$2:$I$1196,MATCH(N495,'Additional data'!$G$2:$G$1196,1)))</f>
        <v>3.51084153735895</v>
      </c>
      <c r="R495" s="489">
        <f>LN(INDEX(Data!$B$2:$B$497,MATCH(N495,Data!$A$2:$A$497,1)))</f>
        <v>10.0925477287492</v>
      </c>
      <c r="S495" s="116">
        <f>IF(INDEX('Additional data'!$E$2:$E$699,MATCH(DATE(YEAR(N495),MONTH(N495),1),'Additional data'!$D$2:$D$699,0))=0,(INDEX('Additional data'!$E$2:$E$699,MATCH(DATE(YEAR(N495),MONTH(N495),1),'Additional data'!$D$2:$D$699,0)-1)+INDEX('Additional data'!$E$2:$E$699,MATCH(DATE(YEAR(N495),MONTH(N495),1),'Additional data'!$D$2:$D$699,0)+1))/2,INDEX('Additional data'!$E$2:$E$699,MATCH(DATE(YEAR(N495),MONTH(N495),1),'Additional data'!$D$2:$D$699,0)))</f>
        <v>4.76</v>
      </c>
      <c r="T495" s="425">
        <f>P495-P494</f>
        <v>-0.288508680577855</v>
      </c>
      <c r="U495" s="425">
        <f>Q495-Q494</f>
        <v>-0.0802343927106062</v>
      </c>
      <c r="V495" s="425">
        <f>R495-R494</f>
        <v>-0.0749280381644315</v>
      </c>
      <c r="W495" s="116">
        <f>S495-S494</f>
        <v>-1.27</v>
      </c>
      <c r="X495" s="425">
        <f>P495-P483</f>
        <v>-0.499127945463034</v>
      </c>
      <c r="Y495" s="425">
        <f>Q495-Q483</f>
        <v>-0.48015448566088</v>
      </c>
      <c r="Z495" s="425">
        <f>R495-R483</f>
        <v>-0.540375948099495</v>
      </c>
      <c r="AA495" s="116">
        <f>S495-S483</f>
        <v>-2.39</v>
      </c>
      <c r="AB495" s="425">
        <f>P495-P435</f>
        <v>0.613854700669306</v>
      </c>
      <c r="AC495" s="425">
        <f>Q495-Q435</f>
        <v>-0.0604147664448536</v>
      </c>
      <c r="AD495" s="425">
        <f>R495-R435</f>
        <v>0.342471179668387</v>
      </c>
      <c r="AE495" s="235">
        <f>S495-S435</f>
        <v>-0.55</v>
      </c>
      <c r="AG495" s="554">
        <f>N495</f>
        <v>39782.0</v>
      </c>
      <c r="AH495" s="435">
        <f>IFERROR(INDEX('RBA 5Y yield'!$B$5:$B$661,MATCH(N495,'RBA 5Y yield'!$A$5:$A$661,1))*100,"")</f>
        <v>4.2787</v>
      </c>
      <c r="AI495" s="435">
        <f>IF(AND(ISNUMBER(AH495),ISNUMBER(AH494)),AH495-AH494,"")</f>
        <v>-0.549700000000001</v>
      </c>
      <c r="AJ495" s="435">
        <f>IF(AND(ISNUMBER(AH495),ISNUMBER(AH483)),AH495-AH483,"")</f>
        <v>-2.0827</v>
      </c>
      <c r="AK495" s="435">
        <f>IF(AND(ISNUMBER(AH495),ISNUMBER(AH435)),AH495-AH435,"")</f>
        <v>-1.5488</v>
      </c>
      <c r="AL495" s="560">
        <f>IFERROR(LN(INDEX(Data!$B$2:$B$497,MATCH(N495,Data!$A$2:$A$497,1))/INDEX(Data!$B$2:$B$497,MATCH(N483,Data!$A$2:$A$497,1))),"")</f>
        <v>-0.540375948099495</v>
      </c>
      <c r="AM495" s="560">
        <f>IFERROR(LN(INDEX(Data!$C$2:$C$497,MATCH(N495,Data!$A$2:$A$497,1))/INDEX(Data!$C$2:$C$497,MATCH(N483,Data!$A$2:$A$497,1))),"")</f>
        <v>-0.19536331861093</v>
      </c>
      <c r="AN495" s="560">
        <f>IFERROR(LN(INDEX(Data!$D$2:$D$497,MATCH(N495,Data!$A$2:$A$497,1))/INDEX(Data!$D$2:$D$497,MATCH(N483,Data!$A$2:$A$497,1))),"")</f>
        <v>-0.344422032252122</v>
      </c>
      <c r="AO495" s="560">
        <f>IFERROR(LN(INDEX(Data!$E$2:$E$497,MATCH(N495,Data!$A$2:$A$497,1))/INDEX(Data!$E$2:$E$497,MATCH(N483,Data!$A$2:$A$497,1))),"")</f>
        <v>-0.361191281523016</v>
      </c>
      <c r="AP495" s="560">
        <f>IFERROR(LN(INDEX(Data!$F$2:$F$497,MATCH(N495,Data!$A$2:$A$497,1))/INDEX(Data!$F$2:$F$497,MATCH(N483,Data!$A$2:$A$497,1))),"")</f>
        <v>-0.120170676553357</v>
      </c>
      <c r="AQ495" s="560">
        <f>IFERROR(LN(INDEX(Data!$G$2:$G$497,MATCH(N495,Data!$A$2:$A$497,1))/INDEX(Data!$G$2:$G$497,MATCH(N483,Data!$A$2:$A$497,1))),"")</f>
        <v>0.0222625305630536</v>
      </c>
      <c r="AR495" s="560">
        <f>IFERROR(LN(INDEX(Data!$H$2:$H$497,MATCH(N495,Data!$A$2:$A$497,1))/INDEX(Data!$H$2:$H$497,MATCH(N483,Data!$A$2:$A$497,1))),"")</f>
        <v>0.128125528741135</v>
      </c>
      <c r="AS495" s="560">
        <f>IFERROR(LN(INDEX(Data!$I$2:$I$497,MATCH(N495,Data!$A$2:$A$497,1))/INDEX(Data!$I$2:$I$497,MATCH(N483,Data!$A$2:$A$497,1))),"")</f>
        <v>-0.00682139545670801</v>
      </c>
      <c r="AT495" s="560">
        <f>IFERROR(LN(INDEX(Data!$J$2:$J$497,MATCH(N495,Data!$A$2:$A$497,1))/INDEX(Data!$J$2:$J$497,MATCH(N483,Data!$A$2:$A$497,1))),"")</f>
        <v>0.125306036343766</v>
      </c>
      <c r="AU495" s="560">
        <f>IFERROR(LN(INDEX(Data!$K$2:$K$497,MATCH(N495,Data!$A$2:$A$497,1))/INDEX(Data!$K$2:$K$497,MATCH(N483,Data!$A$2:$A$497,1))),"")</f>
        <v>0.0665283111342742</v>
      </c>
      <c r="AV495" s="561">
        <f>IFERROR(LN(INDEX(Data!$L$2:$L$497,MATCH(N495,Data!$A$2:$A$497,1))/INDEX(Data!$L$2:$L$497,MATCH(N483,Data!$A$2:$A$497,1))),"")</f>
        <v>0.0750270356522719</v>
      </c>
    </row>
    <row r="496">
      <c r="N496" s="337" t="n">
        <v>39813</v>
      </c>
      <c r="O496" s="116">
        <f>INDEX('Additional data'!$B$2:$B$965,MATCH(DATE(YEAR(N496),MONTH(N496),1),'Additional data'!$A$2:$A$965,0))</f>
        <v>41.02</v>
      </c>
      <c r="P496" s="489">
        <f>LN(O496)</f>
        <v>3.71405975264423</v>
      </c>
      <c r="Q496" s="489">
        <f>Q495+LN(1+INDEX('Additional data'!$H$2:$H$1196,MATCH(N496,'Additional data'!$G$2:$G$1196,1))+INDEX('Additional data'!$I$2:$I$1196,MATCH(N496,'Additional data'!$G$2:$G$1196,1)))</f>
        <v>3.5283867165747</v>
      </c>
      <c r="R496" s="489">
        <f>LN(INDEX(Data!$B$2:$B$497,MATCH(N496,Data!$A$2:$A$497,1)))</f>
        <v>10.0917576317371</v>
      </c>
      <c r="S496" s="116">
        <f>IF(INDEX('Additional data'!$E$2:$E$699,MATCH(DATE(YEAR(N496),MONTH(N496),1),'Additional data'!$D$2:$D$699,0))=0,(INDEX('Additional data'!$E$2:$E$699,MATCH(DATE(YEAR(N496),MONTH(N496),1),'Additional data'!$D$2:$D$699,0)-1)+INDEX('Additional data'!$E$2:$E$699,MATCH(DATE(YEAR(N496),MONTH(N496),1),'Additional data'!$D$2:$D$699,0)+1))/2,INDEX('Additional data'!$E$2:$E$699,MATCH(DATE(YEAR(N496),MONTH(N496),1),'Additional data'!$D$2:$D$699,0)))</f>
        <v>4.39</v>
      </c>
      <c r="T496" s="425">
        <f>P496-P495</f>
        <v>-0.336681172095734</v>
      </c>
      <c r="U496" s="425">
        <f>Q496-Q495</f>
        <v>0.0175451792157491</v>
      </c>
      <c r="V496" s="425">
        <f>R496-R495</f>
        <v>-0.000790097012121294</v>
      </c>
      <c r="W496" s="116">
        <f>S496-S495</f>
        <v>-0.37</v>
      </c>
      <c r="X496" s="425">
        <f>P496-P484</f>
        <v>-0.804789726877329</v>
      </c>
      <c r="Y496" s="425">
        <f>Q496-Q484</f>
        <v>-0.456591234119568</v>
      </c>
      <c r="Z496" s="425">
        <f>R496-R484</f>
        <v>-0.517259447711068</v>
      </c>
      <c r="AA496" s="116">
        <f>S496-S484</f>
        <v>-2.9</v>
      </c>
      <c r="AB496" s="425">
        <f>P496-P436</f>
        <v>0.243647301960606</v>
      </c>
      <c r="AC496" s="425">
        <f>Q496-Q436</f>
        <v>-0.0856416790729733</v>
      </c>
      <c r="AD496" s="425">
        <f>R496-R436</f>
        <v>0.305553277296971</v>
      </c>
      <c r="AE496" s="235">
        <f>S496-S436</f>
        <v>-1.08</v>
      </c>
      <c r="AG496" s="554">
        <f>N496</f>
        <v>39813.0</v>
      </c>
      <c r="AH496" s="435">
        <f>IFERROR(INDEX('RBA 5Y yield'!$B$5:$B$661,MATCH(N496,'RBA 5Y yield'!$A$5:$A$661,1))*100,"")</f>
        <v>3.7221</v>
      </c>
      <c r="AI496" s="435">
        <f>IF(AND(ISNUMBER(AH496),ISNUMBER(AH495)),AH496-AH495,"")</f>
        <v>-0.5566</v>
      </c>
      <c r="AJ496" s="435">
        <f>IF(AND(ISNUMBER(AH496),ISNUMBER(AH484)),AH496-AH484,"")</f>
        <v>-2.7416</v>
      </c>
      <c r="AK496" s="435">
        <f>IF(AND(ISNUMBER(AH496),ISNUMBER(AH436)),AH496-AH436,"")</f>
        <v>-1.9834</v>
      </c>
      <c r="AL496" s="560">
        <f>IFERROR(LN(INDEX(Data!$B$2:$B$497,MATCH(N496,Data!$A$2:$A$497,1))/INDEX(Data!$B$2:$B$497,MATCH(N484,Data!$A$2:$A$497,1))),"")</f>
        <v>-0.517259447711068</v>
      </c>
      <c r="AM496" s="560">
        <f>IFERROR(LN(INDEX(Data!$C$2:$C$497,MATCH(N496,Data!$A$2:$A$497,1))/INDEX(Data!$C$2:$C$497,MATCH(N484,Data!$A$2:$A$497,1))),"")</f>
        <v>-0.252304200572644</v>
      </c>
      <c r="AN496" s="560">
        <f>IFERROR(LN(INDEX(Data!$D$2:$D$497,MATCH(N496,Data!$A$2:$A$497,1))/INDEX(Data!$D$2:$D$497,MATCH(N484,Data!$A$2:$A$497,1))),"")</f>
        <v>-0.380925019012951</v>
      </c>
      <c r="AO496" s="560">
        <f>IFERROR(LN(INDEX(Data!$E$2:$E$497,MATCH(N496,Data!$A$2:$A$497,1))/INDEX(Data!$E$2:$E$497,MATCH(N484,Data!$A$2:$A$497,1))),"")</f>
        <v>-0.314180512984633</v>
      </c>
      <c r="AP496" s="560">
        <f>IFERROR(LN(INDEX(Data!$F$2:$F$497,MATCH(N496,Data!$A$2:$A$497,1))/INDEX(Data!$F$2:$F$497,MATCH(N484,Data!$A$2:$A$497,1))),"")</f>
        <v>-0.394626676655393</v>
      </c>
      <c r="AQ496" s="560">
        <f>IFERROR(LN(INDEX(Data!$G$2:$G$497,MATCH(N496,Data!$A$2:$A$497,1))/INDEX(Data!$G$2:$G$497,MATCH(N484,Data!$A$2:$A$497,1))),"")</f>
        <v>-0.0286553933629056</v>
      </c>
      <c r="AR496" s="560">
        <f>IFERROR(LN(INDEX(Data!$H$2:$H$497,MATCH(N496,Data!$A$2:$A$497,1))/INDEX(Data!$H$2:$H$497,MATCH(N484,Data!$A$2:$A$497,1))),"")</f>
        <v>0.135615452406003</v>
      </c>
      <c r="AS496" s="560">
        <f>IFERROR(LN(INDEX(Data!$I$2:$I$497,MATCH(N496,Data!$A$2:$A$497,1))/INDEX(Data!$I$2:$I$497,MATCH(N484,Data!$A$2:$A$497,1))),"")</f>
        <v>-0.147920288937892</v>
      </c>
      <c r="AT496" s="560">
        <f>IFERROR(LN(INDEX(Data!$J$2:$J$497,MATCH(N496,Data!$A$2:$A$497,1))/INDEX(Data!$J$2:$J$497,MATCH(N484,Data!$A$2:$A$497,1))),"")</f>
        <v>0.139322089206279</v>
      </c>
      <c r="AU496" s="560">
        <f>IFERROR(LN(INDEX(Data!$K$2:$K$497,MATCH(N496,Data!$A$2:$A$497,1))/INDEX(Data!$K$2:$K$497,MATCH(N484,Data!$A$2:$A$497,1))),"")</f>
        <v>0.0882802049267194</v>
      </c>
      <c r="AV496" s="561">
        <f>IFERROR(LN(INDEX(Data!$L$2:$L$497,MATCH(N496,Data!$A$2:$A$497,1))/INDEX(Data!$L$2:$L$497,MATCH(N484,Data!$A$2:$A$497,1))),"")</f>
        <v>0.0732622206007015</v>
      </c>
    </row>
    <row r="497">
      <c r="N497" s="337" t="n">
        <v>39844</v>
      </c>
      <c r="O497" s="116">
        <f>INDEX('Additional data'!$B$2:$B$965,MATCH(DATE(YEAR(N497),MONTH(N497),1),'Additional data'!$A$2:$A$965,0))</f>
        <v>41.74</v>
      </c>
      <c r="P497" s="489">
        <f>LN(O497)</f>
        <v>3.73145990164905</v>
      </c>
      <c r="Q497" s="489">
        <f>Q496+LN(1+INDEX('Additional data'!$H$2:$H$1196,MATCH(N497,'Additional data'!$G$2:$G$1196,1))+INDEX('Additional data'!$I$2:$I$1196,MATCH(N497,'Additional data'!$G$2:$G$1196,1)))</f>
        <v>3.44402636795663</v>
      </c>
      <c r="R497" s="489">
        <f>LN(INDEX(Data!$B$2:$B$497,MATCH(N497,Data!$A$2:$A$497,1)))</f>
        <v>10.0410370928319</v>
      </c>
      <c r="S497" s="116">
        <f>IF(INDEX('Additional data'!$E$2:$E$699,MATCH(DATE(YEAR(N497),MONTH(N497),1),'Additional data'!$D$2:$D$699,0))=0,(INDEX('Additional data'!$E$2:$E$699,MATCH(DATE(YEAR(N497),MONTH(N497),1),'Additional data'!$D$2:$D$699,0)-1)+INDEX('Additional data'!$E$2:$E$699,MATCH(DATE(YEAR(N497),MONTH(N497),1),'Additional data'!$D$2:$D$699,0)+1))/2,INDEX('Additional data'!$E$2:$E$699,MATCH(DATE(YEAR(N497),MONTH(N497),1),'Additional data'!$D$2:$D$699,0)))</f>
        <v>3.74</v>
      </c>
      <c r="T497" s="425">
        <f>P497-P496</f>
        <v>0.0174001490048199</v>
      </c>
      <c r="U497" s="425">
        <f>Q497-Q496</f>
        <v>-0.0843603486180733</v>
      </c>
      <c r="V497" s="425">
        <f>R497-R496</f>
        <v>-0.0507205389051872</v>
      </c>
      <c r="W497" s="116">
        <f>S497-S496</f>
        <v>-0.65</v>
      </c>
      <c r="X497" s="425">
        <f>P497-P485</f>
        <v>-0.800601812518398</v>
      </c>
      <c r="Y497" s="425">
        <f>Q497-Q485</f>
        <v>-0.477798767732373</v>
      </c>
      <c r="Z497" s="425">
        <f>R497-R485</f>
        <v>-0.448641991947303</v>
      </c>
      <c r="AA497" s="116">
        <f>S497-S485</f>
        <v>-3.44</v>
      </c>
      <c r="AB497" s="425">
        <f>P497-P437</f>
        <v>0.197189565762537</v>
      </c>
      <c r="AC497" s="425">
        <f>Q497-Q437</f>
        <v>-0.191959195043089</v>
      </c>
      <c r="AD497" s="425">
        <f>R497-R437</f>
        <v>0.261504250365684</v>
      </c>
      <c r="AE497" s="235">
        <f>S497-S437</f>
        <v>-1.81</v>
      </c>
      <c r="AG497" s="554">
        <f>N497</f>
        <v>39844.0</v>
      </c>
      <c r="AH497" s="435">
        <f>IFERROR(INDEX('RBA 5Y yield'!$B$5:$B$661,MATCH(N497,'RBA 5Y yield'!$A$5:$A$661,1))*100,"")</f>
        <v>3.4968</v>
      </c>
      <c r="AI497" s="435">
        <f>IF(AND(ISNUMBER(AH497),ISNUMBER(AH496)),AH497-AH496,"")</f>
        <v>-0.2253</v>
      </c>
      <c r="AJ497" s="435">
        <f>IF(AND(ISNUMBER(AH497),ISNUMBER(AH485)),AH497-AH485,"")</f>
        <v>-2.8456</v>
      </c>
      <c r="AK497" s="435">
        <f>IF(AND(ISNUMBER(AH497),ISNUMBER(AH437)),AH497-AH437,"")</f>
        <v>-2.1372</v>
      </c>
      <c r="AL497" s="560">
        <f>IFERROR(LN(INDEX(Data!$B$2:$B$497,MATCH(N497,Data!$A$2:$A$497,1))/INDEX(Data!$B$2:$B$497,MATCH(N485,Data!$A$2:$A$497,1))),"")</f>
        <v>-0.448641991947303</v>
      </c>
      <c r="AM497" s="560">
        <f>IFERROR(LN(INDEX(Data!$C$2:$C$497,MATCH(N497,Data!$A$2:$A$497,1))/INDEX(Data!$C$2:$C$497,MATCH(N485,Data!$A$2:$A$497,1))),"")</f>
        <v>-0.129742980682275</v>
      </c>
      <c r="AN497" s="560">
        <f>IFERROR(LN(INDEX(Data!$D$2:$D$497,MATCH(N497,Data!$A$2:$A$497,1))/INDEX(Data!$D$2:$D$497,MATCH(N485,Data!$A$2:$A$497,1))),"")</f>
        <v>-0.16980463134827</v>
      </c>
      <c r="AO497" s="560">
        <f>IFERROR(LN(INDEX(Data!$E$2:$E$497,MATCH(N497,Data!$A$2:$A$497,1))/INDEX(Data!$E$2:$E$497,MATCH(N485,Data!$A$2:$A$497,1))),"")</f>
        <v>-0.293872678241164</v>
      </c>
      <c r="AP497" s="560">
        <f>IFERROR(LN(INDEX(Data!$F$2:$F$497,MATCH(N497,Data!$A$2:$A$497,1))/INDEX(Data!$F$2:$F$497,MATCH(N485,Data!$A$2:$A$497,1))),"")</f>
        <v>-0.379769046280517</v>
      </c>
      <c r="AQ497" s="560">
        <f>IFERROR(LN(INDEX(Data!$G$2:$G$497,MATCH(N497,Data!$A$2:$A$497,1))/INDEX(Data!$G$2:$G$497,MATCH(N485,Data!$A$2:$A$497,1))),"")</f>
        <v>-0.0286553933629056</v>
      </c>
      <c r="AR497" s="560">
        <f>IFERROR(LN(INDEX(Data!$H$2:$H$497,MATCH(N497,Data!$A$2:$A$497,1))/INDEX(Data!$H$2:$H$497,MATCH(N485,Data!$A$2:$A$497,1))),"")</f>
        <v>0.125148368114839</v>
      </c>
      <c r="AS497" s="560">
        <f>IFERROR(LN(INDEX(Data!$I$2:$I$497,MATCH(N497,Data!$A$2:$A$497,1))/INDEX(Data!$I$2:$I$497,MATCH(N485,Data!$A$2:$A$497,1))),"")</f>
        <v>-0.147920288937892</v>
      </c>
      <c r="AT497" s="560">
        <f>IFERROR(LN(INDEX(Data!$J$2:$J$497,MATCH(N497,Data!$A$2:$A$497,1))/INDEX(Data!$J$2:$J$497,MATCH(N485,Data!$A$2:$A$497,1))),"")</f>
        <v>0.141143465522568</v>
      </c>
      <c r="AU497" s="560">
        <f>IFERROR(LN(INDEX(Data!$K$2:$K$497,MATCH(N497,Data!$A$2:$A$497,1))/INDEX(Data!$K$2:$K$497,MATCH(N485,Data!$A$2:$A$497,1))),"")</f>
        <v>0.0642329708712326</v>
      </c>
      <c r="AV497" s="561">
        <f>IFERROR(LN(INDEX(Data!$L$2:$L$497,MATCH(N497,Data!$A$2:$A$497,1))/INDEX(Data!$L$2:$L$497,MATCH(N485,Data!$A$2:$A$497,1))),"")</f>
        <v>0.0713085976273143</v>
      </c>
    </row>
    <row r="498">
      <c r="N498" s="337" t="n">
        <v>39872</v>
      </c>
      <c r="O498" s="116">
        <f>INDEX('Additional data'!$B$2:$B$965,MATCH(DATE(YEAR(N498),MONTH(N498),1),'Additional data'!$A$2:$A$965,0))</f>
        <v>39.16</v>
      </c>
      <c r="P498" s="489">
        <f>LN(O498)</f>
        <v>3.66765581766231</v>
      </c>
      <c r="Q498" s="489">
        <f>Q497+LN(1+INDEX('Additional data'!$H$2:$H$1196,MATCH(N498,'Additional data'!$G$2:$G$1196,1))+INDEX('Additional data'!$I$2:$I$1196,MATCH(N498,'Additional data'!$G$2:$G$1196,1)))</f>
        <v>3.33722036363882</v>
      </c>
      <c r="R498" s="489">
        <f>LN(INDEX(Data!$B$2:$B$497,MATCH(N498,Data!$A$2:$A$497,1)))</f>
        <v>9.99748455231504</v>
      </c>
      <c r="S498" s="116">
        <f>IF(INDEX('Additional data'!$E$2:$E$699,MATCH(DATE(YEAR(N498),MONTH(N498),1),'Additional data'!$D$2:$D$699,0))=0,(INDEX('Additional data'!$E$2:$E$699,MATCH(DATE(YEAR(N498),MONTH(N498),1),'Additional data'!$D$2:$D$699,0)-1)+INDEX('Additional data'!$E$2:$E$699,MATCH(DATE(YEAR(N498),MONTH(N498),1),'Additional data'!$D$2:$D$699,0)+1))/2,INDEX('Additional data'!$E$2:$E$699,MATCH(DATE(YEAR(N498),MONTH(N498),1),'Additional data'!$D$2:$D$699,0)))</f>
        <v>3.16</v>
      </c>
      <c r="T498" s="425">
        <f>P498-P497</f>
        <v>-0.0638040839867449</v>
      </c>
      <c r="U498" s="425">
        <f>Q498-Q497</f>
        <v>-0.106806004317809</v>
      </c>
      <c r="V498" s="425">
        <f>R498-R497</f>
        <v>-0.0435525405168811</v>
      </c>
      <c r="W498" s="116">
        <f>S498-S497</f>
        <v>-0.58</v>
      </c>
      <c r="X498" s="425">
        <f>P498-P486</f>
        <v>-0.889898514384119</v>
      </c>
      <c r="Y498" s="425">
        <f>Q498-Q486</f>
        <v>-0.554557850697885</v>
      </c>
      <c r="Z498" s="425">
        <f>R498-R486</f>
        <v>-0.494815333390077</v>
      </c>
      <c r="AA498" s="116">
        <f>S498-S486</f>
        <v>-4.53</v>
      </c>
      <c r="AB498" s="425">
        <f>P498-P438</f>
        <v>0.119764056849351</v>
      </c>
      <c r="AC498" s="425">
        <f>Q498-Q438</f>
        <v>-0.313259645511351</v>
      </c>
      <c r="AD498" s="425">
        <f>R498-R438</f>
        <v>0.187311307661355</v>
      </c>
      <c r="AE498" s="235">
        <f>S498-S438</f>
        <v>-2.41</v>
      </c>
      <c r="AG498" s="554">
        <f>N498</f>
        <v>39872.0</v>
      </c>
      <c r="AH498" s="435">
        <f>IFERROR(INDEX('RBA 5Y yield'!$B$5:$B$661,MATCH(N498,'RBA 5Y yield'!$A$5:$A$661,1))*100,"")</f>
        <v>3.5895</v>
      </c>
      <c r="AI498" s="435">
        <f>IF(AND(ISNUMBER(AH498),ISNUMBER(AH497)),AH498-AH497,"")</f>
        <v>0.0927000000000002</v>
      </c>
      <c r="AJ498" s="435">
        <f>IF(AND(ISNUMBER(AH498),ISNUMBER(AH486)),AH498-AH486,"")</f>
        <v>-2.9115</v>
      </c>
      <c r="AK498" s="435">
        <f>IF(AND(ISNUMBER(AH498),ISNUMBER(AH438)),AH498-AH438,"")</f>
        <v>-1.9698</v>
      </c>
      <c r="AL498" s="560">
        <f>IFERROR(LN(INDEX(Data!$B$2:$B$497,MATCH(N498,Data!$A$2:$A$497,1))/INDEX(Data!$B$2:$B$497,MATCH(N486,Data!$A$2:$A$497,1))),"")</f>
        <v>-0.494815333390077</v>
      </c>
      <c r="AM498" s="560">
        <f>IFERROR(LN(INDEX(Data!$C$2:$C$497,MATCH(N498,Data!$A$2:$A$497,1))/INDEX(Data!$C$2:$C$497,MATCH(N486,Data!$A$2:$A$497,1))),"")</f>
        <v>-0.16352483427808</v>
      </c>
      <c r="AN498" s="560">
        <f>IFERROR(LN(INDEX(Data!$D$2:$D$497,MATCH(N498,Data!$A$2:$A$497,1))/INDEX(Data!$D$2:$D$497,MATCH(N486,Data!$A$2:$A$497,1))),"")</f>
        <v>-0.215758199120381</v>
      </c>
      <c r="AO498" s="560">
        <f>IFERROR(LN(INDEX(Data!$E$2:$E$497,MATCH(N498,Data!$A$2:$A$497,1))/INDEX(Data!$E$2:$E$497,MATCH(N486,Data!$A$2:$A$497,1))),"")</f>
        <v>-0.40166968527906</v>
      </c>
      <c r="AP498" s="560">
        <f>IFERROR(LN(INDEX(Data!$F$2:$F$497,MATCH(N498,Data!$A$2:$A$497,1))/INDEX(Data!$F$2:$F$497,MATCH(N486,Data!$A$2:$A$497,1))),"")</f>
        <v>-0.506970589316244</v>
      </c>
      <c r="AQ498" s="560">
        <f>IFERROR(LN(INDEX(Data!$G$2:$G$497,MATCH(N498,Data!$A$2:$A$497,1))/INDEX(Data!$G$2:$G$497,MATCH(N486,Data!$A$2:$A$497,1))),"")</f>
        <v>-0.0286553933629056</v>
      </c>
      <c r="AR498" s="560">
        <f>IFERROR(LN(INDEX(Data!$H$2:$H$497,MATCH(N498,Data!$A$2:$A$497,1))/INDEX(Data!$H$2:$H$497,MATCH(N486,Data!$A$2:$A$497,1))),"")</f>
        <v>0.143677401724875</v>
      </c>
      <c r="AS498" s="560">
        <f>IFERROR(LN(INDEX(Data!$I$2:$I$497,MATCH(N498,Data!$A$2:$A$497,1))/INDEX(Data!$I$2:$I$497,MATCH(N486,Data!$A$2:$A$497,1))),"")</f>
        <v>-0.147920288937892</v>
      </c>
      <c r="AT498" s="560">
        <f>IFERROR(LN(INDEX(Data!$J$2:$J$497,MATCH(N498,Data!$A$2:$A$497,1))/INDEX(Data!$J$2:$J$497,MATCH(N486,Data!$A$2:$A$497,1))),"")</f>
        <v>0.134967208528126</v>
      </c>
      <c r="AU498" s="560">
        <f>IFERROR(LN(INDEX(Data!$K$2:$K$497,MATCH(N498,Data!$A$2:$A$497,1))/INDEX(Data!$K$2:$K$497,MATCH(N486,Data!$A$2:$A$497,1))),"")</f>
        <v>0.0603481738301271</v>
      </c>
      <c r="AV498" s="561">
        <f>IFERROR(LN(INDEX(Data!$L$2:$L$497,MATCH(N498,Data!$A$2:$A$497,1))/INDEX(Data!$L$2:$L$497,MATCH(N486,Data!$A$2:$A$497,1))),"")</f>
        <v>0.0688158935425689</v>
      </c>
    </row>
    <row r="499">
      <c r="N499" s="337" t="n">
        <v>39903</v>
      </c>
      <c r="O499" s="116">
        <f>INDEX('Additional data'!$B$2:$B$965,MATCH(DATE(YEAR(N499),MONTH(N499),1),'Additional data'!$A$2:$A$965,0))</f>
        <v>47.98</v>
      </c>
      <c r="P499" s="489">
        <f>LN(O499)</f>
        <v>3.87078425741155</v>
      </c>
      <c r="Q499" s="489">
        <f>Q498+LN(1+INDEX('Additional data'!$H$2:$H$1196,MATCH(N499,'Additional data'!$G$2:$G$1196,1))+INDEX('Additional data'!$I$2:$I$1196,MATCH(N499,'Additional data'!$G$2:$G$1196,1)))</f>
        <v>3.42367325136902</v>
      </c>
      <c r="R499" s="489">
        <f>LN(INDEX(Data!$B$2:$B$497,MATCH(N499,Data!$A$2:$A$497,1)))</f>
        <v>10.0749131719486</v>
      </c>
      <c r="S499" s="116">
        <f>IF(INDEX('Additional data'!$E$2:$E$699,MATCH(DATE(YEAR(N499),MONTH(N499),1),'Additional data'!$D$2:$D$699,0))=0,(INDEX('Additional data'!$E$2:$E$699,MATCH(DATE(YEAR(N499),MONTH(N499),1),'Additional data'!$D$2:$D$699,0)-1)+INDEX('Additional data'!$E$2:$E$699,MATCH(DATE(YEAR(N499),MONTH(N499),1),'Additional data'!$D$2:$D$699,0)+1))/2,INDEX('Additional data'!$E$2:$E$699,MATCH(DATE(YEAR(N499),MONTH(N499),1),'Additional data'!$D$2:$D$699,0)))</f>
        <v>3.16</v>
      </c>
      <c r="T499" s="425">
        <f>P499-P498</f>
        <v>0.203128439749239</v>
      </c>
      <c r="U499" s="425">
        <f>Q499-Q498</f>
        <v>0.0864528877301991</v>
      </c>
      <c r="V499" s="425">
        <f>R499-R498</f>
        <v>0.0774286196335794</v>
      </c>
      <c r="W499" s="116">
        <f>S499-S498</f>
        <v>0</v>
      </c>
      <c r="X499" s="425">
        <f>P499-P487</f>
        <v>-0.788495254223575</v>
      </c>
      <c r="Y499" s="425">
        <f>Q499-Q487</f>
        <v>-0.460375164905745</v>
      </c>
      <c r="Z499" s="425">
        <f>R499-R487</f>
        <v>-0.375381052377144</v>
      </c>
      <c r="AA499" s="116">
        <f>S499-S487</f>
        <v>-4.74</v>
      </c>
      <c r="AB499" s="425">
        <f>P499-P439</f>
        <v>0.266373959924062</v>
      </c>
      <c r="AC499" s="425">
        <f>Q499-Q439</f>
        <v>-0.214430486713096</v>
      </c>
      <c r="AD499" s="425">
        <f>R499-R439</f>
        <v>0.245029910742389</v>
      </c>
      <c r="AE499" s="235">
        <f>S499-S439</f>
        <v>-2.35</v>
      </c>
      <c r="AG499" s="554">
        <f>N499</f>
        <v>39903.0</v>
      </c>
      <c r="AH499" s="435">
        <f>IFERROR(INDEX('RBA 5Y yield'!$B$5:$B$661,MATCH(N499,'RBA 5Y yield'!$A$5:$A$661,1))*100,"")</f>
        <v>3.7286</v>
      </c>
      <c r="AI499" s="435">
        <f>IF(AND(ISNUMBER(AH499),ISNUMBER(AH498)),AH499-AH498,"")</f>
        <v>0.1391</v>
      </c>
      <c r="AJ499" s="435">
        <f>IF(AND(ISNUMBER(AH499),ISNUMBER(AH487)),AH499-AH487,"")</f>
        <v>-2.3717</v>
      </c>
      <c r="AK499" s="435">
        <f>IF(AND(ISNUMBER(AH499),ISNUMBER(AH439)),AH499-AH439,"")</f>
        <v>-1.5762</v>
      </c>
      <c r="AL499" s="560">
        <f>IFERROR(LN(INDEX(Data!$B$2:$B$497,MATCH(N499,Data!$A$2:$A$497,1))/INDEX(Data!$B$2:$B$497,MATCH(N487,Data!$A$2:$A$497,1))),"")</f>
        <v>-0.375381052377143</v>
      </c>
      <c r="AM499" s="560">
        <f>IFERROR(LN(INDEX(Data!$C$2:$C$497,MATCH(N499,Data!$A$2:$A$497,1))/INDEX(Data!$C$2:$C$497,MATCH(N487,Data!$A$2:$A$497,1))),"")</f>
        <v>-0.18864884476768</v>
      </c>
      <c r="AN499" s="560">
        <f>IFERROR(LN(INDEX(Data!$D$2:$D$497,MATCH(N499,Data!$A$2:$A$497,1))/INDEX(Data!$D$2:$D$497,MATCH(N487,Data!$A$2:$A$497,1))),"")</f>
        <v>-0.181480038158146</v>
      </c>
      <c r="AO499" s="560">
        <f>IFERROR(LN(INDEX(Data!$E$2:$E$497,MATCH(N499,Data!$A$2:$A$497,1))/INDEX(Data!$E$2:$E$497,MATCH(N487,Data!$A$2:$A$497,1))),"")</f>
        <v>-0.503792720837801</v>
      </c>
      <c r="AP499" s="560">
        <f>IFERROR(LN(INDEX(Data!$F$2:$F$497,MATCH(N499,Data!$A$2:$A$497,1))/INDEX(Data!$F$2:$F$497,MATCH(N487,Data!$A$2:$A$497,1))),"")</f>
        <v>-0.559444584560104</v>
      </c>
      <c r="AQ499" s="560">
        <f>IFERROR(LN(INDEX(Data!$G$2:$G$497,MATCH(N499,Data!$A$2:$A$497,1))/INDEX(Data!$G$2:$G$497,MATCH(N487,Data!$A$2:$A$497,1))),"")</f>
        <v>-0.0353771980334496</v>
      </c>
      <c r="AR499" s="560">
        <f>IFERROR(LN(INDEX(Data!$H$2:$H$497,MATCH(N499,Data!$A$2:$A$497,1))/INDEX(Data!$H$2:$H$497,MATCH(N487,Data!$A$2:$A$497,1))),"")</f>
        <v>0.168608485569641</v>
      </c>
      <c r="AS499" s="560">
        <f>IFERROR(LN(INDEX(Data!$I$2:$I$497,MATCH(N499,Data!$A$2:$A$497,1))/INDEX(Data!$I$2:$I$497,MATCH(N487,Data!$A$2:$A$497,1))),"")</f>
        <v>-0.19723426596357</v>
      </c>
      <c r="AT499" s="560">
        <f>IFERROR(LN(INDEX(Data!$J$2:$J$497,MATCH(N499,Data!$A$2:$A$497,1))/INDEX(Data!$J$2:$J$497,MATCH(N487,Data!$A$2:$A$497,1))),"")</f>
        <v>0.120214099580512</v>
      </c>
      <c r="AU499" s="560">
        <f>IFERROR(LN(INDEX(Data!$K$2:$K$497,MATCH(N499,Data!$A$2:$A$497,1))/INDEX(Data!$K$2:$K$497,MATCH(N487,Data!$A$2:$A$497,1))),"")</f>
        <v>0.0677614834401787</v>
      </c>
      <c r="AV499" s="561">
        <f>IFERROR(LN(INDEX(Data!$L$2:$L$497,MATCH(N499,Data!$A$2:$A$497,1))/INDEX(Data!$L$2:$L$497,MATCH(N487,Data!$A$2:$A$497,1))),"")</f>
        <v>0.0648028997535051</v>
      </c>
    </row>
    <row r="500">
      <c r="N500" s="337" t="n">
        <v>39933</v>
      </c>
      <c r="O500" s="116">
        <f>INDEX('Additional data'!$B$2:$B$965,MATCH(DATE(YEAR(N500),MONTH(N500),1),'Additional data'!$A$2:$A$965,0))</f>
        <v>49.79</v>
      </c>
      <c r="P500" s="489">
        <f>LN(O500)</f>
        <v>3.90781416065409</v>
      </c>
      <c r="Q500" s="489">
        <f>Q499+LN(1+INDEX('Additional data'!$H$2:$H$1196,MATCH(N500,'Additional data'!$G$2:$G$1196,1))+INDEX('Additional data'!$I$2:$I$1196,MATCH(N500,'Additional data'!$G$2:$G$1196,1)))</f>
        <v>3.5206184574255</v>
      </c>
      <c r="R500" s="489">
        <f>LN(INDEX(Data!$B$2:$B$497,MATCH(N500,Data!$A$2:$A$497,1)))</f>
        <v>10.1338512159965</v>
      </c>
      <c r="S500" s="116">
        <f>IF(INDEX('Additional data'!$E$2:$E$699,MATCH(DATE(YEAR(N500),MONTH(N500),1),'Additional data'!$D$2:$D$699,0))=0,(INDEX('Additional data'!$E$2:$E$699,MATCH(DATE(YEAR(N500),MONTH(N500),1),'Additional data'!$D$2:$D$699,0)-1)+INDEX('Additional data'!$E$2:$E$699,MATCH(DATE(YEAR(N500),MONTH(N500),1),'Additional data'!$D$2:$D$699,0)+1))/2,INDEX('Additional data'!$E$2:$E$699,MATCH(DATE(YEAR(N500),MONTH(N500),1),'Additional data'!$D$2:$D$699,0)))</f>
        <v>3.1</v>
      </c>
      <c r="T500" s="425">
        <f>P500-P499</f>
        <v>0.037029903242543</v>
      </c>
      <c r="U500" s="425">
        <f>Q500-Q499</f>
        <v>0.0969452060564788</v>
      </c>
      <c r="V500" s="425">
        <f>R500-R499</f>
        <v>0.05893804404786</v>
      </c>
      <c r="W500" s="116">
        <f>S500-S499</f>
        <v>-0.0600000000000001</v>
      </c>
      <c r="X500" s="425">
        <f>P500-P488</f>
        <v>-0.815761089712621</v>
      </c>
      <c r="Y500" s="425">
        <f>Q500-Q488</f>
        <v>-0.410218120348025</v>
      </c>
      <c r="Z500" s="425">
        <f>R500-R488</f>
        <v>-0.361833676763336</v>
      </c>
      <c r="AA500" s="116">
        <f>S500-S488</f>
        <v>-4.74</v>
      </c>
      <c r="AB500" s="425">
        <f>P500-P440</f>
        <v>0.305309922286901</v>
      </c>
      <c r="AC500" s="425">
        <f>Q500-Q440</f>
        <v>-0.100033887042862</v>
      </c>
      <c r="AD500" s="425">
        <f>R500-R440</f>
        <v>0.30524223244756</v>
      </c>
      <c r="AE500" s="235">
        <f>S500-S440</f>
        <v>-2.44</v>
      </c>
      <c r="AG500" s="554">
        <f>N500</f>
        <v>39933.0</v>
      </c>
      <c r="AH500" s="435">
        <f>IFERROR(INDEX('RBA 5Y yield'!$B$5:$B$661,MATCH(N500,'RBA 5Y yield'!$A$5:$A$661,1))*100,"")</f>
        <v>4.0455</v>
      </c>
      <c r="AI500" s="435">
        <f>IF(AND(ISNUMBER(AH500),ISNUMBER(AH499)),AH500-AH499,"")</f>
        <v>0.3169</v>
      </c>
      <c r="AJ500" s="435">
        <f>IF(AND(ISNUMBER(AH500),ISNUMBER(AH488)),AH500-AH488,"")</f>
        <v>-2.1407</v>
      </c>
      <c r="AK500" s="435">
        <f>IF(AND(ISNUMBER(AH500),ISNUMBER(AH440)),AH500-AH440,"")</f>
        <v>-1.5387</v>
      </c>
      <c r="AL500" s="560">
        <f>IFERROR(LN(INDEX(Data!$B$2:$B$497,MATCH(N500,Data!$A$2:$A$497,1))/INDEX(Data!$B$2:$B$497,MATCH(N488,Data!$A$2:$A$497,1))),"")</f>
        <v>-0.361833676763336</v>
      </c>
      <c r="AM500" s="560">
        <f>IFERROR(LN(INDEX(Data!$C$2:$C$497,MATCH(N500,Data!$A$2:$A$497,1))/INDEX(Data!$C$2:$C$497,MATCH(N488,Data!$A$2:$A$497,1))),"")</f>
        <v>-0.173839110800601</v>
      </c>
      <c r="AN500" s="560">
        <f>IFERROR(LN(INDEX(Data!$D$2:$D$497,MATCH(N500,Data!$A$2:$A$497,1))/INDEX(Data!$D$2:$D$497,MATCH(N488,Data!$A$2:$A$497,1))),"")</f>
        <v>-0.16041630057218</v>
      </c>
      <c r="AO500" s="560">
        <f>IFERROR(LN(INDEX(Data!$E$2:$E$497,MATCH(N500,Data!$A$2:$A$497,1))/INDEX(Data!$E$2:$E$497,MATCH(N488,Data!$A$2:$A$497,1))),"")</f>
        <v>-0.386958074682435</v>
      </c>
      <c r="AP500" s="560">
        <f>IFERROR(LN(INDEX(Data!$F$2:$F$497,MATCH(N500,Data!$A$2:$A$497,1))/INDEX(Data!$F$2:$F$497,MATCH(N488,Data!$A$2:$A$497,1))),"")</f>
        <v>-0.669339675555378</v>
      </c>
      <c r="AQ500" s="560">
        <f>IFERROR(LN(INDEX(Data!$G$2:$G$497,MATCH(N500,Data!$A$2:$A$497,1))/INDEX(Data!$G$2:$G$497,MATCH(N488,Data!$A$2:$A$497,1))),"")</f>
        <v>-0.0353771980334496</v>
      </c>
      <c r="AR500" s="560">
        <f>IFERROR(LN(INDEX(Data!$H$2:$H$497,MATCH(N500,Data!$A$2:$A$497,1))/INDEX(Data!$H$2:$H$497,MATCH(N488,Data!$A$2:$A$497,1))),"")</f>
        <v>0.137990287281253</v>
      </c>
      <c r="AS500" s="560">
        <f>IFERROR(LN(INDEX(Data!$I$2:$I$497,MATCH(N500,Data!$A$2:$A$497,1))/INDEX(Data!$I$2:$I$497,MATCH(N488,Data!$A$2:$A$497,1))),"")</f>
        <v>-0.19723426596357</v>
      </c>
      <c r="AT500" s="560">
        <f>IFERROR(LN(INDEX(Data!$J$2:$J$497,MATCH(N500,Data!$A$2:$A$497,1))/INDEX(Data!$J$2:$J$497,MATCH(N488,Data!$A$2:$A$497,1))),"")</f>
        <v>0.120098147223779</v>
      </c>
      <c r="AU500" s="560">
        <f>IFERROR(LN(INDEX(Data!$K$2:$K$497,MATCH(N500,Data!$A$2:$A$497,1))/INDEX(Data!$K$2:$K$497,MATCH(N488,Data!$A$2:$A$497,1))),"")</f>
        <v>0.0755271518326226</v>
      </c>
      <c r="AV500" s="561">
        <f>IFERROR(LN(INDEX(Data!$L$2:$L$497,MATCH(N500,Data!$A$2:$A$497,1))/INDEX(Data!$L$2:$L$497,MATCH(N488,Data!$A$2:$A$497,1))),"")</f>
        <v>0.0609314604132503</v>
      </c>
    </row>
    <row r="501">
      <c r="N501" s="337" t="n">
        <v>39964</v>
      </c>
      <c r="O501" s="116">
        <f>INDEX('Additional data'!$B$2:$B$965,MATCH(DATE(YEAR(N501),MONTH(N501),1),'Additional data'!$A$2:$A$965,0))</f>
        <v>59.16</v>
      </c>
      <c r="P501" s="489">
        <f>LN(O501)</f>
        <v>4.0802456378426</v>
      </c>
      <c r="Q501" s="489">
        <f>Q500+LN(1+INDEX('Additional data'!$H$2:$H$1196,MATCH(N501,'Additional data'!$G$2:$G$1196,1))+INDEX('Additional data'!$I$2:$I$1196,MATCH(N501,'Additional data'!$G$2:$G$1196,1)))</f>
        <v>3.5714066242576</v>
      </c>
      <c r="R501" s="489">
        <f>LN(INDEX(Data!$B$2:$B$497,MATCH(N501,Data!$A$2:$A$497,1)))</f>
        <v>10.155125845034</v>
      </c>
      <c r="S501" s="116">
        <f>IF(INDEX('Additional data'!$E$2:$E$699,MATCH(DATE(YEAR(N501),MONTH(N501),1),'Additional data'!$D$2:$D$699,0))=0,(INDEX('Additional data'!$E$2:$E$699,MATCH(DATE(YEAR(N501),MONTH(N501),1),'Additional data'!$D$2:$D$699,0)-1)+INDEX('Additional data'!$E$2:$E$699,MATCH(DATE(YEAR(N501),MONTH(N501),1),'Additional data'!$D$2:$D$699,0)+1))/2,INDEX('Additional data'!$E$2:$E$699,MATCH(DATE(YEAR(N501),MONTH(N501),1),'Additional data'!$D$2:$D$699,0)))</f>
        <v>3.13</v>
      </c>
      <c r="T501" s="425">
        <f>P501-P500</f>
        <v>0.172431477188507</v>
      </c>
      <c r="U501" s="425">
        <f>Q501-Q500</f>
        <v>0.0507881668321053</v>
      </c>
      <c r="V501" s="425">
        <f>R501-R500</f>
        <v>0.0212746290375456</v>
      </c>
      <c r="W501" s="116">
        <f>S501-S500</f>
        <v>0.0299999999999998</v>
      </c>
      <c r="X501" s="425">
        <f>P501-P489</f>
        <v>-0.751183242359848</v>
      </c>
      <c r="Y501" s="425">
        <f>Q501-Q489</f>
        <v>-0.379722656783682</v>
      </c>
      <c r="Z501" s="425">
        <f>R501-R489</f>
        <v>-0.364803449256863</v>
      </c>
      <c r="AA501" s="116">
        <f>S501-S489</f>
        <v>-4.62</v>
      </c>
      <c r="AB501" s="425">
        <f>P501-P441</f>
        <v>0.384390569992237</v>
      </c>
      <c r="AC501" s="425">
        <f>Q501-Q441</f>
        <v>-0.0615694698995881</v>
      </c>
      <c r="AD501" s="425">
        <f>R501-R441</f>
        <v>0.310468603178801</v>
      </c>
      <c r="AE501" s="235">
        <f>S501-S441</f>
        <v>-2.38</v>
      </c>
      <c r="AG501" s="554">
        <f>N501</f>
        <v>39964.0</v>
      </c>
      <c r="AH501" s="435">
        <f>IFERROR(INDEX('RBA 5Y yield'!$B$5:$B$661,MATCH(N501,'RBA 5Y yield'!$A$5:$A$661,1))*100,"")</f>
        <v>4.4743</v>
      </c>
      <c r="AI501" s="435">
        <f>IF(AND(ISNUMBER(AH501),ISNUMBER(AH500)),AH501-AH500,"")</f>
        <v>0.4288</v>
      </c>
      <c r="AJ501" s="435">
        <f>IF(AND(ISNUMBER(AH501),ISNUMBER(AH489)),AH501-AH489,"")</f>
        <v>-1.8593</v>
      </c>
      <c r="AK501" s="435">
        <f>IF(AND(ISNUMBER(AH501),ISNUMBER(AH441)),AH501-AH441,"")</f>
        <v>-1.2359</v>
      </c>
      <c r="AL501" s="560">
        <f>IFERROR(LN(INDEX(Data!$B$2:$B$497,MATCH(N501,Data!$A$2:$A$497,1))/INDEX(Data!$B$2:$B$497,MATCH(N489,Data!$A$2:$A$497,1))),"")</f>
        <v>-0.364803449256863</v>
      </c>
      <c r="AM501" s="560">
        <f>IFERROR(LN(INDEX(Data!$C$2:$C$497,MATCH(N501,Data!$A$2:$A$497,1))/INDEX(Data!$C$2:$C$497,MATCH(N489,Data!$A$2:$A$497,1))),"")</f>
        <v>-0.209073389675103</v>
      </c>
      <c r="AN501" s="560">
        <f>IFERROR(LN(INDEX(Data!$D$2:$D$497,MATCH(N501,Data!$A$2:$A$497,1))/INDEX(Data!$D$2:$D$497,MATCH(N489,Data!$A$2:$A$497,1))),"")</f>
        <v>-0.135007229731621</v>
      </c>
      <c r="AO501" s="560">
        <f>IFERROR(LN(INDEX(Data!$E$2:$E$497,MATCH(N501,Data!$A$2:$A$497,1))/INDEX(Data!$E$2:$E$497,MATCH(N489,Data!$A$2:$A$497,1))),"")</f>
        <v>-0.409059296764481</v>
      </c>
      <c r="AP501" s="560">
        <f>IFERROR(LN(INDEX(Data!$F$2:$F$497,MATCH(N501,Data!$A$2:$A$497,1))/INDEX(Data!$F$2:$F$497,MATCH(N489,Data!$A$2:$A$497,1))),"")</f>
        <v>-0.650944551699888</v>
      </c>
      <c r="AQ501" s="560">
        <f>IFERROR(LN(INDEX(Data!$G$2:$G$497,MATCH(N501,Data!$A$2:$A$497,1))/INDEX(Data!$G$2:$G$497,MATCH(N489,Data!$A$2:$A$497,1))),"")</f>
        <v>-0.0353771980334496</v>
      </c>
      <c r="AR501" s="560">
        <f>IFERROR(LN(INDEX(Data!$H$2:$H$497,MATCH(N501,Data!$A$2:$A$497,1))/INDEX(Data!$H$2:$H$497,MATCH(N489,Data!$A$2:$A$497,1))),"")</f>
        <v>0.0971479076869491</v>
      </c>
      <c r="AS501" s="560">
        <f>IFERROR(LN(INDEX(Data!$I$2:$I$497,MATCH(N501,Data!$A$2:$A$497,1))/INDEX(Data!$I$2:$I$497,MATCH(N489,Data!$A$2:$A$497,1))),"")</f>
        <v>-0.19723426596357</v>
      </c>
      <c r="AT501" s="560">
        <f>IFERROR(LN(INDEX(Data!$J$2:$J$497,MATCH(N501,Data!$A$2:$A$497,1))/INDEX(Data!$J$2:$J$497,MATCH(N489,Data!$A$2:$A$497,1))),"")</f>
        <v>0.111788048832262</v>
      </c>
      <c r="AU501" s="560">
        <f>IFERROR(LN(INDEX(Data!$K$2:$K$497,MATCH(N501,Data!$A$2:$A$497,1))/INDEX(Data!$K$2:$K$497,MATCH(N489,Data!$A$2:$A$497,1))),"")</f>
        <v>0.0844532656494675</v>
      </c>
      <c r="AV501" s="561">
        <f>IFERROR(LN(INDEX(Data!$L$2:$L$497,MATCH(N501,Data!$A$2:$A$497,1))/INDEX(Data!$L$2:$L$497,MATCH(N489,Data!$A$2:$A$497,1))),"")</f>
        <v>0.0569046123285469</v>
      </c>
    </row>
    <row r="502">
      <c r="N502" s="337" t="n">
        <v>39994</v>
      </c>
      <c r="O502" s="116">
        <f>INDEX('Additional data'!$B$2:$B$965,MATCH(DATE(YEAR(N502),MONTH(N502),1),'Additional data'!$A$2:$A$965,0))</f>
        <v>69.68</v>
      </c>
      <c r="P502" s="489">
        <f>LN(O502)</f>
        <v>4.24391333254425</v>
      </c>
      <c r="Q502" s="489">
        <f>Q501+LN(1+INDEX('Additional data'!$H$2:$H$1196,MATCH(N502,'Additional data'!$G$2:$G$1196,1))+INDEX('Additional data'!$I$2:$I$1196,MATCH(N502,'Additional data'!$G$2:$G$1196,1)))</f>
        <v>3.57569740567476</v>
      </c>
      <c r="R502" s="489">
        <f>LN(INDEX(Data!$B$2:$B$497,MATCH(N502,Data!$A$2:$A$497,1)))</f>
        <v>10.1936274769935</v>
      </c>
      <c r="S502" s="116">
        <f>IF(INDEX('Additional data'!$E$2:$E$699,MATCH(DATE(YEAR(N502),MONTH(N502),1),'Additional data'!$D$2:$D$699,0))=0,(INDEX('Additional data'!$E$2:$E$699,MATCH(DATE(YEAR(N502),MONTH(N502),1),'Additional data'!$D$2:$D$699,0)-1)+INDEX('Additional data'!$E$2:$E$699,MATCH(DATE(YEAR(N502),MONTH(N502),1),'Additional data'!$D$2:$D$699,0)+1))/2,INDEX('Additional data'!$E$2:$E$699,MATCH(DATE(YEAR(N502),MONTH(N502),1),'Additional data'!$D$2:$D$699,0)))</f>
        <v>3.25</v>
      </c>
      <c r="T502" s="425">
        <f>P502-P501</f>
        <v>0.163667694701648</v>
      </c>
      <c r="U502" s="425">
        <f>Q502-Q501</f>
        <v>0.00429078141715644</v>
      </c>
      <c r="V502" s="425">
        <f>R502-R501</f>
        <v>0.0385016319594609</v>
      </c>
      <c r="W502" s="116">
        <f>S502-S501</f>
        <v>0.12</v>
      </c>
      <c r="X502" s="425">
        <f>P502-P490</f>
        <v>-0.653403942854784</v>
      </c>
      <c r="Y502" s="425">
        <f>Q502-Q490</f>
        <v>-0.28922017854746</v>
      </c>
      <c r="Z502" s="425">
        <f>R502-R490</f>
        <v>-0.250332653004531</v>
      </c>
      <c r="AA502" s="116">
        <f>S502-S490</f>
        <v>-4.56</v>
      </c>
      <c r="AB502" s="425">
        <f>P502-P442</f>
        <v>0.605800995483964</v>
      </c>
      <c r="AC502" s="425">
        <f>Q502-Q442</f>
        <v>-0.0763948056746617</v>
      </c>
      <c r="AD502" s="425">
        <f>R502-R442</f>
        <v>0.322859106442136</v>
      </c>
      <c r="AE502" s="235">
        <f>S502-S442</f>
        <v>-2.24</v>
      </c>
      <c r="AG502" s="554">
        <f>N502</f>
        <v>39994.0</v>
      </c>
      <c r="AH502" s="435">
        <f>IFERROR(INDEX('RBA 5Y yield'!$B$5:$B$661,MATCH(N502,'RBA 5Y yield'!$A$5:$A$661,1))*100,"")</f>
        <v>5.1021</v>
      </c>
      <c r="AI502" s="435">
        <f>IF(AND(ISNUMBER(AH502),ISNUMBER(AH501)),AH502-AH501,"")</f>
        <v>0.627800000000001</v>
      </c>
      <c r="AJ502" s="435">
        <f>IF(AND(ISNUMBER(AH502),ISNUMBER(AH490)),AH502-AH490,"")</f>
        <v>-1.5882</v>
      </c>
      <c r="AK502" s="435">
        <f>IF(AND(ISNUMBER(AH502),ISNUMBER(AH442)),AH502-AH442,"")</f>
        <v>-0.4603</v>
      </c>
      <c r="AL502" s="560">
        <f>IFERROR(LN(INDEX(Data!$B$2:$B$497,MATCH(N502,Data!$A$2:$A$497,1))/INDEX(Data!$B$2:$B$497,MATCH(N490,Data!$A$2:$A$497,1))),"")</f>
        <v>-0.250332653004531</v>
      </c>
      <c r="AM502" s="560">
        <f>IFERROR(LN(INDEX(Data!$C$2:$C$497,MATCH(N502,Data!$A$2:$A$497,1))/INDEX(Data!$C$2:$C$497,MATCH(N490,Data!$A$2:$A$497,1))),"")</f>
        <v>-0.127265380248145</v>
      </c>
      <c r="AN502" s="560">
        <f>IFERROR(LN(INDEX(Data!$D$2:$D$497,MATCH(N502,Data!$A$2:$A$497,1))/INDEX(Data!$D$2:$D$497,MATCH(N490,Data!$A$2:$A$497,1))),"")</f>
        <v>-0.0480825366216834</v>
      </c>
      <c r="AO502" s="560">
        <f>IFERROR(LN(INDEX(Data!$E$2:$E$497,MATCH(N502,Data!$A$2:$A$497,1))/INDEX(Data!$E$2:$E$497,MATCH(N490,Data!$A$2:$A$497,1))),"")</f>
        <v>-0.301919543954259</v>
      </c>
      <c r="AP502" s="560">
        <f>IFERROR(LN(INDEX(Data!$F$2:$F$497,MATCH(N502,Data!$A$2:$A$497,1))/INDEX(Data!$F$2:$F$497,MATCH(N490,Data!$A$2:$A$497,1))),"")</f>
        <v>-0.736875174245121</v>
      </c>
      <c r="AQ502" s="560">
        <f>IFERROR(LN(INDEX(Data!$G$2:$G$497,MATCH(N502,Data!$A$2:$A$497,1))/INDEX(Data!$G$2:$G$497,MATCH(N490,Data!$A$2:$A$497,1))),"")</f>
        <v>0.0142017908037354</v>
      </c>
      <c r="AR502" s="560">
        <f>IFERROR(LN(INDEX(Data!$H$2:$H$497,MATCH(N502,Data!$A$2:$A$497,1))/INDEX(Data!$H$2:$H$497,MATCH(N490,Data!$A$2:$A$497,1))),"")</f>
        <v>0.1076541656508</v>
      </c>
      <c r="AS502" s="560">
        <f>IFERROR(LN(INDEX(Data!$I$2:$I$497,MATCH(N502,Data!$A$2:$A$497,1))/INDEX(Data!$I$2:$I$497,MATCH(N490,Data!$A$2:$A$497,1))),"")</f>
        <v>-0.175782219222816</v>
      </c>
      <c r="AT502" s="560">
        <f>IFERROR(LN(INDEX(Data!$J$2:$J$497,MATCH(N502,Data!$A$2:$A$497,1))/INDEX(Data!$J$2:$J$497,MATCH(N490,Data!$A$2:$A$497,1))),"")</f>
        <v>0.102753055844786</v>
      </c>
      <c r="AU502" s="560">
        <f>IFERROR(LN(INDEX(Data!$K$2:$K$497,MATCH(N502,Data!$A$2:$A$497,1))/INDEX(Data!$K$2:$K$497,MATCH(N490,Data!$A$2:$A$497,1))),"")</f>
        <v>0.0948909040514623</v>
      </c>
      <c r="AV502" s="561">
        <f>IFERROR(LN(INDEX(Data!$L$2:$L$497,MATCH(N502,Data!$A$2:$A$497,1))/INDEX(Data!$L$2:$L$497,MATCH(N490,Data!$A$2:$A$497,1))),"")</f>
        <v>0.0533071037594605</v>
      </c>
    </row>
    <row r="503">
      <c r="N503" s="337" t="n">
        <v>40025</v>
      </c>
      <c r="O503" s="116">
        <f>INDEX('Additional data'!$B$2:$B$965,MATCH(DATE(YEAR(N503),MONTH(N503),1),'Additional data'!$A$2:$A$965,0))</f>
        <v>64.09</v>
      </c>
      <c r="P503" s="489">
        <f>LN(O503)</f>
        <v>4.16028834551614</v>
      </c>
      <c r="Q503" s="489">
        <f>Q502+LN(1+INDEX('Additional data'!$H$2:$H$1196,MATCH(N503,'Additional data'!$G$2:$G$1196,1))+INDEX('Additional data'!$I$2:$I$1196,MATCH(N503,'Additional data'!$G$2:$G$1196,1)))</f>
        <v>3.65034094867052</v>
      </c>
      <c r="R503" s="489">
        <f>LN(INDEX(Data!$B$2:$B$497,MATCH(N503,Data!$A$2:$A$497,1)))</f>
        <v>10.2673461918379</v>
      </c>
      <c r="S503" s="116">
        <f>IF(INDEX('Additional data'!$E$2:$E$699,MATCH(DATE(YEAR(N503),MONTH(N503),1),'Additional data'!$D$2:$D$699,0))=0,(INDEX('Additional data'!$E$2:$E$699,MATCH(DATE(YEAR(N503),MONTH(N503),1),'Additional data'!$D$2:$D$699,0)-1)+INDEX('Additional data'!$E$2:$E$699,MATCH(DATE(YEAR(N503),MONTH(N503),1),'Additional data'!$D$2:$D$699,0)+1))/2,INDEX('Additional data'!$E$2:$E$699,MATCH(DATE(YEAR(N503),MONTH(N503),1),'Additional data'!$D$2:$D$699,0)))</f>
        <v>3.14</v>
      </c>
      <c r="T503" s="425">
        <f>P503-P502</f>
        <v>-0.0836249870281121</v>
      </c>
      <c r="U503" s="425">
        <f>Q503-Q502</f>
        <v>0.0746435429957657</v>
      </c>
      <c r="V503" s="425">
        <f>R503-R502</f>
        <v>0.0737187148443788</v>
      </c>
      <c r="W503" s="116">
        <f>S503-S502</f>
        <v>-0.11</v>
      </c>
      <c r="X503" s="425">
        <f>P503-P491</f>
        <v>-0.733363593094301</v>
      </c>
      <c r="Y503" s="425">
        <f>Q503-Q491</f>
        <v>-0.208558563226132</v>
      </c>
      <c r="Z503" s="425">
        <f>R503-R491</f>
        <v>-0.122847903872961</v>
      </c>
      <c r="AA503" s="116">
        <f>S503-S491</f>
        <v>-4.61</v>
      </c>
      <c r="AB503" s="425">
        <f>P503-P443</f>
        <v>0.454305983502537</v>
      </c>
      <c r="AC503" s="425">
        <f>Q503-Q443</f>
        <v>0.0384459270725168</v>
      </c>
      <c r="AD503" s="425">
        <f>R503-R443</f>
        <v>0.390888270594223</v>
      </c>
      <c r="AE503" s="235">
        <f>S503-S443</f>
        <v>-2.32</v>
      </c>
      <c r="AG503" s="554">
        <f>N503</f>
        <v>40025.0</v>
      </c>
      <c r="AH503" s="435">
        <f>IFERROR(INDEX('RBA 5Y yield'!$B$5:$B$661,MATCH(N503,'RBA 5Y yield'!$A$5:$A$661,1))*100,"")</f>
        <v>5.208</v>
      </c>
      <c r="AI503" s="435">
        <f>IF(AND(ISNUMBER(AH503),ISNUMBER(AH502)),AH503-AH502,"")</f>
        <v>0.1059</v>
      </c>
      <c r="AJ503" s="435">
        <f>IF(AND(ISNUMBER(AH503),ISNUMBER(AH491)),AH503-AH491,"")</f>
        <v>-1.1963</v>
      </c>
      <c r="AK503" s="435">
        <f>IF(AND(ISNUMBER(AH503),ISNUMBER(AH443)),AH503-AH443,"")</f>
        <v>-0.3518</v>
      </c>
      <c r="AL503" s="560">
        <f>IFERROR(LN(INDEX(Data!$B$2:$B$497,MATCH(N503,Data!$A$2:$A$497,1))/INDEX(Data!$B$2:$B$497,MATCH(N491,Data!$A$2:$A$497,1))),"")</f>
        <v>-0.12284790387296</v>
      </c>
      <c r="AM503" s="560">
        <f>IFERROR(LN(INDEX(Data!$C$2:$C$497,MATCH(N503,Data!$A$2:$A$497,1))/INDEX(Data!$C$2:$C$497,MATCH(N491,Data!$A$2:$A$497,1))),"")</f>
        <v>-0.0853778411415998</v>
      </c>
      <c r="AN503" s="560">
        <f>IFERROR(LN(INDEX(Data!$D$2:$D$497,MATCH(N503,Data!$A$2:$A$497,1))/INDEX(Data!$D$2:$D$497,MATCH(N491,Data!$A$2:$A$497,1))),"")</f>
        <v>0.0499241393240978</v>
      </c>
      <c r="AO503" s="560">
        <f>IFERROR(LN(INDEX(Data!$E$2:$E$497,MATCH(N503,Data!$A$2:$A$497,1))/INDEX(Data!$E$2:$E$497,MATCH(N491,Data!$A$2:$A$497,1))),"")</f>
        <v>-0.273945347648898</v>
      </c>
      <c r="AP503" s="560">
        <f>IFERROR(LN(INDEX(Data!$F$2:$F$497,MATCH(N503,Data!$A$2:$A$497,1))/INDEX(Data!$F$2:$F$497,MATCH(N491,Data!$A$2:$A$497,1))),"")</f>
        <v>-0.6500701300892</v>
      </c>
      <c r="AQ503" s="560">
        <f>IFERROR(LN(INDEX(Data!$G$2:$G$497,MATCH(N503,Data!$A$2:$A$497,1))/INDEX(Data!$G$2:$G$497,MATCH(N491,Data!$A$2:$A$497,1))),"")</f>
        <v>0.0142017908037354</v>
      </c>
      <c r="AR503" s="560">
        <f>IFERROR(LN(INDEX(Data!$H$2:$H$497,MATCH(N503,Data!$A$2:$A$497,1))/INDEX(Data!$H$2:$H$497,MATCH(N491,Data!$A$2:$A$497,1))),"")</f>
        <v>0.0833264680976121</v>
      </c>
      <c r="AS503" s="560">
        <f>IFERROR(LN(INDEX(Data!$I$2:$I$497,MATCH(N503,Data!$A$2:$A$497,1))/INDEX(Data!$I$2:$I$497,MATCH(N491,Data!$A$2:$A$497,1))),"")</f>
        <v>-0.175782219222816</v>
      </c>
      <c r="AT503" s="560">
        <f>IFERROR(LN(INDEX(Data!$J$2:$J$497,MATCH(N503,Data!$A$2:$A$497,1))/INDEX(Data!$J$2:$J$497,MATCH(N491,Data!$A$2:$A$497,1))),"")</f>
        <v>0.0881683183443135</v>
      </c>
      <c r="AU503" s="560">
        <f>IFERROR(LN(INDEX(Data!$K$2:$K$497,MATCH(N503,Data!$A$2:$A$497,1))/INDEX(Data!$K$2:$K$497,MATCH(N491,Data!$A$2:$A$497,1))),"")</f>
        <v>0.0983168679894116</v>
      </c>
      <c r="AV503" s="561">
        <f>IFERROR(LN(INDEX(Data!$L$2:$L$497,MATCH(N503,Data!$A$2:$A$497,1))/INDEX(Data!$L$2:$L$497,MATCH(N491,Data!$A$2:$A$497,1))),"")</f>
        <v>0.0492986728243061</v>
      </c>
    </row>
    <row r="504">
      <c r="N504" s="337" t="n">
        <v>40056</v>
      </c>
      <c r="O504" s="116">
        <f>INDEX('Additional data'!$B$2:$B$965,MATCH(DATE(YEAR(N504),MONTH(N504),1),'Additional data'!$A$2:$A$965,0))</f>
        <v>71.06</v>
      </c>
      <c r="P504" s="489">
        <f>LN(O504)</f>
        <v>4.26352459059288</v>
      </c>
      <c r="Q504" s="489">
        <f>Q503+LN(1+INDEX('Additional data'!$H$2:$H$1196,MATCH(N504,'Additional data'!$G$2:$G$1196,1))+INDEX('Additional data'!$I$2:$I$1196,MATCH(N504,'Additional data'!$G$2:$G$1196,1)))</f>
        <v>3.68319528554147</v>
      </c>
      <c r="R504" s="489">
        <f>LN(INDEX(Data!$B$2:$B$497,MATCH(N504,Data!$A$2:$A$497,1)))</f>
        <v>10.3300667478623</v>
      </c>
      <c r="S504" s="116">
        <f>IF(INDEX('Additional data'!$E$2:$E$699,MATCH(DATE(YEAR(N504),MONTH(N504),1),'Additional data'!$D$2:$D$699,0))=0,(INDEX('Additional data'!$E$2:$E$699,MATCH(DATE(YEAR(N504),MONTH(N504),1),'Additional data'!$D$2:$D$699,0)-1)+INDEX('Additional data'!$E$2:$E$699,MATCH(DATE(YEAR(N504),MONTH(N504),1),'Additional data'!$D$2:$D$699,0)+1))/2,INDEX('Additional data'!$E$2:$E$699,MATCH(DATE(YEAR(N504),MONTH(N504),1),'Additional data'!$D$2:$D$699,0)))</f>
        <v>3.3</v>
      </c>
      <c r="T504" s="425">
        <f>P504-P503</f>
        <v>0.103236245076745</v>
      </c>
      <c r="U504" s="425">
        <f>Q504-Q503</f>
        <v>0.0328543368709471</v>
      </c>
      <c r="V504" s="425">
        <f>R504-R503</f>
        <v>0.0627205560244253</v>
      </c>
      <c r="W504" s="116">
        <f>S504-S503</f>
        <v>0.16</v>
      </c>
      <c r="X504" s="425">
        <f>P504-P492</f>
        <v>-0.495310442939361</v>
      </c>
      <c r="Y504" s="425">
        <f>Q504-Q492</f>
        <v>-0.19216795238585</v>
      </c>
      <c r="Z504" s="425">
        <f>R504-R492</f>
        <v>-0.0995861706863437</v>
      </c>
      <c r="AA504" s="116">
        <f>S504-S492</f>
        <v>-4.01</v>
      </c>
      <c r="AB504" s="425">
        <f>P504-P444</f>
        <v>0.458196323835697</v>
      </c>
      <c r="AC504" s="425">
        <f>Q504-Q444</f>
        <v>0.0695018820020845</v>
      </c>
      <c r="AD504" s="425">
        <f>R504-R444</f>
        <v>0.443165490568124</v>
      </c>
      <c r="AE504" s="235">
        <f>S504-S444</f>
        <v>-2.14</v>
      </c>
      <c r="AG504" s="554">
        <f>N504</f>
        <v>40056.0</v>
      </c>
      <c r="AH504" s="435">
        <f>IFERROR(INDEX('RBA 5Y yield'!$B$5:$B$661,MATCH(N504,'RBA 5Y yield'!$A$5:$A$661,1))*100,"")</f>
        <v>5.3915</v>
      </c>
      <c r="AI504" s="435">
        <f>IF(AND(ISNUMBER(AH504),ISNUMBER(AH503)),AH504-AH503,"")</f>
        <v>0.1835</v>
      </c>
      <c r="AJ504" s="435">
        <f>IF(AND(ISNUMBER(AH504),ISNUMBER(AH492)),AH504-AH492,"")</f>
        <v>-0.3825</v>
      </c>
      <c r="AK504" s="435">
        <f>IF(AND(ISNUMBER(AH504),ISNUMBER(AH444)),AH504-AH444,"")</f>
        <v>-0.0726000000000004</v>
      </c>
      <c r="AL504" s="560">
        <f>IFERROR(LN(INDEX(Data!$B$2:$B$497,MATCH(N504,Data!$A$2:$A$497,1))/INDEX(Data!$B$2:$B$497,MATCH(N492,Data!$A$2:$A$497,1))),"")</f>
        <v>-0.0995861706863445</v>
      </c>
      <c r="AM504" s="560">
        <f>IFERROR(LN(INDEX(Data!$C$2:$C$497,MATCH(N504,Data!$A$2:$A$497,1))/INDEX(Data!$C$2:$C$497,MATCH(N492,Data!$A$2:$A$497,1))),"")</f>
        <v>-0.16246931770355</v>
      </c>
      <c r="AN504" s="560">
        <f>IFERROR(LN(INDEX(Data!$D$2:$D$497,MATCH(N504,Data!$A$2:$A$497,1))/INDEX(Data!$D$2:$D$497,MATCH(N492,Data!$A$2:$A$497,1))),"")</f>
        <v>-0.00221004517067787</v>
      </c>
      <c r="AO504" s="560">
        <f>IFERROR(LN(INDEX(Data!$E$2:$E$497,MATCH(N504,Data!$A$2:$A$497,1))/INDEX(Data!$E$2:$E$497,MATCH(N492,Data!$A$2:$A$497,1))),"")</f>
        <v>-0.281275312302779</v>
      </c>
      <c r="AP504" s="560">
        <f>IFERROR(LN(INDEX(Data!$F$2:$F$497,MATCH(N504,Data!$A$2:$A$497,1))/INDEX(Data!$F$2:$F$497,MATCH(N492,Data!$A$2:$A$497,1))),"")</f>
        <v>-0.702448600569071</v>
      </c>
      <c r="AQ504" s="560">
        <f>IFERROR(LN(INDEX(Data!$G$2:$G$497,MATCH(N504,Data!$A$2:$A$497,1))/INDEX(Data!$G$2:$G$497,MATCH(N492,Data!$A$2:$A$497,1))),"")</f>
        <v>0.0142017908037354</v>
      </c>
      <c r="AR504" s="560">
        <f>IFERROR(LN(INDEX(Data!$H$2:$H$497,MATCH(N504,Data!$A$2:$A$497,1))/INDEX(Data!$H$2:$H$497,MATCH(N492,Data!$A$2:$A$497,1))),"")</f>
        <v>0.090345428256683</v>
      </c>
      <c r="AS504" s="560">
        <f>IFERROR(LN(INDEX(Data!$I$2:$I$497,MATCH(N504,Data!$A$2:$A$497,1))/INDEX(Data!$I$2:$I$497,MATCH(N492,Data!$A$2:$A$497,1))),"")</f>
        <v>-0.175782219222816</v>
      </c>
      <c r="AT504" s="560">
        <f>IFERROR(LN(INDEX(Data!$J$2:$J$497,MATCH(N504,Data!$A$2:$A$497,1))/INDEX(Data!$J$2:$J$497,MATCH(N492,Data!$A$2:$A$497,1))),"")</f>
        <v>0.0739131720336606</v>
      </c>
      <c r="AU504" s="560">
        <f>IFERROR(LN(INDEX(Data!$K$2:$K$497,MATCH(N504,Data!$A$2:$A$497,1))/INDEX(Data!$K$2:$K$497,MATCH(N492,Data!$A$2:$A$497,1))),"")</f>
        <v>0.0962663613955544</v>
      </c>
      <c r="AV504" s="561">
        <f>IFERROR(LN(INDEX(Data!$L$2:$L$497,MATCH(N504,Data!$A$2:$A$497,1))/INDEX(Data!$L$2:$L$497,MATCH(N492,Data!$A$2:$A$497,1))),"")</f>
        <v>0.0451698952611501</v>
      </c>
    </row>
    <row r="505">
      <c r="N505" s="337" t="n">
        <v>40086</v>
      </c>
      <c r="O505" s="116">
        <f>INDEX('Additional data'!$B$2:$B$965,MATCH(DATE(YEAR(N505),MONTH(N505),1),'Additional data'!$A$2:$A$965,0))</f>
        <v>69.46</v>
      </c>
      <c r="P505" s="489">
        <f>LN(O505)</f>
        <v>4.24075104731593</v>
      </c>
      <c r="Q505" s="489">
        <f>Q504+LN(1+INDEX('Additional data'!$H$2:$H$1196,MATCH(N505,'Additional data'!$G$2:$G$1196,1))+INDEX('Additional data'!$I$2:$I$1196,MATCH(N505,'Additional data'!$G$2:$G$1196,1)))</f>
        <v>3.72328100908076</v>
      </c>
      <c r="R505" s="489">
        <f>LN(INDEX(Data!$B$2:$B$497,MATCH(N505,Data!$A$2:$A$497,1)))</f>
        <v>10.38877946809</v>
      </c>
      <c r="S505" s="116">
        <f>IF(INDEX('Additional data'!$E$2:$E$699,MATCH(DATE(YEAR(N505),MONTH(N505),1),'Additional data'!$D$2:$D$699,0))=0,(INDEX('Additional data'!$E$2:$E$699,MATCH(DATE(YEAR(N505),MONTH(N505),1),'Additional data'!$D$2:$D$699,0)-1)+INDEX('Additional data'!$E$2:$E$699,MATCH(DATE(YEAR(N505),MONTH(N505),1),'Additional data'!$D$2:$D$699,0)+1))/2,INDEX('Additional data'!$E$2:$E$699,MATCH(DATE(YEAR(N505),MONTH(N505),1),'Additional data'!$D$2:$D$699,0)))</f>
        <v>3.37</v>
      </c>
      <c r="T505" s="425">
        <f>P505-P504</f>
        <v>-0.0227735432769531</v>
      </c>
      <c r="U505" s="425">
        <f>Q505-Q504</f>
        <v>0.0400857235392857</v>
      </c>
      <c r="V505" s="425">
        <f>R505-R504</f>
        <v>0.0587127202276871</v>
      </c>
      <c r="W505" s="116">
        <f>S505-S504</f>
        <v>0.0700000000000003</v>
      </c>
      <c r="X505" s="425">
        <f>P505-P493</f>
        <v>-0.402677850789254</v>
      </c>
      <c r="Y505" s="425">
        <f>Q505-Q493</f>
        <v>-0.05557132846572</v>
      </c>
      <c r="Z505" s="425">
        <f>R505-R493</f>
        <v>0.0713989220534117</v>
      </c>
      <c r="AA505" s="116">
        <f>S505-S493</f>
        <v>-3.9</v>
      </c>
      <c r="AB505" s="425">
        <f>P505-P445</f>
        <v>0.413197198514232</v>
      </c>
      <c r="AC505" s="425">
        <f>Q505-Q445</f>
        <v>0.0926321648919566</v>
      </c>
      <c r="AD505" s="425">
        <f>R505-R445</f>
        <v>0.464840430184154</v>
      </c>
      <c r="AE505" s="235">
        <f>S505-S445</f>
        <v>-2.05</v>
      </c>
      <c r="AG505" s="554">
        <f>N505</f>
        <v>40086.0</v>
      </c>
      <c r="AH505" s="435">
        <f>IFERROR(INDEX('RBA 5Y yield'!$B$5:$B$661,MATCH(N505,'RBA 5Y yield'!$A$5:$A$661,1))*100,"")</f>
        <v>5.1395</v>
      </c>
      <c r="AI505" s="435">
        <f>IF(AND(ISNUMBER(AH505),ISNUMBER(AH504)),AH505-AH504,"")</f>
        <v>-0.252</v>
      </c>
      <c r="AJ505" s="435">
        <f>IF(AND(ISNUMBER(AH505),ISNUMBER(AH493)),AH505-AH493,"")</f>
        <v>-0.3969</v>
      </c>
      <c r="AK505" s="435">
        <f>IF(AND(ISNUMBER(AH505),ISNUMBER(AH445)),AH505-AH445,"")</f>
        <v>-0.1696</v>
      </c>
      <c r="AL505" s="560">
        <f>IFERROR(LN(INDEX(Data!$B$2:$B$497,MATCH(N505,Data!$A$2:$A$497,1))/INDEX(Data!$B$2:$B$497,MATCH(N493,Data!$A$2:$A$497,1))),"")</f>
        <v>0.0713989220534109</v>
      </c>
      <c r="AM505" s="560">
        <f>IFERROR(LN(INDEX(Data!$C$2:$C$497,MATCH(N505,Data!$A$2:$A$497,1))/INDEX(Data!$C$2:$C$497,MATCH(N493,Data!$A$2:$A$497,1))),"")</f>
        <v>-0.151852527461875</v>
      </c>
      <c r="AN505" s="560">
        <f>IFERROR(LN(INDEX(Data!$D$2:$D$497,MATCH(N505,Data!$A$2:$A$497,1))/INDEX(Data!$D$2:$D$497,MATCH(N493,Data!$A$2:$A$497,1))),"")</f>
        <v>0.0574648585530062</v>
      </c>
      <c r="AO505" s="560">
        <f>IFERROR(LN(INDEX(Data!$E$2:$E$497,MATCH(N505,Data!$A$2:$A$497,1))/INDEX(Data!$E$2:$E$497,MATCH(N493,Data!$A$2:$A$497,1))),"")</f>
        <v>-0.331084621583165</v>
      </c>
      <c r="AP505" s="560">
        <f>IFERROR(LN(INDEX(Data!$F$2:$F$497,MATCH(N505,Data!$A$2:$A$497,1))/INDEX(Data!$F$2:$F$497,MATCH(N493,Data!$A$2:$A$497,1))),"")</f>
        <v>-0.701460905236869</v>
      </c>
      <c r="AQ505" s="560">
        <f>IFERROR(LN(INDEX(Data!$G$2:$G$497,MATCH(N505,Data!$A$2:$A$497,1))/INDEX(Data!$G$2:$G$497,MATCH(N493,Data!$A$2:$A$497,1))),"")</f>
        <v>0.0779400965191427</v>
      </c>
      <c r="AR505" s="560">
        <f>IFERROR(LN(INDEX(Data!$H$2:$H$497,MATCH(N505,Data!$A$2:$A$497,1))/INDEX(Data!$H$2:$H$497,MATCH(N493,Data!$A$2:$A$497,1))),"")</f>
        <v>0.0886763885486274</v>
      </c>
      <c r="AS505" s="560">
        <f>IFERROR(LN(INDEX(Data!$I$2:$I$497,MATCH(N505,Data!$A$2:$A$497,1))/INDEX(Data!$I$2:$I$497,MATCH(N493,Data!$A$2:$A$497,1))),"")</f>
        <v>-0.0772881584708428</v>
      </c>
      <c r="AT505" s="560">
        <f>IFERROR(LN(INDEX(Data!$J$2:$J$497,MATCH(N505,Data!$A$2:$A$497,1))/INDEX(Data!$J$2:$J$497,MATCH(N493,Data!$A$2:$A$497,1))),"")</f>
        <v>0.0683547294118209</v>
      </c>
      <c r="AU505" s="560">
        <f>IFERROR(LN(INDEX(Data!$K$2:$K$497,MATCH(N505,Data!$A$2:$A$497,1))/INDEX(Data!$K$2:$K$497,MATCH(N493,Data!$A$2:$A$497,1))),"")</f>
        <v>0.113209373246167</v>
      </c>
      <c r="AV505" s="561">
        <f>IFERROR(LN(INDEX(Data!$L$2:$L$497,MATCH(N505,Data!$A$2:$A$497,1))/INDEX(Data!$L$2:$L$497,MATCH(N493,Data!$A$2:$A$497,1))),"")</f>
        <v>0.0421499769901051</v>
      </c>
    </row>
    <row r="506">
      <c r="N506" s="337" t="n">
        <v>40117</v>
      </c>
      <c r="O506" s="116">
        <f>INDEX('Additional data'!$B$2:$B$965,MATCH(DATE(YEAR(N506),MONTH(N506),1),'Additional data'!$A$2:$A$965,0))</f>
        <v>75.82</v>
      </c>
      <c r="P506" s="489">
        <f>LN(O506)</f>
        <v>4.32836211008819</v>
      </c>
      <c r="Q506" s="489">
        <f>Q505+LN(1+INDEX('Additional data'!$H$2:$H$1196,MATCH(N506,'Additional data'!$G$2:$G$1196,1))+INDEX('Additional data'!$I$2:$I$1196,MATCH(N506,'Additional data'!$G$2:$G$1196,1)))</f>
        <v>3.69765546144178</v>
      </c>
      <c r="R506" s="489">
        <f>LN(INDEX(Data!$B$2:$B$497,MATCH(N506,Data!$A$2:$A$497,1)))</f>
        <v>10.3696991887553</v>
      </c>
      <c r="S506" s="116">
        <f>IF(INDEX('Additional data'!$E$2:$E$699,MATCH(DATE(YEAR(N506),MONTH(N506),1),'Additional data'!$D$2:$D$699,0))=0,(INDEX('Additional data'!$E$2:$E$699,MATCH(DATE(YEAR(N506),MONTH(N506),1),'Additional data'!$D$2:$D$699,0)-1)+INDEX('Additional data'!$E$2:$E$699,MATCH(DATE(YEAR(N506),MONTH(N506),1),'Additional data'!$D$2:$D$699,0)+1))/2,INDEX('Additional data'!$E$2:$E$699,MATCH(DATE(YEAR(N506),MONTH(N506),1),'Additional data'!$D$2:$D$699,0)))</f>
        <v>3.78</v>
      </c>
      <c r="T506" s="425">
        <f>P506-P505</f>
        <v>0.0876110627722611</v>
      </c>
      <c r="U506" s="425">
        <f>Q506-Q505</f>
        <v>-0.0256255476389726</v>
      </c>
      <c r="V506" s="425">
        <f>R506-R505</f>
        <v>-0.0190802793346325</v>
      </c>
      <c r="W506" s="116">
        <f>S506-S505</f>
        <v>0.41</v>
      </c>
      <c r="X506" s="425">
        <f>P506-P494</f>
        <v>-0.0108874952296345</v>
      </c>
      <c r="Y506" s="425">
        <f>Q506-Q494</f>
        <v>0.106579531372226</v>
      </c>
      <c r="Z506" s="425">
        <f>R506-R494</f>
        <v>0.202223421841683</v>
      </c>
      <c r="AA506" s="116">
        <f>S506-S494</f>
        <v>-2.25</v>
      </c>
      <c r="AB506" s="425">
        <f>P506-P446</f>
        <v>0.355620369625337</v>
      </c>
      <c r="AC506" s="425">
        <f>Q506-Q446</f>
        <v>0.0518224819279438</v>
      </c>
      <c r="AD506" s="425">
        <f>R506-R446</f>
        <v>0.414828503367259</v>
      </c>
      <c r="AE506" s="235">
        <f>S506-S446</f>
        <v>-1.63</v>
      </c>
      <c r="AG506" s="554">
        <f>N506</f>
        <v>40117.0</v>
      </c>
      <c r="AH506" s="435">
        <f>IFERROR(INDEX('RBA 5Y yield'!$B$5:$B$661,MATCH(N506,'RBA 5Y yield'!$A$5:$A$661,1))*100,"")</f>
        <v>5.3545</v>
      </c>
      <c r="AI506" s="435">
        <f>IF(AND(ISNUMBER(AH506),ISNUMBER(AH505)),AH506-AH505,"")</f>
        <v>0.215</v>
      </c>
      <c r="AJ506" s="435">
        <f>IF(AND(ISNUMBER(AH506),ISNUMBER(AH494)),AH506-AH494,"")</f>
        <v>0.5261</v>
      </c>
      <c r="AK506" s="435">
        <f>IF(AND(ISNUMBER(AH506),ISNUMBER(AH446)),AH506-AH446,"")</f>
        <v>0.0842999999999998</v>
      </c>
      <c r="AL506" s="560">
        <f>IFERROR(LN(INDEX(Data!$B$2:$B$497,MATCH(N506,Data!$A$2:$A$497,1))/INDEX(Data!$B$2:$B$497,MATCH(N494,Data!$A$2:$A$497,1))),"")</f>
        <v>0.202223421841684</v>
      </c>
      <c r="AM506" s="560">
        <f>IFERROR(LN(INDEX(Data!$C$2:$C$497,MATCH(N506,Data!$A$2:$A$497,1))/INDEX(Data!$C$2:$C$497,MATCH(N494,Data!$A$2:$A$497,1))),"")</f>
        <v>-0.198124265349117</v>
      </c>
      <c r="AN506" s="560">
        <f>IFERROR(LN(INDEX(Data!$D$2:$D$497,MATCH(N506,Data!$A$2:$A$497,1))/INDEX(Data!$D$2:$D$497,MATCH(N494,Data!$A$2:$A$497,1))),"")</f>
        <v>0.103704473946751</v>
      </c>
      <c r="AO506" s="560">
        <f>IFERROR(LN(INDEX(Data!$E$2:$E$497,MATCH(N506,Data!$A$2:$A$497,1))/INDEX(Data!$E$2:$E$497,MATCH(N494,Data!$A$2:$A$497,1))),"")</f>
        <v>-0.250173557544822</v>
      </c>
      <c r="AP506" s="560">
        <f>IFERROR(LN(INDEX(Data!$F$2:$F$497,MATCH(N506,Data!$A$2:$A$497,1))/INDEX(Data!$F$2:$F$497,MATCH(N494,Data!$A$2:$A$497,1))),"")</f>
        <v>-0.515350632179238</v>
      </c>
      <c r="AQ506" s="560">
        <f>IFERROR(LN(INDEX(Data!$G$2:$G$497,MATCH(N506,Data!$A$2:$A$497,1))/INDEX(Data!$G$2:$G$497,MATCH(N494,Data!$A$2:$A$497,1))),"")</f>
        <v>0.0779400965191427</v>
      </c>
      <c r="AR506" s="560">
        <f>IFERROR(LN(INDEX(Data!$H$2:$H$497,MATCH(N506,Data!$A$2:$A$497,1))/INDEX(Data!$H$2:$H$497,MATCH(N494,Data!$A$2:$A$497,1))),"")</f>
        <v>0.0607768375985858</v>
      </c>
      <c r="AS506" s="560">
        <f>IFERROR(LN(INDEX(Data!$I$2:$I$497,MATCH(N506,Data!$A$2:$A$497,1))/INDEX(Data!$I$2:$I$497,MATCH(N494,Data!$A$2:$A$497,1))),"")</f>
        <v>-0.0772881584708428</v>
      </c>
      <c r="AT506" s="560">
        <f>IFERROR(LN(INDEX(Data!$J$2:$J$497,MATCH(N506,Data!$A$2:$A$497,1))/INDEX(Data!$J$2:$J$497,MATCH(N494,Data!$A$2:$A$497,1))),"")</f>
        <v>0.0477162840816122</v>
      </c>
      <c r="AU506" s="560">
        <f>IFERROR(LN(INDEX(Data!$K$2:$K$497,MATCH(N506,Data!$A$2:$A$497,1))/INDEX(Data!$K$2:$K$497,MATCH(N494,Data!$A$2:$A$497,1))),"")</f>
        <v>0.125867891297749</v>
      </c>
      <c r="AV506" s="561">
        <f>IFERROR(LN(INDEX(Data!$L$2:$L$497,MATCH(N506,Data!$A$2:$A$497,1))/INDEX(Data!$L$2:$L$497,MATCH(N494,Data!$A$2:$A$497,1))),"")</f>
        <v>0.0375870675730538</v>
      </c>
    </row>
    <row r="507">
      <c r="N507" s="337" t="n">
        <v>40147</v>
      </c>
      <c r="O507" s="116">
        <f>INDEX('Additional data'!$B$2:$B$965,MATCH(DATE(YEAR(N507),MONTH(N507),1),'Additional data'!$A$2:$A$965,0))</f>
        <v>78.08</v>
      </c>
      <c r="P507" s="489">
        <f>LN(O507)</f>
        <v>4.35773394210484</v>
      </c>
      <c r="Q507" s="489">
        <f>Q506+LN(1+INDEX('Additional data'!$H$2:$H$1196,MATCH(N507,'Additional data'!$G$2:$G$1196,1))+INDEX('Additional data'!$I$2:$I$1196,MATCH(N507,'Additional data'!$G$2:$G$1196,1)))</f>
        <v>3.75242769728876</v>
      </c>
      <c r="R507" s="489">
        <f>LN(INDEX(Data!$B$2:$B$497,MATCH(N507,Data!$A$2:$A$497,1)))</f>
        <v>10.3889560444677</v>
      </c>
      <c r="S507" s="116">
        <f>IF(INDEX('Additional data'!$E$2:$E$699,MATCH(DATE(YEAR(N507),MONTH(N507),1),'Additional data'!$D$2:$D$699,0))=0,(INDEX('Additional data'!$E$2:$E$699,MATCH(DATE(YEAR(N507),MONTH(N507),1),'Additional data'!$D$2:$D$699,0)-1)+INDEX('Additional data'!$E$2:$E$699,MATCH(DATE(YEAR(N507),MONTH(N507),1),'Additional data'!$D$2:$D$699,0)+1))/2,INDEX('Additional data'!$E$2:$E$699,MATCH(DATE(YEAR(N507),MONTH(N507),1),'Additional data'!$D$2:$D$699,0)))</f>
        <v>3.95</v>
      </c>
      <c r="T507" s="425">
        <f>P507-P506</f>
        <v>0.0293718320166487</v>
      </c>
      <c r="U507" s="425">
        <f>Q507-Q506</f>
        <v>0.0547722358469795</v>
      </c>
      <c r="V507" s="425">
        <f>R507-R506</f>
        <v>0.0192568557123902</v>
      </c>
      <c r="W507" s="116">
        <f>S507-S506</f>
        <v>0.17</v>
      </c>
      <c r="X507" s="425">
        <f>P507-P495</f>
        <v>0.306993017364869</v>
      </c>
      <c r="Y507" s="425">
        <f>Q507-Q495</f>
        <v>0.241586159929811</v>
      </c>
      <c r="Z507" s="425">
        <f>R507-R495</f>
        <v>0.296408315718505</v>
      </c>
      <c r="AA507" s="116">
        <f>S507-S495</f>
        <v>-0.81</v>
      </c>
      <c r="AB507" s="425">
        <f>P507-P447</f>
        <v>0.476995226716458</v>
      </c>
      <c r="AC507" s="425">
        <f>Q507-Q447</f>
        <v>0.0608568261010696</v>
      </c>
      <c r="AD507" s="425">
        <f>R507-R447</f>
        <v>0.388849714169735</v>
      </c>
      <c r="AE507" s="235">
        <f>S507-S447</f>
        <v>-1.48</v>
      </c>
      <c r="AG507" s="554">
        <f>N507</f>
        <v>40147.0</v>
      </c>
      <c r="AH507" s="435">
        <f>IFERROR(INDEX('RBA 5Y yield'!$B$5:$B$661,MATCH(N507,'RBA 5Y yield'!$A$5:$A$661,1))*100,"")</f>
        <v>5.2376</v>
      </c>
      <c r="AI507" s="435">
        <f>IF(AND(ISNUMBER(AH507),ISNUMBER(AH506)),AH507-AH506,"")</f>
        <v>-0.1169</v>
      </c>
      <c r="AJ507" s="435">
        <f>IF(AND(ISNUMBER(AH507),ISNUMBER(AH495)),AH507-AH495,"")</f>
        <v>0.9589</v>
      </c>
      <c r="AK507" s="435">
        <f>IF(AND(ISNUMBER(AH507),ISNUMBER(AH447)),AH507-AH447,"")</f>
        <v>-0.0363000000000007</v>
      </c>
      <c r="AL507" s="560">
        <f>IFERROR(LN(INDEX(Data!$B$2:$B$497,MATCH(N507,Data!$A$2:$A$497,1))/INDEX(Data!$B$2:$B$497,MATCH(N495,Data!$A$2:$A$497,1))),"")</f>
        <v>0.296408315718506</v>
      </c>
      <c r="AM507" s="560">
        <f>IFERROR(LN(INDEX(Data!$C$2:$C$497,MATCH(N507,Data!$A$2:$A$497,1))/INDEX(Data!$C$2:$C$497,MATCH(N495,Data!$A$2:$A$497,1))),"")</f>
        <v>-0.131223539868231</v>
      </c>
      <c r="AN507" s="560">
        <f>IFERROR(LN(INDEX(Data!$D$2:$D$497,MATCH(N507,Data!$A$2:$A$497,1))/INDEX(Data!$D$2:$D$497,MATCH(N495,Data!$A$2:$A$497,1))),"")</f>
        <v>0.150772759120229</v>
      </c>
      <c r="AO507" s="560">
        <f>IFERROR(LN(INDEX(Data!$E$2:$E$497,MATCH(N507,Data!$A$2:$A$497,1))/INDEX(Data!$E$2:$E$497,MATCH(N495,Data!$A$2:$A$497,1))),"")</f>
        <v>-0.0774189575072848</v>
      </c>
      <c r="AP507" s="560">
        <f>IFERROR(LN(INDEX(Data!$F$2:$F$497,MATCH(N507,Data!$A$2:$A$497,1))/INDEX(Data!$F$2:$F$497,MATCH(N495,Data!$A$2:$A$497,1))),"")</f>
        <v>-0.365538375451311</v>
      </c>
      <c r="AQ507" s="560">
        <f>IFERROR(LN(INDEX(Data!$G$2:$G$497,MATCH(N507,Data!$A$2:$A$497,1))/INDEX(Data!$G$2:$G$497,MATCH(N495,Data!$A$2:$A$497,1))),"")</f>
        <v>0.0779400965191427</v>
      </c>
      <c r="AR507" s="560">
        <f>IFERROR(LN(INDEX(Data!$H$2:$H$497,MATCH(N507,Data!$A$2:$A$497,1))/INDEX(Data!$H$2:$H$497,MATCH(N495,Data!$A$2:$A$497,1))),"")</f>
        <v>0.0331031245480305</v>
      </c>
      <c r="AS507" s="560">
        <f>IFERROR(LN(INDEX(Data!$I$2:$I$497,MATCH(N507,Data!$A$2:$A$497,1))/INDEX(Data!$I$2:$I$497,MATCH(N495,Data!$A$2:$A$497,1))),"")</f>
        <v>-0.0772881584708428</v>
      </c>
      <c r="AT507" s="560">
        <f>IFERROR(LN(INDEX(Data!$J$2:$J$497,MATCH(N507,Data!$A$2:$A$497,1))/INDEX(Data!$J$2:$J$497,MATCH(N495,Data!$A$2:$A$497,1))),"")</f>
        <v>0.033416170263646</v>
      </c>
      <c r="AU507" s="560">
        <f>IFERROR(LN(INDEX(Data!$K$2:$K$497,MATCH(N507,Data!$A$2:$A$497,1))/INDEX(Data!$K$2:$K$497,MATCH(N495,Data!$A$2:$A$497,1))),"")</f>
        <v>0.108579275904287</v>
      </c>
      <c r="AV507" s="561">
        <f>IFERROR(LN(INDEX(Data!$L$2:$L$497,MATCH(N507,Data!$A$2:$A$497,1))/INDEX(Data!$L$2:$L$497,MATCH(N495,Data!$A$2:$A$497,1))),"")</f>
        <v>0.0351853378737593</v>
      </c>
    </row>
    <row r="508">
      <c r="N508" s="337" t="n">
        <v>40178</v>
      </c>
      <c r="O508" s="116">
        <f>INDEX('Additional data'!$B$2:$B$965,MATCH(DATE(YEAR(N508),MONTH(N508),1),'Additional data'!$A$2:$A$965,0))</f>
        <v>74.3</v>
      </c>
      <c r="P508" s="489">
        <f>LN(O508)</f>
        <v>4.30811095172371</v>
      </c>
      <c r="Q508" s="489">
        <f>Q507+LN(1+INDEX('Additional data'!$H$2:$H$1196,MATCH(N508,'Additional data'!$G$2:$G$1196,1))+INDEX('Additional data'!$I$2:$I$1196,MATCH(N508,'Additional data'!$G$2:$G$1196,1)))</f>
        <v>3.7801401358553</v>
      </c>
      <c r="R508" s="489">
        <f>LN(INDEX(Data!$B$2:$B$497,MATCH(N508,Data!$A$2:$A$497,1)))</f>
        <v>10.4252116318005</v>
      </c>
      <c r="S508" s="116">
        <f>IF(INDEX('Additional data'!$E$2:$E$699,MATCH(DATE(YEAR(N508),MONTH(N508),1),'Additional data'!$D$2:$D$699,0))=0,(INDEX('Additional data'!$E$2:$E$699,MATCH(DATE(YEAR(N508),MONTH(N508),1),'Additional data'!$D$2:$D$699,0)-1)+INDEX('Additional data'!$E$2:$E$699,MATCH(DATE(YEAR(N508),MONTH(N508),1),'Additional data'!$D$2:$D$699,0)+1))/2,INDEX('Additional data'!$E$2:$E$699,MATCH(DATE(YEAR(N508),MONTH(N508),1),'Additional data'!$D$2:$D$699,0)))</f>
        <v>4.12904761904762</v>
      </c>
      <c r="T508" s="425">
        <f>P508-P507</f>
        <v>-0.0496229903811241</v>
      </c>
      <c r="U508" s="425">
        <f>Q508-Q507</f>
        <v>0.0277124385665357</v>
      </c>
      <c r="V508" s="425">
        <f>R508-R507</f>
        <v>0.0362555873327235</v>
      </c>
      <c r="W508" s="116">
        <f>S508-S507</f>
        <v>0.17904761904762</v>
      </c>
      <c r="X508" s="425">
        <f>P508-P496</f>
        <v>0.594051199079479</v>
      </c>
      <c r="Y508" s="425">
        <f>Q508-Q496</f>
        <v>0.251753419280598</v>
      </c>
      <c r="Z508" s="425">
        <f>R508-R496</f>
        <v>0.33345400006335</v>
      </c>
      <c r="AA508" s="116">
        <f>S508-S496</f>
        <v>-0.26095238095238</v>
      </c>
      <c r="AB508" s="425">
        <f>P508-P448</f>
        <v>0.539265715971895</v>
      </c>
      <c r="AC508" s="425">
        <f>Q508-Q448</f>
        <v>0.0533951896599514</v>
      </c>
      <c r="AD508" s="425">
        <f>R508-R448</f>
        <v>0.395527602736344</v>
      </c>
      <c r="AE508" s="235">
        <f>S508-S448</f>
        <v>-1.28095238095238</v>
      </c>
      <c r="AG508" s="554">
        <f>N508</f>
        <v>40178.0</v>
      </c>
      <c r="AH508" s="435">
        <f>IFERROR(INDEX('RBA 5Y yield'!$B$5:$B$661,MATCH(N508,'RBA 5Y yield'!$A$5:$A$661,1))*100,"")</f>
        <v>5.15</v>
      </c>
      <c r="AI508" s="435">
        <f>IF(AND(ISNUMBER(AH508),ISNUMBER(AH507)),AH508-AH507,"")</f>
        <v>-0.0876000000000001</v>
      </c>
      <c r="AJ508" s="435">
        <f>IF(AND(ISNUMBER(AH508),ISNUMBER(AH496)),AH508-AH496,"")</f>
        <v>1.4279</v>
      </c>
      <c r="AK508" s="435">
        <f>IF(AND(ISNUMBER(AH508),ISNUMBER(AH448)),AH508-AH448,"")</f>
        <v>0.0499999999999998</v>
      </c>
      <c r="AL508" s="560">
        <f>IFERROR(LN(INDEX(Data!$B$2:$B$497,MATCH(N508,Data!$A$2:$A$497,1))/INDEX(Data!$B$2:$B$497,MATCH(N496,Data!$A$2:$A$497,1))),"")</f>
        <v>0.33345400006335</v>
      </c>
      <c r="AM508" s="560">
        <f>IFERROR(LN(INDEX(Data!$C$2:$C$497,MATCH(N508,Data!$A$2:$A$497,1))/INDEX(Data!$C$2:$C$497,MATCH(N496,Data!$A$2:$A$497,1))),"")</f>
        <v>-0.0194301337272795</v>
      </c>
      <c r="AN508" s="560">
        <f>IFERROR(LN(INDEX(Data!$D$2:$D$497,MATCH(N508,Data!$A$2:$A$497,1))/INDEX(Data!$D$2:$D$497,MATCH(N496,Data!$A$2:$A$497,1))),"")</f>
        <v>0.232511133193592</v>
      </c>
      <c r="AO508" s="560">
        <f>IFERROR(LN(INDEX(Data!$E$2:$E$497,MATCH(N508,Data!$A$2:$A$497,1))/INDEX(Data!$E$2:$E$497,MATCH(N496,Data!$A$2:$A$497,1))),"")</f>
        <v>-0.014051941687475</v>
      </c>
      <c r="AP508" s="560">
        <f>IFERROR(LN(INDEX(Data!$F$2:$F$497,MATCH(N508,Data!$A$2:$A$497,1))/INDEX(Data!$F$2:$F$497,MATCH(N496,Data!$A$2:$A$497,1))),"")</f>
        <v>-0.12809975841497</v>
      </c>
      <c r="AQ508" s="560">
        <f>IFERROR(LN(INDEX(Data!$G$2:$G$497,MATCH(N508,Data!$A$2:$A$497,1))/INDEX(Data!$G$2:$G$497,MATCH(N496,Data!$A$2:$A$497,1))),"")</f>
        <v>0.145513549905903</v>
      </c>
      <c r="AR508" s="560">
        <f>IFERROR(LN(INDEX(Data!$H$2:$H$497,MATCH(N508,Data!$A$2:$A$497,1))/INDEX(Data!$H$2:$H$497,MATCH(N496,Data!$A$2:$A$497,1))),"")</f>
        <v>0.0197822805723696</v>
      </c>
      <c r="AS508" s="560">
        <f>IFERROR(LN(INDEX(Data!$I$2:$I$497,MATCH(N508,Data!$A$2:$A$497,1))/INDEX(Data!$I$2:$I$497,MATCH(N496,Data!$A$2:$A$497,1))),"")</f>
        <v>0.0719733231125378</v>
      </c>
      <c r="AT508" s="560">
        <f>IFERROR(LN(INDEX(Data!$J$2:$J$497,MATCH(N508,Data!$A$2:$A$497,1))/INDEX(Data!$J$2:$J$497,MATCH(N496,Data!$A$2:$A$497,1))),"")</f>
        <v>0.0171940581359796</v>
      </c>
      <c r="AU508" s="560">
        <f>IFERROR(LN(INDEX(Data!$K$2:$K$497,MATCH(N508,Data!$A$2:$A$497,1))/INDEX(Data!$K$2:$K$497,MATCH(N496,Data!$A$2:$A$497,1))),"")</f>
        <v>0.0772526288331933</v>
      </c>
      <c r="AV508" s="561">
        <f>IFERROR(LN(INDEX(Data!$L$2:$L$497,MATCH(N508,Data!$A$2:$A$497,1))/INDEX(Data!$L$2:$L$497,MATCH(N496,Data!$A$2:$A$497,1))),"")</f>
        <v>0.0341591240528803</v>
      </c>
    </row>
    <row r="509">
      <c r="N509" s="337" t="n">
        <v>40209</v>
      </c>
      <c r="O509" s="116">
        <f>INDEX('Additional data'!$B$2:$B$965,MATCH(DATE(YEAR(N509),MONTH(N509),1),'Additional data'!$A$2:$A$965,0))</f>
        <v>78.22</v>
      </c>
      <c r="P509" s="489">
        <f>LN(O509)</f>
        <v>4.35952536932737</v>
      </c>
      <c r="Q509" s="489">
        <f>Q508+LN(1+INDEX('Additional data'!$H$2:$H$1196,MATCH(N509,'Additional data'!$G$2:$G$1196,1))+INDEX('Additional data'!$I$2:$I$1196,MATCH(N509,'Additional data'!$G$2:$G$1196,1)))</f>
        <v>3.74606615552155</v>
      </c>
      <c r="R509" s="489">
        <f>LN(INDEX(Data!$B$2:$B$497,MATCH(N509,Data!$A$2:$A$497,1)))</f>
        <v>10.364934411573</v>
      </c>
      <c r="S509" s="116">
        <f>IF(INDEX('Additional data'!$E$2:$E$699,MATCH(DATE(YEAR(N509),MONTH(N509),1),'Additional data'!$D$2:$D$699,0))=0,(INDEX('Additional data'!$E$2:$E$699,MATCH(DATE(YEAR(N509),MONTH(N509),1),'Additional data'!$D$2:$D$699,0)-1)+INDEX('Additional data'!$E$2:$E$699,MATCH(DATE(YEAR(N509),MONTH(N509),1),'Additional data'!$D$2:$D$699,0)+1))/2,INDEX('Additional data'!$E$2:$E$699,MATCH(DATE(YEAR(N509),MONTH(N509),1),'Additional data'!$D$2:$D$699,0)))</f>
        <v>4.2025</v>
      </c>
      <c r="T509" s="425">
        <f>P509-P508</f>
        <v>0.0514144176036551</v>
      </c>
      <c r="U509" s="425">
        <f>Q509-Q508</f>
        <v>-0.0340739803337513</v>
      </c>
      <c r="V509" s="425">
        <f>R509-R508</f>
        <v>-0.0602772202274711</v>
      </c>
      <c r="W509" s="116">
        <f>S509-S508</f>
        <v>0.0734523809523795</v>
      </c>
      <c r="X509" s="425">
        <f>P509-P497</f>
        <v>0.628065467678314</v>
      </c>
      <c r="Y509" s="425">
        <f>Q509-Q497</f>
        <v>0.30203978756492</v>
      </c>
      <c r="Z509" s="425">
        <f>R509-R497</f>
        <v>0.323897318741066</v>
      </c>
      <c r="AA509" s="116">
        <f>S509-S497</f>
        <v>0.462499999999999</v>
      </c>
      <c r="AB509" s="425">
        <f>P509-P449</f>
        <v>0.512787830597852</v>
      </c>
      <c r="AC509" s="425">
        <f>Q509-Q449</f>
        <v>0.0455625205314272</v>
      </c>
      <c r="AD509" s="425">
        <f>R509-R449</f>
        <v>0.322049330878581</v>
      </c>
      <c r="AE509" s="235">
        <f>S509-S449</f>
        <v>-1.2175</v>
      </c>
      <c r="AG509" s="554">
        <f>N509</f>
        <v>40209.0</v>
      </c>
      <c r="AH509" s="435">
        <f>IFERROR(INDEX('RBA 5Y yield'!$B$5:$B$661,MATCH(N509,'RBA 5Y yield'!$A$5:$A$661,1))*100,"")</f>
        <v>5.2725</v>
      </c>
      <c r="AI509" s="435">
        <f>IF(AND(ISNUMBER(AH509),ISNUMBER(AH508)),AH509-AH508,"")</f>
        <v>0.122500000000001</v>
      </c>
      <c r="AJ509" s="435">
        <f>IF(AND(ISNUMBER(AH509),ISNUMBER(AH497)),AH509-AH497,"")</f>
        <v>1.7757</v>
      </c>
      <c r="AK509" s="435">
        <f>IF(AND(ISNUMBER(AH509),ISNUMBER(AH449)),AH509-AH449,"")</f>
        <v>0.0153999999999996</v>
      </c>
      <c r="AL509" s="560">
        <f>IFERROR(LN(INDEX(Data!$B$2:$B$497,MATCH(N509,Data!$A$2:$A$497,1))/INDEX(Data!$B$2:$B$497,MATCH(N497,Data!$A$2:$A$497,1))),"")</f>
        <v>0.323897318741066</v>
      </c>
      <c r="AM509" s="560">
        <f>IFERROR(LN(INDEX(Data!$C$2:$C$497,MATCH(N509,Data!$A$2:$A$497,1))/INDEX(Data!$C$2:$C$497,MATCH(N497,Data!$A$2:$A$497,1))),"")</f>
        <v>-0.0631162416184697</v>
      </c>
      <c r="AN509" s="560">
        <f>IFERROR(LN(INDEX(Data!$D$2:$D$497,MATCH(N509,Data!$A$2:$A$497,1))/INDEX(Data!$D$2:$D$497,MATCH(N497,Data!$A$2:$A$497,1))),"")</f>
        <v>0.137055367143292</v>
      </c>
      <c r="AO509" s="560">
        <f>IFERROR(LN(INDEX(Data!$E$2:$E$497,MATCH(N509,Data!$A$2:$A$497,1))/INDEX(Data!$E$2:$E$497,MATCH(N497,Data!$A$2:$A$497,1))),"")</f>
        <v>-0.00637400802021176</v>
      </c>
      <c r="AP509" s="560">
        <f>IFERROR(LN(INDEX(Data!$F$2:$F$497,MATCH(N509,Data!$A$2:$A$497,1))/INDEX(Data!$F$2:$F$497,MATCH(N497,Data!$A$2:$A$497,1))),"")</f>
        <v>-0.19698222301066</v>
      </c>
      <c r="AQ509" s="560">
        <f>IFERROR(LN(INDEX(Data!$G$2:$G$497,MATCH(N509,Data!$A$2:$A$497,1))/INDEX(Data!$G$2:$G$497,MATCH(N497,Data!$A$2:$A$497,1))),"")</f>
        <v>0.145513549905903</v>
      </c>
      <c r="AR509" s="560">
        <f>IFERROR(LN(INDEX(Data!$H$2:$H$497,MATCH(N509,Data!$A$2:$A$497,1))/INDEX(Data!$H$2:$H$497,MATCH(N497,Data!$A$2:$A$497,1))),"")</f>
        <v>-0.0146985705859284</v>
      </c>
      <c r="AS509" s="560">
        <f>IFERROR(LN(INDEX(Data!$I$2:$I$497,MATCH(N509,Data!$A$2:$A$497,1))/INDEX(Data!$I$2:$I$497,MATCH(N497,Data!$A$2:$A$497,1))),"")</f>
        <v>0.0719733231125378</v>
      </c>
      <c r="AT509" s="560">
        <f>IFERROR(LN(INDEX(Data!$J$2:$J$497,MATCH(N509,Data!$A$2:$A$497,1))/INDEX(Data!$J$2:$J$497,MATCH(N497,Data!$A$2:$A$497,1))),"")</f>
        <v>0.0166022324002701</v>
      </c>
      <c r="AU509" s="560">
        <f>IFERROR(LN(INDEX(Data!$K$2:$K$497,MATCH(N509,Data!$A$2:$A$497,1))/INDEX(Data!$K$2:$K$497,MATCH(N497,Data!$A$2:$A$497,1))),"")</f>
        <v>0.0968506966361244</v>
      </c>
      <c r="AV509" s="561">
        <f>IFERROR(LN(INDEX(Data!$L$2:$L$497,MATCH(N509,Data!$A$2:$A$497,1))/INDEX(Data!$L$2:$L$497,MATCH(N497,Data!$A$2:$A$497,1))),"")</f>
        <v>0.0336234777989301</v>
      </c>
    </row>
    <row r="510">
      <c r="N510" s="337" t="n">
        <v>40237</v>
      </c>
      <c r="O510" s="116">
        <f>INDEX('Additional data'!$B$2:$B$965,MATCH(DATE(YEAR(N510),MONTH(N510),1),'Additional data'!$A$2:$A$965,0))</f>
        <v>76.42</v>
      </c>
      <c r="P510" s="489">
        <f>LN(O510)</f>
        <v>4.33624444201875</v>
      </c>
      <c r="Q510" s="489">
        <f>Q509+LN(1+INDEX('Additional data'!$H$2:$H$1196,MATCH(N510,'Additional data'!$G$2:$G$1196,1))+INDEX('Additional data'!$I$2:$I$1196,MATCH(N510,'Additional data'!$G$2:$G$1196,1)))</f>
        <v>3.77940421513206</v>
      </c>
      <c r="R510" s="489">
        <f>LN(INDEX(Data!$B$2:$B$497,MATCH(N510,Data!$A$2:$A$497,1)))</f>
        <v>10.3829602509232</v>
      </c>
      <c r="S510" s="116">
        <f>IF(INDEX('Additional data'!$E$2:$E$699,MATCH(DATE(YEAR(N510),MONTH(N510),1),'Additional data'!$D$2:$D$699,0))=0,(INDEX('Additional data'!$E$2:$E$699,MATCH(DATE(YEAR(N510),MONTH(N510),1),'Additional data'!$D$2:$D$699,0)-1)+INDEX('Additional data'!$E$2:$E$699,MATCH(DATE(YEAR(N510),MONTH(N510),1),'Additional data'!$D$2:$D$699,0)+1))/2,INDEX('Additional data'!$E$2:$E$699,MATCH(DATE(YEAR(N510),MONTH(N510),1),'Additional data'!$D$2:$D$699,0)))</f>
        <v>4.16</v>
      </c>
      <c r="T510" s="425">
        <f>P510-P509</f>
        <v>-0.0232809273086145</v>
      </c>
      <c r="U510" s="425">
        <f>Q510-Q509</f>
        <v>0.0333380596105104</v>
      </c>
      <c r="V510" s="425">
        <f>R510-R509</f>
        <v>0.0180258393501855</v>
      </c>
      <c r="W510" s="116">
        <f>S510-S509</f>
        <v>-0.0424999999999995</v>
      </c>
      <c r="X510" s="425">
        <f>P510-P498</f>
        <v>0.668588624356444</v>
      </c>
      <c r="Y510" s="425">
        <f>Q510-Q498</f>
        <v>0.44218385149324</v>
      </c>
      <c r="Z510" s="425">
        <f>R510-R498</f>
        <v>0.385475698608133</v>
      </c>
      <c r="AA510" s="116">
        <f>S510-S498</f>
        <v>1</v>
      </c>
      <c r="AB510" s="425">
        <f>P510-P450</f>
        <v>0.465668626504781</v>
      </c>
      <c r="AC510" s="425">
        <f>Q510-Q450</f>
        <v>0.0587058728564185</v>
      </c>
      <c r="AD510" s="425">
        <f>R510-R450</f>
        <v>0.322253759057306</v>
      </c>
      <c r="AE510" s="235">
        <f>S510-S450</f>
        <v>-1.47</v>
      </c>
      <c r="AG510" s="554">
        <f>N510</f>
        <v>40237.0</v>
      </c>
      <c r="AH510" s="435">
        <f>IFERROR(INDEX('RBA 5Y yield'!$B$5:$B$661,MATCH(N510,'RBA 5Y yield'!$A$5:$A$661,1))*100,"")</f>
        <v>5.12</v>
      </c>
      <c r="AI510" s="435">
        <f>IF(AND(ISNUMBER(AH510),ISNUMBER(AH509)),AH510-AH509,"")</f>
        <v>-0.1525</v>
      </c>
      <c r="AJ510" s="435">
        <f>IF(AND(ISNUMBER(AH510),ISNUMBER(AH498)),AH510-AH498,"")</f>
        <v>1.5305</v>
      </c>
      <c r="AK510" s="435">
        <f>IF(AND(ISNUMBER(AH510),ISNUMBER(AH450)),AH510-AH450,"")</f>
        <v>-0.29</v>
      </c>
      <c r="AL510" s="560">
        <f>IFERROR(LN(INDEX(Data!$B$2:$B$497,MATCH(N510,Data!$A$2:$A$497,1))/INDEX(Data!$B$2:$B$497,MATCH(N498,Data!$A$2:$A$497,1))),"")</f>
        <v>0.385475698608132</v>
      </c>
      <c r="AM510" s="560">
        <f>IFERROR(LN(INDEX(Data!$C$2:$C$497,MATCH(N510,Data!$A$2:$A$497,1))/INDEX(Data!$C$2:$C$497,MATCH(N498,Data!$A$2:$A$497,1))),"")</f>
        <v>0.0468140179155571</v>
      </c>
      <c r="AN510" s="560">
        <f>IFERROR(LN(INDEX(Data!$D$2:$D$497,MATCH(N510,Data!$A$2:$A$497,1))/INDEX(Data!$D$2:$D$497,MATCH(N498,Data!$A$2:$A$497,1))),"")</f>
        <v>0.161462581712245</v>
      </c>
      <c r="AO510" s="560">
        <f>IFERROR(LN(INDEX(Data!$E$2:$E$497,MATCH(N510,Data!$A$2:$A$497,1))/INDEX(Data!$E$2:$E$497,MATCH(N498,Data!$A$2:$A$497,1))),"")</f>
        <v>0.19849745204456</v>
      </c>
      <c r="AP510" s="560">
        <f>IFERROR(LN(INDEX(Data!$F$2:$F$497,MATCH(N510,Data!$A$2:$A$497,1))/INDEX(Data!$F$2:$F$497,MATCH(N498,Data!$A$2:$A$497,1))),"")</f>
        <v>-0.0827661054851781</v>
      </c>
      <c r="AQ510" s="560">
        <f>IFERROR(LN(INDEX(Data!$G$2:$G$497,MATCH(N510,Data!$A$2:$A$497,1))/INDEX(Data!$G$2:$G$497,MATCH(N498,Data!$A$2:$A$497,1))),"")</f>
        <v>0.145513549905903</v>
      </c>
      <c r="AR510" s="560">
        <f>IFERROR(LN(INDEX(Data!$H$2:$H$497,MATCH(N510,Data!$A$2:$A$497,1))/INDEX(Data!$H$2:$H$497,MATCH(N498,Data!$A$2:$A$497,1))),"")</f>
        <v>-0.0902346924819763</v>
      </c>
      <c r="AS510" s="560">
        <f>IFERROR(LN(INDEX(Data!$I$2:$I$497,MATCH(N510,Data!$A$2:$A$497,1))/INDEX(Data!$I$2:$I$497,MATCH(N498,Data!$A$2:$A$497,1))),"")</f>
        <v>0.0719733231125378</v>
      </c>
      <c r="AT510" s="560">
        <f>IFERROR(LN(INDEX(Data!$J$2:$J$497,MATCH(N510,Data!$A$2:$A$497,1))/INDEX(Data!$J$2:$J$497,MATCH(N498,Data!$A$2:$A$497,1))),"")</f>
        <v>0.0339060015734021</v>
      </c>
      <c r="AU510" s="560">
        <f>IFERROR(LN(INDEX(Data!$K$2:$K$497,MATCH(N510,Data!$A$2:$A$497,1))/INDEX(Data!$K$2:$K$497,MATCH(N498,Data!$A$2:$A$497,1))),"")</f>
        <v>0.102383686146651</v>
      </c>
      <c r="AV510" s="561">
        <f>IFERROR(LN(INDEX(Data!$L$2:$L$497,MATCH(N510,Data!$A$2:$A$497,1))/INDEX(Data!$L$2:$L$497,MATCH(N498,Data!$A$2:$A$497,1))),"")</f>
        <v>0.0341641787321321</v>
      </c>
    </row>
    <row r="511">
      <c r="N511" s="337" t="n">
        <v>40268</v>
      </c>
      <c r="O511" s="116">
        <f>INDEX('Additional data'!$B$2:$B$965,MATCH(DATE(YEAR(N511),MONTH(N511),1),'Additional data'!$A$2:$A$965,0))</f>
        <v>81.24</v>
      </c>
      <c r="P511" s="489">
        <f>LN(O511)</f>
        <v>4.39740773671218</v>
      </c>
      <c r="Q511" s="489">
        <f>Q510+LN(1+INDEX('Additional data'!$H$2:$H$1196,MATCH(N511,'Additional data'!$G$2:$G$1196,1))+INDEX('Additional data'!$I$2:$I$1196,MATCH(N511,'Additional data'!$G$2:$G$1196,1)))</f>
        <v>3.84059338344448</v>
      </c>
      <c r="R511" s="489">
        <f>LN(INDEX(Data!$B$2:$B$497,MATCH(N511,Data!$A$2:$A$497,1)))</f>
        <v>10.4396326797382</v>
      </c>
      <c r="S511" s="116">
        <f>IF(INDEX('Additional data'!$E$2:$E$699,MATCH(DATE(YEAR(N511),MONTH(N511),1),'Additional data'!$D$2:$D$699,0))=0,(INDEX('Additional data'!$E$2:$E$699,MATCH(DATE(YEAR(N511),MONTH(N511),1),'Additional data'!$D$2:$D$699,0)-1)+INDEX('Additional data'!$E$2:$E$699,MATCH(DATE(YEAR(N511),MONTH(N511),1),'Additional data'!$D$2:$D$699,0)+1))/2,INDEX('Additional data'!$E$2:$E$699,MATCH(DATE(YEAR(N511),MONTH(N511),1),'Additional data'!$D$2:$D$699,0)))</f>
        <v>4.3275</v>
      </c>
      <c r="T511" s="425">
        <f>P511-P510</f>
        <v>0.0611632946934302</v>
      </c>
      <c r="U511" s="425">
        <f>Q511-Q510</f>
        <v>0.0611891683124224</v>
      </c>
      <c r="V511" s="425">
        <f>R511-R510</f>
        <v>0.0566724288150251</v>
      </c>
      <c r="W511" s="116">
        <f>S511-S510</f>
        <v>0.1675</v>
      </c>
      <c r="X511" s="425">
        <f>P511-P499</f>
        <v>0.526623479300636</v>
      </c>
      <c r="Y511" s="425">
        <f>Q511-Q499</f>
        <v>0.416920132075463</v>
      </c>
      <c r="Z511" s="425">
        <f>R511-R499</f>
        <v>0.364719507789578</v>
      </c>
      <c r="AA511" s="116">
        <f>S511-S499</f>
        <v>1.1675</v>
      </c>
      <c r="AB511" s="425">
        <f>P511-P451</f>
        <v>0.40269936466543</v>
      </c>
      <c r="AC511" s="425">
        <f>Q511-Q451</f>
        <v>0.137346434782597</v>
      </c>
      <c r="AD511" s="425">
        <f>R511-R451</f>
        <v>0.386398416340292</v>
      </c>
      <c r="AE511" s="235">
        <f>S511-S451</f>
        <v>-1.4825</v>
      </c>
      <c r="AG511" s="554">
        <f>N511</f>
        <v>40268.0</v>
      </c>
      <c r="AH511" s="435">
        <f>IFERROR(INDEX('RBA 5Y yield'!$B$5:$B$661,MATCH(N511,'RBA 5Y yield'!$A$5:$A$661,1))*100,"")</f>
        <v>5.34</v>
      </c>
      <c r="AI511" s="435">
        <f>IF(AND(ISNUMBER(AH511),ISNUMBER(AH510)),AH511-AH510,"")</f>
        <v>0.22</v>
      </c>
      <c r="AJ511" s="435">
        <f>IF(AND(ISNUMBER(AH511),ISNUMBER(AH499)),AH511-AH499,"")</f>
        <v>1.6114</v>
      </c>
      <c r="AK511" s="435">
        <f>IF(AND(ISNUMBER(AH511),ISNUMBER(AH451)),AH511-AH451,"")</f>
        <v>-0.2943</v>
      </c>
      <c r="AL511" s="560">
        <f>IFERROR(LN(INDEX(Data!$B$2:$B$497,MATCH(N511,Data!$A$2:$A$497,1))/INDEX(Data!$B$2:$B$497,MATCH(N499,Data!$A$2:$A$497,1))),"")</f>
        <v>0.364719507789579</v>
      </c>
      <c r="AM511" s="560">
        <f>IFERROR(LN(INDEX(Data!$C$2:$C$497,MATCH(N511,Data!$A$2:$A$497,1))/INDEX(Data!$C$2:$C$497,MATCH(N499,Data!$A$2:$A$497,1))),"")</f>
        <v>0.107616373203085</v>
      </c>
      <c r="AN511" s="560">
        <f>IFERROR(LN(INDEX(Data!$D$2:$D$497,MATCH(N511,Data!$A$2:$A$497,1))/INDEX(Data!$D$2:$D$497,MATCH(N499,Data!$A$2:$A$497,1))),"")</f>
        <v>0.181635972288481</v>
      </c>
      <c r="AO511" s="560">
        <f>IFERROR(LN(INDEX(Data!$E$2:$E$497,MATCH(N511,Data!$A$2:$A$497,1))/INDEX(Data!$E$2:$E$497,MATCH(N499,Data!$A$2:$A$497,1))),"")</f>
        <v>0.294479260371263</v>
      </c>
      <c r="AP511" s="560">
        <f>IFERROR(LN(INDEX(Data!$F$2:$F$497,MATCH(N511,Data!$A$2:$A$497,1))/INDEX(Data!$F$2:$F$497,MATCH(N499,Data!$A$2:$A$497,1))),"")</f>
        <v>-0.0483662589364647</v>
      </c>
      <c r="AQ511" s="560">
        <f>IFERROR(LN(INDEX(Data!$G$2:$G$497,MATCH(N511,Data!$A$2:$A$497,1))/INDEX(Data!$G$2:$G$497,MATCH(N499,Data!$A$2:$A$497,1))),"")</f>
        <v>0.178592213720553</v>
      </c>
      <c r="AR511" s="560">
        <f>IFERROR(LN(INDEX(Data!$H$2:$H$497,MATCH(N511,Data!$A$2:$A$497,1))/INDEX(Data!$H$2:$H$497,MATCH(N499,Data!$A$2:$A$497,1))),"")</f>
        <v>-0.129132343470228</v>
      </c>
      <c r="AS511" s="560">
        <f>IFERROR(LN(INDEX(Data!$I$2:$I$497,MATCH(N511,Data!$A$2:$A$497,1))/INDEX(Data!$I$2:$I$497,MATCH(N499,Data!$A$2:$A$497,1))),"")</f>
        <v>0.145160217132416</v>
      </c>
      <c r="AT511" s="560">
        <f>IFERROR(LN(INDEX(Data!$J$2:$J$497,MATCH(N511,Data!$A$2:$A$497,1))/INDEX(Data!$J$2:$J$497,MATCH(N499,Data!$A$2:$A$497,1))),"")</f>
        <v>0.026906150285296</v>
      </c>
      <c r="AU511" s="560">
        <f>IFERROR(LN(INDEX(Data!$K$2:$K$497,MATCH(N511,Data!$A$2:$A$497,1))/INDEX(Data!$K$2:$K$497,MATCH(N499,Data!$A$2:$A$497,1))),"")</f>
        <v>0.0974738314835363</v>
      </c>
      <c r="AV511" s="561">
        <f>IFERROR(LN(INDEX(Data!$L$2:$L$497,MATCH(N511,Data!$A$2:$A$497,1))/INDEX(Data!$L$2:$L$497,MATCH(N499,Data!$A$2:$A$497,1))),"")</f>
        <v>0.0348013277605318</v>
      </c>
    </row>
    <row r="512">
      <c r="N512" s="337" t="n">
        <v>40298</v>
      </c>
      <c r="O512" s="116">
        <f>INDEX('Additional data'!$B$2:$B$965,MATCH(DATE(YEAR(N512),MONTH(N512),1),'Additional data'!$A$2:$A$965,0))</f>
        <v>84.48</v>
      </c>
      <c r="P512" s="489">
        <f>LN(O512)</f>
        <v>4.43651481995795</v>
      </c>
      <c r="Q512" s="489">
        <f>Q511+LN(1+INDEX('Additional data'!$H$2:$H$1196,MATCH(N512,'Additional data'!$G$2:$G$1196,1))+INDEX('Additional data'!$I$2:$I$1196,MATCH(N512,'Additional data'!$G$2:$G$1196,1)))</f>
        <v>3.86039601074066</v>
      </c>
      <c r="R512" s="489">
        <f>LN(INDEX(Data!$B$2:$B$497,MATCH(N512,Data!$A$2:$A$497,1)))</f>
        <v>10.4277853748472</v>
      </c>
      <c r="S512" s="116">
        <f>IF(INDEX('Additional data'!$E$2:$E$699,MATCH(DATE(YEAR(N512),MONTH(N512),1),'Additional data'!$D$2:$D$699,0))=0,(INDEX('Additional data'!$E$2:$E$699,MATCH(DATE(YEAR(N512),MONTH(N512),1),'Additional data'!$D$2:$D$699,0)-1)+INDEX('Additional data'!$E$2:$E$699,MATCH(DATE(YEAR(N512),MONTH(N512),1),'Additional data'!$D$2:$D$699,0)+1))/2,INDEX('Additional data'!$E$2:$E$699,MATCH(DATE(YEAR(N512),MONTH(N512),1),'Additional data'!$D$2:$D$699,0)))</f>
        <v>4.545</v>
      </c>
      <c r="T512" s="425">
        <f>P512-P511</f>
        <v>0.0391070832457672</v>
      </c>
      <c r="U512" s="425">
        <f>Q512-Q511</f>
        <v>0.0198026272961798</v>
      </c>
      <c r="V512" s="425">
        <f>R512-R511</f>
        <v>-0.0118473048909724</v>
      </c>
      <c r="W512" s="116">
        <f>S512-S511</f>
        <v>0.2175</v>
      </c>
      <c r="X512" s="425">
        <f>P512-P500</f>
        <v>0.52870065930386</v>
      </c>
      <c r="Y512" s="425">
        <f>Q512-Q500</f>
        <v>0.339777553315164</v>
      </c>
      <c r="Z512" s="425">
        <f>R512-R500</f>
        <v>0.293934158850746</v>
      </c>
      <c r="AA512" s="116">
        <f>S512-S500</f>
        <v>1.445</v>
      </c>
      <c r="AB512" s="425">
        <f>P512-P452</f>
        <v>0.465468474080344</v>
      </c>
      <c r="AC512" s="425">
        <f>Q512-Q452</f>
        <v>0.181441754647821</v>
      </c>
      <c r="AD512" s="425">
        <f>R512-R452</f>
        <v>0.413095726951614</v>
      </c>
      <c r="AE512" s="235">
        <f>S512-S452</f>
        <v>-1.205</v>
      </c>
      <c r="AG512" s="554">
        <f>N512</f>
        <v>40298.0</v>
      </c>
      <c r="AH512" s="435">
        <f>IFERROR(INDEX('RBA 5Y yield'!$B$5:$B$661,MATCH(N512,'RBA 5Y yield'!$A$5:$A$661,1))*100,"")</f>
        <v>5.53</v>
      </c>
      <c r="AI512" s="435">
        <f>IF(AND(ISNUMBER(AH512),ISNUMBER(AH511)),AH512-AH511,"")</f>
        <v>0.19</v>
      </c>
      <c r="AJ512" s="435">
        <f>IF(AND(ISNUMBER(AH512),ISNUMBER(AH500)),AH512-AH500,"")</f>
        <v>1.4845</v>
      </c>
      <c r="AK512" s="435">
        <f>IF(AND(ISNUMBER(AH512),ISNUMBER(AH452)),AH512-AH452,"")</f>
        <v>0.0845000000000002</v>
      </c>
      <c r="AL512" s="560">
        <f>IFERROR(LN(INDEX(Data!$B$2:$B$497,MATCH(N512,Data!$A$2:$A$497,1))/INDEX(Data!$B$2:$B$497,MATCH(N500,Data!$A$2:$A$497,1))),"")</f>
        <v>0.293934158850746</v>
      </c>
      <c r="AM512" s="560">
        <f>IFERROR(LN(INDEX(Data!$C$2:$C$497,MATCH(N512,Data!$A$2:$A$497,1))/INDEX(Data!$C$2:$C$497,MATCH(N500,Data!$A$2:$A$497,1))),"")</f>
        <v>0.0532197451451406</v>
      </c>
      <c r="AN512" s="560">
        <f>IFERROR(LN(INDEX(Data!$D$2:$D$497,MATCH(N512,Data!$A$2:$A$497,1))/INDEX(Data!$D$2:$D$497,MATCH(N500,Data!$A$2:$A$497,1))),"")</f>
        <v>0.10946912390779</v>
      </c>
      <c r="AO512" s="560">
        <f>IFERROR(LN(INDEX(Data!$E$2:$E$497,MATCH(N512,Data!$A$2:$A$497,1))/INDEX(Data!$E$2:$E$497,MATCH(N500,Data!$A$2:$A$497,1))),"")</f>
        <v>0.199449412242363</v>
      </c>
      <c r="AP512" s="560">
        <f>IFERROR(LN(INDEX(Data!$F$2:$F$497,MATCH(N512,Data!$A$2:$A$497,1))/INDEX(Data!$F$2:$F$497,MATCH(N500,Data!$A$2:$A$497,1))),"")</f>
        <v>0.0300085985204763</v>
      </c>
      <c r="AQ512" s="560">
        <f>IFERROR(LN(INDEX(Data!$G$2:$G$497,MATCH(N512,Data!$A$2:$A$497,1))/INDEX(Data!$G$2:$G$497,MATCH(N500,Data!$A$2:$A$497,1))),"")</f>
        <v>0.178592213720553</v>
      </c>
      <c r="AR512" s="560">
        <f>IFERROR(LN(INDEX(Data!$H$2:$H$497,MATCH(N512,Data!$A$2:$A$497,1))/INDEX(Data!$H$2:$H$497,MATCH(N500,Data!$A$2:$A$497,1))),"")</f>
        <v>-0.113058057244838</v>
      </c>
      <c r="AS512" s="560">
        <f>IFERROR(LN(INDEX(Data!$I$2:$I$497,MATCH(N512,Data!$A$2:$A$497,1))/INDEX(Data!$I$2:$I$497,MATCH(N500,Data!$A$2:$A$497,1))),"")</f>
        <v>0.145160217132416</v>
      </c>
      <c r="AT512" s="560">
        <f>IFERROR(LN(INDEX(Data!$J$2:$J$497,MATCH(N512,Data!$A$2:$A$497,1))/INDEX(Data!$J$2:$J$497,MATCH(N500,Data!$A$2:$A$497,1))),"")</f>
        <v>0.0323637403332117</v>
      </c>
      <c r="AU512" s="560">
        <f>IFERROR(LN(INDEX(Data!$K$2:$K$497,MATCH(N512,Data!$A$2:$A$497,1))/INDEX(Data!$K$2:$K$497,MATCH(N500,Data!$A$2:$A$497,1))),"")</f>
        <v>0.0998701267273291</v>
      </c>
      <c r="AV512" s="561">
        <f>IFERROR(LN(INDEX(Data!$L$2:$L$497,MATCH(N512,Data!$A$2:$A$497,1))/INDEX(Data!$L$2:$L$497,MATCH(N500,Data!$A$2:$A$497,1))),"")</f>
        <v>0.0356190644271841</v>
      </c>
    </row>
    <row r="513">
      <c r="N513" s="337" t="n">
        <v>40329</v>
      </c>
      <c r="O513" s="116">
        <f>INDEX('Additional data'!$B$2:$B$965,MATCH(DATE(YEAR(N513),MONTH(N513),1),'Additional data'!$A$2:$A$965,0))</f>
        <v>73.84</v>
      </c>
      <c r="P513" s="489">
        <f>LN(O513)</f>
        <v>4.3019005901946</v>
      </c>
      <c r="Q513" s="489">
        <f>Q512+LN(1+INDEX('Additional data'!$H$2:$H$1196,MATCH(N513,'Additional data'!$G$2:$G$1196,1))+INDEX('Additional data'!$I$2:$I$1196,MATCH(N513,'Additional data'!$G$2:$G$1196,1)))</f>
        <v>3.77820933975271</v>
      </c>
      <c r="R513" s="489">
        <f>LN(INDEX(Data!$B$2:$B$497,MATCH(N513,Data!$A$2:$A$497,1)))</f>
        <v>10.3490900879012</v>
      </c>
      <c r="S513" s="116">
        <f>IF(INDEX('Additional data'!$E$2:$E$699,MATCH(DATE(YEAR(N513),MONTH(N513),1),'Additional data'!$D$2:$D$699,0))=0,(INDEX('Additional data'!$E$2:$E$699,MATCH(DATE(YEAR(N513),MONTH(N513),1),'Additional data'!$D$2:$D$699,0)-1)+INDEX('Additional data'!$E$2:$E$699,MATCH(DATE(YEAR(N513),MONTH(N513),1),'Additional data'!$D$2:$D$699,0)+1))/2,INDEX('Additional data'!$E$2:$E$699,MATCH(DATE(YEAR(N513),MONTH(N513),1),'Additional data'!$D$2:$D$699,0)))</f>
        <v>4.805</v>
      </c>
      <c r="T513" s="425">
        <f>P513-P512</f>
        <v>-0.134614229763354</v>
      </c>
      <c r="U513" s="425">
        <f>Q513-Q512</f>
        <v>-0.0821866709879471</v>
      </c>
      <c r="V513" s="425">
        <f>R513-R512</f>
        <v>-0.0786952869460666</v>
      </c>
      <c r="W513" s="116">
        <f>S513-S512</f>
        <v>0.26</v>
      </c>
      <c r="X513" s="425">
        <f>P513-P501</f>
        <v>0.221654952351998</v>
      </c>
      <c r="Y513" s="425">
        <f>Q513-Q501</f>
        <v>0.206802715495112</v>
      </c>
      <c r="Z513" s="425">
        <f>R513-R501</f>
        <v>0.193964242867134</v>
      </c>
      <c r="AA513" s="116">
        <f>S513-S501</f>
        <v>1.675</v>
      </c>
      <c r="AB513" s="425">
        <f>P513-P453</f>
        <v>0.393283377901284</v>
      </c>
      <c r="AC513" s="425">
        <f>Q513-Q453</f>
        <v>0.0610926225655253</v>
      </c>
      <c r="AD513" s="425">
        <f>R513-R453</f>
        <v>0.300870832298816</v>
      </c>
      <c r="AE513" s="235">
        <f>S513-S453</f>
        <v>-0.875</v>
      </c>
      <c r="AG513" s="554">
        <f>N513</f>
        <v>40329.0</v>
      </c>
      <c r="AH513" s="435">
        <f>IFERROR(INDEX('RBA 5Y yield'!$B$5:$B$661,MATCH(N513,'RBA 5Y yield'!$A$5:$A$661,1))*100,"")</f>
        <v>5.205</v>
      </c>
      <c r="AI513" s="435">
        <f>IF(AND(ISNUMBER(AH513),ISNUMBER(AH512)),AH513-AH512,"")</f>
        <v>-0.325</v>
      </c>
      <c r="AJ513" s="435">
        <f>IF(AND(ISNUMBER(AH513),ISNUMBER(AH501)),AH513-AH501,"")</f>
        <v>0.730700000000001</v>
      </c>
      <c r="AK513" s="435">
        <f>IF(AND(ISNUMBER(AH513),ISNUMBER(AH453)),AH513-AH453,"")</f>
        <v>-0.0427</v>
      </c>
      <c r="AL513" s="560">
        <f>IFERROR(LN(INDEX(Data!$B$2:$B$497,MATCH(N513,Data!$A$2:$A$497,1))/INDEX(Data!$B$2:$B$497,MATCH(N501,Data!$A$2:$A$497,1))),"")</f>
        <v>0.193964242867133</v>
      </c>
      <c r="AM513" s="560">
        <f>IFERROR(LN(INDEX(Data!$C$2:$C$497,MATCH(N513,Data!$A$2:$A$497,1))/INDEX(Data!$C$2:$C$497,MATCH(N501,Data!$A$2:$A$497,1))),"")</f>
        <v>0.109527985297978</v>
      </c>
      <c r="AN513" s="560">
        <f>IFERROR(LN(INDEX(Data!$D$2:$D$497,MATCH(N513,Data!$A$2:$A$497,1))/INDEX(Data!$D$2:$D$497,MATCH(N501,Data!$A$2:$A$497,1))),"")</f>
        <v>0.128235689537037</v>
      </c>
      <c r="AO513" s="560">
        <f>IFERROR(LN(INDEX(Data!$E$2:$E$497,MATCH(N513,Data!$A$2:$A$497,1))/INDEX(Data!$E$2:$E$497,MATCH(N501,Data!$A$2:$A$497,1))),"")</f>
        <v>0.300118983065838</v>
      </c>
      <c r="AP513" s="560">
        <f>IFERROR(LN(INDEX(Data!$F$2:$F$497,MATCH(N513,Data!$A$2:$A$497,1))/INDEX(Data!$F$2:$F$497,MATCH(N501,Data!$A$2:$A$497,1))),"")</f>
        <v>-0.101060784664021</v>
      </c>
      <c r="AQ513" s="560">
        <f>IFERROR(LN(INDEX(Data!$G$2:$G$497,MATCH(N513,Data!$A$2:$A$497,1))/INDEX(Data!$G$2:$G$497,MATCH(N501,Data!$A$2:$A$497,1))),"")</f>
        <v>0.178592213720553</v>
      </c>
      <c r="AR513" s="560">
        <f>IFERROR(LN(INDEX(Data!$H$2:$H$497,MATCH(N513,Data!$A$2:$A$497,1))/INDEX(Data!$H$2:$H$497,MATCH(N501,Data!$A$2:$A$497,1))),"")</f>
        <v>-0.102715235375331</v>
      </c>
      <c r="AS513" s="560">
        <f>IFERROR(LN(INDEX(Data!$I$2:$I$497,MATCH(N513,Data!$A$2:$A$497,1))/INDEX(Data!$I$2:$I$497,MATCH(N501,Data!$A$2:$A$497,1))),"")</f>
        <v>0.145160217132416</v>
      </c>
      <c r="AT513" s="560">
        <f>IFERROR(LN(INDEX(Data!$J$2:$J$497,MATCH(N513,Data!$A$2:$A$497,1))/INDEX(Data!$J$2:$J$497,MATCH(N501,Data!$A$2:$A$497,1))),"")</f>
        <v>0.0559044032639272</v>
      </c>
      <c r="AU513" s="560">
        <f>IFERROR(LN(INDEX(Data!$K$2:$K$497,MATCH(N513,Data!$A$2:$A$497,1))/INDEX(Data!$K$2:$K$497,MATCH(N501,Data!$A$2:$A$497,1))),"")</f>
        <v>0.107800742842863</v>
      </c>
      <c r="AV513" s="561">
        <f>IFERROR(LN(INDEX(Data!$L$2:$L$497,MATCH(N513,Data!$A$2:$A$497,1))/INDEX(Data!$L$2:$L$497,MATCH(N501,Data!$A$2:$A$497,1))),"")</f>
        <v>0.0368541711728547</v>
      </c>
    </row>
    <row r="514">
      <c r="N514" s="337" t="n">
        <v>40359</v>
      </c>
      <c r="O514" s="116">
        <f>INDEX('Additional data'!$B$2:$B$965,MATCH(DATE(YEAR(N514),MONTH(N514),1),'Additional data'!$A$2:$A$965,0))</f>
        <v>75.35</v>
      </c>
      <c r="P514" s="489">
        <f>LN(O514)</f>
        <v>4.3221439250725</v>
      </c>
      <c r="Q514" s="489">
        <f>Q513+LN(1+INDEX('Additional data'!$H$2:$H$1196,MATCH(N514,'Additional data'!$G$2:$G$1196,1))+INDEX('Additional data'!$I$2:$I$1196,MATCH(N514,'Additional data'!$G$2:$G$1196,1)))</f>
        <v>3.72110974771214</v>
      </c>
      <c r="R514" s="489">
        <f>LN(INDEX(Data!$B$2:$B$497,MATCH(N514,Data!$A$2:$A$497,1)))</f>
        <v>10.3226963032015</v>
      </c>
      <c r="S514" s="116">
        <f>IF(INDEX('Additional data'!$E$2:$E$699,MATCH(DATE(YEAR(N514),MONTH(N514),1),'Additional data'!$D$2:$D$699,0))=0,(INDEX('Additional data'!$E$2:$E$699,MATCH(DATE(YEAR(N514),MONTH(N514),1),'Additional data'!$D$2:$D$699,0)-1)+INDEX('Additional data'!$E$2:$E$699,MATCH(DATE(YEAR(N514),MONTH(N514),1),'Additional data'!$D$2:$D$699,0)+1))/2,INDEX('Additional data'!$E$2:$E$699,MATCH(DATE(YEAR(N514),MONTH(N514),1),'Additional data'!$D$2:$D$699,0)))</f>
        <v>4.8875</v>
      </c>
      <c r="T514" s="425">
        <f>P514-P513</f>
        <v>0.0202433348779074</v>
      </c>
      <c r="U514" s="425">
        <f>Q514-Q513</f>
        <v>-0.057099592040573</v>
      </c>
      <c r="V514" s="425">
        <f>R514-R513</f>
        <v>-0.0263937846996374</v>
      </c>
      <c r="W514" s="116">
        <f>S514-S513</f>
        <v>0.0825000000000005</v>
      </c>
      <c r="X514" s="425">
        <f>P514-P502</f>
        <v>0.0782305925282572</v>
      </c>
      <c r="Y514" s="425">
        <f>Q514-Q502</f>
        <v>0.145412342037382</v>
      </c>
      <c r="Z514" s="425">
        <f>R514-R502</f>
        <v>0.129068826208036</v>
      </c>
      <c r="AA514" s="116">
        <f>S514-S502</f>
        <v>1.6375</v>
      </c>
      <c r="AB514" s="425">
        <f>P514-P454</f>
        <v>0.292160122010793</v>
      </c>
      <c r="AC514" s="425">
        <f>Q514-Q454</f>
        <v>-0.00407434055280653</v>
      </c>
      <c r="AD514" s="425">
        <f>R514-R454</f>
        <v>0.230811273052463</v>
      </c>
      <c r="AE514" s="235">
        <f>S514-S454</f>
        <v>-0.7725</v>
      </c>
      <c r="AG514" s="554">
        <f>N514</f>
        <v>40359.0</v>
      </c>
      <c r="AH514" s="435">
        <f>IFERROR(INDEX('RBA 5Y yield'!$B$5:$B$661,MATCH(N514,'RBA 5Y yield'!$A$5:$A$661,1))*100,"")</f>
        <v>4.9725</v>
      </c>
      <c r="AI514" s="435">
        <f>IF(AND(ISNUMBER(AH514),ISNUMBER(AH513)),AH514-AH513,"")</f>
        <v>-0.2325</v>
      </c>
      <c r="AJ514" s="435">
        <f>IF(AND(ISNUMBER(AH514),ISNUMBER(AH502)),AH514-AH502,"")</f>
        <v>-0.1296</v>
      </c>
      <c r="AK514" s="435">
        <f>IF(AND(ISNUMBER(AH514),ISNUMBER(AH454)),AH514-AH454,"")</f>
        <v>-0.1658</v>
      </c>
      <c r="AL514" s="560">
        <f>IFERROR(LN(INDEX(Data!$B$2:$B$497,MATCH(N514,Data!$A$2:$A$497,1))/INDEX(Data!$B$2:$B$497,MATCH(N502,Data!$A$2:$A$497,1))),"")</f>
        <v>0.129068826208035</v>
      </c>
      <c r="AM514" s="560">
        <f>IFERROR(LN(INDEX(Data!$C$2:$C$497,MATCH(N514,Data!$A$2:$A$497,1))/INDEX(Data!$C$2:$C$497,MATCH(N502,Data!$A$2:$A$497,1))),"")</f>
        <v>0.070537332648503</v>
      </c>
      <c r="AN514" s="560">
        <f>IFERROR(LN(INDEX(Data!$D$2:$D$497,MATCH(N514,Data!$A$2:$A$497,1))/INDEX(Data!$D$2:$D$497,MATCH(N502,Data!$A$2:$A$497,1))),"")</f>
        <v>0.139646335622365</v>
      </c>
      <c r="AO514" s="560">
        <f>IFERROR(LN(INDEX(Data!$E$2:$E$497,MATCH(N514,Data!$A$2:$A$497,1))/INDEX(Data!$E$2:$E$497,MATCH(N502,Data!$A$2:$A$497,1))),"")</f>
        <v>0.274723811245607</v>
      </c>
      <c r="AP514" s="560">
        <f>IFERROR(LN(INDEX(Data!$F$2:$F$497,MATCH(N514,Data!$A$2:$A$497,1))/INDEX(Data!$F$2:$F$497,MATCH(N502,Data!$A$2:$A$497,1))),"")</f>
        <v>-0.0996572929116401</v>
      </c>
      <c r="AQ514" s="560">
        <f>IFERROR(LN(INDEX(Data!$G$2:$G$497,MATCH(N514,Data!$A$2:$A$497,1))/INDEX(Data!$G$2:$G$497,MATCH(N502,Data!$A$2:$A$497,1))),"")</f>
        <v>0.157223939502689</v>
      </c>
      <c r="AR514" s="560">
        <f>IFERROR(LN(INDEX(Data!$H$2:$H$497,MATCH(N514,Data!$A$2:$A$497,1))/INDEX(Data!$H$2:$H$497,MATCH(N502,Data!$A$2:$A$497,1))),"")</f>
        <v>-0.108691251200928</v>
      </c>
      <c r="AS514" s="560">
        <f>IFERROR(LN(INDEX(Data!$I$2:$I$497,MATCH(N514,Data!$A$2:$A$497,1))/INDEX(Data!$I$2:$I$497,MATCH(N502,Data!$A$2:$A$497,1))),"")</f>
        <v>0.163233868403631</v>
      </c>
      <c r="AT514" s="560">
        <f>IFERROR(LN(INDEX(Data!$J$2:$J$497,MATCH(N514,Data!$A$2:$A$497,1))/INDEX(Data!$J$2:$J$497,MATCH(N502,Data!$A$2:$A$497,1))),"")</f>
        <v>0.07562452471618</v>
      </c>
      <c r="AU514" s="560">
        <f>IFERROR(LN(INDEX(Data!$K$2:$K$497,MATCH(N514,Data!$A$2:$A$497,1))/INDEX(Data!$K$2:$K$497,MATCH(N502,Data!$A$2:$A$497,1))),"")</f>
        <v>0.100542656167155</v>
      </c>
      <c r="AV514" s="561">
        <f>IFERROR(LN(INDEX(Data!$L$2:$L$497,MATCH(N514,Data!$A$2:$A$497,1))/INDEX(Data!$L$2:$L$497,MATCH(N502,Data!$A$2:$A$497,1))),"")</f>
        <v>0.0381245034611798</v>
      </c>
    </row>
    <row r="515">
      <c r="N515" s="337" t="n">
        <v>40390</v>
      </c>
      <c r="O515" s="116">
        <f>INDEX('Additional data'!$B$2:$B$965,MATCH(DATE(YEAR(N515),MONTH(N515),1),'Additional data'!$A$2:$A$965,0))</f>
        <v>76.37</v>
      </c>
      <c r="P515" s="489">
        <f>LN(O515)</f>
        <v>4.33558994890029</v>
      </c>
      <c r="Q515" s="489">
        <f>Q514+LN(1+INDEX('Additional data'!$H$2:$H$1196,MATCH(N515,'Additional data'!$G$2:$G$1196,1))+INDEX('Additional data'!$I$2:$I$1196,MATCH(N515,'Additional data'!$G$2:$G$1196,1)))</f>
        <v>3.78811397649261</v>
      </c>
      <c r="R515" s="489">
        <f>LN(INDEX(Data!$B$2:$B$497,MATCH(N515,Data!$A$2:$A$497,1)))</f>
        <v>10.3641226840873</v>
      </c>
      <c r="S515" s="116">
        <f>IF(INDEX('Additional data'!$E$2:$E$699,MATCH(DATE(YEAR(N515),MONTH(N515),1),'Additional data'!$D$2:$D$699,0))=0,(INDEX('Additional data'!$E$2:$E$699,MATCH(DATE(YEAR(N515),MONTH(N515),1),'Additional data'!$D$2:$D$699,0)-1)+INDEX('Additional data'!$E$2:$E$699,MATCH(DATE(YEAR(N515),MONTH(N515),1),'Additional data'!$D$2:$D$699,0)+1))/2,INDEX('Additional data'!$E$2:$E$699,MATCH(DATE(YEAR(N515),MONTH(N515),1),'Additional data'!$D$2:$D$699,0)))</f>
        <v>4.84</v>
      </c>
      <c r="T515" s="425">
        <f>P515-P514</f>
        <v>0.0134460238277887</v>
      </c>
      <c r="U515" s="425">
        <f>Q515-Q514</f>
        <v>0.067004228780474</v>
      </c>
      <c r="V515" s="425">
        <f>R515-R514</f>
        <v>0.0414263808857669</v>
      </c>
      <c r="W515" s="116">
        <f>S515-S514</f>
        <v>-0.0475000000000003</v>
      </c>
      <c r="X515" s="425">
        <f>P515-P503</f>
        <v>0.175301603384158</v>
      </c>
      <c r="Y515" s="425">
        <f>Q515-Q503</f>
        <v>0.137773027822091</v>
      </c>
      <c r="Z515" s="425">
        <f>R515-R503</f>
        <v>0.0967764922494236</v>
      </c>
      <c r="AA515" s="116">
        <f>S515-S503</f>
        <v>1.7</v>
      </c>
      <c r="AB515" s="425">
        <f>P515-P455</f>
        <v>0.263150222066242</v>
      </c>
      <c r="AC515" s="425">
        <f>Q515-Q455</f>
        <v>0.0221718957554997</v>
      </c>
      <c r="AD515" s="425">
        <f>R515-R455</f>
        <v>0.244944846951396</v>
      </c>
      <c r="AE515" s="235">
        <f>S515-S455</f>
        <v>-0.810000000000001</v>
      </c>
      <c r="AG515" s="554">
        <f>N515</f>
        <v>40390.0</v>
      </c>
      <c r="AH515" s="435">
        <f>IFERROR(INDEX('RBA 5Y yield'!$B$5:$B$661,MATCH(N515,'RBA 5Y yield'!$A$5:$A$661,1))*100,"")</f>
        <v>4.7925</v>
      </c>
      <c r="AI515" s="435">
        <f>IF(AND(ISNUMBER(AH515),ISNUMBER(AH514)),AH515-AH514,"")</f>
        <v>-0.18</v>
      </c>
      <c r="AJ515" s="435">
        <f>IF(AND(ISNUMBER(AH515),ISNUMBER(AH503)),AH515-AH503,"")</f>
        <v>-0.4155</v>
      </c>
      <c r="AK515" s="435">
        <f>IF(AND(ISNUMBER(AH515),ISNUMBER(AH455)),AH515-AH455,"")</f>
        <v>-0.4011</v>
      </c>
      <c r="AL515" s="560">
        <f>IFERROR(LN(INDEX(Data!$B$2:$B$497,MATCH(N515,Data!$A$2:$A$497,1))/INDEX(Data!$B$2:$B$497,MATCH(N503,Data!$A$2:$A$497,1))),"")</f>
        <v>0.096776492249424</v>
      </c>
      <c r="AM515" s="560">
        <f>IFERROR(LN(INDEX(Data!$C$2:$C$497,MATCH(N515,Data!$A$2:$A$497,1))/INDEX(Data!$C$2:$C$497,MATCH(N503,Data!$A$2:$A$497,1))),"")</f>
        <v>0.0133906797756864</v>
      </c>
      <c r="AN515" s="560">
        <f>IFERROR(LN(INDEX(Data!$D$2:$D$497,MATCH(N515,Data!$A$2:$A$497,1))/INDEX(Data!$D$2:$D$497,MATCH(N503,Data!$A$2:$A$497,1))),"")</f>
        <v>0.0642378542524321</v>
      </c>
      <c r="AO515" s="560">
        <f>IFERROR(LN(INDEX(Data!$E$2:$E$497,MATCH(N515,Data!$A$2:$A$497,1))/INDEX(Data!$E$2:$E$497,MATCH(N503,Data!$A$2:$A$497,1))),"")</f>
        <v>0.224635057411163</v>
      </c>
      <c r="AP515" s="560">
        <f>IFERROR(LN(INDEX(Data!$F$2:$F$497,MATCH(N515,Data!$A$2:$A$497,1))/INDEX(Data!$F$2:$F$497,MATCH(N503,Data!$A$2:$A$497,1))),"")</f>
        <v>-0.0906729887755135</v>
      </c>
      <c r="AQ515" s="560">
        <f>IFERROR(LN(INDEX(Data!$G$2:$G$497,MATCH(N515,Data!$A$2:$A$497,1))/INDEX(Data!$G$2:$G$497,MATCH(N503,Data!$A$2:$A$497,1))),"")</f>
        <v>0.157223939502689</v>
      </c>
      <c r="AR515" s="560">
        <f>IFERROR(LN(INDEX(Data!$H$2:$H$497,MATCH(N515,Data!$A$2:$A$497,1))/INDEX(Data!$H$2:$H$497,MATCH(N503,Data!$A$2:$A$497,1))),"")</f>
        <v>-0.0550043650050772</v>
      </c>
      <c r="AS515" s="560">
        <f>IFERROR(LN(INDEX(Data!$I$2:$I$497,MATCH(N515,Data!$A$2:$A$497,1))/INDEX(Data!$I$2:$I$497,MATCH(N503,Data!$A$2:$A$497,1))),"")</f>
        <v>0.163233868403631</v>
      </c>
      <c r="AT515" s="560">
        <f>IFERROR(LN(INDEX(Data!$J$2:$J$497,MATCH(N515,Data!$A$2:$A$497,1))/INDEX(Data!$J$2:$J$497,MATCH(N503,Data!$A$2:$A$497,1))),"")</f>
        <v>0.0752166766961469</v>
      </c>
      <c r="AU515" s="560">
        <f>IFERROR(LN(INDEX(Data!$K$2:$K$497,MATCH(N515,Data!$A$2:$A$497,1))/INDEX(Data!$K$2:$K$497,MATCH(N503,Data!$A$2:$A$497,1))),"")</f>
        <v>0.104986969877962</v>
      </c>
      <c r="AV515" s="561">
        <f>IFERROR(LN(INDEX(Data!$L$2:$L$497,MATCH(N515,Data!$A$2:$A$497,1))/INDEX(Data!$L$2:$L$497,MATCH(N503,Data!$A$2:$A$497,1))),"")</f>
        <v>0.0396894848475947</v>
      </c>
    </row>
    <row r="516">
      <c r="N516" s="337" t="n">
        <v>40421</v>
      </c>
      <c r="O516" s="116">
        <f>INDEX('Additional data'!$B$2:$B$965,MATCH(DATE(YEAR(N516),MONTH(N516),1),'Additional data'!$A$2:$A$965,0))</f>
        <v>76.82</v>
      </c>
      <c r="P516" s="489">
        <f>LN(O516)</f>
        <v>4.34146502291776</v>
      </c>
      <c r="Q516" s="489">
        <f>Q515+LN(1+INDEX('Additional data'!$H$2:$H$1196,MATCH(N516,'Additional data'!$G$2:$G$1196,1))+INDEX('Additional data'!$I$2:$I$1196,MATCH(N516,'Additional data'!$G$2:$G$1196,1)))</f>
        <v>3.73923880871048</v>
      </c>
      <c r="R516" s="489">
        <f>LN(INDEX(Data!$B$2:$B$497,MATCH(N516,Data!$A$2:$A$497,1)))</f>
        <v>10.3569790758006</v>
      </c>
      <c r="S516" s="116">
        <f>IF(INDEX('Additional data'!$E$2:$E$699,MATCH(DATE(YEAR(N516),MONTH(N516),1),'Additional data'!$D$2:$D$699,0))=0,(INDEX('Additional data'!$E$2:$E$699,MATCH(DATE(YEAR(N516),MONTH(N516),1),'Additional data'!$D$2:$D$699,0)-1)+INDEX('Additional data'!$E$2:$E$699,MATCH(DATE(YEAR(N516),MONTH(N516),1),'Additional data'!$D$2:$D$699,0)+1))/2,INDEX('Additional data'!$E$2:$E$699,MATCH(DATE(YEAR(N516),MONTH(N516),1),'Additional data'!$D$2:$D$699,0)))</f>
        <v>4.7425</v>
      </c>
      <c r="T516" s="425">
        <f>P516-P515</f>
        <v>0.00587507401746557</v>
      </c>
      <c r="U516" s="425">
        <f>Q516-Q515</f>
        <v>-0.0488751677821369</v>
      </c>
      <c r="V516" s="425">
        <f>R516-R515</f>
        <v>-0.00714360828671801</v>
      </c>
      <c r="W516" s="116">
        <f>S516-S515</f>
        <v>-0.0975000000000001</v>
      </c>
      <c r="X516" s="425">
        <f>P516-P504</f>
        <v>0.077940432324878</v>
      </c>
      <c r="Y516" s="425">
        <f>Q516-Q504</f>
        <v>0.0560435231690066</v>
      </c>
      <c r="Z516" s="425">
        <f>R516-R504</f>
        <v>0.0269123279382804</v>
      </c>
      <c r="AA516" s="116">
        <f>S516-S504</f>
        <v>1.4425</v>
      </c>
      <c r="AB516" s="425">
        <f>P516-P456</f>
        <v>0.167539398025319</v>
      </c>
      <c r="AC516" s="425">
        <f>Q516-Q456</f>
        <v>-0.0176625273744881</v>
      </c>
      <c r="AD516" s="425">
        <f>R516-R456</f>
        <v>0.216304563831727</v>
      </c>
      <c r="AE516" s="235">
        <f>S516-S456</f>
        <v>-0.8775</v>
      </c>
      <c r="AG516" s="554">
        <f>N516</f>
        <v>40421.0</v>
      </c>
      <c r="AH516" s="435">
        <f>IFERROR(INDEX('RBA 5Y yield'!$B$5:$B$661,MATCH(N516,'RBA 5Y yield'!$A$5:$A$661,1))*100,"")</f>
        <v>4.6625</v>
      </c>
      <c r="AI516" s="435">
        <f>IF(AND(ISNUMBER(AH516),ISNUMBER(AH515)),AH516-AH515,"")</f>
        <v>-0.130000000000001</v>
      </c>
      <c r="AJ516" s="435">
        <f>IF(AND(ISNUMBER(AH516),ISNUMBER(AH504)),AH516-AH504,"")</f>
        <v>-0.729</v>
      </c>
      <c r="AK516" s="435">
        <f>IF(AND(ISNUMBER(AH516),ISNUMBER(AH456)),AH516-AH456,"")</f>
        <v>-0.509</v>
      </c>
      <c r="AL516" s="560">
        <f>IFERROR(LN(INDEX(Data!$B$2:$B$497,MATCH(N516,Data!$A$2:$A$497,1))/INDEX(Data!$B$2:$B$497,MATCH(N504,Data!$A$2:$A$497,1))),"")</f>
        <v>0.0269123279382817</v>
      </c>
      <c r="AM516" s="560">
        <f>IFERROR(LN(INDEX(Data!$C$2:$C$497,MATCH(N516,Data!$A$2:$A$497,1))/INDEX(Data!$C$2:$C$497,MATCH(N504,Data!$A$2:$A$497,1))),"")</f>
        <v>-0.0264711137617724</v>
      </c>
      <c r="AN516" s="560">
        <f>IFERROR(LN(INDEX(Data!$D$2:$D$497,MATCH(N516,Data!$A$2:$A$497,1))/INDEX(Data!$D$2:$D$497,MATCH(N504,Data!$A$2:$A$497,1))),"")</f>
        <v>0.0805005750061909</v>
      </c>
      <c r="AO516" s="560">
        <f>IFERROR(LN(INDEX(Data!$E$2:$E$497,MATCH(N516,Data!$A$2:$A$497,1))/INDEX(Data!$E$2:$E$497,MATCH(N504,Data!$A$2:$A$497,1))),"")</f>
        <v>0.134498342498854</v>
      </c>
      <c r="AP516" s="560">
        <f>IFERROR(LN(INDEX(Data!$F$2:$F$497,MATCH(N516,Data!$A$2:$A$497,1))/INDEX(Data!$F$2:$F$497,MATCH(N504,Data!$A$2:$A$497,1))),"")</f>
        <v>-0.0926583778658712</v>
      </c>
      <c r="AQ516" s="560">
        <f>IFERROR(LN(INDEX(Data!$G$2:$G$497,MATCH(N516,Data!$A$2:$A$497,1))/INDEX(Data!$G$2:$G$497,MATCH(N504,Data!$A$2:$A$497,1))),"")</f>
        <v>0.157223939502689</v>
      </c>
      <c r="AR516" s="560">
        <f>IFERROR(LN(INDEX(Data!$H$2:$H$497,MATCH(N516,Data!$A$2:$A$497,1))/INDEX(Data!$H$2:$H$497,MATCH(N504,Data!$A$2:$A$497,1))),"")</f>
        <v>-0.0206300652756012</v>
      </c>
      <c r="AS516" s="560">
        <f>IFERROR(LN(INDEX(Data!$I$2:$I$497,MATCH(N516,Data!$A$2:$A$497,1))/INDEX(Data!$I$2:$I$497,MATCH(N504,Data!$A$2:$A$497,1))),"")</f>
        <v>0.163233868403631</v>
      </c>
      <c r="AT516" s="560">
        <f>IFERROR(LN(INDEX(Data!$J$2:$J$497,MATCH(N516,Data!$A$2:$A$497,1))/INDEX(Data!$J$2:$J$497,MATCH(N504,Data!$A$2:$A$497,1))),"")</f>
        <v>0.0871009768423932</v>
      </c>
      <c r="AU516" s="560">
        <f>IFERROR(LN(INDEX(Data!$K$2:$K$497,MATCH(N516,Data!$A$2:$A$497,1))/INDEX(Data!$K$2:$K$497,MATCH(N504,Data!$A$2:$A$497,1))),"")</f>
        <v>0.113049376129881</v>
      </c>
      <c r="AV516" s="561">
        <f>IFERROR(LN(INDEX(Data!$L$2:$L$497,MATCH(N516,Data!$A$2:$A$497,1))/INDEX(Data!$L$2:$L$497,MATCH(N504,Data!$A$2:$A$497,1))),"")</f>
        <v>0.0412139105405371</v>
      </c>
    </row>
    <row r="517">
      <c r="N517" s="337" t="n">
        <v>40451</v>
      </c>
      <c r="O517" s="116">
        <f>INDEX('Additional data'!$B$2:$B$965,MATCH(DATE(YEAR(N517),MONTH(N517),1),'Additional data'!$A$2:$A$965,0))</f>
        <v>75.31</v>
      </c>
      <c r="P517" s="489">
        <f>LN(O517)</f>
        <v>4.32161292811326</v>
      </c>
      <c r="Q517" s="489">
        <f>Q516+LN(1+INDEX('Additional data'!$H$2:$H$1196,MATCH(N517,'Additional data'!$G$2:$G$1196,1))+INDEX('Additional data'!$I$2:$I$1196,MATCH(N517,'Additional data'!$G$2:$G$1196,1)))</f>
        <v>3.83054096711726</v>
      </c>
      <c r="R517" s="489">
        <f>LN(INDEX(Data!$B$2:$B$497,MATCH(N517,Data!$A$2:$A$497,1)))</f>
        <v>10.405956149217</v>
      </c>
      <c r="S517" s="116">
        <f>IF(INDEX('Additional data'!$E$2:$E$699,MATCH(DATE(YEAR(N517),MONTH(N517),1),'Additional data'!$D$2:$D$699,0))=0,(INDEX('Additional data'!$E$2:$E$699,MATCH(DATE(YEAR(N517),MONTH(N517),1),'Additional data'!$D$2:$D$699,0)-1)+INDEX('Additional data'!$E$2:$E$699,MATCH(DATE(YEAR(N517),MONTH(N517),1),'Additional data'!$D$2:$D$699,0)+1))/2,INDEX('Additional data'!$E$2:$E$699,MATCH(DATE(YEAR(N517),MONTH(N517),1),'Additional data'!$D$2:$D$699,0)))</f>
        <v>4.815</v>
      </c>
      <c r="T517" s="425">
        <f>P517-P516</f>
        <v>-0.0198520948044987</v>
      </c>
      <c r="U517" s="425">
        <f>Q517-Q516</f>
        <v>0.0913021584067861</v>
      </c>
      <c r="V517" s="425">
        <f>R517-R516</f>
        <v>0.0489770734164114</v>
      </c>
      <c r="W517" s="116">
        <f>S517-S516</f>
        <v>0.0725000000000007</v>
      </c>
      <c r="X517" s="425">
        <f>P517-P505</f>
        <v>0.0808618807973325</v>
      </c>
      <c r="Y517" s="425">
        <f>Q517-Q505</f>
        <v>0.107259958036507</v>
      </c>
      <c r="Z517" s="425">
        <f>R517-R505</f>
        <v>0.0171766811270047</v>
      </c>
      <c r="AA517" s="116">
        <f>S517-S505</f>
        <v>1.445</v>
      </c>
      <c r="AB517" s="425">
        <f>P517-P457</f>
        <v>0.138494653837732</v>
      </c>
      <c r="AC517" s="425">
        <f>Q517-Q457</f>
        <v>0.0659691247280785</v>
      </c>
      <c r="AD517" s="425">
        <f>R517-R457</f>
        <v>0.21882082609242</v>
      </c>
      <c r="AE517" s="235">
        <f>S517-S457</f>
        <v>-0.805</v>
      </c>
      <c r="AG517" s="554">
        <f>N517</f>
        <v>40451.0</v>
      </c>
      <c r="AH517" s="435">
        <f>IFERROR(INDEX('RBA 5Y yield'!$B$5:$B$661,MATCH(N517,'RBA 5Y yield'!$A$5:$A$661,1))*100,"")</f>
        <v>4.8075</v>
      </c>
      <c r="AI517" s="435">
        <f>IF(AND(ISNUMBER(AH517),ISNUMBER(AH516)),AH517-AH516,"")</f>
        <v>0.145</v>
      </c>
      <c r="AJ517" s="435">
        <f>IF(AND(ISNUMBER(AH517),ISNUMBER(AH505)),AH517-AH505,"")</f>
        <v>-0.332</v>
      </c>
      <c r="AK517" s="435">
        <f>IF(AND(ISNUMBER(AH517),ISNUMBER(AH457)),AH517-AH457,"")</f>
        <v>-0.3405</v>
      </c>
      <c r="AL517" s="560">
        <f>IFERROR(LN(INDEX(Data!$B$2:$B$497,MATCH(N517,Data!$A$2:$A$497,1))/INDEX(Data!$B$2:$B$497,MATCH(N505,Data!$A$2:$A$497,1))),"")</f>
        <v>0.0171766811270047</v>
      </c>
      <c r="AM517" s="560">
        <f>IFERROR(LN(INDEX(Data!$C$2:$C$497,MATCH(N517,Data!$A$2:$A$497,1))/INDEX(Data!$C$2:$C$497,MATCH(N505,Data!$A$2:$A$497,1))),"")</f>
        <v>-0.0279526333839374</v>
      </c>
      <c r="AN517" s="560">
        <f>IFERROR(LN(INDEX(Data!$D$2:$D$497,MATCH(N517,Data!$A$2:$A$497,1))/INDEX(Data!$D$2:$D$497,MATCH(N505,Data!$A$2:$A$497,1))),"")</f>
        <v>0.0553781898757313</v>
      </c>
      <c r="AO517" s="560">
        <f>IFERROR(LN(INDEX(Data!$E$2:$E$497,MATCH(N517,Data!$A$2:$A$497,1))/INDEX(Data!$E$2:$E$497,MATCH(N505,Data!$A$2:$A$497,1))),"")</f>
        <v>0.0846278543160104</v>
      </c>
      <c r="AP517" s="560">
        <f>IFERROR(LN(INDEX(Data!$F$2:$F$497,MATCH(N517,Data!$A$2:$A$497,1))/INDEX(Data!$F$2:$F$497,MATCH(N505,Data!$A$2:$A$497,1))),"")</f>
        <v>-0.0513357320472806</v>
      </c>
      <c r="AQ517" s="560">
        <f>IFERROR(LN(INDEX(Data!$G$2:$G$497,MATCH(N517,Data!$A$2:$A$497,1))/INDEX(Data!$G$2:$G$497,MATCH(N505,Data!$A$2:$A$497,1))),"")</f>
        <v>0.103416101479535</v>
      </c>
      <c r="AR517" s="560">
        <f>IFERROR(LN(INDEX(Data!$H$2:$H$497,MATCH(N517,Data!$A$2:$A$497,1))/INDEX(Data!$H$2:$H$497,MATCH(N505,Data!$A$2:$A$497,1))),"")</f>
        <v>-0.0331877029803111</v>
      </c>
      <c r="AS517" s="560">
        <f>IFERROR(LN(INDEX(Data!$I$2:$I$497,MATCH(N517,Data!$A$2:$A$497,1))/INDEX(Data!$I$2:$I$497,MATCH(N505,Data!$A$2:$A$497,1))),"")</f>
        <v>0.143602873871435</v>
      </c>
      <c r="AT517" s="560">
        <f>IFERROR(LN(INDEX(Data!$J$2:$J$497,MATCH(N517,Data!$A$2:$A$497,1))/INDEX(Data!$J$2:$J$497,MATCH(N505,Data!$A$2:$A$497,1))),"")</f>
        <v>0.0708267306134418</v>
      </c>
      <c r="AU517" s="560">
        <f>IFERROR(LN(INDEX(Data!$K$2:$K$497,MATCH(N517,Data!$A$2:$A$497,1))/INDEX(Data!$K$2:$K$497,MATCH(N505,Data!$A$2:$A$497,1))),"")</f>
        <v>0.104567079370208</v>
      </c>
      <c r="AV517" s="561">
        <f>IFERROR(LN(INDEX(Data!$L$2:$L$497,MATCH(N517,Data!$A$2:$A$497,1))/INDEX(Data!$L$2:$L$497,MATCH(N505,Data!$A$2:$A$497,1))),"")</f>
        <v>0.0420959743342573</v>
      </c>
    </row>
    <row r="518">
      <c r="N518" s="337" t="n">
        <v>40482</v>
      </c>
      <c r="O518" s="116">
        <f>INDEX('Additional data'!$B$2:$B$965,MATCH(DATE(YEAR(N518),MONTH(N518),1),'Additional data'!$A$2:$A$965,0))</f>
        <v>81.9</v>
      </c>
      <c r="P518" s="489">
        <f>LN(O518)</f>
        <v>4.40549899085902</v>
      </c>
      <c r="Q518" s="489">
        <f>Q517+LN(1+INDEX('Additional data'!$H$2:$H$1196,MATCH(N518,'Additional data'!$G$2:$G$1196,1))+INDEX('Additional data'!$I$2:$I$1196,MATCH(N518,'Additional data'!$G$2:$G$1196,1)))</f>
        <v>3.86860716792372</v>
      </c>
      <c r="R518" s="489">
        <f>LN(INDEX(Data!$B$2:$B$497,MATCH(N518,Data!$A$2:$A$497,1)))</f>
        <v>10.4274323095423</v>
      </c>
      <c r="S518" s="116">
        <f>IF(INDEX('Additional data'!$E$2:$E$699,MATCH(DATE(YEAR(N518),MONTH(N518),1),'Additional data'!$D$2:$D$699,0))=0,(INDEX('Additional data'!$E$2:$E$699,MATCH(DATE(YEAR(N518),MONTH(N518),1),'Additional data'!$D$2:$D$699,0)-1)+INDEX('Additional data'!$E$2:$E$699,MATCH(DATE(YEAR(N518),MONTH(N518),1),'Additional data'!$D$2:$D$699,0)+1))/2,INDEX('Additional data'!$E$2:$E$699,MATCH(DATE(YEAR(N518),MONTH(N518),1),'Additional data'!$D$2:$D$699,0)))</f>
        <v>4.81</v>
      </c>
      <c r="T518" s="425">
        <f>P518-P517</f>
        <v>0.0838860627457638</v>
      </c>
      <c r="U518" s="425">
        <f>Q518-Q517</f>
        <v>0.0380662008064561</v>
      </c>
      <c r="V518" s="425">
        <f>R518-R517</f>
        <v>0.021476160325367</v>
      </c>
      <c r="W518" s="116">
        <f>S518-S517</f>
        <v>-0.00500000000000078</v>
      </c>
      <c r="X518" s="425">
        <f>P518-P506</f>
        <v>0.0771368807708353</v>
      </c>
      <c r="Y518" s="425">
        <f>Q518-Q506</f>
        <v>0.170951706481936</v>
      </c>
      <c r="Z518" s="425">
        <f>R518-R506</f>
        <v>0.0577331207870042</v>
      </c>
      <c r="AA518" s="116">
        <f>S518-S506</f>
        <v>1.03</v>
      </c>
      <c r="AB518" s="425">
        <f>P518-P458</f>
        <v>0.272414600320992</v>
      </c>
      <c r="AC518" s="425">
        <f>Q518-Q458</f>
        <v>0.121893843835847</v>
      </c>
      <c r="AD518" s="425">
        <f>R518-R458</f>
        <v>0.279363014698854</v>
      </c>
      <c r="AE518" s="235">
        <f>S518-S458</f>
        <v>-0.82</v>
      </c>
      <c r="AG518" s="554">
        <f>N518</f>
        <v>40482.0</v>
      </c>
      <c r="AH518" s="435">
        <f>IFERROR(INDEX('RBA 5Y yield'!$B$5:$B$661,MATCH(N518,'RBA 5Y yield'!$A$5:$A$661,1))*100,"")</f>
        <v>4.9675</v>
      </c>
      <c r="AI518" s="435">
        <f>IF(AND(ISNUMBER(AH518),ISNUMBER(AH517)),AH518-AH517,"")</f>
        <v>0.159999999999999</v>
      </c>
      <c r="AJ518" s="435">
        <f>IF(AND(ISNUMBER(AH518),ISNUMBER(AH506)),AH518-AH506,"")</f>
        <v>-0.387</v>
      </c>
      <c r="AK518" s="435">
        <f>IF(AND(ISNUMBER(AH518),ISNUMBER(AH458)),AH518-AH458,"")</f>
        <v>-0.394600000000001</v>
      </c>
      <c r="AL518" s="560">
        <f>IFERROR(LN(INDEX(Data!$B$2:$B$497,MATCH(N518,Data!$A$2:$A$497,1))/INDEX(Data!$B$2:$B$497,MATCH(N506,Data!$A$2:$A$497,1))),"")</f>
        <v>0.057733120787003</v>
      </c>
      <c r="AM518" s="560">
        <f>IFERROR(LN(INDEX(Data!$C$2:$C$497,MATCH(N518,Data!$A$2:$A$497,1))/INDEX(Data!$C$2:$C$497,MATCH(N506,Data!$A$2:$A$497,1))),"")</f>
        <v>0.034147950530355</v>
      </c>
      <c r="AN518" s="560">
        <f>IFERROR(LN(INDEX(Data!$D$2:$D$497,MATCH(N518,Data!$A$2:$A$497,1))/INDEX(Data!$D$2:$D$497,MATCH(N506,Data!$A$2:$A$497,1))),"")</f>
        <v>0.0934683059584771</v>
      </c>
      <c r="AO518" s="560">
        <f>IFERROR(LN(INDEX(Data!$E$2:$E$497,MATCH(N518,Data!$A$2:$A$497,1))/INDEX(Data!$E$2:$E$497,MATCH(N506,Data!$A$2:$A$497,1))),"")</f>
        <v>0.169855911043488</v>
      </c>
      <c r="AP518" s="560">
        <f>IFERROR(LN(INDEX(Data!$F$2:$F$497,MATCH(N518,Data!$A$2:$A$497,1))/INDEX(Data!$F$2:$F$497,MATCH(N506,Data!$A$2:$A$497,1))),"")</f>
        <v>-0.071852007984751</v>
      </c>
      <c r="AQ518" s="560">
        <f>IFERROR(LN(INDEX(Data!$G$2:$G$497,MATCH(N518,Data!$A$2:$A$497,1))/INDEX(Data!$G$2:$G$497,MATCH(N506,Data!$A$2:$A$497,1))),"")</f>
        <v>0.103416101479535</v>
      </c>
      <c r="AR518" s="560">
        <f>IFERROR(LN(INDEX(Data!$H$2:$H$497,MATCH(N518,Data!$A$2:$A$497,1))/INDEX(Data!$H$2:$H$497,MATCH(N506,Data!$A$2:$A$497,1))),"")</f>
        <v>-0.00128169726472227</v>
      </c>
      <c r="AS518" s="560">
        <f>IFERROR(LN(INDEX(Data!$I$2:$I$497,MATCH(N518,Data!$A$2:$A$497,1))/INDEX(Data!$I$2:$I$497,MATCH(N506,Data!$A$2:$A$497,1))),"")</f>
        <v>0.143602873871435</v>
      </c>
      <c r="AT518" s="560">
        <f>IFERROR(LN(INDEX(Data!$J$2:$J$497,MATCH(N518,Data!$A$2:$A$497,1))/INDEX(Data!$J$2:$J$497,MATCH(N506,Data!$A$2:$A$497,1))),"")</f>
        <v>0.0715872077270836</v>
      </c>
      <c r="AU518" s="560">
        <f>IFERROR(LN(INDEX(Data!$K$2:$K$497,MATCH(N518,Data!$A$2:$A$497,1))/INDEX(Data!$K$2:$K$497,MATCH(N506,Data!$A$2:$A$497,1))),"")</f>
        <v>0.102885883731421</v>
      </c>
      <c r="AV518" s="561">
        <f>IFERROR(LN(INDEX(Data!$L$2:$L$497,MATCH(N518,Data!$A$2:$A$497,1))/INDEX(Data!$L$2:$L$497,MATCH(N506,Data!$A$2:$A$497,1))),"")</f>
        <v>0.0437331881413713</v>
      </c>
    </row>
    <row r="519">
      <c r="N519" s="337" t="n">
        <v>40512</v>
      </c>
      <c r="O519" s="116">
        <f>INDEX('Additional data'!$B$2:$B$965,MATCH(DATE(YEAR(N519),MONTH(N519),1),'Additional data'!$A$2:$A$965,0))</f>
        <v>84.14</v>
      </c>
      <c r="P519" s="489">
        <f>LN(O519)</f>
        <v>4.43248207816238</v>
      </c>
      <c r="Q519" s="489">
        <f>Q518+LN(1+INDEX('Additional data'!$H$2:$H$1196,MATCH(N519,'Additional data'!$G$2:$G$1196,1))+INDEX('Additional data'!$I$2:$I$1196,MATCH(N519,'Additional data'!$G$2:$G$1196,1)))</f>
        <v>3.87458923960127</v>
      </c>
      <c r="R519" s="489">
        <f>LN(INDEX(Data!$B$2:$B$497,MATCH(N519,Data!$A$2:$A$497,1)))</f>
        <v>10.4204369262414</v>
      </c>
      <c r="S519" s="116">
        <f>IF(INDEX('Additional data'!$E$2:$E$699,MATCH(DATE(YEAR(N519),MONTH(N519),1),'Additional data'!$D$2:$D$699,0))=0,(INDEX('Additional data'!$E$2:$E$699,MATCH(DATE(YEAR(N519),MONTH(N519),1),'Additional data'!$D$2:$D$699,0)-1)+INDEX('Additional data'!$E$2:$E$699,MATCH(DATE(YEAR(N519),MONTH(N519),1),'Additional data'!$D$2:$D$699,0)+1))/2,INDEX('Additional data'!$E$2:$E$699,MATCH(DATE(YEAR(N519),MONTH(N519),1),'Additional data'!$D$2:$D$699,0)))</f>
        <v>5.015</v>
      </c>
      <c r="T519" s="425">
        <f>P519-P518</f>
        <v>0.0269830873033508</v>
      </c>
      <c r="U519" s="425">
        <f>Q519-Q518</f>
        <v>0.00598207167754739</v>
      </c>
      <c r="V519" s="425">
        <f>R519-R518</f>
        <v>-0.00699538330099259</v>
      </c>
      <c r="W519" s="116">
        <f>S519-S518</f>
        <v>0.205</v>
      </c>
      <c r="X519" s="425">
        <f>P519-P507</f>
        <v>0.0747481360575373</v>
      </c>
      <c r="Y519" s="425">
        <f>Q519-Q507</f>
        <v>0.122161542312504</v>
      </c>
      <c r="Z519" s="425">
        <f>R519-R507</f>
        <v>0.0314808817736214</v>
      </c>
      <c r="AA519" s="116">
        <f>S519-S507</f>
        <v>1.065</v>
      </c>
      <c r="AB519" s="425">
        <f>P519-P459</f>
        <v>0.366879984805928</v>
      </c>
      <c r="AC519" s="425">
        <f>Q519-Q459</f>
        <v>0.0894247291391421</v>
      </c>
      <c r="AD519" s="425">
        <f>R519-R459</f>
        <v>0.229319865134903</v>
      </c>
      <c r="AE519" s="235">
        <f>S519-S459</f>
        <v>-0.615</v>
      </c>
      <c r="AG519" s="554">
        <f>N519</f>
        <v>40512.0</v>
      </c>
      <c r="AH519" s="435">
        <f>IFERROR(INDEX('RBA 5Y yield'!$B$5:$B$661,MATCH(N519,'RBA 5Y yield'!$A$5:$A$661,1))*100,"")</f>
        <v>5.21</v>
      </c>
      <c r="AI519" s="435">
        <f>IF(AND(ISNUMBER(AH519),ISNUMBER(AH518)),AH519-AH518,"")</f>
        <v>0.242500000000001</v>
      </c>
      <c r="AJ519" s="435">
        <f>IF(AND(ISNUMBER(AH519),ISNUMBER(AH507)),AH519-AH507,"")</f>
        <v>-0.0275999999999996</v>
      </c>
      <c r="AK519" s="435">
        <f>IF(AND(ISNUMBER(AH519),ISNUMBER(AH459)),AH519-AH459,"")</f>
        <v>-0.1636</v>
      </c>
      <c r="AL519" s="560">
        <f>IFERROR(LN(INDEX(Data!$B$2:$B$497,MATCH(N519,Data!$A$2:$A$497,1))/INDEX(Data!$B$2:$B$497,MATCH(N507,Data!$A$2:$A$497,1))),"")</f>
        <v>0.0314808817736218</v>
      </c>
      <c r="AM519" s="560">
        <f>IFERROR(LN(INDEX(Data!$C$2:$C$497,MATCH(N519,Data!$A$2:$A$497,1))/INDEX(Data!$C$2:$C$497,MATCH(N507,Data!$A$2:$A$497,1))),"")</f>
        <v>0.0351218923761052</v>
      </c>
      <c r="AN519" s="560">
        <f>IFERROR(LN(INDEX(Data!$D$2:$D$497,MATCH(N519,Data!$A$2:$A$497,1))/INDEX(Data!$D$2:$D$497,MATCH(N507,Data!$A$2:$A$497,1))),"")</f>
        <v>0.0851640405896975</v>
      </c>
      <c r="AO519" s="560">
        <f>IFERROR(LN(INDEX(Data!$E$2:$E$497,MATCH(N519,Data!$A$2:$A$497,1))/INDEX(Data!$E$2:$E$497,MATCH(N507,Data!$A$2:$A$497,1))),"")</f>
        <v>0.153852162854494</v>
      </c>
      <c r="AP519" s="560">
        <f>IFERROR(LN(INDEX(Data!$F$2:$F$497,MATCH(N519,Data!$A$2:$A$497,1))/INDEX(Data!$F$2:$F$497,MATCH(N507,Data!$A$2:$A$497,1))),"")</f>
        <v>-0.0414808756456715</v>
      </c>
      <c r="AQ519" s="560">
        <f>IFERROR(LN(INDEX(Data!$G$2:$G$497,MATCH(N519,Data!$A$2:$A$497,1))/INDEX(Data!$G$2:$G$497,MATCH(N507,Data!$A$2:$A$497,1))),"")</f>
        <v>0.103416101479535</v>
      </c>
      <c r="AR519" s="560">
        <f>IFERROR(LN(INDEX(Data!$H$2:$H$497,MATCH(N519,Data!$A$2:$A$497,1))/INDEX(Data!$H$2:$H$497,MATCH(N507,Data!$A$2:$A$497,1))),"")</f>
        <v>0.0303399087934182</v>
      </c>
      <c r="AS519" s="560">
        <f>IFERROR(LN(INDEX(Data!$I$2:$I$497,MATCH(N519,Data!$A$2:$A$497,1))/INDEX(Data!$I$2:$I$497,MATCH(N507,Data!$A$2:$A$497,1))),"")</f>
        <v>0.143602873871435</v>
      </c>
      <c r="AT519" s="560">
        <f>IFERROR(LN(INDEX(Data!$J$2:$J$497,MATCH(N519,Data!$A$2:$A$497,1))/INDEX(Data!$J$2:$J$497,MATCH(N507,Data!$A$2:$A$497,1))),"")</f>
        <v>0.0545154946869823</v>
      </c>
      <c r="AU519" s="560">
        <f>IFERROR(LN(INDEX(Data!$K$2:$K$497,MATCH(N519,Data!$A$2:$A$497,1))/INDEX(Data!$K$2:$K$497,MATCH(N507,Data!$A$2:$A$497,1))),"")</f>
        <v>0.0826991071467832</v>
      </c>
      <c r="AV519" s="561">
        <f>IFERROR(LN(INDEX(Data!$L$2:$L$497,MATCH(N519,Data!$A$2:$A$497,1))/INDEX(Data!$L$2:$L$497,MATCH(N507,Data!$A$2:$A$497,1))),"")</f>
        <v>0.0445817276240712</v>
      </c>
    </row>
    <row r="520">
      <c r="N520" s="337" t="n">
        <v>40543</v>
      </c>
      <c r="O520" s="116">
        <f>INDEX('Additional data'!$B$2:$B$965,MATCH(DATE(YEAR(N520),MONTH(N520),1),'Additional data'!$A$2:$A$965,0))</f>
        <v>89.04</v>
      </c>
      <c r="P520" s="489">
        <f>LN(O520)</f>
        <v>4.48908570696729</v>
      </c>
      <c r="Q520" s="489">
        <f>Q519+LN(1+INDEX('Additional data'!$H$2:$H$1196,MATCH(N520,'Additional data'!$G$2:$G$1196,1))+INDEX('Additional data'!$I$2:$I$1196,MATCH(N520,'Additional data'!$G$2:$G$1196,1)))</f>
        <v>3.94065783957097</v>
      </c>
      <c r="R520" s="489">
        <f>LN(INDEX(Data!$B$2:$B$497,MATCH(N520,Data!$A$2:$A$497,1)))</f>
        <v>10.4577393493961</v>
      </c>
      <c r="S520" s="116">
        <f>IF(INDEX('Additional data'!$E$2:$E$699,MATCH(DATE(YEAR(N520),MONTH(N520),1),'Additional data'!$D$2:$D$699,0))=0,(INDEX('Additional data'!$E$2:$E$699,MATCH(DATE(YEAR(N520),MONTH(N520),1),'Additional data'!$D$2:$D$699,0)-1)+INDEX('Additional data'!$E$2:$E$699,MATCH(DATE(YEAR(N520),MONTH(N520),1),'Additional data'!$D$2:$D$699,0)+1))/2,INDEX('Additional data'!$E$2:$E$699,MATCH(DATE(YEAR(N520),MONTH(N520),1),'Additional data'!$D$2:$D$699,0)))</f>
        <v>5.025</v>
      </c>
      <c r="T520" s="425">
        <f>P520-P519</f>
        <v>0.0566036288049148</v>
      </c>
      <c r="U520" s="425">
        <f>Q520-Q519</f>
        <v>0.0660685999697046</v>
      </c>
      <c r="V520" s="425">
        <f>R520-R519</f>
        <v>0.0373024231547312</v>
      </c>
      <c r="W520" s="116">
        <f>S520-S519</f>
        <v>0.0100000000000007</v>
      </c>
      <c r="X520" s="425">
        <f>P520-P508</f>
        <v>0.180974755243576</v>
      </c>
      <c r="Y520" s="425">
        <f>Q520-Q508</f>
        <v>0.160517703715672</v>
      </c>
      <c r="Z520" s="425">
        <f>R520-R508</f>
        <v>0.0325277175956291</v>
      </c>
      <c r="AA520" s="116">
        <f>S520-S508</f>
        <v>0.89595238095238</v>
      </c>
      <c r="AB520" s="425">
        <f>P520-P460</f>
        <v>0.40428655758872</v>
      </c>
      <c r="AC520" s="425">
        <f>Q520-Q460</f>
        <v>0.154693648938282</v>
      </c>
      <c r="AD520" s="425">
        <f>R520-R460</f>
        <v>0.236709499152511</v>
      </c>
      <c r="AE520" s="235">
        <f>S520-S460</f>
        <v>-0.605</v>
      </c>
      <c r="AG520" s="554">
        <f>N520</f>
        <v>40543.0</v>
      </c>
      <c r="AH520" s="435">
        <f>IFERROR(INDEX('RBA 5Y yield'!$B$5:$B$661,MATCH(N520,'RBA 5Y yield'!$A$5:$A$661,1))*100,"")</f>
        <v>5.33</v>
      </c>
      <c r="AI520" s="435">
        <f>IF(AND(ISNUMBER(AH520),ISNUMBER(AH519)),AH520-AH519,"")</f>
        <v>0.12</v>
      </c>
      <c r="AJ520" s="435">
        <f>IF(AND(ISNUMBER(AH520),ISNUMBER(AH508)),AH520-AH508,"")</f>
        <v>0.180000000000001</v>
      </c>
      <c r="AK520" s="435">
        <f>IF(AND(ISNUMBER(AH520),ISNUMBER(AH460)),AH520-AH460,"")</f>
        <v>-0.0128000000000004</v>
      </c>
      <c r="AL520" s="560">
        <f>IFERROR(LN(INDEX(Data!$B$2:$B$497,MATCH(N520,Data!$A$2:$A$497,1))/INDEX(Data!$B$2:$B$497,MATCH(N508,Data!$A$2:$A$497,1))),"")</f>
        <v>0.032527717595629</v>
      </c>
      <c r="AM520" s="560">
        <f>IFERROR(LN(INDEX(Data!$C$2:$C$497,MATCH(N520,Data!$A$2:$A$497,1))/INDEX(Data!$C$2:$C$497,MATCH(N508,Data!$A$2:$A$497,1))),"")</f>
        <v>-0.0303256989708023</v>
      </c>
      <c r="AN520" s="560">
        <f>IFERROR(LN(INDEX(Data!$D$2:$D$497,MATCH(N520,Data!$A$2:$A$497,1))/INDEX(Data!$D$2:$D$497,MATCH(N508,Data!$A$2:$A$497,1))),"")</f>
        <v>0.0037418418260776</v>
      </c>
      <c r="AO520" s="560">
        <f>IFERROR(LN(INDEX(Data!$E$2:$E$497,MATCH(N520,Data!$A$2:$A$497,1))/INDEX(Data!$E$2:$E$497,MATCH(N508,Data!$A$2:$A$497,1))),"")</f>
        <v>0.0591250034925065</v>
      </c>
      <c r="AP520" s="560">
        <f>IFERROR(LN(INDEX(Data!$F$2:$F$497,MATCH(N520,Data!$A$2:$A$497,1))/INDEX(Data!$F$2:$F$497,MATCH(N508,Data!$A$2:$A$497,1))),"")</f>
        <v>-0.0444100740572308</v>
      </c>
      <c r="AQ520" s="560">
        <f>IFERROR(LN(INDEX(Data!$G$2:$G$497,MATCH(N520,Data!$A$2:$A$497,1))/INDEX(Data!$G$2:$G$497,MATCH(N508,Data!$A$2:$A$497,1))),"")</f>
        <v>0.0553812887309886</v>
      </c>
      <c r="AR520" s="560">
        <f>IFERROR(LN(INDEX(Data!$H$2:$H$497,MATCH(N520,Data!$A$2:$A$497,1))/INDEX(Data!$H$2:$H$497,MATCH(N508,Data!$A$2:$A$497,1))),"")</f>
        <v>0.0648260848645875</v>
      </c>
      <c r="AS520" s="560">
        <f>IFERROR(LN(INDEX(Data!$I$2:$I$497,MATCH(N520,Data!$A$2:$A$497,1))/INDEX(Data!$I$2:$I$497,MATCH(N508,Data!$A$2:$A$497,1))),"")</f>
        <v>0.0756619281107423</v>
      </c>
      <c r="AT520" s="560">
        <f>IFERROR(LN(INDEX(Data!$J$2:$J$497,MATCH(N520,Data!$A$2:$A$497,1))/INDEX(Data!$J$2:$J$497,MATCH(N508,Data!$A$2:$A$497,1))),"")</f>
        <v>0.058600769914476</v>
      </c>
      <c r="AU520" s="560">
        <f>IFERROR(LN(INDEX(Data!$K$2:$K$497,MATCH(N520,Data!$A$2:$A$497,1))/INDEX(Data!$K$2:$K$497,MATCH(N508,Data!$A$2:$A$497,1))),"")</f>
        <v>0.08871927491359</v>
      </c>
      <c r="AV520" s="561">
        <f>IFERROR(LN(INDEX(Data!$L$2:$L$497,MATCH(N520,Data!$A$2:$A$497,1))/INDEX(Data!$L$2:$L$497,MATCH(N508,Data!$A$2:$A$497,1))),"")</f>
        <v>0.0455933562238683</v>
      </c>
    </row>
    <row r="521">
      <c r="N521" s="337" t="n">
        <v>40574</v>
      </c>
      <c r="O521" s="116">
        <f>INDEX('Additional data'!$B$2:$B$965,MATCH(DATE(YEAR(N521),MONTH(N521),1),'Additional data'!$A$2:$A$965,0))</f>
        <v>89.42</v>
      </c>
      <c r="P521" s="489">
        <f>LN(O521)</f>
        <v>4.49334437080583</v>
      </c>
      <c r="Q521" s="489">
        <f>Q520+LN(1+INDEX('Additional data'!$H$2:$H$1196,MATCH(N521,'Additional data'!$G$2:$G$1196,1))+INDEX('Additional data'!$I$2:$I$1196,MATCH(N521,'Additional data'!$G$2:$G$1196,1)))</f>
        <v>3.96036242284531</v>
      </c>
      <c r="R521" s="489">
        <f>LN(INDEX(Data!$B$2:$B$497,MATCH(N521,Data!$A$2:$A$497,1)))</f>
        <v>10.4584096904398</v>
      </c>
      <c r="S521" s="116">
        <f>IF(INDEX('Additional data'!$E$2:$E$699,MATCH(DATE(YEAR(N521),MONTH(N521),1),'Additional data'!$D$2:$D$699,0))=0,(INDEX('Additional data'!$E$2:$E$699,MATCH(DATE(YEAR(N521),MONTH(N521),1),'Additional data'!$D$2:$D$699,0)-1)+INDEX('Additional data'!$E$2:$E$699,MATCH(DATE(YEAR(N521),MONTH(N521),1),'Additional data'!$D$2:$D$699,0)+1))/2,INDEX('Additional data'!$E$2:$E$699,MATCH(DATE(YEAR(N521),MONTH(N521),1),'Additional data'!$D$2:$D$699,0)))</f>
        <v>4.955</v>
      </c>
      <c r="T521" s="425">
        <f>P521-P520</f>
        <v>0.00425866383854512</v>
      </c>
      <c r="U521" s="425">
        <f>Q521-Q520</f>
        <v>0.0197045832743354</v>
      </c>
      <c r="V521" s="425">
        <f>R521-R520</f>
        <v>0.000670341043733203</v>
      </c>
      <c r="W521" s="116">
        <f>S521-S520</f>
        <v>-0.0700000000000003</v>
      </c>
      <c r="X521" s="425">
        <f>P521-P509</f>
        <v>0.133819001478466</v>
      </c>
      <c r="Y521" s="425">
        <f>Q521-Q509</f>
        <v>0.214296267323759</v>
      </c>
      <c r="Z521" s="425">
        <f>R521-R509</f>
        <v>0.0934752788668334</v>
      </c>
      <c r="AA521" s="116">
        <f>S521-S509</f>
        <v>0.7525</v>
      </c>
      <c r="AB521" s="425">
        <f>P521-P461</f>
        <v>0.311141568062049</v>
      </c>
      <c r="AC521" s="425">
        <f>Q521-Q461</f>
        <v>0.141156898432816</v>
      </c>
      <c r="AD521" s="425">
        <f>R521-R461</f>
        <v>0.20157329430906</v>
      </c>
      <c r="AE521" s="235">
        <f>S521-S461</f>
        <v>-0.675</v>
      </c>
      <c r="AG521" s="554">
        <f>N521</f>
        <v>40574.0</v>
      </c>
      <c r="AH521" s="435">
        <f>IFERROR(INDEX('RBA 5Y yield'!$B$5:$B$661,MATCH(N521,'RBA 5Y yield'!$A$5:$A$661,1))*100,"")</f>
        <v>5.275</v>
      </c>
      <c r="AI521" s="435">
        <f>IF(AND(ISNUMBER(AH521),ISNUMBER(AH520)),AH521-AH520,"")</f>
        <v>-0.0550000000000006</v>
      </c>
      <c r="AJ521" s="435">
        <f>IF(AND(ISNUMBER(AH521),ISNUMBER(AH509)),AH521-AH509,"")</f>
        <v>0.0024999999999995</v>
      </c>
      <c r="AK521" s="435">
        <f>IF(AND(ISNUMBER(AH521),ISNUMBER(AH461)),AH521-AH461,"")</f>
        <v>0.0984999999999996</v>
      </c>
      <c r="AL521" s="560">
        <f>IFERROR(LN(INDEX(Data!$B$2:$B$497,MATCH(N521,Data!$A$2:$A$497,1))/INDEX(Data!$B$2:$B$497,MATCH(N509,Data!$A$2:$A$497,1))),"")</f>
        <v>0.0934752788668337</v>
      </c>
      <c r="AM521" s="560">
        <f>IFERROR(LN(INDEX(Data!$C$2:$C$497,MATCH(N521,Data!$A$2:$A$497,1))/INDEX(Data!$C$2:$C$497,MATCH(N509,Data!$A$2:$A$497,1))),"")</f>
        <v>0.0417516109842782</v>
      </c>
      <c r="AN521" s="560">
        <f>IFERROR(LN(INDEX(Data!$D$2:$D$497,MATCH(N521,Data!$A$2:$A$497,1))/INDEX(Data!$D$2:$D$497,MATCH(N509,Data!$A$2:$A$497,1))),"")</f>
        <v>0.0432802121556567</v>
      </c>
      <c r="AO521" s="560">
        <f>IFERROR(LN(INDEX(Data!$E$2:$E$497,MATCH(N521,Data!$A$2:$A$497,1))/INDEX(Data!$E$2:$E$497,MATCH(N509,Data!$A$2:$A$497,1))),"")</f>
        <v>0.134290138903086</v>
      </c>
      <c r="AP521" s="560">
        <f>IFERROR(LN(INDEX(Data!$F$2:$F$497,MATCH(N521,Data!$A$2:$A$497,1))/INDEX(Data!$F$2:$F$497,MATCH(N509,Data!$A$2:$A$497,1))),"")</f>
        <v>0.0838876848789479</v>
      </c>
      <c r="AQ521" s="560">
        <f>IFERROR(LN(INDEX(Data!$G$2:$G$497,MATCH(N521,Data!$A$2:$A$497,1))/INDEX(Data!$G$2:$G$497,MATCH(N509,Data!$A$2:$A$497,1))),"")</f>
        <v>0.0553812887309886</v>
      </c>
      <c r="AR521" s="560">
        <f>IFERROR(LN(INDEX(Data!$H$2:$H$497,MATCH(N521,Data!$A$2:$A$497,1))/INDEX(Data!$H$2:$H$497,MATCH(N509,Data!$A$2:$A$497,1))),"")</f>
        <v>0.110774720887901</v>
      </c>
      <c r="AS521" s="560">
        <f>IFERROR(LN(INDEX(Data!$I$2:$I$497,MATCH(N521,Data!$A$2:$A$497,1))/INDEX(Data!$I$2:$I$497,MATCH(N509,Data!$A$2:$A$497,1))),"")</f>
        <v>0.0756619281107423</v>
      </c>
      <c r="AT521" s="560">
        <f>IFERROR(LN(INDEX(Data!$J$2:$J$497,MATCH(N521,Data!$A$2:$A$497,1))/INDEX(Data!$J$2:$J$497,MATCH(N509,Data!$A$2:$A$497,1))),"")</f>
        <v>0.0543823912661485</v>
      </c>
      <c r="AU521" s="560">
        <f>IFERROR(LN(INDEX(Data!$K$2:$K$497,MATCH(N521,Data!$A$2:$A$497,1))/INDEX(Data!$K$2:$K$497,MATCH(N509,Data!$A$2:$A$497,1))),"")</f>
        <v>0.0761654704054273</v>
      </c>
      <c r="AV521" s="561">
        <f>IFERROR(LN(INDEX(Data!$L$2:$L$497,MATCH(N521,Data!$A$2:$A$497,1))/INDEX(Data!$L$2:$L$497,MATCH(N509,Data!$A$2:$A$497,1))),"")</f>
        <v>0.0464048310796096</v>
      </c>
    </row>
    <row r="522">
      <c r="N522" s="337" t="n">
        <v>40602</v>
      </c>
      <c r="O522" s="116">
        <f>INDEX('Additional data'!$B$2:$B$965,MATCH(DATE(YEAR(N522),MONTH(N522),1),'Additional data'!$A$2:$A$965,0))</f>
        <v>89.58</v>
      </c>
      <c r="P522" s="489">
        <f>LN(O522)</f>
        <v>4.49513208077915</v>
      </c>
      <c r="Q522" s="489">
        <f>Q521+LN(1+INDEX('Additional data'!$H$2:$H$1196,MATCH(N522,'Additional data'!$G$2:$G$1196,1))+INDEX('Additional data'!$I$2:$I$1196,MATCH(N522,'Additional data'!$G$2:$G$1196,1)))</f>
        <v>3.9946672265373</v>
      </c>
      <c r="R522" s="489">
        <f>LN(INDEX(Data!$B$2:$B$497,MATCH(N522,Data!$A$2:$A$497,1)))</f>
        <v>10.4801060485549</v>
      </c>
      <c r="S522" s="116">
        <f>IF(INDEX('Additional data'!$E$2:$E$699,MATCH(DATE(YEAR(N522),MONTH(N522),1),'Additional data'!$D$2:$D$699,0))=0,(INDEX('Additional data'!$E$2:$E$699,MATCH(DATE(YEAR(N522),MONTH(N522),1),'Additional data'!$D$2:$D$699,0)-1)+INDEX('Additional data'!$E$2:$E$699,MATCH(DATE(YEAR(N522),MONTH(N522),1),'Additional data'!$D$2:$D$699,0)+1))/2,INDEX('Additional data'!$E$2:$E$699,MATCH(DATE(YEAR(N522),MONTH(N522),1),'Additional data'!$D$2:$D$699,0)))</f>
        <v>4.9175</v>
      </c>
      <c r="T522" s="425">
        <f>P522-P521</f>
        <v>0.00178770997331945</v>
      </c>
      <c r="U522" s="425">
        <f>Q522-Q521</f>
        <v>0.0343048036919904</v>
      </c>
      <c r="V522" s="425">
        <f>R522-R521</f>
        <v>0.0216963581150935</v>
      </c>
      <c r="W522" s="116">
        <f>S522-S521</f>
        <v>-0.0374999999999996</v>
      </c>
      <c r="X522" s="425">
        <f>P522-P510</f>
        <v>0.1588876387604</v>
      </c>
      <c r="Y522" s="425">
        <f>Q522-Q510</f>
        <v>0.215263011405239</v>
      </c>
      <c r="Z522" s="425">
        <f>R522-R510</f>
        <v>0.0971457976317414</v>
      </c>
      <c r="AA522" s="116">
        <f>S522-S510</f>
        <v>0.7575</v>
      </c>
      <c r="AB522" s="425">
        <f>P522-P462</f>
        <v>0.373983315805003</v>
      </c>
      <c r="AC522" s="425">
        <f>Q522-Q462</f>
        <v>0.175061782103479</v>
      </c>
      <c r="AD522" s="425">
        <f>R522-R462</f>
        <v>0.216290721795408</v>
      </c>
      <c r="AE522" s="235">
        <f>S522-S462</f>
        <v>-0.6925</v>
      </c>
      <c r="AG522" s="554">
        <f>N522</f>
        <v>40602.0</v>
      </c>
      <c r="AH522" s="435">
        <f>IFERROR(INDEX('RBA 5Y yield'!$B$5:$B$661,MATCH(N522,'RBA 5Y yield'!$A$5:$A$661,1))*100,"")</f>
        <v>5.39</v>
      </c>
      <c r="AI522" s="435">
        <f>IF(AND(ISNUMBER(AH522),ISNUMBER(AH521)),AH522-AH521,"")</f>
        <v>0.115000000000001</v>
      </c>
      <c r="AJ522" s="435">
        <f>IF(AND(ISNUMBER(AH522),ISNUMBER(AH510)),AH522-AH510,"")</f>
        <v>0.27</v>
      </c>
      <c r="AK522" s="435">
        <f>IF(AND(ISNUMBER(AH522),ISNUMBER(AH462)),AH522-AH462,"")</f>
        <v>0.1515</v>
      </c>
      <c r="AL522" s="560">
        <f>IFERROR(LN(INDEX(Data!$B$2:$B$497,MATCH(N522,Data!$A$2:$A$497,1))/INDEX(Data!$B$2:$B$497,MATCH(N510,Data!$A$2:$A$497,1))),"")</f>
        <v>0.0971457976317421</v>
      </c>
      <c r="AM522" s="560">
        <f>IFERROR(LN(INDEX(Data!$C$2:$C$497,MATCH(N522,Data!$A$2:$A$497,1))/INDEX(Data!$C$2:$C$497,MATCH(N510,Data!$A$2:$A$497,1))),"")</f>
        <v>0.0376436760382774</v>
      </c>
      <c r="AN522" s="560">
        <f>IFERROR(LN(INDEX(Data!$D$2:$D$497,MATCH(N522,Data!$A$2:$A$497,1))/INDEX(Data!$D$2:$D$497,MATCH(N510,Data!$A$2:$A$497,1))),"")</f>
        <v>0.0171397547805747</v>
      </c>
      <c r="AO522" s="560">
        <f>IFERROR(LN(INDEX(Data!$E$2:$E$497,MATCH(N522,Data!$A$2:$A$497,1))/INDEX(Data!$E$2:$E$497,MATCH(N510,Data!$A$2:$A$497,1))),"")</f>
        <v>0.127736012070046</v>
      </c>
      <c r="AP522" s="560">
        <f>IFERROR(LN(INDEX(Data!$F$2:$F$497,MATCH(N522,Data!$A$2:$A$497,1))/INDEX(Data!$F$2:$F$497,MATCH(N510,Data!$A$2:$A$497,1))),"")</f>
        <v>0.052878818979032</v>
      </c>
      <c r="AQ522" s="560">
        <f>IFERROR(LN(INDEX(Data!$G$2:$G$497,MATCH(N522,Data!$A$2:$A$497,1))/INDEX(Data!$G$2:$G$497,MATCH(N510,Data!$A$2:$A$497,1))),"")</f>
        <v>0.0553812887309886</v>
      </c>
      <c r="AR522" s="560">
        <f>IFERROR(LN(INDEX(Data!$H$2:$H$497,MATCH(N522,Data!$A$2:$A$497,1))/INDEX(Data!$H$2:$H$497,MATCH(N510,Data!$A$2:$A$497,1))),"")</f>
        <v>0.174881030470837</v>
      </c>
      <c r="AS522" s="560">
        <f>IFERROR(LN(INDEX(Data!$I$2:$I$497,MATCH(N522,Data!$A$2:$A$497,1))/INDEX(Data!$I$2:$I$497,MATCH(N510,Data!$A$2:$A$497,1))),"")</f>
        <v>0.0756619281107423</v>
      </c>
      <c r="AT522" s="560">
        <f>IFERROR(LN(INDEX(Data!$J$2:$J$497,MATCH(N522,Data!$A$2:$A$497,1))/INDEX(Data!$J$2:$J$497,MATCH(N510,Data!$A$2:$A$497,1))),"")</f>
        <v>0.0536669463041768</v>
      </c>
      <c r="AU522" s="560">
        <f>IFERROR(LN(INDEX(Data!$K$2:$K$497,MATCH(N522,Data!$A$2:$A$497,1))/INDEX(Data!$K$2:$K$497,MATCH(N510,Data!$A$2:$A$497,1))),"")</f>
        <v>0.0738421233448645</v>
      </c>
      <c r="AV522" s="561">
        <f>IFERROR(LN(INDEX(Data!$L$2:$L$497,MATCH(N522,Data!$A$2:$A$497,1))/INDEX(Data!$L$2:$L$497,MATCH(N510,Data!$A$2:$A$497,1))),"")</f>
        <v>0.0466617829577624</v>
      </c>
    </row>
    <row r="523">
      <c r="N523" s="337" t="n">
        <v>40633</v>
      </c>
      <c r="O523" s="116">
        <f>INDEX('Additional data'!$B$2:$B$965,MATCH(DATE(YEAR(N523),MONTH(N523),1),'Additional data'!$A$2:$A$965,0))</f>
        <v>102.94</v>
      </c>
      <c r="P523" s="489">
        <f>LN(O523)</f>
        <v>4.63414629422461</v>
      </c>
      <c r="Q523" s="489">
        <f>Q522+LN(1+INDEX('Additional data'!$H$2:$H$1196,MATCH(N523,'Additional data'!$G$2:$G$1196,1))+INDEX('Additional data'!$I$2:$I$1196,MATCH(N523,'Additional data'!$G$2:$G$1196,1)))</f>
        <v>3.9992566788711</v>
      </c>
      <c r="R523" s="489">
        <f>LN(INDEX(Data!$B$2:$B$497,MATCH(N523,Data!$A$2:$A$497,1)))</f>
        <v>10.4865299027855</v>
      </c>
      <c r="S523" s="116">
        <f>IF(INDEX('Additional data'!$E$2:$E$699,MATCH(DATE(YEAR(N523),MONTH(N523),1),'Additional data'!$D$2:$D$699,0))=0,(INDEX('Additional data'!$E$2:$E$699,MATCH(DATE(YEAR(N523),MONTH(N523),1),'Additional data'!$D$2:$D$699,0)-1)+INDEX('Additional data'!$E$2:$E$699,MATCH(DATE(YEAR(N523),MONTH(N523),1),'Additional data'!$D$2:$D$699,0)+1))/2,INDEX('Additional data'!$E$2:$E$699,MATCH(DATE(YEAR(N523),MONTH(N523),1),'Additional data'!$D$2:$D$699,0)))</f>
        <v>4.92</v>
      </c>
      <c r="T523" s="425">
        <f>P523-P522</f>
        <v>0.139014213445455</v>
      </c>
      <c r="U523" s="425">
        <f>Q523-Q522</f>
        <v>0.00458945233380703</v>
      </c>
      <c r="V523" s="425">
        <f>R523-R522</f>
        <v>0.00642385423057235</v>
      </c>
      <c r="W523" s="116">
        <f>S523-S522</f>
        <v>0.0024999999999995</v>
      </c>
      <c r="X523" s="425">
        <f>P523-P511</f>
        <v>0.236738557512425</v>
      </c>
      <c r="Y523" s="425">
        <f>Q523-Q511</f>
        <v>0.158663295426624</v>
      </c>
      <c r="Z523" s="425">
        <f>R523-R511</f>
        <v>0.0468972230472886</v>
      </c>
      <c r="AA523" s="116">
        <f>S523-S511</f>
        <v>0.5925</v>
      </c>
      <c r="AB523" s="425">
        <f>P523-P463</f>
        <v>0.492600130518214</v>
      </c>
      <c r="AC523" s="425">
        <f>Q523-Q463</f>
        <v>0.161418466176226</v>
      </c>
      <c r="AD523" s="425">
        <f>R523-R463</f>
        <v>0.175767114744069</v>
      </c>
      <c r="AE523" s="235">
        <f>S523-S463</f>
        <v>-0.69</v>
      </c>
      <c r="AG523" s="554">
        <f>N523</f>
        <v>40633.0</v>
      </c>
      <c r="AH523" s="435">
        <f>IFERROR(INDEX('RBA 5Y yield'!$B$5:$B$661,MATCH(N523,'RBA 5Y yield'!$A$5:$A$661,1))*100,"")</f>
        <v>5.2075</v>
      </c>
      <c r="AI523" s="435">
        <f>IF(AND(ISNUMBER(AH523),ISNUMBER(AH522)),AH523-AH522,"")</f>
        <v>-0.1825</v>
      </c>
      <c r="AJ523" s="435">
        <f>IF(AND(ISNUMBER(AH523),ISNUMBER(AH511)),AH523-AH511,"")</f>
        <v>-0.132499999999999</v>
      </c>
      <c r="AK523" s="435">
        <f>IF(AND(ISNUMBER(AH523),ISNUMBER(AH463)),AH523-AH463,"")</f>
        <v>-0.0900999999999996</v>
      </c>
      <c r="AL523" s="560">
        <f>IFERROR(LN(INDEX(Data!$B$2:$B$497,MATCH(N523,Data!$A$2:$A$497,1))/INDEX(Data!$B$2:$B$497,MATCH(N511,Data!$A$2:$A$497,1))),"")</f>
        <v>0.0468972230472893</v>
      </c>
      <c r="AM523" s="560">
        <f>IFERROR(LN(INDEX(Data!$C$2:$C$497,MATCH(N523,Data!$A$2:$A$497,1))/INDEX(Data!$C$2:$C$497,MATCH(N511,Data!$A$2:$A$497,1))),"")</f>
        <v>-0.0292243076864577</v>
      </c>
      <c r="AN523" s="560">
        <f>IFERROR(LN(INDEX(Data!$D$2:$D$497,MATCH(N523,Data!$A$2:$A$497,1))/INDEX(Data!$D$2:$D$497,MATCH(N511,Data!$A$2:$A$497,1))),"")</f>
        <v>0.00803485455187714</v>
      </c>
      <c r="AO523" s="560">
        <f>IFERROR(LN(INDEX(Data!$E$2:$E$497,MATCH(N523,Data!$A$2:$A$497,1))/INDEX(Data!$E$2:$E$497,MATCH(N511,Data!$A$2:$A$497,1))),"")</f>
        <v>0.0592157735656775</v>
      </c>
      <c r="AP523" s="560">
        <f>IFERROR(LN(INDEX(Data!$F$2:$F$497,MATCH(N523,Data!$A$2:$A$497,1))/INDEX(Data!$F$2:$F$497,MATCH(N511,Data!$A$2:$A$497,1))),"")</f>
        <v>0.0855104811564446</v>
      </c>
      <c r="AQ523" s="560">
        <f>IFERROR(LN(INDEX(Data!$G$2:$G$497,MATCH(N523,Data!$A$2:$A$497,1))/INDEX(Data!$G$2:$G$497,MATCH(N511,Data!$A$2:$A$497,1))),"")</f>
        <v>0.0158839958952469</v>
      </c>
      <c r="AR523" s="560">
        <f>IFERROR(LN(INDEX(Data!$H$2:$H$497,MATCH(N523,Data!$A$2:$A$497,1))/INDEX(Data!$H$2:$H$497,MATCH(N511,Data!$A$2:$A$497,1))),"")</f>
        <v>0.181838457073614</v>
      </c>
      <c r="AS523" s="560">
        <f>IFERROR(LN(INDEX(Data!$I$2:$I$497,MATCH(N523,Data!$A$2:$A$497,1))/INDEX(Data!$I$2:$I$497,MATCH(N511,Data!$A$2:$A$497,1))),"")</f>
        <v>0.0731012539697004</v>
      </c>
      <c r="AT523" s="560">
        <f>IFERROR(LN(INDEX(Data!$J$2:$J$497,MATCH(N523,Data!$A$2:$A$497,1))/INDEX(Data!$J$2:$J$497,MATCH(N511,Data!$A$2:$A$497,1))),"")</f>
        <v>0.0663214169204605</v>
      </c>
      <c r="AU523" s="560">
        <f>IFERROR(LN(INDEX(Data!$K$2:$K$497,MATCH(N523,Data!$A$2:$A$497,1))/INDEX(Data!$K$2:$K$497,MATCH(N511,Data!$A$2:$A$497,1))),"")</f>
        <v>0.0716401689490555</v>
      </c>
      <c r="AV523" s="561">
        <f>IFERROR(LN(INDEX(Data!$L$2:$L$497,MATCH(N523,Data!$A$2:$A$497,1))/INDEX(Data!$L$2:$L$497,MATCH(N511,Data!$A$2:$A$497,1))),"")</f>
        <v>0.0475786234355328</v>
      </c>
    </row>
    <row r="524">
      <c r="N524" s="337" t="n">
        <v>40663</v>
      </c>
      <c r="O524" s="116">
        <f>INDEX('Additional data'!$B$2:$B$965,MATCH(DATE(YEAR(N524),MONTH(N524),1),'Additional data'!$A$2:$A$965,0))</f>
        <v>110.04</v>
      </c>
      <c r="P524" s="489">
        <f>LN(O524)</f>
        <v>4.70084393605637</v>
      </c>
      <c r="Q524" s="489">
        <f>Q523+LN(1+INDEX('Additional data'!$H$2:$H$1196,MATCH(N524,'Additional data'!$G$2:$G$1196,1))+INDEX('Additional data'!$I$2:$I$1196,MATCH(N524,'Additional data'!$G$2:$G$1196,1)))</f>
        <v>4.02784413572302</v>
      </c>
      <c r="R524" s="489">
        <f>LN(INDEX(Data!$B$2:$B$497,MATCH(N524,Data!$A$2:$A$497,1)))</f>
        <v>10.4807570521265</v>
      </c>
      <c r="S524" s="116">
        <f>IF(INDEX('Additional data'!$E$2:$E$699,MATCH(DATE(YEAR(N524),MONTH(N524),1),'Additional data'!$D$2:$D$699,0))=0,(INDEX('Additional data'!$E$2:$E$699,MATCH(DATE(YEAR(N524),MONTH(N524),1),'Additional data'!$D$2:$D$699,0)-1)+INDEX('Additional data'!$E$2:$E$699,MATCH(DATE(YEAR(N524),MONTH(N524),1),'Additional data'!$D$2:$D$699,0)+1))/2,INDEX('Additional data'!$E$2:$E$699,MATCH(DATE(YEAR(N524),MONTH(N524),1),'Additional data'!$D$2:$D$699,0)))</f>
        <v>4.9</v>
      </c>
      <c r="T524" s="425">
        <f>P524-P523</f>
        <v>0.0666976418317651</v>
      </c>
      <c r="U524" s="425">
        <f>Q524-Q523</f>
        <v>0.0285874568519122</v>
      </c>
      <c r="V524" s="425">
        <f>R524-R523</f>
        <v>-0.00577285065902089</v>
      </c>
      <c r="W524" s="116">
        <f>S524-S523</f>
        <v>-0.0199999999999996</v>
      </c>
      <c r="X524" s="425">
        <f>P524-P512</f>
        <v>0.264329116098422</v>
      </c>
      <c r="Y524" s="425">
        <f>Q524-Q512</f>
        <v>0.167448124982356</v>
      </c>
      <c r="Z524" s="425">
        <f>R524-R512</f>
        <v>0.0529716772792401</v>
      </c>
      <c r="AA524" s="116">
        <f>S524-S512</f>
        <v>0.355</v>
      </c>
      <c r="AB524" s="425">
        <f>P524-P464</f>
        <v>0.456787100605946</v>
      </c>
      <c r="AC524" s="425">
        <f>Q524-Q464</f>
        <v>0.179164899850264</v>
      </c>
      <c r="AD524" s="425">
        <f>R524-R464</f>
        <v>0.146233173109007</v>
      </c>
      <c r="AE524" s="235">
        <f>S524-S464</f>
        <v>-0.79</v>
      </c>
      <c r="AG524" s="554">
        <f>N524</f>
        <v>40663.0</v>
      </c>
      <c r="AH524" s="435">
        <f>IFERROR(INDEX('RBA 5Y yield'!$B$5:$B$661,MATCH(N524,'RBA 5Y yield'!$A$5:$A$661,1))*100,"")</f>
        <v>5.2925</v>
      </c>
      <c r="AI524" s="435">
        <f>IF(AND(ISNUMBER(AH524),ISNUMBER(AH523)),AH524-AH523,"")</f>
        <v>0.085</v>
      </c>
      <c r="AJ524" s="435">
        <f>IF(AND(ISNUMBER(AH524),ISNUMBER(AH512)),AH524-AH512,"")</f>
        <v>-0.2375</v>
      </c>
      <c r="AK524" s="435">
        <f>IF(AND(ISNUMBER(AH524),ISNUMBER(AH464)),AH524-AH464,"")</f>
        <v>-0.257499999999999</v>
      </c>
      <c r="AL524" s="560">
        <f>IFERROR(LN(INDEX(Data!$B$2:$B$497,MATCH(N524,Data!$A$2:$A$497,1))/INDEX(Data!$B$2:$B$497,MATCH(N512,Data!$A$2:$A$497,1))),"")</f>
        <v>0.0529716772792395</v>
      </c>
      <c r="AM524" s="560">
        <f>IFERROR(LN(INDEX(Data!$C$2:$C$497,MATCH(N524,Data!$A$2:$A$497,1))/INDEX(Data!$C$2:$C$497,MATCH(N512,Data!$A$2:$A$497,1))),"")</f>
        <v>-0.0517726468763232</v>
      </c>
      <c r="AN524" s="560">
        <f>IFERROR(LN(INDEX(Data!$D$2:$D$497,MATCH(N524,Data!$A$2:$A$497,1))/INDEX(Data!$D$2:$D$497,MATCH(N512,Data!$A$2:$A$497,1))),"")</f>
        <v>-0.0274804143428872</v>
      </c>
      <c r="AO524" s="560">
        <f>IFERROR(LN(INDEX(Data!$E$2:$E$497,MATCH(N524,Data!$A$2:$A$497,1))/INDEX(Data!$E$2:$E$497,MATCH(N512,Data!$A$2:$A$497,1))),"")</f>
        <v>0.015608403564493</v>
      </c>
      <c r="AP524" s="560">
        <f>IFERROR(LN(INDEX(Data!$F$2:$F$497,MATCH(N524,Data!$A$2:$A$497,1))/INDEX(Data!$F$2:$F$497,MATCH(N512,Data!$A$2:$A$497,1))),"")</f>
        <v>0.0587939093716584</v>
      </c>
      <c r="AQ524" s="560">
        <f>IFERROR(LN(INDEX(Data!$G$2:$G$497,MATCH(N524,Data!$A$2:$A$497,1))/INDEX(Data!$G$2:$G$497,MATCH(N512,Data!$A$2:$A$497,1))),"")</f>
        <v>0.0158839958952469</v>
      </c>
      <c r="AR524" s="560">
        <f>IFERROR(LN(INDEX(Data!$H$2:$H$497,MATCH(N524,Data!$A$2:$A$497,1))/INDEX(Data!$H$2:$H$497,MATCH(N512,Data!$A$2:$A$497,1))),"")</f>
        <v>0.186511595083357</v>
      </c>
      <c r="AS524" s="560">
        <f>IFERROR(LN(INDEX(Data!$I$2:$I$497,MATCH(N524,Data!$A$2:$A$497,1))/INDEX(Data!$I$2:$I$497,MATCH(N512,Data!$A$2:$A$497,1))),"")</f>
        <v>0.0731012539697004</v>
      </c>
      <c r="AT524" s="560">
        <f>IFERROR(LN(INDEX(Data!$J$2:$J$497,MATCH(N524,Data!$A$2:$A$497,1))/INDEX(Data!$J$2:$J$497,MATCH(N512,Data!$A$2:$A$497,1))),"")</f>
        <v>0.0656055852539163</v>
      </c>
      <c r="AU524" s="560">
        <f>IFERROR(LN(INDEX(Data!$K$2:$K$497,MATCH(N524,Data!$A$2:$A$497,1))/INDEX(Data!$K$2:$K$497,MATCH(N512,Data!$A$2:$A$497,1))),"")</f>
        <v>0.0751938031243128</v>
      </c>
      <c r="AV524" s="561">
        <f>IFERROR(LN(INDEX(Data!$L$2:$L$497,MATCH(N524,Data!$A$2:$A$497,1))/INDEX(Data!$L$2:$L$497,MATCH(N512,Data!$A$2:$A$497,1))),"")</f>
        <v>0.0481403738713238</v>
      </c>
    </row>
    <row r="525">
      <c r="N525" s="337" t="n">
        <v>40694</v>
      </c>
      <c r="O525" s="116">
        <f>INDEX('Additional data'!$B$2:$B$965,MATCH(DATE(YEAR(N525),MONTH(N525),1),'Additional data'!$A$2:$A$965,0))</f>
        <v>101.33</v>
      </c>
      <c r="P525" s="489">
        <f>LN(O525)</f>
        <v>4.61838251746023</v>
      </c>
      <c r="Q525" s="489">
        <f>Q524+LN(1+INDEX('Additional data'!$H$2:$H$1196,MATCH(N525,'Additional data'!$G$2:$G$1196,1))+INDEX('Additional data'!$I$2:$I$1196,MATCH(N525,'Additional data'!$G$2:$G$1196,1)))</f>
        <v>4.01506280135828</v>
      </c>
      <c r="R525" s="489">
        <f>LN(INDEX(Data!$B$2:$B$497,MATCH(N525,Data!$A$2:$A$497,1)))</f>
        <v>10.4617258633621</v>
      </c>
      <c r="S525" s="116">
        <f>IF(INDEX('Additional data'!$E$2:$E$699,MATCH(DATE(YEAR(N525),MONTH(N525),1),'Additional data'!$D$2:$D$699,0))=0,(INDEX('Additional data'!$E$2:$E$699,MATCH(DATE(YEAR(N525),MONTH(N525),1),'Additional data'!$D$2:$D$699,0)-1)+INDEX('Additional data'!$E$2:$E$699,MATCH(DATE(YEAR(N525),MONTH(N525),1),'Additional data'!$D$2:$D$699,0)+1))/2,INDEX('Additional data'!$E$2:$E$699,MATCH(DATE(YEAR(N525),MONTH(N525),1),'Additional data'!$D$2:$D$699,0)))</f>
        <v>5.0025</v>
      </c>
      <c r="T525" s="425">
        <f>P525-P524</f>
        <v>-0.0824614185961474</v>
      </c>
      <c r="U525" s="425">
        <f>Q525-Q524</f>
        <v>-0.0127813343647327</v>
      </c>
      <c r="V525" s="425">
        <f>R525-R524</f>
        <v>-0.019031188764389</v>
      </c>
      <c r="W525" s="116">
        <f>S525-S524</f>
        <v>0.1025</v>
      </c>
      <c r="X525" s="425">
        <f>P525-P513</f>
        <v>0.316481927265629</v>
      </c>
      <c r="Y525" s="425">
        <f>Q525-Q513</f>
        <v>0.236853461605571</v>
      </c>
      <c r="Z525" s="425">
        <f>R525-R513</f>
        <v>0.112635775460918</v>
      </c>
      <c r="AA525" s="116">
        <f>S525-S513</f>
        <v>0.197500000000001</v>
      </c>
      <c r="AB525" s="425">
        <f>P525-P465</f>
        <v>0.35654806811475</v>
      </c>
      <c r="AC525" s="425">
        <f>Q525-Q465</f>
        <v>0.198183878035329</v>
      </c>
      <c r="AD525" s="425">
        <f>R525-R465</f>
        <v>0.171539085619202</v>
      </c>
      <c r="AE525" s="235">
        <f>S525-S465</f>
        <v>-0.8675</v>
      </c>
      <c r="AG525" s="554">
        <f>N525</f>
        <v>40694.0</v>
      </c>
      <c r="AH525" s="435">
        <f>IFERROR(INDEX('RBA 5Y yield'!$B$5:$B$661,MATCH(N525,'RBA 5Y yield'!$A$5:$A$661,1))*100,"")</f>
        <v>5.1525</v>
      </c>
      <c r="AI525" s="435">
        <f>IF(AND(ISNUMBER(AH525),ISNUMBER(AH524)),AH525-AH524,"")</f>
        <v>-0.140000000000001</v>
      </c>
      <c r="AJ525" s="435">
        <f>IF(AND(ISNUMBER(AH525),ISNUMBER(AH513)),AH525-AH513,"")</f>
        <v>-0.0525000000000002</v>
      </c>
      <c r="AK525" s="435">
        <f>IF(AND(ISNUMBER(AH525),ISNUMBER(AH465)),AH525-AH465,"")</f>
        <v>-0.5784</v>
      </c>
      <c r="AL525" s="560">
        <f>IFERROR(LN(INDEX(Data!$B$2:$B$497,MATCH(N525,Data!$A$2:$A$497,1))/INDEX(Data!$B$2:$B$497,MATCH(N513,Data!$A$2:$A$497,1))),"")</f>
        <v>0.112635775460919</v>
      </c>
      <c r="AM525" s="560">
        <f>IFERROR(LN(INDEX(Data!$C$2:$C$497,MATCH(N525,Data!$A$2:$A$497,1))/INDEX(Data!$C$2:$C$497,MATCH(N513,Data!$A$2:$A$497,1))),"")</f>
        <v>-0.0633390642405916</v>
      </c>
      <c r="AN525" s="560">
        <f>IFERROR(LN(INDEX(Data!$D$2:$D$497,MATCH(N525,Data!$A$2:$A$497,1))/INDEX(Data!$D$2:$D$497,MATCH(N513,Data!$A$2:$A$497,1))),"")</f>
        <v>-0.06755376490472</v>
      </c>
      <c r="AO525" s="560">
        <f>IFERROR(LN(INDEX(Data!$E$2:$E$497,MATCH(N525,Data!$A$2:$A$497,1))/INDEX(Data!$E$2:$E$497,MATCH(N513,Data!$A$2:$A$497,1))),"")</f>
        <v>0.00950911496863071</v>
      </c>
      <c r="AP525" s="560">
        <f>IFERROR(LN(INDEX(Data!$F$2:$F$497,MATCH(N525,Data!$A$2:$A$497,1))/INDEX(Data!$F$2:$F$497,MATCH(N513,Data!$A$2:$A$497,1))),"")</f>
        <v>0.0513454116775421</v>
      </c>
      <c r="AQ525" s="560">
        <f>IFERROR(LN(INDEX(Data!$G$2:$G$497,MATCH(N525,Data!$A$2:$A$497,1))/INDEX(Data!$G$2:$G$497,MATCH(N513,Data!$A$2:$A$497,1))),"")</f>
        <v>0.0158839958952469</v>
      </c>
      <c r="AR525" s="560">
        <f>IFERROR(LN(INDEX(Data!$H$2:$H$497,MATCH(N525,Data!$A$2:$A$497,1))/INDEX(Data!$H$2:$H$497,MATCH(N513,Data!$A$2:$A$497,1))),"")</f>
        <v>0.218575486330139</v>
      </c>
      <c r="AS525" s="560">
        <f>IFERROR(LN(INDEX(Data!$I$2:$I$497,MATCH(N525,Data!$A$2:$A$497,1))/INDEX(Data!$I$2:$I$497,MATCH(N513,Data!$A$2:$A$497,1))),"")</f>
        <v>0.0731012539697004</v>
      </c>
      <c r="AT525" s="560">
        <f>IFERROR(LN(INDEX(Data!$J$2:$J$497,MATCH(N525,Data!$A$2:$A$497,1))/INDEX(Data!$J$2:$J$497,MATCH(N513,Data!$A$2:$A$497,1))),"")</f>
        <v>0.0620443199044445</v>
      </c>
      <c r="AU525" s="560">
        <f>IFERROR(LN(INDEX(Data!$K$2:$K$497,MATCH(N525,Data!$A$2:$A$497,1))/INDEX(Data!$K$2:$K$497,MATCH(N513,Data!$A$2:$A$497,1))),"")</f>
        <v>0.0771694887843369</v>
      </c>
      <c r="AV525" s="561">
        <f>IFERROR(LN(INDEX(Data!$L$2:$L$497,MATCH(N525,Data!$A$2:$A$497,1))/INDEX(Data!$L$2:$L$497,MATCH(N513,Data!$A$2:$A$497,1))),"")</f>
        <v>0.048549518408298</v>
      </c>
    </row>
    <row r="526">
      <c r="N526" s="337" t="n">
        <v>40724</v>
      </c>
      <c r="O526" s="116">
        <f>INDEX('Additional data'!$B$2:$B$965,MATCH(DATE(YEAR(N526),MONTH(N526),1),'Additional data'!$A$2:$A$965,0))</f>
        <v>96.29</v>
      </c>
      <c r="P526" s="489">
        <f>LN(O526)</f>
        <v>4.56736447125219</v>
      </c>
      <c r="Q526" s="489">
        <f>Q525+LN(1+INDEX('Additional data'!$H$2:$H$1196,MATCH(N526,'Additional data'!$G$2:$G$1196,1))+INDEX('Additional data'!$I$2:$I$1196,MATCH(N526,'Additional data'!$G$2:$G$1196,1)))</f>
        <v>3.99750964211069</v>
      </c>
      <c r="R526" s="489">
        <f>LN(INDEX(Data!$B$2:$B$497,MATCH(N526,Data!$A$2:$A$497,1)))</f>
        <v>10.4375664259719</v>
      </c>
      <c r="S526" s="116">
        <f>IF(INDEX('Additional data'!$E$2:$E$699,MATCH(DATE(YEAR(N526),MONTH(N526),1),'Additional data'!$D$2:$D$699,0))=0,(INDEX('Additional data'!$E$2:$E$699,MATCH(DATE(YEAR(N526),MONTH(N526),1),'Additional data'!$D$2:$D$699,0)-1)+INDEX('Additional data'!$E$2:$E$699,MATCH(DATE(YEAR(N526),MONTH(N526),1),'Additional data'!$D$2:$D$699,0)+1))/2,INDEX('Additional data'!$E$2:$E$699,MATCH(DATE(YEAR(N526),MONTH(N526),1),'Additional data'!$D$2:$D$699,0)))</f>
        <v>4.9925</v>
      </c>
      <c r="T526" s="425">
        <f>P526-P525</f>
        <v>-0.0510180462080339</v>
      </c>
      <c r="U526" s="425">
        <f>Q526-Q525</f>
        <v>-0.0175531592475893</v>
      </c>
      <c r="V526" s="425">
        <f>R526-R525</f>
        <v>-0.0241594373902174</v>
      </c>
      <c r="W526" s="116">
        <f>S526-S525</f>
        <v>-0.0100000000000007</v>
      </c>
      <c r="X526" s="425">
        <f>P526-P514</f>
        <v>0.245220546179688</v>
      </c>
      <c r="Y526" s="425">
        <f>Q526-Q514</f>
        <v>0.276399894398554</v>
      </c>
      <c r="Z526" s="425">
        <f>R526-R514</f>
        <v>0.114870122770338</v>
      </c>
      <c r="AA526" s="116">
        <f>S526-S514</f>
        <v>0.105</v>
      </c>
      <c r="AB526" s="425">
        <f>P526-P466</f>
        <v>0.305248133250869</v>
      </c>
      <c r="AC526" s="425">
        <f>Q526-Q466</f>
        <v>0.180130843746088</v>
      </c>
      <c r="AD526" s="425">
        <f>R526-R466</f>
        <v>0.128987001638238</v>
      </c>
      <c r="AE526" s="235">
        <f>S526-S466</f>
        <v>-0.9675</v>
      </c>
      <c r="AG526" s="554">
        <f>N526</f>
        <v>40724.0</v>
      </c>
      <c r="AH526" s="435">
        <f>IFERROR(INDEX('RBA 5Y yield'!$B$5:$B$661,MATCH(N526,'RBA 5Y yield'!$A$5:$A$661,1))*100,"")</f>
        <v>4.885</v>
      </c>
      <c r="AI526" s="435">
        <f>IF(AND(ISNUMBER(AH526),ISNUMBER(AH525)),AH526-AH525,"")</f>
        <v>-0.2675</v>
      </c>
      <c r="AJ526" s="435">
        <f>IF(AND(ISNUMBER(AH526),ISNUMBER(AH514)),AH526-AH514,"")</f>
        <v>-0.0875000000000004</v>
      </c>
      <c r="AK526" s="435">
        <f>IF(AND(ISNUMBER(AH526),ISNUMBER(AH466)),AH526-AH466,"")</f>
        <v>-0.8633</v>
      </c>
      <c r="AL526" s="560">
        <f>IFERROR(LN(INDEX(Data!$B$2:$B$497,MATCH(N526,Data!$A$2:$A$497,1))/INDEX(Data!$B$2:$B$497,MATCH(N514,Data!$A$2:$A$497,1))),"")</f>
        <v>0.114870122770338</v>
      </c>
      <c r="AM526" s="560">
        <f>IFERROR(LN(INDEX(Data!$C$2:$C$497,MATCH(N526,Data!$A$2:$A$497,1))/INDEX(Data!$C$2:$C$497,MATCH(N514,Data!$A$2:$A$497,1))),"")</f>
        <v>-0.0344615265011977</v>
      </c>
      <c r="AN526" s="560">
        <f>IFERROR(LN(INDEX(Data!$D$2:$D$497,MATCH(N526,Data!$A$2:$A$497,1))/INDEX(Data!$D$2:$D$497,MATCH(N514,Data!$A$2:$A$497,1))),"")</f>
        <v>-0.078958811234564</v>
      </c>
      <c r="AO526" s="560">
        <f>IFERROR(LN(INDEX(Data!$E$2:$E$497,MATCH(N526,Data!$A$2:$A$497,1))/INDEX(Data!$E$2:$E$497,MATCH(N514,Data!$A$2:$A$497,1))),"")</f>
        <v>0.0205451502468372</v>
      </c>
      <c r="AP526" s="560">
        <f>IFERROR(LN(INDEX(Data!$F$2:$F$497,MATCH(N526,Data!$A$2:$A$497,1))/INDEX(Data!$F$2:$F$497,MATCH(N514,Data!$A$2:$A$497,1))),"")</f>
        <v>-0.00504915717826135</v>
      </c>
      <c r="AQ526" s="560">
        <f>IFERROR(LN(INDEX(Data!$G$2:$G$497,MATCH(N526,Data!$A$2:$A$497,1))/INDEX(Data!$G$2:$G$497,MATCH(N514,Data!$A$2:$A$497,1))),"")</f>
        <v>-0.0103156842931467</v>
      </c>
      <c r="AR526" s="560">
        <f>IFERROR(LN(INDEX(Data!$H$2:$H$497,MATCH(N526,Data!$A$2:$A$497,1))/INDEX(Data!$H$2:$H$497,MATCH(N514,Data!$A$2:$A$497,1))),"")</f>
        <v>0.212662391344098</v>
      </c>
      <c r="AS526" s="560">
        <f>IFERROR(LN(INDEX(Data!$I$2:$I$497,MATCH(N526,Data!$A$2:$A$497,1))/INDEX(Data!$I$2:$I$497,MATCH(N514,Data!$A$2:$A$497,1))),"")</f>
        <v>0.0816760234746174</v>
      </c>
      <c r="AT526" s="560">
        <f>IFERROR(LN(INDEX(Data!$J$2:$J$497,MATCH(N526,Data!$A$2:$A$497,1))/INDEX(Data!$J$2:$J$497,MATCH(N514,Data!$A$2:$A$497,1))),"")</f>
        <v>0.0539850882403287</v>
      </c>
      <c r="AU526" s="560">
        <f>IFERROR(LN(INDEX(Data!$K$2:$K$497,MATCH(N526,Data!$A$2:$A$497,1))/INDEX(Data!$K$2:$K$497,MATCH(N514,Data!$A$2:$A$497,1))),"")</f>
        <v>0.0754227048209357</v>
      </c>
      <c r="AV526" s="561">
        <f>IFERROR(LN(INDEX(Data!$L$2:$L$497,MATCH(N526,Data!$A$2:$A$497,1))/INDEX(Data!$L$2:$L$497,MATCH(N514,Data!$A$2:$A$497,1))),"")</f>
        <v>0.0486412024475004</v>
      </c>
    </row>
    <row r="527">
      <c r="N527" s="337" t="n">
        <v>40755</v>
      </c>
      <c r="O527" s="116">
        <f>INDEX('Additional data'!$B$2:$B$965,MATCH(DATE(YEAR(N527),MONTH(N527),1),'Additional data'!$A$2:$A$965,0))</f>
        <v>97.19</v>
      </c>
      <c r="P527" s="489">
        <f>LN(O527)</f>
        <v>4.57666782551538</v>
      </c>
      <c r="Q527" s="489">
        <f>Q526+LN(1+INDEX('Additional data'!$H$2:$H$1196,MATCH(N527,'Additional data'!$G$2:$G$1196,1))+INDEX('Additional data'!$I$2:$I$1196,MATCH(N527,'Additional data'!$G$2:$G$1196,1)))</f>
        <v>3.97372911344529</v>
      </c>
      <c r="R527" s="489">
        <f>LN(INDEX(Data!$B$2:$B$497,MATCH(N527,Data!$A$2:$A$497,1)))</f>
        <v>10.4029689664917</v>
      </c>
      <c r="S527" s="116">
        <f>IF(INDEX('Additional data'!$E$2:$E$699,MATCH(DATE(YEAR(N527),MONTH(N527),1),'Additional data'!$D$2:$D$699,0))=0,(INDEX('Additional data'!$E$2:$E$699,MATCH(DATE(YEAR(N527),MONTH(N527),1),'Additional data'!$D$2:$D$699,0)-1)+INDEX('Additional data'!$E$2:$E$699,MATCH(DATE(YEAR(N527),MONTH(N527),1),'Additional data'!$D$2:$D$699,0)+1))/2,INDEX('Additional data'!$E$2:$E$699,MATCH(DATE(YEAR(N527),MONTH(N527),1),'Additional data'!$D$2:$D$699,0)))</f>
        <v>4.955</v>
      </c>
      <c r="T527" s="425">
        <f>P527-P526</f>
        <v>0.00930335426318685</v>
      </c>
      <c r="U527" s="425">
        <f>Q527-Q526</f>
        <v>-0.0237805286654034</v>
      </c>
      <c r="V527" s="425">
        <f>R527-R526</f>
        <v>-0.0345974594801994</v>
      </c>
      <c r="W527" s="116">
        <f>S527-S526</f>
        <v>-0.0374999999999996</v>
      </c>
      <c r="X527" s="425">
        <f>P527-P515</f>
        <v>0.241077876615086</v>
      </c>
      <c r="Y527" s="425">
        <f>Q527-Q515</f>
        <v>0.185615136952677</v>
      </c>
      <c r="Z527" s="425">
        <f>R527-R515</f>
        <v>0.0388462824043714</v>
      </c>
      <c r="AA527" s="116">
        <f>S527-S515</f>
        <v>0.115</v>
      </c>
      <c r="AB527" s="425">
        <f>P527-P467</f>
        <v>0.26707748410621</v>
      </c>
      <c r="AC527" s="425">
        <f>Q527-Q467</f>
        <v>0.160057177012011</v>
      </c>
      <c r="AD527" s="425">
        <f>R527-R467</f>
        <v>0.109654514384712</v>
      </c>
      <c r="AE527" s="235">
        <f>S527-S467</f>
        <v>-1.095</v>
      </c>
      <c r="AG527" s="554">
        <f>N527</f>
        <v>40755.0</v>
      </c>
      <c r="AH527" s="435">
        <f>IFERROR(INDEX('RBA 5Y yield'!$B$5:$B$661,MATCH(N527,'RBA 5Y yield'!$A$5:$A$661,1))*100,"")</f>
        <v>4.6575</v>
      </c>
      <c r="AI527" s="435">
        <f>IF(AND(ISNUMBER(AH527),ISNUMBER(AH526)),AH527-AH526,"")</f>
        <v>-0.2275</v>
      </c>
      <c r="AJ527" s="435">
        <f>IF(AND(ISNUMBER(AH527),ISNUMBER(AH515)),AH527-AH515,"")</f>
        <v>-0.135000000000001</v>
      </c>
      <c r="AK527" s="435">
        <f>IF(AND(ISNUMBER(AH527),ISNUMBER(AH467)),AH527-AH467,"")</f>
        <v>-1.2113</v>
      </c>
      <c r="AL527" s="560">
        <f>IFERROR(LN(INDEX(Data!$B$2:$B$497,MATCH(N527,Data!$A$2:$A$497,1))/INDEX(Data!$B$2:$B$497,MATCH(N515,Data!$A$2:$A$497,1))),"")</f>
        <v>0.0388462824043713</v>
      </c>
      <c r="AM527" s="560">
        <f>IFERROR(LN(INDEX(Data!$C$2:$C$497,MATCH(N527,Data!$A$2:$A$497,1))/INDEX(Data!$C$2:$C$497,MATCH(N515,Data!$A$2:$A$497,1))),"")</f>
        <v>-0.0742535948338126</v>
      </c>
      <c r="AN527" s="560">
        <f>IFERROR(LN(INDEX(Data!$D$2:$D$497,MATCH(N527,Data!$A$2:$A$497,1))/INDEX(Data!$D$2:$D$497,MATCH(N515,Data!$A$2:$A$497,1))),"")</f>
        <v>-0.104787216144323</v>
      </c>
      <c r="AO527" s="560">
        <f>IFERROR(LN(INDEX(Data!$E$2:$E$497,MATCH(N527,Data!$A$2:$A$497,1))/INDEX(Data!$E$2:$E$497,MATCH(N515,Data!$A$2:$A$497,1))),"")</f>
        <v>-0.0158226612797798</v>
      </c>
      <c r="AP527" s="560">
        <f>IFERROR(LN(INDEX(Data!$F$2:$F$497,MATCH(N527,Data!$A$2:$A$497,1))/INDEX(Data!$F$2:$F$497,MATCH(N515,Data!$A$2:$A$497,1))),"")</f>
        <v>0.00784226911798739</v>
      </c>
      <c r="AQ527" s="560">
        <f>IFERROR(LN(INDEX(Data!$G$2:$G$497,MATCH(N527,Data!$A$2:$A$497,1))/INDEX(Data!$G$2:$G$497,MATCH(N515,Data!$A$2:$A$497,1))),"")</f>
        <v>-0.0103156842931467</v>
      </c>
      <c r="AR527" s="560">
        <f>IFERROR(LN(INDEX(Data!$H$2:$H$497,MATCH(N527,Data!$A$2:$A$497,1))/INDEX(Data!$H$2:$H$497,MATCH(N515,Data!$A$2:$A$497,1))),"")</f>
        <v>0.15254395829867</v>
      </c>
      <c r="AS527" s="560">
        <f>IFERROR(LN(INDEX(Data!$I$2:$I$497,MATCH(N527,Data!$A$2:$A$497,1))/INDEX(Data!$I$2:$I$497,MATCH(N515,Data!$A$2:$A$497,1))),"")</f>
        <v>0.0816760234746174</v>
      </c>
      <c r="AT527" s="560">
        <f>IFERROR(LN(INDEX(Data!$J$2:$J$497,MATCH(N527,Data!$A$2:$A$497,1))/INDEX(Data!$J$2:$J$497,MATCH(N515,Data!$A$2:$A$497,1))),"")</f>
        <v>0.0678594401176447</v>
      </c>
      <c r="AU527" s="560">
        <f>IFERROR(LN(INDEX(Data!$K$2:$K$497,MATCH(N527,Data!$A$2:$A$497,1))/INDEX(Data!$K$2:$K$497,MATCH(N515,Data!$A$2:$A$497,1))),"")</f>
        <v>0.0704639778711346</v>
      </c>
      <c r="AV527" s="561">
        <f>IFERROR(LN(INDEX(Data!$L$2:$L$497,MATCH(N527,Data!$A$2:$A$497,1))/INDEX(Data!$L$2:$L$497,MATCH(N515,Data!$A$2:$A$497,1))),"")</f>
        <v>0.0486020676100849</v>
      </c>
    </row>
    <row r="528">
      <c r="N528" s="337" t="n">
        <v>40786</v>
      </c>
      <c r="O528" s="116">
        <f>INDEX('Additional data'!$B$2:$B$965,MATCH(DATE(YEAR(N528),MONTH(N528),1),'Additional data'!$A$2:$A$965,0))</f>
        <v>86.33</v>
      </c>
      <c r="P528" s="489">
        <f>LN(O528)</f>
        <v>4.45817716224743</v>
      </c>
      <c r="Q528" s="489">
        <f>Q527+LN(1+INDEX('Additional data'!$H$2:$H$1196,MATCH(N528,'Additional data'!$G$2:$G$1196,1))+INDEX('Additional data'!$I$2:$I$1196,MATCH(N528,'Additional data'!$G$2:$G$1196,1)))</f>
        <v>3.91238548320424</v>
      </c>
      <c r="R528" s="489">
        <f>LN(INDEX(Data!$B$2:$B$497,MATCH(N528,Data!$A$2:$A$497,1)))</f>
        <v>10.3827177279407</v>
      </c>
      <c r="S528" s="116">
        <f>IF(INDEX('Additional data'!$E$2:$E$699,MATCH(DATE(YEAR(N528),MONTH(N528),1),'Additional data'!$D$2:$D$699,0))=0,(INDEX('Additional data'!$E$2:$E$699,MATCH(DATE(YEAR(N528),MONTH(N528),1),'Additional data'!$D$2:$D$699,0)-1)+INDEX('Additional data'!$E$2:$E$699,MATCH(DATE(YEAR(N528),MONTH(N528),1),'Additional data'!$D$2:$D$699,0)+1))/2,INDEX('Additional data'!$E$2:$E$699,MATCH(DATE(YEAR(N528),MONTH(N528),1),'Additional data'!$D$2:$D$699,0)))</f>
        <v>4.8575</v>
      </c>
      <c r="T528" s="425">
        <f>P528-P527</f>
        <v>-0.118490663267948</v>
      </c>
      <c r="U528" s="425">
        <f>Q528-Q527</f>
        <v>-0.0613436302410522</v>
      </c>
      <c r="V528" s="425">
        <f>R528-R527</f>
        <v>-0.0202512385509479</v>
      </c>
      <c r="W528" s="116">
        <f>S528-S527</f>
        <v>-0.0975000000000001</v>
      </c>
      <c r="X528" s="425">
        <f>P528-P516</f>
        <v>0.116712139329673</v>
      </c>
      <c r="Y528" s="425">
        <f>Q528-Q516</f>
        <v>0.173146674493762</v>
      </c>
      <c r="Z528" s="425">
        <f>R528-R516</f>
        <v>0.0257386521401415</v>
      </c>
      <c r="AA528" s="116">
        <f>S528-S516</f>
        <v>0.115</v>
      </c>
      <c r="AB528" s="425">
        <f>P528-P468</f>
        <v>0.167033024050723</v>
      </c>
      <c r="AC528" s="425">
        <f>Q528-Q468</f>
        <v>0.0745088580741418</v>
      </c>
      <c r="AD528" s="425">
        <f>R528-R468</f>
        <v>0.0581457530289296</v>
      </c>
      <c r="AE528" s="235">
        <f>S528-S468</f>
        <v>-1.3325</v>
      </c>
      <c r="AG528" s="554">
        <f>N528</f>
        <v>40786.0</v>
      </c>
      <c r="AH528" s="435">
        <f>IFERROR(INDEX('RBA 5Y yield'!$B$5:$B$661,MATCH(N528,'RBA 5Y yield'!$A$5:$A$661,1))*100,"")</f>
        <v>4.0175</v>
      </c>
      <c r="AI528" s="435">
        <f>IF(AND(ISNUMBER(AH528),ISNUMBER(AH527)),AH528-AH527,"")</f>
        <v>-0.64</v>
      </c>
      <c r="AJ528" s="435">
        <f>IF(AND(ISNUMBER(AH528),ISNUMBER(AH516)),AH528-AH516,"")</f>
        <v>-0.645</v>
      </c>
      <c r="AK528" s="435">
        <f>IF(AND(ISNUMBER(AH528),ISNUMBER(AH468)),AH528-AH468,"")</f>
        <v>-1.8227</v>
      </c>
      <c r="AL528" s="560">
        <f>IFERROR(LN(INDEX(Data!$B$2:$B$497,MATCH(N528,Data!$A$2:$A$497,1))/INDEX(Data!$B$2:$B$497,MATCH(N516,Data!$A$2:$A$497,1))),"")</f>
        <v>0.0257386521401413</v>
      </c>
      <c r="AM528" s="560">
        <f>IFERROR(LN(INDEX(Data!$C$2:$C$497,MATCH(N528,Data!$A$2:$A$497,1))/INDEX(Data!$C$2:$C$497,MATCH(N516,Data!$A$2:$A$497,1))),"")</f>
        <v>-0.101640672600914</v>
      </c>
      <c r="AN528" s="560">
        <f>IFERROR(LN(INDEX(Data!$D$2:$D$497,MATCH(N528,Data!$A$2:$A$497,1))/INDEX(Data!$D$2:$D$497,MATCH(N516,Data!$A$2:$A$497,1))),"")</f>
        <v>-0.158188041540986</v>
      </c>
      <c r="AO528" s="560">
        <f>IFERROR(LN(INDEX(Data!$E$2:$E$497,MATCH(N528,Data!$A$2:$A$497,1))/INDEX(Data!$E$2:$E$497,MATCH(N516,Data!$A$2:$A$497,1))),"")</f>
        <v>-0.0543673165389344</v>
      </c>
      <c r="AP528" s="560">
        <f>IFERROR(LN(INDEX(Data!$F$2:$F$497,MATCH(N528,Data!$A$2:$A$497,1))/INDEX(Data!$F$2:$F$497,MATCH(N516,Data!$A$2:$A$497,1))),"")</f>
        <v>0.0544769333509143</v>
      </c>
      <c r="AQ528" s="560">
        <f>IFERROR(LN(INDEX(Data!$G$2:$G$497,MATCH(N528,Data!$A$2:$A$497,1))/INDEX(Data!$G$2:$G$497,MATCH(N516,Data!$A$2:$A$497,1))),"")</f>
        <v>-0.0103156842931467</v>
      </c>
      <c r="AR528" s="560">
        <f>IFERROR(LN(INDEX(Data!$H$2:$H$497,MATCH(N528,Data!$A$2:$A$497,1))/INDEX(Data!$H$2:$H$497,MATCH(N516,Data!$A$2:$A$497,1))),"")</f>
        <v>0.0990741007164031</v>
      </c>
      <c r="AS528" s="560">
        <f>IFERROR(LN(INDEX(Data!$I$2:$I$497,MATCH(N528,Data!$A$2:$A$497,1))/INDEX(Data!$I$2:$I$497,MATCH(N516,Data!$A$2:$A$497,1))),"")</f>
        <v>0.0816760234746174</v>
      </c>
      <c r="AT528" s="560">
        <f>IFERROR(LN(INDEX(Data!$J$2:$J$497,MATCH(N528,Data!$A$2:$A$497,1))/INDEX(Data!$J$2:$J$497,MATCH(N516,Data!$A$2:$A$497,1))),"")</f>
        <v>0.0685508931345722</v>
      </c>
      <c r="AU528" s="560">
        <f>IFERROR(LN(INDEX(Data!$K$2:$K$497,MATCH(N528,Data!$A$2:$A$497,1))/INDEX(Data!$K$2:$K$497,MATCH(N516,Data!$A$2:$A$497,1))),"")</f>
        <v>0.0664992799057994</v>
      </c>
      <c r="AV528" s="561">
        <f>IFERROR(LN(INDEX(Data!$L$2:$L$497,MATCH(N528,Data!$A$2:$A$497,1))/INDEX(Data!$L$2:$L$497,MATCH(N516,Data!$A$2:$A$497,1))),"")</f>
        <v>0.0488034756923474</v>
      </c>
    </row>
    <row r="529">
      <c r="N529" s="337" t="n">
        <v>40816</v>
      </c>
      <c r="O529" s="116">
        <f>INDEX('Additional data'!$B$2:$B$965,MATCH(DATE(YEAR(N529),MONTH(N529),1),'Additional data'!$A$2:$A$965,0))</f>
        <v>85.61</v>
      </c>
      <c r="P529" s="489">
        <f>LN(O529)</f>
        <v>4.44980209875439</v>
      </c>
      <c r="Q529" s="489">
        <f>Q528+LN(1+INDEX('Additional data'!$H$2:$H$1196,MATCH(N529,'Additional data'!$G$2:$G$1196,1))+INDEX('Additional data'!$I$2:$I$1196,MATCH(N529,'Additional data'!$G$2:$G$1196,1)))</f>
        <v>3.83355870265827</v>
      </c>
      <c r="R529" s="489">
        <f>LN(INDEX(Data!$B$2:$B$497,MATCH(N529,Data!$A$2:$A$497,1)))</f>
        <v>10.3179159417999</v>
      </c>
      <c r="S529" s="116">
        <f>IF(INDEX('Additional data'!$E$2:$E$699,MATCH(DATE(YEAR(N529),MONTH(N529),1),'Additional data'!$D$2:$D$699,0))=0,(INDEX('Additional data'!$E$2:$E$699,MATCH(DATE(YEAR(N529),MONTH(N529),1),'Additional data'!$D$2:$D$699,0)-1)+INDEX('Additional data'!$E$2:$E$699,MATCH(DATE(YEAR(N529),MONTH(N529),1),'Additional data'!$D$2:$D$699,0)+1))/2,INDEX('Additional data'!$E$2:$E$699,MATCH(DATE(YEAR(N529),MONTH(N529),1),'Additional data'!$D$2:$D$699,0)))</f>
        <v>4.81</v>
      </c>
      <c r="T529" s="425">
        <f>P529-P528</f>
        <v>-0.00837506349303752</v>
      </c>
      <c r="U529" s="425">
        <f>Q529-Q528</f>
        <v>-0.0788267805459708</v>
      </c>
      <c r="V529" s="425">
        <f>R529-R528</f>
        <v>-0.0648017861407908</v>
      </c>
      <c r="W529" s="116">
        <f>S529-S528</f>
        <v>-0.0475000000000003</v>
      </c>
      <c r="X529" s="425">
        <f>P529-P517</f>
        <v>0.128189170641134</v>
      </c>
      <c r="Y529" s="425">
        <f>Q529-Q517</f>
        <v>0.00301773554100482</v>
      </c>
      <c r="Z529" s="425">
        <f>R529-R517</f>
        <v>-0.0880402074170608</v>
      </c>
      <c r="AA529" s="116">
        <f>S529-S517</f>
        <v>-0.00500000000000078</v>
      </c>
      <c r="AB529" s="425">
        <f>P529-P469</f>
        <v>0.292952331180897</v>
      </c>
      <c r="AC529" s="425">
        <f>Q529-Q469</f>
        <v>-0.0265685314066486</v>
      </c>
      <c r="AD529" s="425">
        <f>R529-R469</f>
        <v>-0.0190598765677859</v>
      </c>
      <c r="AE529" s="235">
        <f>S529-S469</f>
        <v>-1.4</v>
      </c>
      <c r="AG529" s="554">
        <f>N529</f>
        <v>40816.0</v>
      </c>
      <c r="AH529" s="435">
        <f>IFERROR(INDEX('RBA 5Y yield'!$B$5:$B$661,MATCH(N529,'RBA 5Y yield'!$A$5:$A$661,1))*100,"")</f>
        <v>3.7875</v>
      </c>
      <c r="AI529" s="435">
        <f>IF(AND(ISNUMBER(AH529),ISNUMBER(AH528)),AH529-AH528,"")</f>
        <v>-0.23</v>
      </c>
      <c r="AJ529" s="435">
        <f>IF(AND(ISNUMBER(AH529),ISNUMBER(AH517)),AH529-AH517,"")</f>
        <v>-1.02</v>
      </c>
      <c r="AK529" s="435">
        <f>IF(AND(ISNUMBER(AH529),ISNUMBER(AH469)),AH529-AH469,"")</f>
        <v>-1.9515</v>
      </c>
      <c r="AL529" s="560">
        <f>IFERROR(LN(INDEX(Data!$B$2:$B$497,MATCH(N529,Data!$A$2:$A$497,1))/INDEX(Data!$B$2:$B$497,MATCH(N517,Data!$A$2:$A$497,1))),"")</f>
        <v>-0.0880402074170607</v>
      </c>
      <c r="AM529" s="560">
        <f>IFERROR(LN(INDEX(Data!$C$2:$C$497,MATCH(N529,Data!$A$2:$A$497,1))/INDEX(Data!$C$2:$C$497,MATCH(N517,Data!$A$2:$A$497,1))),"")</f>
        <v>-0.0500285438697722</v>
      </c>
      <c r="AN529" s="560">
        <f>IFERROR(LN(INDEX(Data!$D$2:$D$497,MATCH(N529,Data!$A$2:$A$497,1))/INDEX(Data!$D$2:$D$497,MATCH(N517,Data!$A$2:$A$497,1))),"")</f>
        <v>-0.128368870859678</v>
      </c>
      <c r="AO529" s="560">
        <f>IFERROR(LN(INDEX(Data!$E$2:$E$497,MATCH(N529,Data!$A$2:$A$497,1))/INDEX(Data!$E$2:$E$497,MATCH(N517,Data!$A$2:$A$497,1))),"")</f>
        <v>-0.0113909321186634</v>
      </c>
      <c r="AP529" s="560">
        <f>IFERROR(LN(INDEX(Data!$F$2:$F$497,MATCH(N529,Data!$A$2:$A$497,1))/INDEX(Data!$F$2:$F$497,MATCH(N517,Data!$A$2:$A$497,1))),"")</f>
        <v>0.0245137794422648</v>
      </c>
      <c r="AQ529" s="560">
        <f>IFERROR(LN(INDEX(Data!$G$2:$G$497,MATCH(N529,Data!$A$2:$A$497,1))/INDEX(Data!$G$2:$G$497,MATCH(N517,Data!$A$2:$A$497,1))),"")</f>
        <v>-0.0155787046361588</v>
      </c>
      <c r="AR529" s="560">
        <f>IFERROR(LN(INDEX(Data!$H$2:$H$497,MATCH(N529,Data!$A$2:$A$497,1))/INDEX(Data!$H$2:$H$497,MATCH(N517,Data!$A$2:$A$497,1))),"")</f>
        <v>0.109664589168683</v>
      </c>
      <c r="AS529" s="560">
        <f>IFERROR(LN(INDEX(Data!$I$2:$I$497,MATCH(N529,Data!$A$2:$A$497,1))/INDEX(Data!$I$2:$I$497,MATCH(N517,Data!$A$2:$A$497,1))),"")</f>
        <v>0.0385476682419524</v>
      </c>
      <c r="AT529" s="560">
        <f>IFERROR(LN(INDEX(Data!$J$2:$J$497,MATCH(N529,Data!$A$2:$A$497,1))/INDEX(Data!$J$2:$J$497,MATCH(N517,Data!$A$2:$A$497,1))),"")</f>
        <v>0.0865778835703142</v>
      </c>
      <c r="AU529" s="560">
        <f>IFERROR(LN(INDEX(Data!$K$2:$K$497,MATCH(N529,Data!$A$2:$A$497,1))/INDEX(Data!$K$2:$K$497,MATCH(N517,Data!$A$2:$A$497,1))),"")</f>
        <v>0.0749723456891024</v>
      </c>
      <c r="AV529" s="561">
        <f>IFERROR(LN(INDEX(Data!$L$2:$L$497,MATCH(N529,Data!$A$2:$A$497,1))/INDEX(Data!$L$2:$L$497,MATCH(N517,Data!$A$2:$A$497,1))),"")</f>
        <v>0.0489563718159374</v>
      </c>
    </row>
    <row r="530">
      <c r="N530" s="337" t="n">
        <v>40847</v>
      </c>
      <c r="O530" s="116">
        <f>INDEX('Additional data'!$B$2:$B$965,MATCH(DATE(YEAR(N530),MONTH(N530),1),'Additional data'!$A$2:$A$965,0))</f>
        <v>86.41</v>
      </c>
      <c r="P530" s="489">
        <f>LN(O530)</f>
        <v>4.45910340985331</v>
      </c>
      <c r="Q530" s="489">
        <f>Q529+LN(1+INDEX('Additional data'!$H$2:$H$1196,MATCH(N530,'Additional data'!$G$2:$G$1196,1))+INDEX('Additional data'!$I$2:$I$1196,MATCH(N530,'Additional data'!$G$2:$G$1196,1)))</f>
        <v>3.94088728041079</v>
      </c>
      <c r="R530" s="489">
        <f>LN(INDEX(Data!$B$2:$B$497,MATCH(N530,Data!$A$2:$A$497,1)))</f>
        <v>10.387172172626</v>
      </c>
      <c r="S530" s="116">
        <f>IF(INDEX('Additional data'!$E$2:$E$699,MATCH(DATE(YEAR(N530),MONTH(N530),1),'Additional data'!$D$2:$D$699,0))=0,(INDEX('Additional data'!$E$2:$E$699,MATCH(DATE(YEAR(N530),MONTH(N530),1),'Additional data'!$D$2:$D$699,0)-1)+INDEX('Additional data'!$E$2:$E$699,MATCH(DATE(YEAR(N530),MONTH(N530),1),'Additional data'!$D$2:$D$699,0)+1))/2,INDEX('Additional data'!$E$2:$E$699,MATCH(DATE(YEAR(N530),MONTH(N530),1),'Additional data'!$D$2:$D$699,0)))</f>
        <v>4.725</v>
      </c>
      <c r="T530" s="425">
        <f>P530-P529</f>
        <v>0.00930131109891352</v>
      </c>
      <c r="U530" s="425">
        <f>Q530-Q529</f>
        <v>0.107328577752524</v>
      </c>
      <c r="V530" s="425">
        <f>R530-R529</f>
        <v>0.0692562308260971</v>
      </c>
      <c r="W530" s="116">
        <f>S530-S529</f>
        <v>-0.085</v>
      </c>
      <c r="X530" s="425">
        <f>P530-P518</f>
        <v>0.0536044189942837</v>
      </c>
      <c r="Y530" s="425">
        <f>Q530-Q518</f>
        <v>0.0722801124870731</v>
      </c>
      <c r="Z530" s="425">
        <f>R530-R518</f>
        <v>-0.0402601369163307</v>
      </c>
      <c r="AA530" s="116">
        <f>S530-S518</f>
        <v>-0.085</v>
      </c>
      <c r="AB530" s="425">
        <f>P530-P470</f>
        <v>0.383601935432687</v>
      </c>
      <c r="AC530" s="425">
        <f>Q530-Q470</f>
        <v>0.0451033691378409</v>
      </c>
      <c r="AD530" s="425">
        <f>R530-R470</f>
        <v>0.00326851432149944</v>
      </c>
      <c r="AE530" s="235">
        <f>S530-S470</f>
        <v>-1.555</v>
      </c>
      <c r="AG530" s="554">
        <f>N530</f>
        <v>40847.0</v>
      </c>
      <c r="AH530" s="435">
        <f>IFERROR(INDEX('RBA 5Y yield'!$B$5:$B$661,MATCH(N530,'RBA 5Y yield'!$A$5:$A$661,1))*100,"")</f>
        <v>3.945</v>
      </c>
      <c r="AI530" s="435">
        <f>IF(AND(ISNUMBER(AH530),ISNUMBER(AH529)),AH530-AH529,"")</f>
        <v>0.1575</v>
      </c>
      <c r="AJ530" s="435">
        <f>IF(AND(ISNUMBER(AH530),ISNUMBER(AH518)),AH530-AH518,"")</f>
        <v>-1.0225</v>
      </c>
      <c r="AK530" s="435">
        <f>IF(AND(ISNUMBER(AH530),ISNUMBER(AH470)),AH530-AH470,"")</f>
        <v>-1.884</v>
      </c>
      <c r="AL530" s="560">
        <f>IFERROR(LN(INDEX(Data!$B$2:$B$497,MATCH(N530,Data!$A$2:$A$497,1))/INDEX(Data!$B$2:$B$497,MATCH(N518,Data!$A$2:$A$497,1))),"")</f>
        <v>-0.0402601369163302</v>
      </c>
      <c r="AM530" s="560">
        <f>IFERROR(LN(INDEX(Data!$C$2:$C$497,MATCH(N530,Data!$A$2:$A$497,1))/INDEX(Data!$C$2:$C$497,MATCH(N518,Data!$A$2:$A$497,1))),"")</f>
        <v>-0.0714545761852777</v>
      </c>
      <c r="AN530" s="560">
        <f>IFERROR(LN(INDEX(Data!$D$2:$D$497,MATCH(N530,Data!$A$2:$A$497,1))/INDEX(Data!$D$2:$D$497,MATCH(N518,Data!$A$2:$A$497,1))),"")</f>
        <v>-0.139907787397035</v>
      </c>
      <c r="AO530" s="560">
        <f>IFERROR(LN(INDEX(Data!$E$2:$E$497,MATCH(N530,Data!$A$2:$A$497,1))/INDEX(Data!$E$2:$E$497,MATCH(N518,Data!$A$2:$A$497,1))),"")</f>
        <v>-0.0283077539901945</v>
      </c>
      <c r="AP530" s="560">
        <f>IFERROR(LN(INDEX(Data!$F$2:$F$497,MATCH(N530,Data!$A$2:$A$497,1))/INDEX(Data!$F$2:$F$497,MATCH(N518,Data!$A$2:$A$497,1))),"")</f>
        <v>0.0168667649651233</v>
      </c>
      <c r="AQ530" s="560">
        <f>IFERROR(LN(INDEX(Data!$G$2:$G$497,MATCH(N530,Data!$A$2:$A$497,1))/INDEX(Data!$G$2:$G$497,MATCH(N518,Data!$A$2:$A$497,1))),"")</f>
        <v>-0.0155787046361588</v>
      </c>
      <c r="AR530" s="560">
        <f>IFERROR(LN(INDEX(Data!$H$2:$H$497,MATCH(N530,Data!$A$2:$A$497,1))/INDEX(Data!$H$2:$H$497,MATCH(N518,Data!$A$2:$A$497,1))),"")</f>
        <v>0.0885738300707568</v>
      </c>
      <c r="AS530" s="560">
        <f>IFERROR(LN(INDEX(Data!$I$2:$I$497,MATCH(N530,Data!$A$2:$A$497,1))/INDEX(Data!$I$2:$I$497,MATCH(N518,Data!$A$2:$A$497,1))),"")</f>
        <v>0.0385476682419524</v>
      </c>
      <c r="AT530" s="560">
        <f>IFERROR(LN(INDEX(Data!$J$2:$J$497,MATCH(N530,Data!$A$2:$A$497,1))/INDEX(Data!$J$2:$J$497,MATCH(N518,Data!$A$2:$A$497,1))),"")</f>
        <v>0.0808412710925526</v>
      </c>
      <c r="AU530" s="560">
        <f>IFERROR(LN(INDEX(Data!$K$2:$K$497,MATCH(N530,Data!$A$2:$A$497,1))/INDEX(Data!$K$2:$K$497,MATCH(N518,Data!$A$2:$A$497,1))),"")</f>
        <v>0.0754949450691256</v>
      </c>
      <c r="AV530" s="561">
        <f>IFERROR(LN(INDEX(Data!$L$2:$L$497,MATCH(N530,Data!$A$2:$A$497,1))/INDEX(Data!$L$2:$L$497,MATCH(N518,Data!$A$2:$A$497,1))),"")</f>
        <v>0.0489569632497623</v>
      </c>
    </row>
    <row r="531">
      <c r="N531" s="337" t="n">
        <v>40877</v>
      </c>
      <c r="O531" s="116">
        <f>INDEX('Additional data'!$B$2:$B$965,MATCH(DATE(YEAR(N531),MONTH(N531),1),'Additional data'!$A$2:$A$965,0))</f>
        <v>97.21</v>
      </c>
      <c r="P531" s="489">
        <f>LN(O531)</f>
        <v>4.57687358683298</v>
      </c>
      <c r="Q531" s="489">
        <f>Q530+LN(1+INDEX('Additional data'!$H$2:$H$1196,MATCH(N531,'Additional data'!$G$2:$G$1196,1))+INDEX('Additional data'!$I$2:$I$1196,MATCH(N531,'Additional data'!$G$2:$G$1196,1)))</f>
        <v>3.93818362883648</v>
      </c>
      <c r="R531" s="489">
        <f>LN(INDEX(Data!$B$2:$B$497,MATCH(N531,Data!$A$2:$A$497,1)))</f>
        <v>10.3522253158013</v>
      </c>
      <c r="S531" s="116">
        <f>IF(INDEX('Additional data'!$E$2:$E$699,MATCH(DATE(YEAR(N531),MONTH(N531),1),'Additional data'!$D$2:$D$699,0))=0,(INDEX('Additional data'!$E$2:$E$699,MATCH(DATE(YEAR(N531),MONTH(N531),1),'Additional data'!$D$2:$D$699,0)-1)+INDEX('Additional data'!$E$2:$E$699,MATCH(DATE(YEAR(N531),MONTH(N531),1),'Additional data'!$D$2:$D$699,0)+1))/2,INDEX('Additional data'!$E$2:$E$699,MATCH(DATE(YEAR(N531),MONTH(N531),1),'Additional data'!$D$2:$D$699,0)))</f>
        <v>4.6225</v>
      </c>
      <c r="T531" s="425">
        <f>P531-P530</f>
        <v>0.11777017697967</v>
      </c>
      <c r="U531" s="425">
        <f>Q531-Q530</f>
        <v>-0.00270365157431485</v>
      </c>
      <c r="V531" s="425">
        <f>R531-R530</f>
        <v>-0.0349468568247158</v>
      </c>
      <c r="W531" s="116">
        <f>S531-S530</f>
        <v>-0.1025</v>
      </c>
      <c r="X531" s="425">
        <f>P531-P519</f>
        <v>0.144391508670603</v>
      </c>
      <c r="Y531" s="425">
        <f>Q531-Q519</f>
        <v>0.0635943892352109</v>
      </c>
      <c r="Z531" s="425">
        <f>R531-R519</f>
        <v>-0.0682116104400539</v>
      </c>
      <c r="AA531" s="116">
        <f>S531-S519</f>
        <v>-0.3925</v>
      </c>
      <c r="AB531" s="425">
        <f>P531-P471</f>
        <v>0.493084538550394</v>
      </c>
      <c r="AC531" s="425">
        <f>Q531-Q471</f>
        <v>0.0214213111783343</v>
      </c>
      <c r="AD531" s="425">
        <f>R531-R471</f>
        <v>-0.0561358423316598</v>
      </c>
      <c r="AE531" s="235">
        <f>S531-S471</f>
        <v>-1.7475</v>
      </c>
      <c r="AG531" s="554">
        <f>N531</f>
        <v>40877.0</v>
      </c>
      <c r="AH531" s="435">
        <f>IFERROR(INDEX('RBA 5Y yield'!$B$5:$B$661,MATCH(N531,'RBA 5Y yield'!$A$5:$A$661,1))*100,"")</f>
        <v>3.5725</v>
      </c>
      <c r="AI531" s="435">
        <f>IF(AND(ISNUMBER(AH531),ISNUMBER(AH530)),AH531-AH530,"")</f>
        <v>-0.3725</v>
      </c>
      <c r="AJ531" s="435">
        <f>IF(AND(ISNUMBER(AH531),ISNUMBER(AH519)),AH531-AH519,"")</f>
        <v>-1.6375</v>
      </c>
      <c r="AK531" s="435">
        <f>IF(AND(ISNUMBER(AH531),ISNUMBER(AH471)),AH531-AH471,"")</f>
        <v>-2.2232</v>
      </c>
      <c r="AL531" s="560">
        <f>IFERROR(LN(INDEX(Data!$B$2:$B$497,MATCH(N531,Data!$A$2:$A$497,1))/INDEX(Data!$B$2:$B$497,MATCH(N519,Data!$A$2:$A$497,1))),"")</f>
        <v>-0.0682116104400551</v>
      </c>
      <c r="AM531" s="560">
        <f>IFERROR(LN(INDEX(Data!$C$2:$C$497,MATCH(N531,Data!$A$2:$A$497,1))/INDEX(Data!$C$2:$C$497,MATCH(N519,Data!$A$2:$A$497,1))),"")</f>
        <v>-0.0705417216409313</v>
      </c>
      <c r="AN531" s="560">
        <f>IFERROR(LN(INDEX(Data!$D$2:$D$497,MATCH(N531,Data!$A$2:$A$497,1))/INDEX(Data!$D$2:$D$497,MATCH(N519,Data!$A$2:$A$497,1))),"")</f>
        <v>-0.158010792046553</v>
      </c>
      <c r="AO531" s="560">
        <f>IFERROR(LN(INDEX(Data!$E$2:$E$497,MATCH(N531,Data!$A$2:$A$497,1))/INDEX(Data!$E$2:$E$497,MATCH(N519,Data!$A$2:$A$497,1))),"")</f>
        <v>-0.0236094225955668</v>
      </c>
      <c r="AP531" s="560">
        <f>IFERROR(LN(INDEX(Data!$F$2:$F$497,MATCH(N531,Data!$A$2:$A$497,1))/INDEX(Data!$F$2:$F$497,MATCH(N519,Data!$A$2:$A$497,1))),"")</f>
        <v>0.0305838393776493</v>
      </c>
      <c r="AQ531" s="560">
        <f>IFERROR(LN(INDEX(Data!$G$2:$G$497,MATCH(N531,Data!$A$2:$A$497,1))/INDEX(Data!$G$2:$G$497,MATCH(N519,Data!$A$2:$A$497,1))),"")</f>
        <v>-0.0155787046361588</v>
      </c>
      <c r="AR531" s="560">
        <f>IFERROR(LN(INDEX(Data!$H$2:$H$497,MATCH(N531,Data!$A$2:$A$497,1))/INDEX(Data!$H$2:$H$497,MATCH(N519,Data!$A$2:$A$497,1))),"")</f>
        <v>0.104599187677768</v>
      </c>
      <c r="AS531" s="560">
        <f>IFERROR(LN(INDEX(Data!$I$2:$I$497,MATCH(N531,Data!$A$2:$A$497,1))/INDEX(Data!$I$2:$I$497,MATCH(N519,Data!$A$2:$A$497,1))),"")</f>
        <v>0.0385476682419524</v>
      </c>
      <c r="AT531" s="560">
        <f>IFERROR(LN(INDEX(Data!$J$2:$J$497,MATCH(N531,Data!$A$2:$A$497,1))/INDEX(Data!$J$2:$J$497,MATCH(N519,Data!$A$2:$A$497,1))),"")</f>
        <v>0.100225299646898</v>
      </c>
      <c r="AU531" s="560">
        <f>IFERROR(LN(INDEX(Data!$K$2:$K$497,MATCH(N531,Data!$A$2:$A$497,1))/INDEX(Data!$K$2:$K$497,MATCH(N519,Data!$A$2:$A$497,1))),"")</f>
        <v>0.0809729437055902</v>
      </c>
      <c r="AV531" s="561">
        <f>IFERROR(LN(INDEX(Data!$L$2:$L$497,MATCH(N531,Data!$A$2:$A$497,1))/INDEX(Data!$L$2:$L$497,MATCH(N519,Data!$A$2:$A$497,1))),"")</f>
        <v>0.0489945632015755</v>
      </c>
    </row>
    <row r="532">
      <c r="N532" s="337" t="n">
        <v>40908</v>
      </c>
      <c r="O532" s="116">
        <f>INDEX('Additional data'!$B$2:$B$965,MATCH(DATE(YEAR(N532),MONTH(N532),1),'Additional data'!$A$2:$A$965,0))</f>
        <v>98.57</v>
      </c>
      <c r="P532" s="489">
        <f>LN(O532)</f>
        <v>4.59076695567735</v>
      </c>
      <c r="Q532" s="489">
        <f>Q531+LN(1+INDEX('Additional data'!$H$2:$H$1196,MATCH(N532,'Additional data'!$G$2:$G$1196,1))+INDEX('Additional data'!$I$2:$I$1196,MATCH(N532,'Additional data'!$G$2:$G$1196,1)))</f>
        <v>3.94565564367518</v>
      </c>
      <c r="R532" s="489">
        <f>LN(INDEX(Data!$B$2:$B$497,MATCH(N532,Data!$A$2:$A$497,1)))</f>
        <v>10.3363527995827</v>
      </c>
      <c r="S532" s="116">
        <f>IF(INDEX('Additional data'!$E$2:$E$699,MATCH(DATE(YEAR(N532),MONTH(N532),1),'Additional data'!$D$2:$D$699,0))=0,(INDEX('Additional data'!$E$2:$E$699,MATCH(DATE(YEAR(N532),MONTH(N532),1),'Additional data'!$D$2:$D$699,0)-1)+INDEX('Additional data'!$E$2:$E$699,MATCH(DATE(YEAR(N532),MONTH(N532),1),'Additional data'!$D$2:$D$699,0)+1))/2,INDEX('Additional data'!$E$2:$E$699,MATCH(DATE(YEAR(N532),MONTH(N532),1),'Additional data'!$D$2:$D$699,0)))</f>
        <v>4.5075</v>
      </c>
      <c r="T532" s="425">
        <f>P532-P531</f>
        <v>0.0138933688443696</v>
      </c>
      <c r="U532" s="425">
        <f>Q532-Q531</f>
        <v>0.00747201483870086</v>
      </c>
      <c r="V532" s="425">
        <f>R532-R531</f>
        <v>-0.0158725162186286</v>
      </c>
      <c r="W532" s="116">
        <f>S532-S531</f>
        <v>-0.114999999999999</v>
      </c>
      <c r="X532" s="425">
        <f>P532-P520</f>
        <v>0.101681248710058</v>
      </c>
      <c r="Y532" s="425">
        <f>Q532-Q520</f>
        <v>0.00499780410420714</v>
      </c>
      <c r="Z532" s="425">
        <f>R532-R520</f>
        <v>-0.121386549813414</v>
      </c>
      <c r="AA532" s="116">
        <f>S532-S520</f>
        <v>-0.5175</v>
      </c>
      <c r="AB532" s="425">
        <f>P532-P472</f>
        <v>0.463148816692321</v>
      </c>
      <c r="AC532" s="425">
        <f>Q532-Q472</f>
        <v>0.0164708060184782</v>
      </c>
      <c r="AD532" s="425">
        <f>R532-R472</f>
        <v>-0.107545178622997</v>
      </c>
      <c r="AE532" s="235">
        <f>S532-S472</f>
        <v>-1.8825</v>
      </c>
      <c r="AG532" s="554">
        <f>N532</f>
        <v>40908.0</v>
      </c>
      <c r="AH532" s="435">
        <f>IFERROR(INDEX('RBA 5Y yield'!$B$5:$B$661,MATCH(N532,'RBA 5Y yield'!$A$5:$A$661,1))*100,"")</f>
        <v>3.335</v>
      </c>
      <c r="AI532" s="435">
        <f>IF(AND(ISNUMBER(AH532),ISNUMBER(AH531)),AH532-AH531,"")</f>
        <v>-0.2375</v>
      </c>
      <c r="AJ532" s="435">
        <f>IF(AND(ISNUMBER(AH532),ISNUMBER(AH520)),AH532-AH520,"")</f>
        <v>-1.995</v>
      </c>
      <c r="AK532" s="435">
        <f>IF(AND(ISNUMBER(AH532),ISNUMBER(AH472)),AH532-AH472,"")</f>
        <v>-2.5334</v>
      </c>
      <c r="AL532" s="560">
        <f>IFERROR(LN(INDEX(Data!$B$2:$B$497,MATCH(N532,Data!$A$2:$A$497,1))/INDEX(Data!$B$2:$B$497,MATCH(N520,Data!$A$2:$A$497,1))),"")</f>
        <v>-0.121386549813414</v>
      </c>
      <c r="AM532" s="560">
        <f>IFERROR(LN(INDEX(Data!$C$2:$C$497,MATCH(N532,Data!$A$2:$A$497,1))/INDEX(Data!$C$2:$C$497,MATCH(N520,Data!$A$2:$A$497,1))),"")</f>
        <v>-0.0510349431603522</v>
      </c>
      <c r="AN532" s="560">
        <f>IFERROR(LN(INDEX(Data!$D$2:$D$497,MATCH(N532,Data!$A$2:$A$497,1))/INDEX(Data!$D$2:$D$497,MATCH(N520,Data!$A$2:$A$497,1))),"")</f>
        <v>-0.133304520447111</v>
      </c>
      <c r="AO532" s="560">
        <f>IFERROR(LN(INDEX(Data!$E$2:$E$497,MATCH(N532,Data!$A$2:$A$497,1))/INDEX(Data!$E$2:$E$497,MATCH(N520,Data!$A$2:$A$497,1))),"")</f>
        <v>0.0197656207071832</v>
      </c>
      <c r="AP532" s="560">
        <f>IFERROR(LN(INDEX(Data!$F$2:$F$497,MATCH(N532,Data!$A$2:$A$497,1))/INDEX(Data!$F$2:$F$497,MATCH(N520,Data!$A$2:$A$497,1))),"")</f>
        <v>-0.0119808430256404</v>
      </c>
      <c r="AQ532" s="560">
        <f>IFERROR(LN(INDEX(Data!$G$2:$G$497,MATCH(N532,Data!$A$2:$A$497,1))/INDEX(Data!$G$2:$G$497,MATCH(N520,Data!$A$2:$A$497,1))),"")</f>
        <v>-0.0294034006761022</v>
      </c>
      <c r="AR532" s="560">
        <f>IFERROR(LN(INDEX(Data!$H$2:$H$497,MATCH(N532,Data!$A$2:$A$497,1))/INDEX(Data!$H$2:$H$497,MATCH(N520,Data!$A$2:$A$497,1))),"")</f>
        <v>0.099814723148944</v>
      </c>
      <c r="AS532" s="560">
        <f>IFERROR(LN(INDEX(Data!$I$2:$I$497,MATCH(N532,Data!$A$2:$A$497,1))/INDEX(Data!$I$2:$I$497,MATCH(N520,Data!$A$2:$A$497,1))),"")</f>
        <v>0.0740304341042349</v>
      </c>
      <c r="AT532" s="560">
        <f>IFERROR(LN(INDEX(Data!$J$2:$J$497,MATCH(N532,Data!$A$2:$A$497,1))/INDEX(Data!$J$2:$J$497,MATCH(N520,Data!$A$2:$A$497,1))),"")</f>
        <v>0.107722482831401</v>
      </c>
      <c r="AU532" s="560">
        <f>IFERROR(LN(INDEX(Data!$K$2:$K$497,MATCH(N532,Data!$A$2:$A$497,1))/INDEX(Data!$K$2:$K$497,MATCH(N520,Data!$A$2:$A$497,1))),"")</f>
        <v>0.0999624563561067</v>
      </c>
      <c r="AV532" s="561">
        <f>IFERROR(LN(INDEX(Data!$L$2:$L$497,MATCH(N532,Data!$A$2:$A$497,1))/INDEX(Data!$L$2:$L$497,MATCH(N520,Data!$A$2:$A$497,1))),"")</f>
        <v>0.0487845210037289</v>
      </c>
    </row>
    <row r="533">
      <c r="N533" s="337" t="n">
        <v>40939</v>
      </c>
      <c r="O533" s="116">
        <f>INDEX('Additional data'!$B$2:$B$965,MATCH(DATE(YEAR(N533),MONTH(N533),1),'Additional data'!$A$2:$A$965,0))</f>
        <v>100.24</v>
      </c>
      <c r="P533" s="489">
        <f>LN(O533)</f>
        <v>4.60756731058781</v>
      </c>
      <c r="Q533" s="489">
        <f>Q532+LN(1+INDEX('Additional data'!$H$2:$H$1196,MATCH(N533,'Additional data'!$G$2:$G$1196,1))+INDEX('Additional data'!$I$2:$I$1196,MATCH(N533,'Additional data'!$G$2:$G$1196,1)))</f>
        <v>3.9949218849781</v>
      </c>
      <c r="R533" s="489">
        <f>LN(INDEX(Data!$B$2:$B$497,MATCH(N533,Data!$A$2:$A$497,1)))</f>
        <v>10.3872948674822</v>
      </c>
      <c r="S533" s="116">
        <f>IF(INDEX('Additional data'!$E$2:$E$699,MATCH(DATE(YEAR(N533),MONTH(N533),1),'Additional data'!$D$2:$D$699,0))=0,(INDEX('Additional data'!$E$2:$E$699,MATCH(DATE(YEAR(N533),MONTH(N533),1),'Additional data'!$D$2:$D$699,0)-1)+INDEX('Additional data'!$E$2:$E$699,MATCH(DATE(YEAR(N533),MONTH(N533),1),'Additional data'!$D$2:$D$699,0)+1))/2,INDEX('Additional data'!$E$2:$E$699,MATCH(DATE(YEAR(N533),MONTH(N533),1),'Additional data'!$D$2:$D$699,0)))</f>
        <v>4.41</v>
      </c>
      <c r="T533" s="425">
        <f>P533-P532</f>
        <v>0.0168003549104654</v>
      </c>
      <c r="U533" s="425">
        <f>Q533-Q532</f>
        <v>0.0492662413029179</v>
      </c>
      <c r="V533" s="425">
        <f>R533-R532</f>
        <v>0.0509420678994932</v>
      </c>
      <c r="W533" s="116">
        <f>S533-S532</f>
        <v>-0.0975000000000001</v>
      </c>
      <c r="X533" s="425">
        <f>P533-P521</f>
        <v>0.114222939781978</v>
      </c>
      <c r="Y533" s="425">
        <f>Q533-Q521</f>
        <v>0.0345594621327896</v>
      </c>
      <c r="Z533" s="425">
        <f>R533-R521</f>
        <v>-0.0711148229576537</v>
      </c>
      <c r="AA533" s="116">
        <f>S533-S521</f>
        <v>-0.545</v>
      </c>
      <c r="AB533" s="425">
        <f>P533-P473</f>
        <v>0.608083029389672</v>
      </c>
      <c r="AC533" s="425">
        <f>Q533-Q473</f>
        <v>0.0477006848352977</v>
      </c>
      <c r="AD533" s="425">
        <f>R533-R473</f>
        <v>-0.0765438025683114</v>
      </c>
      <c r="AE533" s="235">
        <f>S533-S473</f>
        <v>-2.02</v>
      </c>
      <c r="AG533" s="554">
        <f>N533</f>
        <v>40939.0</v>
      </c>
      <c r="AH533" s="435">
        <f>IFERROR(INDEX('RBA 5Y yield'!$B$5:$B$661,MATCH(N533,'RBA 5Y yield'!$A$5:$A$661,1))*100,"")</f>
        <v>3.3875</v>
      </c>
      <c r="AI533" s="435">
        <f>IF(AND(ISNUMBER(AH533),ISNUMBER(AH532)),AH533-AH532,"")</f>
        <v>0.0525000000000002</v>
      </c>
      <c r="AJ533" s="435">
        <f>IF(AND(ISNUMBER(AH533),ISNUMBER(AH521)),AH533-AH521,"")</f>
        <v>-1.8875</v>
      </c>
      <c r="AK533" s="435">
        <f>IF(AND(ISNUMBER(AH533),ISNUMBER(AH473)),AH533-AH473,"")</f>
        <v>-2.6596</v>
      </c>
      <c r="AL533" s="560">
        <f>IFERROR(LN(INDEX(Data!$B$2:$B$497,MATCH(N533,Data!$A$2:$A$497,1))/INDEX(Data!$B$2:$B$497,MATCH(N521,Data!$A$2:$A$497,1))),"")</f>
        <v>-0.0711148229576529</v>
      </c>
      <c r="AM533" s="560">
        <f>IFERROR(LN(INDEX(Data!$C$2:$C$497,MATCH(N533,Data!$A$2:$A$497,1))/INDEX(Data!$C$2:$C$497,MATCH(N521,Data!$A$2:$A$497,1))),"")</f>
        <v>-0.0915460898815125</v>
      </c>
      <c r="AN533" s="560">
        <f>IFERROR(LN(INDEX(Data!$D$2:$D$497,MATCH(N533,Data!$A$2:$A$497,1))/INDEX(Data!$D$2:$D$497,MATCH(N521,Data!$A$2:$A$497,1))),"")</f>
        <v>-0.104079441311045</v>
      </c>
      <c r="AO533" s="560">
        <f>IFERROR(LN(INDEX(Data!$E$2:$E$497,MATCH(N533,Data!$A$2:$A$497,1))/INDEX(Data!$E$2:$E$497,MATCH(N521,Data!$A$2:$A$497,1))),"")</f>
        <v>-0.0089511712913649</v>
      </c>
      <c r="AP533" s="560">
        <f>IFERROR(LN(INDEX(Data!$F$2:$F$497,MATCH(N533,Data!$A$2:$A$497,1))/INDEX(Data!$F$2:$F$497,MATCH(N521,Data!$A$2:$A$497,1))),"")</f>
        <v>-0.0836831976610003</v>
      </c>
      <c r="AQ533" s="560">
        <f>IFERROR(LN(INDEX(Data!$G$2:$G$497,MATCH(N533,Data!$A$2:$A$497,1))/INDEX(Data!$G$2:$G$497,MATCH(N521,Data!$A$2:$A$497,1))),"")</f>
        <v>-0.0294034006761022</v>
      </c>
      <c r="AR533" s="560">
        <f>IFERROR(LN(INDEX(Data!$H$2:$H$497,MATCH(N533,Data!$A$2:$A$497,1))/INDEX(Data!$H$2:$H$497,MATCH(N521,Data!$A$2:$A$497,1))),"")</f>
        <v>0.102810830453612</v>
      </c>
      <c r="AS533" s="560">
        <f>IFERROR(LN(INDEX(Data!$I$2:$I$497,MATCH(N533,Data!$A$2:$A$497,1))/INDEX(Data!$I$2:$I$497,MATCH(N521,Data!$A$2:$A$497,1))),"")</f>
        <v>0.0740304341042349</v>
      </c>
      <c r="AT533" s="560">
        <f>IFERROR(LN(INDEX(Data!$J$2:$J$497,MATCH(N533,Data!$A$2:$A$497,1))/INDEX(Data!$J$2:$J$497,MATCH(N521,Data!$A$2:$A$497,1))),"")</f>
        <v>0.0999208213637775</v>
      </c>
      <c r="AU533" s="560">
        <f>IFERROR(LN(INDEX(Data!$K$2:$K$497,MATCH(N533,Data!$A$2:$A$497,1))/INDEX(Data!$K$2:$K$497,MATCH(N521,Data!$A$2:$A$497,1))),"")</f>
        <v>0.112352390150221</v>
      </c>
      <c r="AV533" s="561">
        <f>IFERROR(LN(INDEX(Data!$L$2:$L$497,MATCH(N533,Data!$A$2:$A$497,1))/INDEX(Data!$L$2:$L$497,MATCH(N521,Data!$A$2:$A$497,1))),"")</f>
        <v>0.0483967510243589</v>
      </c>
    </row>
    <row r="534">
      <c r="N534" s="337" t="n">
        <v>40968</v>
      </c>
      <c r="O534" s="116">
        <f>INDEX('Additional data'!$B$2:$B$965,MATCH(DATE(YEAR(N534),MONTH(N534),1),'Additional data'!$A$2:$A$965,0))</f>
        <v>102.25</v>
      </c>
      <c r="P534" s="489">
        <f>LN(O534)</f>
        <v>4.62742079492291</v>
      </c>
      <c r="Q534" s="489">
        <f>Q533+LN(1+INDEX('Additional data'!$H$2:$H$1196,MATCH(N534,'Additional data'!$G$2:$G$1196,1))+INDEX('Additional data'!$I$2:$I$1196,MATCH(N534,'Additional data'!$G$2:$G$1196,1)))</f>
        <v>4.03817292697241</v>
      </c>
      <c r="R534" s="489">
        <f>LN(INDEX(Data!$B$2:$B$497,MATCH(N534,Data!$A$2:$A$497,1)))</f>
        <v>10.4111254117534</v>
      </c>
      <c r="S534" s="116">
        <f>IF(INDEX('Additional data'!$E$2:$E$699,MATCH(DATE(YEAR(N534),MONTH(N534),1),'Additional data'!$D$2:$D$699,0))=0,(INDEX('Additional data'!$E$2:$E$699,MATCH(DATE(YEAR(N534),MONTH(N534),1),'Additional data'!$D$2:$D$699,0)-1)+INDEX('Additional data'!$E$2:$E$699,MATCH(DATE(YEAR(N534),MONTH(N534),1),'Additional data'!$D$2:$D$699,0)+1))/2,INDEX('Additional data'!$E$2:$E$699,MATCH(DATE(YEAR(N534),MONTH(N534),1),'Additional data'!$D$2:$D$699,0)))</f>
        <v>4.37</v>
      </c>
      <c r="T534" s="425">
        <f>P534-P533</f>
        <v>0.0198534843350986</v>
      </c>
      <c r="U534" s="425">
        <f>Q534-Q533</f>
        <v>0.0432510419943153</v>
      </c>
      <c r="V534" s="425">
        <f>R534-R533</f>
        <v>0.0238305442711937</v>
      </c>
      <c r="W534" s="116">
        <f>S534-S533</f>
        <v>-0.04</v>
      </c>
      <c r="X534" s="425">
        <f>P534-P522</f>
        <v>0.132288714143757</v>
      </c>
      <c r="Y534" s="425">
        <f>Q534-Q522</f>
        <v>0.0435057004351145</v>
      </c>
      <c r="Z534" s="425">
        <f>R534-R522</f>
        <v>-0.0689806368015535</v>
      </c>
      <c r="AA534" s="116">
        <f>S534-S522</f>
        <v>-0.5475</v>
      </c>
      <c r="AB534" s="425">
        <f>P534-P474</f>
        <v>0.545486252777493</v>
      </c>
      <c r="AC534" s="425">
        <f>Q534-Q474</f>
        <v>0.106877877379872</v>
      </c>
      <c r="AD534" s="425">
        <f>R534-R474</f>
        <v>-0.068516410955132</v>
      </c>
      <c r="AE534" s="235">
        <f>S534-S474</f>
        <v>-2</v>
      </c>
      <c r="AG534" s="554">
        <f>N534</f>
        <v>40968.0</v>
      </c>
      <c r="AH534" s="435">
        <f>IFERROR(INDEX('RBA 5Y yield'!$B$5:$B$661,MATCH(N534,'RBA 5Y yield'!$A$5:$A$661,1))*100,"")</f>
        <v>3.62</v>
      </c>
      <c r="AI534" s="435">
        <f>IF(AND(ISNUMBER(AH534),ISNUMBER(AH533)),AH534-AH533,"")</f>
        <v>0.2325</v>
      </c>
      <c r="AJ534" s="435">
        <f>IF(AND(ISNUMBER(AH534),ISNUMBER(AH522)),AH534-AH522,"")</f>
        <v>-1.77</v>
      </c>
      <c r="AK534" s="435">
        <f>IF(AND(ISNUMBER(AH534),ISNUMBER(AH474)),AH534-AH474,"")</f>
        <v>-2.345</v>
      </c>
      <c r="AL534" s="560">
        <f>IFERROR(LN(INDEX(Data!$B$2:$B$497,MATCH(N534,Data!$A$2:$A$497,1))/INDEX(Data!$B$2:$B$497,MATCH(N522,Data!$A$2:$A$497,1))),"")</f>
        <v>-0.0689806368015538</v>
      </c>
      <c r="AM534" s="560">
        <f>IFERROR(LN(INDEX(Data!$C$2:$C$497,MATCH(N534,Data!$A$2:$A$497,1))/INDEX(Data!$C$2:$C$497,MATCH(N522,Data!$A$2:$A$497,1))),"")</f>
        <v>-0.0694266276326465</v>
      </c>
      <c r="AN534" s="560">
        <f>IFERROR(LN(INDEX(Data!$D$2:$D$497,MATCH(N534,Data!$A$2:$A$497,1))/INDEX(Data!$D$2:$D$497,MATCH(N522,Data!$A$2:$A$497,1))),"")</f>
        <v>-0.0410289312962396</v>
      </c>
      <c r="AO534" s="560">
        <f>IFERROR(LN(INDEX(Data!$E$2:$E$497,MATCH(N534,Data!$A$2:$A$497,1))/INDEX(Data!$E$2:$E$497,MATCH(N522,Data!$A$2:$A$497,1))),"")</f>
        <v>-0.0352070335665969</v>
      </c>
      <c r="AP534" s="560">
        <f>IFERROR(LN(INDEX(Data!$F$2:$F$497,MATCH(N534,Data!$A$2:$A$497,1))/INDEX(Data!$F$2:$F$497,MATCH(N522,Data!$A$2:$A$497,1))),"")</f>
        <v>-0.0569652495383741</v>
      </c>
      <c r="AQ534" s="560">
        <f>IFERROR(LN(INDEX(Data!$G$2:$G$497,MATCH(N534,Data!$A$2:$A$497,1))/INDEX(Data!$G$2:$G$497,MATCH(N522,Data!$A$2:$A$497,1))),"")</f>
        <v>-0.0294034006761022</v>
      </c>
      <c r="AR534" s="560">
        <f>IFERROR(LN(INDEX(Data!$H$2:$H$497,MATCH(N534,Data!$A$2:$A$497,1))/INDEX(Data!$H$2:$H$497,MATCH(N522,Data!$A$2:$A$497,1))),"")</f>
        <v>0.0887609307911473</v>
      </c>
      <c r="AS534" s="560">
        <f>IFERROR(LN(INDEX(Data!$I$2:$I$497,MATCH(N534,Data!$A$2:$A$497,1))/INDEX(Data!$I$2:$I$497,MATCH(N522,Data!$A$2:$A$497,1))),"")</f>
        <v>0.0740304341042349</v>
      </c>
      <c r="AT534" s="560">
        <f>IFERROR(LN(INDEX(Data!$J$2:$J$497,MATCH(N534,Data!$A$2:$A$497,1))/INDEX(Data!$J$2:$J$497,MATCH(N522,Data!$A$2:$A$497,1))),"")</f>
        <v>0.0935657945972531</v>
      </c>
      <c r="AU534" s="560">
        <f>IFERROR(LN(INDEX(Data!$K$2:$K$497,MATCH(N534,Data!$A$2:$A$497,1))/INDEX(Data!$K$2:$K$497,MATCH(N522,Data!$A$2:$A$497,1))),"")</f>
        <v>0.113862912487978</v>
      </c>
      <c r="AV534" s="561">
        <f>IFERROR(LN(INDEX(Data!$L$2:$L$497,MATCH(N534,Data!$A$2:$A$497,1))/INDEX(Data!$L$2:$L$497,MATCH(N522,Data!$A$2:$A$497,1))),"")</f>
        <v>0.0480126962573244</v>
      </c>
    </row>
    <row r="535">
      <c r="N535" s="337" t="n">
        <v>40999</v>
      </c>
      <c r="O535" s="116">
        <f>INDEX('Additional data'!$B$2:$B$965,MATCH(DATE(YEAR(N535),MONTH(N535),1),'Additional data'!$A$2:$A$965,0))</f>
        <v>106.19</v>
      </c>
      <c r="P535" s="489">
        <f>LN(O535)</f>
        <v>4.66522994241575</v>
      </c>
      <c r="Q535" s="489">
        <f>Q534+LN(1+INDEX('Additional data'!$H$2:$H$1196,MATCH(N535,'Additional data'!$G$2:$G$1196,1))+INDEX('Additional data'!$I$2:$I$1196,MATCH(N535,'Additional data'!$G$2:$G$1196,1)))</f>
        <v>4.06889609961525</v>
      </c>
      <c r="R535" s="489">
        <f>LN(INDEX(Data!$B$2:$B$497,MATCH(N535,Data!$A$2:$A$497,1)))</f>
        <v>10.4225257160203</v>
      </c>
      <c r="S535" s="116">
        <f>IF(INDEX('Additional data'!$E$2:$E$699,MATCH(DATE(YEAR(N535),MONTH(N535),1),'Additional data'!$D$2:$D$699,0))=0,(INDEX('Additional data'!$E$2:$E$699,MATCH(DATE(YEAR(N535),MONTH(N535),1),'Additional data'!$D$2:$D$699,0)-1)+INDEX('Additional data'!$E$2:$E$699,MATCH(DATE(YEAR(N535),MONTH(N535),1),'Additional data'!$D$2:$D$699,0)+1))/2,INDEX('Additional data'!$E$2:$E$699,MATCH(DATE(YEAR(N535),MONTH(N535),1),'Additional data'!$D$2:$D$699,0)))</f>
        <v>4.4425</v>
      </c>
      <c r="T535" s="425">
        <f>P535-P534</f>
        <v>0.037809147492843</v>
      </c>
      <c r="U535" s="425">
        <f>Q535-Q534</f>
        <v>0.0307231726428405</v>
      </c>
      <c r="V535" s="425">
        <f>R535-R534</f>
        <v>0.0114003042668944</v>
      </c>
      <c r="W535" s="116">
        <f>S535-S534</f>
        <v>0.0724999999999998</v>
      </c>
      <c r="X535" s="425">
        <f>P535-P523</f>
        <v>0.0310836481911458</v>
      </c>
      <c r="Y535" s="425">
        <f>Q535-Q523</f>
        <v>0.069639420744148</v>
      </c>
      <c r="Z535" s="425">
        <f>R535-R523</f>
        <v>-0.0640041867652315</v>
      </c>
      <c r="AA535" s="116">
        <f>S535-S523</f>
        <v>-0.4775</v>
      </c>
      <c r="AB535" s="425">
        <f>P535-P475</f>
        <v>0.561595333286561</v>
      </c>
      <c r="AC535" s="425">
        <f>Q535-Q475</f>
        <v>0.126265540358967</v>
      </c>
      <c r="AD535" s="425">
        <f>R535-R475</f>
        <v>-0.0898324153588845</v>
      </c>
      <c r="AE535" s="235">
        <f>S535-S475</f>
        <v>-1.9875</v>
      </c>
      <c r="AG535" s="554">
        <f>N535</f>
        <v>40999.0</v>
      </c>
      <c r="AH535" s="435">
        <f>IFERROR(INDEX('RBA 5Y yield'!$B$5:$B$661,MATCH(N535,'RBA 5Y yield'!$A$5:$A$661,1))*100,"")</f>
        <v>3.75</v>
      </c>
      <c r="AI535" s="435">
        <f>IF(AND(ISNUMBER(AH535),ISNUMBER(AH534)),AH535-AH534,"")</f>
        <v>0.13</v>
      </c>
      <c r="AJ535" s="435">
        <f>IF(AND(ISNUMBER(AH535),ISNUMBER(AH523)),AH535-AH523,"")</f>
        <v>-1.4575</v>
      </c>
      <c r="AK535" s="435">
        <f>IF(AND(ISNUMBER(AH535),ISNUMBER(AH475)),AH535-AH475,"")</f>
        <v>-2.1993</v>
      </c>
      <c r="AL535" s="560">
        <f>IFERROR(LN(INDEX(Data!$B$2:$B$497,MATCH(N535,Data!$A$2:$A$497,1))/INDEX(Data!$B$2:$B$497,MATCH(N523,Data!$A$2:$A$497,1))),"")</f>
        <v>-0.0640041867652315</v>
      </c>
      <c r="AM535" s="560">
        <f>IFERROR(LN(INDEX(Data!$C$2:$C$497,MATCH(N535,Data!$A$2:$A$497,1))/INDEX(Data!$C$2:$C$497,MATCH(N523,Data!$A$2:$A$497,1))),"")</f>
        <v>0.0184569100241491</v>
      </c>
      <c r="AN535" s="560">
        <f>IFERROR(LN(INDEX(Data!$D$2:$D$497,MATCH(N535,Data!$A$2:$A$497,1))/INDEX(Data!$D$2:$D$497,MATCH(N523,Data!$A$2:$A$497,1))),"")</f>
        <v>-0.0398603185288882</v>
      </c>
      <c r="AO535" s="560">
        <f>IFERROR(LN(INDEX(Data!$E$2:$E$497,MATCH(N535,Data!$A$2:$A$497,1))/INDEX(Data!$E$2:$E$497,MATCH(N523,Data!$A$2:$A$497,1))),"")</f>
        <v>0.0720602989072028</v>
      </c>
      <c r="AP535" s="560">
        <f>IFERROR(LN(INDEX(Data!$F$2:$F$497,MATCH(N535,Data!$A$2:$A$497,1))/INDEX(Data!$F$2:$F$497,MATCH(N523,Data!$A$2:$A$497,1))),"")</f>
        <v>-0.0658385155002664</v>
      </c>
      <c r="AQ535" s="560">
        <f>IFERROR(LN(INDEX(Data!$G$2:$G$497,MATCH(N535,Data!$A$2:$A$497,1))/INDEX(Data!$G$2:$G$497,MATCH(N523,Data!$A$2:$A$497,1))),"")</f>
        <v>-0.0146600418080183</v>
      </c>
      <c r="AR535" s="560">
        <f>IFERROR(LN(INDEX(Data!$H$2:$H$497,MATCH(N535,Data!$A$2:$A$497,1))/INDEX(Data!$H$2:$H$497,MATCH(N523,Data!$A$2:$A$497,1))),"")</f>
        <v>0.105006865414032</v>
      </c>
      <c r="AS535" s="560">
        <f>IFERROR(LN(INDEX(Data!$I$2:$I$497,MATCH(N535,Data!$A$2:$A$497,1))/INDEX(Data!$I$2:$I$497,MATCH(N523,Data!$A$2:$A$497,1))),"")</f>
        <v>0.0748184402478359</v>
      </c>
      <c r="AT535" s="560">
        <f>IFERROR(LN(INDEX(Data!$J$2:$J$497,MATCH(N535,Data!$A$2:$A$497,1))/INDEX(Data!$J$2:$J$497,MATCH(N523,Data!$A$2:$A$497,1))),"")</f>
        <v>0.0953390062268845</v>
      </c>
      <c r="AU535" s="560">
        <f>IFERROR(LN(INDEX(Data!$K$2:$K$497,MATCH(N535,Data!$A$2:$A$497,1))/INDEX(Data!$K$2:$K$497,MATCH(N523,Data!$A$2:$A$497,1))),"")</f>
        <v>0.112476644685735</v>
      </c>
      <c r="AV535" s="561">
        <f>IFERROR(LN(INDEX(Data!$L$2:$L$497,MATCH(N535,Data!$A$2:$A$497,1))/INDEX(Data!$L$2:$L$497,MATCH(N523,Data!$A$2:$A$497,1))),"")</f>
        <v>0.0477294303229766</v>
      </c>
    </row>
    <row r="536">
      <c r="N536" s="337" t="n">
        <v>41029</v>
      </c>
      <c r="O536" s="116">
        <f>INDEX('Additional data'!$B$2:$B$965,MATCH(DATE(YEAR(N536),MONTH(N536),1),'Additional data'!$A$2:$A$965,0))</f>
        <v>103.33</v>
      </c>
      <c r="P536" s="489">
        <f>LN(O536)</f>
        <v>4.63792775022626</v>
      </c>
      <c r="Q536" s="489">
        <f>Q535+LN(1+INDEX('Additional data'!$H$2:$H$1196,MATCH(N536,'Additional data'!$G$2:$G$1196,1))+INDEX('Additional data'!$I$2:$I$1196,MATCH(N536,'Additional data'!$G$2:$G$1196,1)))</f>
        <v>4.06035976859297</v>
      </c>
      <c r="R536" s="489">
        <f>LN(INDEX(Data!$B$2:$B$497,MATCH(N536,Data!$A$2:$A$497,1)))</f>
        <v>10.4334916819234</v>
      </c>
      <c r="S536" s="116">
        <f>IF(INDEX('Additional data'!$E$2:$E$699,MATCH(DATE(YEAR(N536),MONTH(N536),1),'Additional data'!$D$2:$D$699,0))=0,(INDEX('Additional data'!$E$2:$E$699,MATCH(DATE(YEAR(N536),MONTH(N536),1),'Additional data'!$D$2:$D$699,0)-1)+INDEX('Additional data'!$E$2:$E$699,MATCH(DATE(YEAR(N536),MONTH(N536),1),'Additional data'!$D$2:$D$699,0)+1))/2,INDEX('Additional data'!$E$2:$E$699,MATCH(DATE(YEAR(N536),MONTH(N536),1),'Additional data'!$D$2:$D$699,0)))</f>
        <v>4.2025</v>
      </c>
      <c r="T536" s="425">
        <f>P536-P535</f>
        <v>-0.0273021921894907</v>
      </c>
      <c r="U536" s="425">
        <f>Q536-Q535</f>
        <v>-0.00853633102228635</v>
      </c>
      <c r="V536" s="425">
        <f>R536-R535</f>
        <v>0.0109659659031731</v>
      </c>
      <c r="W536" s="116">
        <f>S536-S535</f>
        <v>-0.24</v>
      </c>
      <c r="X536" s="425">
        <f>P536-P524</f>
        <v>-0.0629161858301099</v>
      </c>
      <c r="Y536" s="425">
        <f>Q536-Q524</f>
        <v>0.0325156328699494</v>
      </c>
      <c r="Z536" s="425">
        <f>R536-R524</f>
        <v>-0.0472653702030375</v>
      </c>
      <c r="AA536" s="116">
        <f>S536-S524</f>
        <v>-0.697500000000001</v>
      </c>
      <c r="AB536" s="425">
        <f>P536-P476</f>
        <v>0.479513526764218</v>
      </c>
      <c r="AC536" s="425">
        <f>Q536-Q476</f>
        <v>0.079181799724442</v>
      </c>
      <c r="AD536" s="425">
        <f>R536-R476</f>
        <v>-0.108869293297378</v>
      </c>
      <c r="AE536" s="235">
        <f>S536-S476</f>
        <v>-2.2775</v>
      </c>
      <c r="AG536" s="554">
        <f>N536</f>
        <v>41029.0</v>
      </c>
      <c r="AH536" s="435">
        <f>IFERROR(INDEX('RBA 5Y yield'!$B$5:$B$661,MATCH(N536,'RBA 5Y yield'!$A$5:$A$661,1))*100,"")</f>
        <v>3.3625</v>
      </c>
      <c r="AI536" s="435">
        <f>IF(AND(ISNUMBER(AH536),ISNUMBER(AH535)),AH536-AH535,"")</f>
        <v>-0.3875</v>
      </c>
      <c r="AJ536" s="435">
        <f>IF(AND(ISNUMBER(AH536),ISNUMBER(AH524)),AH536-AH524,"")</f>
        <v>-1.93</v>
      </c>
      <c r="AK536" s="435">
        <f>IF(AND(ISNUMBER(AH536),ISNUMBER(AH476)),AH536-AH476,"")</f>
        <v>-2.7458</v>
      </c>
      <c r="AL536" s="560">
        <f>IFERROR(LN(INDEX(Data!$B$2:$B$497,MATCH(N536,Data!$A$2:$A$497,1))/INDEX(Data!$B$2:$B$497,MATCH(N524,Data!$A$2:$A$497,1))),"")</f>
        <v>-0.0472653702030379</v>
      </c>
      <c r="AM536" s="560">
        <f>IFERROR(LN(INDEX(Data!$C$2:$C$497,MATCH(N536,Data!$A$2:$A$497,1))/INDEX(Data!$C$2:$C$497,MATCH(N524,Data!$A$2:$A$497,1))),"")</f>
        <v>0.0323550120374303</v>
      </c>
      <c r="AN536" s="560">
        <f>IFERROR(LN(INDEX(Data!$D$2:$D$497,MATCH(N536,Data!$A$2:$A$497,1))/INDEX(Data!$D$2:$D$497,MATCH(N524,Data!$A$2:$A$497,1))),"")</f>
        <v>-0.00185967476802066</v>
      </c>
      <c r="AO536" s="560">
        <f>IFERROR(LN(INDEX(Data!$E$2:$E$497,MATCH(N536,Data!$A$2:$A$497,1))/INDEX(Data!$E$2:$E$497,MATCH(N524,Data!$A$2:$A$497,1))),"")</f>
        <v>0.106220212304993</v>
      </c>
      <c r="AP536" s="560">
        <f>IFERROR(LN(INDEX(Data!$F$2:$F$497,MATCH(N536,Data!$A$2:$A$497,1))/INDEX(Data!$F$2:$F$497,MATCH(N524,Data!$A$2:$A$497,1))),"")</f>
        <v>-0.0624864937135101</v>
      </c>
      <c r="AQ536" s="560">
        <f>IFERROR(LN(INDEX(Data!$G$2:$G$497,MATCH(N536,Data!$A$2:$A$497,1))/INDEX(Data!$G$2:$G$497,MATCH(N524,Data!$A$2:$A$497,1))),"")</f>
        <v>-0.0146600418080183</v>
      </c>
      <c r="AR536" s="560">
        <f>IFERROR(LN(INDEX(Data!$H$2:$H$497,MATCH(N536,Data!$A$2:$A$497,1))/INDEX(Data!$H$2:$H$497,MATCH(N524,Data!$A$2:$A$497,1))),"")</f>
        <v>0.100134385232793</v>
      </c>
      <c r="AS536" s="560">
        <f>IFERROR(LN(INDEX(Data!$I$2:$I$497,MATCH(N536,Data!$A$2:$A$497,1))/INDEX(Data!$I$2:$I$497,MATCH(N524,Data!$A$2:$A$497,1))),"")</f>
        <v>0.0748184402478359</v>
      </c>
      <c r="AT536" s="560">
        <f>IFERROR(LN(INDEX(Data!$J$2:$J$497,MATCH(N536,Data!$A$2:$A$497,1))/INDEX(Data!$J$2:$J$497,MATCH(N524,Data!$A$2:$A$497,1))),"")</f>
        <v>0.106374108861587</v>
      </c>
      <c r="AU536" s="560">
        <f>IFERROR(LN(INDEX(Data!$K$2:$K$497,MATCH(N536,Data!$A$2:$A$497,1))/INDEX(Data!$K$2:$K$497,MATCH(N524,Data!$A$2:$A$497,1))),"")</f>
        <v>0.109712436895769</v>
      </c>
      <c r="AV536" s="561">
        <f>IFERROR(LN(INDEX(Data!$L$2:$L$497,MATCH(N536,Data!$A$2:$A$497,1))/INDEX(Data!$L$2:$L$497,MATCH(N524,Data!$A$2:$A$497,1))),"")</f>
        <v>0.0474868996361846</v>
      </c>
    </row>
    <row r="537">
      <c r="N537" s="337" t="n">
        <v>41060</v>
      </c>
      <c r="O537" s="116">
        <f>INDEX('Additional data'!$B$2:$B$965,MATCH(DATE(YEAR(N537),MONTH(N537),1),'Additional data'!$A$2:$A$965,0))</f>
        <v>94.7</v>
      </c>
      <c r="P537" s="489">
        <f>LN(O537)</f>
        <v>4.55071400019203</v>
      </c>
      <c r="Q537" s="489">
        <f>Q536+LN(1+INDEX('Additional data'!$H$2:$H$1196,MATCH(N537,'Additional data'!$G$2:$G$1196,1))+INDEX('Additional data'!$I$2:$I$1196,MATCH(N537,'Additional data'!$G$2:$G$1196,1)))</f>
        <v>3.99678078695009</v>
      </c>
      <c r="R537" s="489">
        <f>LN(INDEX(Data!$B$2:$B$497,MATCH(N537,Data!$A$2:$A$497,1)))</f>
        <v>10.3620035139701</v>
      </c>
      <c r="S537" s="116">
        <f>IF(INDEX('Additional data'!$E$2:$E$699,MATCH(DATE(YEAR(N537),MONTH(N537),1),'Additional data'!$D$2:$D$699,0))=0,(INDEX('Additional data'!$E$2:$E$699,MATCH(DATE(YEAR(N537),MONTH(N537),1),'Additional data'!$D$2:$D$699,0)-1)+INDEX('Additional data'!$E$2:$E$699,MATCH(DATE(YEAR(N537),MONTH(N537),1),'Additional data'!$D$2:$D$699,0)+1))/2,INDEX('Additional data'!$E$2:$E$699,MATCH(DATE(YEAR(N537),MONTH(N537),1),'Additional data'!$D$2:$D$699,0)))</f>
        <v>3.655</v>
      </c>
      <c r="T537" s="425">
        <f>P537-P536</f>
        <v>-0.0872137500342314</v>
      </c>
      <c r="U537" s="425">
        <f>Q537-Q536</f>
        <v>-0.0635789816428711</v>
      </c>
      <c r="V537" s="425">
        <f>R537-R536</f>
        <v>-0.0714881679533548</v>
      </c>
      <c r="W537" s="116">
        <f>S537-S536</f>
        <v>-0.5475</v>
      </c>
      <c r="X537" s="425">
        <f>P537-P525</f>
        <v>-0.0676685172681939</v>
      </c>
      <c r="Y537" s="425">
        <f>Q537-Q525</f>
        <v>-0.018282014408189</v>
      </c>
      <c r="Z537" s="425">
        <f>R537-R525</f>
        <v>-0.0997223493920032</v>
      </c>
      <c r="AA537" s="116">
        <f>S537-S525</f>
        <v>-1.3475</v>
      </c>
      <c r="AB537" s="425">
        <f>P537-P477</f>
        <v>0.400304214036983</v>
      </c>
      <c r="AC537" s="425">
        <f>Q537-Q477</f>
        <v>-0.0201503516242467</v>
      </c>
      <c r="AD537" s="425">
        <f>R537-R477</f>
        <v>-0.211777577716143</v>
      </c>
      <c r="AE537" s="235">
        <f>S537-S477</f>
        <v>-2.715</v>
      </c>
      <c r="AG537" s="554">
        <f>N537</f>
        <v>41060.0</v>
      </c>
      <c r="AH537" s="435">
        <f>IFERROR(INDEX('RBA 5Y yield'!$B$5:$B$661,MATCH(N537,'RBA 5Y yield'!$A$5:$A$661,1))*100,"")</f>
        <v>2.75</v>
      </c>
      <c r="AI537" s="435">
        <f>IF(AND(ISNUMBER(AH537),ISNUMBER(AH536)),AH537-AH536,"")</f>
        <v>-0.6125</v>
      </c>
      <c r="AJ537" s="435">
        <f>IF(AND(ISNUMBER(AH537),ISNUMBER(AH525)),AH537-AH525,"")</f>
        <v>-2.4025</v>
      </c>
      <c r="AK537" s="435">
        <f>IF(AND(ISNUMBER(AH537),ISNUMBER(AH477)),AH537-AH477,"")</f>
        <v>-3.3217</v>
      </c>
      <c r="AL537" s="560">
        <f>IFERROR(LN(INDEX(Data!$B$2:$B$497,MATCH(N537,Data!$A$2:$A$497,1))/INDEX(Data!$B$2:$B$497,MATCH(N525,Data!$A$2:$A$497,1))),"")</f>
        <v>-0.0997223493920037</v>
      </c>
      <c r="AM537" s="560">
        <f>IFERROR(LN(INDEX(Data!$C$2:$C$497,MATCH(N537,Data!$A$2:$A$497,1))/INDEX(Data!$C$2:$C$497,MATCH(N525,Data!$A$2:$A$497,1))),"")</f>
        <v>0.0191978308660681</v>
      </c>
      <c r="AN537" s="560">
        <f>IFERROR(LN(INDEX(Data!$D$2:$D$497,MATCH(N537,Data!$A$2:$A$497,1))/INDEX(Data!$D$2:$D$497,MATCH(N525,Data!$A$2:$A$497,1))),"")</f>
        <v>-0.011043593637704</v>
      </c>
      <c r="AO537" s="560">
        <f>IFERROR(LN(INDEX(Data!$E$2:$E$497,MATCH(N537,Data!$A$2:$A$497,1))/INDEX(Data!$E$2:$E$497,MATCH(N525,Data!$A$2:$A$497,1))),"")</f>
        <v>0.0997554282281015</v>
      </c>
      <c r="AP537" s="560">
        <f>IFERROR(LN(INDEX(Data!$F$2:$F$497,MATCH(N537,Data!$A$2:$A$497,1))/INDEX(Data!$F$2:$F$497,MATCH(N525,Data!$A$2:$A$497,1))),"")</f>
        <v>-0.0860528132827961</v>
      </c>
      <c r="AQ537" s="560">
        <f>IFERROR(LN(INDEX(Data!$G$2:$G$497,MATCH(N537,Data!$A$2:$A$497,1))/INDEX(Data!$G$2:$G$497,MATCH(N525,Data!$A$2:$A$497,1))),"")</f>
        <v>-0.0146600418080183</v>
      </c>
      <c r="AR537" s="560">
        <f>IFERROR(LN(INDEX(Data!$H$2:$H$497,MATCH(N537,Data!$A$2:$A$497,1))/INDEX(Data!$H$2:$H$497,MATCH(N525,Data!$A$2:$A$497,1))),"")</f>
        <v>0.0915986454019313</v>
      </c>
      <c r="AS537" s="560">
        <f>IFERROR(LN(INDEX(Data!$I$2:$I$497,MATCH(N537,Data!$A$2:$A$497,1))/INDEX(Data!$I$2:$I$497,MATCH(N525,Data!$A$2:$A$497,1))),"")</f>
        <v>0.0748184402478359</v>
      </c>
      <c r="AT537" s="560">
        <f>IFERROR(LN(INDEX(Data!$J$2:$J$497,MATCH(N537,Data!$A$2:$A$497,1))/INDEX(Data!$J$2:$J$497,MATCH(N525,Data!$A$2:$A$497,1))),"")</f>
        <v>0.124111579004846</v>
      </c>
      <c r="AU537" s="560">
        <f>IFERROR(LN(INDEX(Data!$K$2:$K$497,MATCH(N537,Data!$A$2:$A$497,1))/INDEX(Data!$K$2:$K$497,MATCH(N525,Data!$A$2:$A$497,1))),"")</f>
        <v>0.110463105686644</v>
      </c>
      <c r="AV537" s="561">
        <f>IFERROR(LN(INDEX(Data!$L$2:$L$497,MATCH(N537,Data!$A$2:$A$497,1))/INDEX(Data!$L$2:$L$497,MATCH(N525,Data!$A$2:$A$497,1))),"")</f>
        <v>0.047133672885096</v>
      </c>
    </row>
    <row r="538">
      <c r="N538" s="337" t="n">
        <v>41090</v>
      </c>
      <c r="O538" s="116">
        <f>INDEX('Additional data'!$B$2:$B$965,MATCH(DATE(YEAR(N538),MONTH(N538),1),'Additional data'!$A$2:$A$965,0))</f>
        <v>82.41</v>
      </c>
      <c r="P538" s="489">
        <f>LN(O538)</f>
        <v>4.41170678877529</v>
      </c>
      <c r="Q538" s="489">
        <f>Q537+LN(1+INDEX('Additional data'!$H$2:$H$1196,MATCH(N538,'Additional data'!$G$2:$G$1196,1))+INDEX('Additional data'!$I$2:$I$1196,MATCH(N538,'Additional data'!$G$2:$G$1196,1)))</f>
        <v>4.03494324804444</v>
      </c>
      <c r="R538" s="489">
        <f>LN(INDEX(Data!$B$2:$B$497,MATCH(N538,Data!$A$2:$A$497,1)))</f>
        <v>10.3645221554831</v>
      </c>
      <c r="S538" s="116">
        <f>IF(INDEX('Additional data'!$E$2:$E$699,MATCH(DATE(YEAR(N538),MONTH(N538),1),'Additional data'!$D$2:$D$699,0))=0,(INDEX('Additional data'!$E$2:$E$699,MATCH(DATE(YEAR(N538),MONTH(N538),1),'Additional data'!$D$2:$D$699,0)-1)+INDEX('Additional data'!$E$2:$E$699,MATCH(DATE(YEAR(N538),MONTH(N538),1),'Additional data'!$D$2:$D$699,0)+1))/2,INDEX('Additional data'!$E$2:$E$699,MATCH(DATE(YEAR(N538),MONTH(N538),1),'Additional data'!$D$2:$D$699,0)))</f>
        <v>3.4925</v>
      </c>
      <c r="T538" s="425">
        <f>P538-P537</f>
        <v>-0.13900721141674</v>
      </c>
      <c r="U538" s="425">
        <f>Q538-Q537</f>
        <v>0.0381624610943487</v>
      </c>
      <c r="V538" s="425">
        <f>R538-R537</f>
        <v>0.00251864151303138</v>
      </c>
      <c r="W538" s="116">
        <f>S538-S537</f>
        <v>-0.1625</v>
      </c>
      <c r="X538" s="425">
        <f>P538-P526</f>
        <v>-0.1556576824769</v>
      </c>
      <c r="Y538" s="425">
        <f>Q538-Q526</f>
        <v>0.037433605933749</v>
      </c>
      <c r="Z538" s="425">
        <f>R538-R526</f>
        <v>-0.0730442704887544</v>
      </c>
      <c r="AA538" s="116">
        <f>S538-S526</f>
        <v>-1.5</v>
      </c>
      <c r="AB538" s="425">
        <f>P538-P478</f>
        <v>0.199875531097525</v>
      </c>
      <c r="AC538" s="425">
        <f>Q538-Q478</f>
        <v>0.0337350699353385</v>
      </c>
      <c r="AD538" s="425">
        <f>R538-R478</f>
        <v>-0.208583271868733</v>
      </c>
      <c r="AE538" s="235">
        <f>S538-S478</f>
        <v>-2.9275</v>
      </c>
      <c r="AG538" s="554">
        <f>N538</f>
        <v>41090.0</v>
      </c>
      <c r="AH538" s="435">
        <f>IFERROR(INDEX('RBA 5Y yield'!$B$5:$B$661,MATCH(N538,'RBA 5Y yield'!$A$5:$A$661,1))*100,"")</f>
        <v>2.4925</v>
      </c>
      <c r="AI538" s="435">
        <f>IF(AND(ISNUMBER(AH538),ISNUMBER(AH537)),AH538-AH537,"")</f>
        <v>-0.2575</v>
      </c>
      <c r="AJ538" s="435">
        <f>IF(AND(ISNUMBER(AH538),ISNUMBER(AH526)),AH538-AH526,"")</f>
        <v>-2.3925</v>
      </c>
      <c r="AK538" s="435">
        <f>IF(AND(ISNUMBER(AH538),ISNUMBER(AH478)),AH538-AH478,"")</f>
        <v>-3.8435</v>
      </c>
      <c r="AL538" s="560">
        <f>IFERROR(LN(INDEX(Data!$B$2:$B$497,MATCH(N538,Data!$A$2:$A$497,1))/INDEX(Data!$B$2:$B$497,MATCH(N526,Data!$A$2:$A$497,1))),"")</f>
        <v>-0.0730442704887536</v>
      </c>
      <c r="AM538" s="560">
        <f>IFERROR(LN(INDEX(Data!$C$2:$C$497,MATCH(N538,Data!$A$2:$A$497,1))/INDEX(Data!$C$2:$C$497,MATCH(N526,Data!$A$2:$A$497,1))),"")</f>
        <v>0.0266747786125018</v>
      </c>
      <c r="AN538" s="560">
        <f>IFERROR(LN(INDEX(Data!$D$2:$D$497,MATCH(N538,Data!$A$2:$A$497,1))/INDEX(Data!$D$2:$D$497,MATCH(N526,Data!$A$2:$A$497,1))),"")</f>
        <v>-0.0212296490130258</v>
      </c>
      <c r="AO538" s="560">
        <f>IFERROR(LN(INDEX(Data!$E$2:$E$497,MATCH(N538,Data!$A$2:$A$497,1))/INDEX(Data!$E$2:$E$497,MATCH(N526,Data!$A$2:$A$497,1))),"")</f>
        <v>0.122977402849024</v>
      </c>
      <c r="AP538" s="560">
        <f>IFERROR(LN(INDEX(Data!$F$2:$F$497,MATCH(N538,Data!$A$2:$A$497,1))/INDEX(Data!$F$2:$F$497,MATCH(N526,Data!$A$2:$A$497,1))),"")</f>
        <v>-0.0701218099595025</v>
      </c>
      <c r="AQ538" s="560">
        <f>IFERROR(LN(INDEX(Data!$G$2:$G$497,MATCH(N538,Data!$A$2:$A$497,1))/INDEX(Data!$G$2:$G$497,MATCH(N526,Data!$A$2:$A$497,1))),"")</f>
        <v>-0.00382912653754049</v>
      </c>
      <c r="AR538" s="560">
        <f>IFERROR(LN(INDEX(Data!$H$2:$H$497,MATCH(N538,Data!$A$2:$A$497,1))/INDEX(Data!$H$2:$H$497,MATCH(N526,Data!$A$2:$A$497,1))),"")</f>
        <v>0.0720351908459433</v>
      </c>
      <c r="AS538" s="560">
        <f>IFERROR(LN(INDEX(Data!$I$2:$I$497,MATCH(N538,Data!$A$2:$A$497,1))/INDEX(Data!$I$2:$I$497,MATCH(N526,Data!$A$2:$A$497,1))),"")</f>
        <v>0.0426683782265013</v>
      </c>
      <c r="AT538" s="560">
        <f>IFERROR(LN(INDEX(Data!$J$2:$J$497,MATCH(N538,Data!$A$2:$A$497,1))/INDEX(Data!$J$2:$J$497,MATCH(N526,Data!$A$2:$A$497,1))),"")</f>
        <v>0.116982077754332</v>
      </c>
      <c r="AU538" s="560">
        <f>IFERROR(LN(INDEX(Data!$K$2:$K$497,MATCH(N538,Data!$A$2:$A$497,1))/INDEX(Data!$K$2:$K$497,MATCH(N526,Data!$A$2:$A$497,1))),"")</f>
        <v>0.10961312386711</v>
      </c>
      <c r="AV538" s="561">
        <f>IFERROR(LN(INDEX(Data!$L$2:$L$497,MATCH(N538,Data!$A$2:$A$497,1))/INDEX(Data!$L$2:$L$497,MATCH(N526,Data!$A$2:$A$497,1))),"")</f>
        <v>0.0459336278216926</v>
      </c>
    </row>
    <row r="539">
      <c r="N539" s="337" t="n">
        <v>41121</v>
      </c>
      <c r="O539" s="116">
        <f>INDEX('Additional data'!$B$2:$B$965,MATCH(DATE(YEAR(N539),MONTH(N539),1),'Additional data'!$A$2:$A$965,0))</f>
        <v>87.93</v>
      </c>
      <c r="P539" s="489">
        <f>LN(O539)</f>
        <v>4.47654104339091</v>
      </c>
      <c r="Q539" s="489">
        <f>Q538+LN(1+INDEX('Additional data'!$H$2:$H$1196,MATCH(N539,'Additional data'!$G$2:$G$1196,1))+INDEX('Additional data'!$I$2:$I$1196,MATCH(N539,'Additional data'!$G$2:$G$1196,1)))</f>
        <v>4.04281220642314</v>
      </c>
      <c r="R539" s="489">
        <f>LN(INDEX(Data!$B$2:$B$497,MATCH(N539,Data!$A$2:$A$497,1)))</f>
        <v>10.4012704569043</v>
      </c>
      <c r="S539" s="116">
        <f>IF(INDEX('Additional data'!$E$2:$E$699,MATCH(DATE(YEAR(N539),MONTH(N539),1),'Additional data'!$D$2:$D$699,0))=0,(INDEX('Additional data'!$E$2:$E$699,MATCH(DATE(YEAR(N539),MONTH(N539),1),'Additional data'!$D$2:$D$699,0)-1)+INDEX('Additional data'!$E$2:$E$699,MATCH(DATE(YEAR(N539),MONTH(N539),1),'Additional data'!$D$2:$D$699,0)+1))/2,INDEX('Additional data'!$E$2:$E$699,MATCH(DATE(YEAR(N539),MONTH(N539),1),'Additional data'!$D$2:$D$699,0)))</f>
        <v>3.545</v>
      </c>
      <c r="T539" s="425">
        <f>P539-P538</f>
        <v>0.0648342546156187</v>
      </c>
      <c r="U539" s="425">
        <f>Q539-Q538</f>
        <v>0.00786895837869484</v>
      </c>
      <c r="V539" s="425">
        <f>R539-R538</f>
        <v>0.036748301421202</v>
      </c>
      <c r="W539" s="116">
        <f>S539-S538</f>
        <v>0.0524999999999998</v>
      </c>
      <c r="X539" s="425">
        <f>P539-P527</f>
        <v>-0.100126782124469</v>
      </c>
      <c r="Y539" s="425">
        <f>Q539-Q527</f>
        <v>0.0690830929778472</v>
      </c>
      <c r="Z539" s="425">
        <f>R539-R527</f>
        <v>-0.00169850958735296</v>
      </c>
      <c r="AA539" s="116">
        <f>S539-S527</f>
        <v>-1.41</v>
      </c>
      <c r="AB539" s="425">
        <f>P539-P479</f>
        <v>0.170046471329465</v>
      </c>
      <c r="AC539" s="425">
        <f>Q539-Q479</f>
        <v>0.0753676584668424</v>
      </c>
      <c r="AD539" s="425">
        <f>R539-R479</f>
        <v>-0.152215122811633</v>
      </c>
      <c r="AE539" s="235">
        <f>S539-S479</f>
        <v>-2.925</v>
      </c>
      <c r="AG539" s="554">
        <f>N539</f>
        <v>41121.0</v>
      </c>
      <c r="AH539" s="435">
        <f>IFERROR(INDEX('RBA 5Y yield'!$B$5:$B$661,MATCH(N539,'RBA 5Y yield'!$A$5:$A$661,1))*100,"")</f>
        <v>2.4675</v>
      </c>
      <c r="AI539" s="435">
        <f>IF(AND(ISNUMBER(AH539),ISNUMBER(AH538)),AH539-AH538,"")</f>
        <v>-0.0249999999999999</v>
      </c>
      <c r="AJ539" s="435">
        <f>IF(AND(ISNUMBER(AH539),ISNUMBER(AH527)),AH539-AH527,"")</f>
        <v>-2.19</v>
      </c>
      <c r="AK539" s="435">
        <f>IF(AND(ISNUMBER(AH539),ISNUMBER(AH479)),AH539-AH479,"")</f>
        <v>-3.8366</v>
      </c>
      <c r="AL539" s="560">
        <f>IFERROR(LN(INDEX(Data!$B$2:$B$497,MATCH(N539,Data!$A$2:$A$497,1))/INDEX(Data!$B$2:$B$497,MATCH(N527,Data!$A$2:$A$497,1))),"")</f>
        <v>-0.00169850958735359</v>
      </c>
      <c r="AM539" s="560">
        <f>IFERROR(LN(INDEX(Data!$C$2:$C$497,MATCH(N539,Data!$A$2:$A$497,1))/INDEX(Data!$C$2:$C$497,MATCH(N527,Data!$A$2:$A$497,1))),"")</f>
        <v>0.0670857960075052</v>
      </c>
      <c r="AN539" s="560">
        <f>IFERROR(LN(INDEX(Data!$D$2:$D$497,MATCH(N539,Data!$A$2:$A$497,1))/INDEX(Data!$D$2:$D$497,MATCH(N527,Data!$A$2:$A$497,1))),"")</f>
        <v>0.00520324429125866</v>
      </c>
      <c r="AO539" s="560">
        <f>IFERROR(LN(INDEX(Data!$E$2:$E$497,MATCH(N539,Data!$A$2:$A$497,1))/INDEX(Data!$E$2:$E$497,MATCH(N527,Data!$A$2:$A$497,1))),"")</f>
        <v>0.154745873608485</v>
      </c>
      <c r="AP539" s="560">
        <f>IFERROR(LN(INDEX(Data!$F$2:$F$497,MATCH(N539,Data!$A$2:$A$497,1))/INDEX(Data!$F$2:$F$497,MATCH(N527,Data!$A$2:$A$497,1))),"")</f>
        <v>-0.0329960586108718</v>
      </c>
      <c r="AQ539" s="560">
        <f>IFERROR(LN(INDEX(Data!$G$2:$G$497,MATCH(N539,Data!$A$2:$A$497,1))/INDEX(Data!$G$2:$G$497,MATCH(N527,Data!$A$2:$A$497,1))),"")</f>
        <v>-0.00382912653754049</v>
      </c>
      <c r="AR539" s="560">
        <f>IFERROR(LN(INDEX(Data!$H$2:$H$497,MATCH(N539,Data!$A$2:$A$497,1))/INDEX(Data!$H$2:$H$497,MATCH(N527,Data!$A$2:$A$497,1))),"")</f>
        <v>0.0854636734054166</v>
      </c>
      <c r="AS539" s="560">
        <f>IFERROR(LN(INDEX(Data!$I$2:$I$497,MATCH(N539,Data!$A$2:$A$497,1))/INDEX(Data!$I$2:$I$497,MATCH(N527,Data!$A$2:$A$497,1))),"")</f>
        <v>0.0426683782265013</v>
      </c>
      <c r="AT539" s="560">
        <f>IFERROR(LN(INDEX(Data!$J$2:$J$497,MATCH(N539,Data!$A$2:$A$497,1))/INDEX(Data!$J$2:$J$497,MATCH(N527,Data!$A$2:$A$497,1))),"")</f>
        <v>0.104092703380313</v>
      </c>
      <c r="AU539" s="560">
        <f>IFERROR(LN(INDEX(Data!$K$2:$K$497,MATCH(N539,Data!$A$2:$A$497,1))/INDEX(Data!$K$2:$K$497,MATCH(N527,Data!$A$2:$A$497,1))),"")</f>
        <v>0.110838598300413</v>
      </c>
      <c r="AV539" s="561">
        <f>IFERROR(LN(INDEX(Data!$L$2:$L$497,MATCH(N539,Data!$A$2:$A$497,1))/INDEX(Data!$L$2:$L$497,MATCH(N527,Data!$A$2:$A$497,1))),"")</f>
        <v>0.0446812456382853</v>
      </c>
    </row>
    <row r="540">
      <c r="N540" s="337" t="n">
        <v>41152</v>
      </c>
      <c r="O540" s="116">
        <f>INDEX('Additional data'!$B$2:$B$965,MATCH(DATE(YEAR(N540),MONTH(N540),1),'Additional data'!$A$2:$A$965,0))</f>
        <v>94.16</v>
      </c>
      <c r="P540" s="489">
        <f>LN(O540)</f>
        <v>4.54499546295202</v>
      </c>
      <c r="Q540" s="489">
        <f>Q539+LN(1+INDEX('Additional data'!$H$2:$H$1196,MATCH(N540,'Additional data'!$G$2:$G$1196,1))+INDEX('Additional data'!$I$2:$I$1196,MATCH(N540,'Additional data'!$G$2:$G$1196,1)))</f>
        <v>4.06799250495344</v>
      </c>
      <c r="R540" s="489">
        <f>LN(INDEX(Data!$B$2:$B$497,MATCH(N540,Data!$A$2:$A$497,1)))</f>
        <v>10.4222841952915</v>
      </c>
      <c r="S540" s="116">
        <f>IF(INDEX('Additional data'!$E$2:$E$699,MATCH(DATE(YEAR(N540),MONTH(N540),1),'Additional data'!$D$2:$D$699,0))=0,(INDEX('Additional data'!$E$2:$E$699,MATCH(DATE(YEAR(N540),MONTH(N540),1),'Additional data'!$D$2:$D$699,0)-1)+INDEX('Additional data'!$E$2:$E$699,MATCH(DATE(YEAR(N540),MONTH(N540),1),'Additional data'!$D$2:$D$699,0)+1))/2,INDEX('Additional data'!$E$2:$E$699,MATCH(DATE(YEAR(N540),MONTH(N540),1),'Additional data'!$D$2:$D$699,0)))</f>
        <v>3.6175</v>
      </c>
      <c r="T540" s="425">
        <f>P540-P539</f>
        <v>0.0684544195611103</v>
      </c>
      <c r="U540" s="425">
        <f>Q540-Q539</f>
        <v>0.025180298530298</v>
      </c>
      <c r="V540" s="425">
        <f>R540-R539</f>
        <v>0.0210137383871487</v>
      </c>
      <c r="W540" s="116">
        <f>S540-S539</f>
        <v>0.0725000000000002</v>
      </c>
      <c r="X540" s="425">
        <f>P540-P528</f>
        <v>0.0868183007045893</v>
      </c>
      <c r="Y540" s="425">
        <f>Q540-Q528</f>
        <v>0.155607021749197</v>
      </c>
      <c r="Z540" s="425">
        <f>R540-R528</f>
        <v>0.0395664673507437</v>
      </c>
      <c r="AA540" s="116">
        <f>S540-S528</f>
        <v>-1.24</v>
      </c>
      <c r="AB540" s="425">
        <f>P540-P480</f>
        <v>0.262927294646971</v>
      </c>
      <c r="AC540" s="425">
        <f>Q540-Q480</f>
        <v>0.0870396069723483</v>
      </c>
      <c r="AD540" s="425">
        <f>R540-R480</f>
        <v>-0.148033564153858</v>
      </c>
      <c r="AE540" s="235">
        <f>S540-S480</f>
        <v>-3.1325</v>
      </c>
      <c r="AG540" s="554">
        <f>N540</f>
        <v>41152.0</v>
      </c>
      <c r="AH540" s="435">
        <f>IFERROR(INDEX('RBA 5Y yield'!$B$5:$B$661,MATCH(N540,'RBA 5Y yield'!$A$5:$A$661,1))*100,"")</f>
        <v>2.8175</v>
      </c>
      <c r="AI540" s="435">
        <f>IF(AND(ISNUMBER(AH540),ISNUMBER(AH539)),AH540-AH539,"")</f>
        <v>0.35</v>
      </c>
      <c r="AJ540" s="435">
        <f>IF(AND(ISNUMBER(AH540),ISNUMBER(AH528)),AH540-AH528,"")</f>
        <v>-1.2</v>
      </c>
      <c r="AK540" s="435">
        <f>IF(AND(ISNUMBER(AH540),ISNUMBER(AH480)),AH540-AH480,"")</f>
        <v>-3.3141</v>
      </c>
      <c r="AL540" s="560">
        <f>IFERROR(LN(INDEX(Data!$B$2:$B$497,MATCH(N540,Data!$A$2:$A$497,1))/INDEX(Data!$B$2:$B$497,MATCH(N528,Data!$A$2:$A$497,1))),"")</f>
        <v>0.039566467350743</v>
      </c>
      <c r="AM540" s="560">
        <f>IFERROR(LN(INDEX(Data!$C$2:$C$497,MATCH(N540,Data!$A$2:$A$497,1))/INDEX(Data!$C$2:$C$497,MATCH(N528,Data!$A$2:$A$497,1))),"")</f>
        <v>0.149783375357728</v>
      </c>
      <c r="AN540" s="560">
        <f>IFERROR(LN(INDEX(Data!$D$2:$D$497,MATCH(N540,Data!$A$2:$A$497,1))/INDEX(Data!$D$2:$D$497,MATCH(N528,Data!$A$2:$A$497,1))),"")</f>
        <v>0.0722638925072333</v>
      </c>
      <c r="AO540" s="560">
        <f>IFERROR(LN(INDEX(Data!$E$2:$E$497,MATCH(N540,Data!$A$2:$A$497,1))/INDEX(Data!$E$2:$E$497,MATCH(N528,Data!$A$2:$A$497,1))),"")</f>
        <v>0.19901911945256</v>
      </c>
      <c r="AP540" s="560">
        <f>IFERROR(LN(INDEX(Data!$F$2:$F$497,MATCH(N540,Data!$A$2:$A$497,1))/INDEX(Data!$F$2:$F$497,MATCH(N528,Data!$A$2:$A$497,1))),"")</f>
        <v>0.0400995329590148</v>
      </c>
      <c r="AQ540" s="560">
        <f>IFERROR(LN(INDEX(Data!$G$2:$G$497,MATCH(N540,Data!$A$2:$A$497,1))/INDEX(Data!$G$2:$G$497,MATCH(N528,Data!$A$2:$A$497,1))),"")</f>
        <v>-0.00382912653754049</v>
      </c>
      <c r="AR540" s="560">
        <f>IFERROR(LN(INDEX(Data!$H$2:$H$497,MATCH(N540,Data!$A$2:$A$497,1))/INDEX(Data!$H$2:$H$497,MATCH(N528,Data!$A$2:$A$497,1))),"")</f>
        <v>0.0939624497512524</v>
      </c>
      <c r="AS540" s="560">
        <f>IFERROR(LN(INDEX(Data!$I$2:$I$497,MATCH(N540,Data!$A$2:$A$497,1))/INDEX(Data!$I$2:$I$497,MATCH(N528,Data!$A$2:$A$497,1))),"")</f>
        <v>0.0426683782265013</v>
      </c>
      <c r="AT540" s="560">
        <f>IFERROR(LN(INDEX(Data!$J$2:$J$497,MATCH(N540,Data!$A$2:$A$497,1))/INDEX(Data!$J$2:$J$497,MATCH(N528,Data!$A$2:$A$497,1))),"")</f>
        <v>0.0906326921837899</v>
      </c>
      <c r="AU540" s="560">
        <f>IFERROR(LN(INDEX(Data!$K$2:$K$497,MATCH(N540,Data!$A$2:$A$497,1))/INDEX(Data!$K$2:$K$497,MATCH(N528,Data!$A$2:$A$497,1))),"")</f>
        <v>0.0995993118807272</v>
      </c>
      <c r="AV540" s="561">
        <f>IFERROR(LN(INDEX(Data!$L$2:$L$497,MATCH(N540,Data!$A$2:$A$497,1))/INDEX(Data!$L$2:$L$497,MATCH(N528,Data!$A$2:$A$497,1))),"")</f>
        <v>0.0434152190205425</v>
      </c>
    </row>
    <row r="541">
      <c r="N541" s="337" t="n">
        <v>41182</v>
      </c>
      <c r="O541" s="116">
        <f>INDEX('Additional data'!$B$2:$B$965,MATCH(DATE(YEAR(N541),MONTH(N541),1),'Additional data'!$A$2:$A$965,0))</f>
        <v>94.72</v>
      </c>
      <c r="P541" s="489">
        <f>LN(O541)</f>
        <v>4.5509251711357</v>
      </c>
      <c r="Q541" s="489">
        <f>Q540+LN(1+INDEX('Additional data'!$H$2:$H$1196,MATCH(N541,'Additional data'!$G$2:$G$1196,1))+INDEX('Additional data'!$I$2:$I$1196,MATCH(N541,'Additional data'!$G$2:$G$1196,1)))</f>
        <v>4.09502384400447</v>
      </c>
      <c r="R541" s="489">
        <f>LN(INDEX(Data!$B$2:$B$497,MATCH(N541,Data!$A$2:$A$497,1)))</f>
        <v>10.443344598334</v>
      </c>
      <c r="S541" s="116">
        <f>IF(INDEX('Additional data'!$E$2:$E$699,MATCH(DATE(YEAR(N541),MONTH(N541),1),'Additional data'!$D$2:$D$699,0))=0,(INDEX('Additional data'!$E$2:$E$699,MATCH(DATE(YEAR(N541),MONTH(N541),1),'Additional data'!$D$2:$D$699,0)-1)+INDEX('Additional data'!$E$2:$E$699,MATCH(DATE(YEAR(N541),MONTH(N541),1),'Additional data'!$D$2:$D$699,0)+1))/2,INDEX('Additional data'!$E$2:$E$699,MATCH(DATE(YEAR(N541),MONTH(N541),1),'Additional data'!$D$2:$D$699,0)))</f>
        <v>3.49</v>
      </c>
      <c r="T541" s="425">
        <f>P541-P540</f>
        <v>0.00592970818367444</v>
      </c>
      <c r="U541" s="425">
        <f>Q541-Q540</f>
        <v>0.0270313390510308</v>
      </c>
      <c r="V541" s="425">
        <f>R541-R540</f>
        <v>0.0210604030425472</v>
      </c>
      <c r="W541" s="116">
        <f>S541-S540</f>
        <v>-0.1275</v>
      </c>
      <c r="X541" s="425">
        <f>P541-P529</f>
        <v>0.101123072381301</v>
      </c>
      <c r="Y541" s="425">
        <f>Q541-Q529</f>
        <v>0.261465141346199</v>
      </c>
      <c r="Z541" s="425">
        <f>R541-R529</f>
        <v>0.125428656534082</v>
      </c>
      <c r="AA541" s="116">
        <f>S541-S529</f>
        <v>-1.32</v>
      </c>
      <c r="AB541" s="425">
        <f>P541-P481</f>
        <v>0.169773919497768</v>
      </c>
      <c r="AC541" s="425">
        <f>Q541-Q481</f>
        <v>0.0792831205377151</v>
      </c>
      <c r="AD541" s="425">
        <f>R541-R481</f>
        <v>-0.183137390542525</v>
      </c>
      <c r="AE541" s="235">
        <f>S541-S481</f>
        <v>-3.45</v>
      </c>
      <c r="AG541" s="554">
        <f>N541</f>
        <v>41182.0</v>
      </c>
      <c r="AH541" s="435">
        <f>IFERROR(INDEX('RBA 5Y yield'!$B$5:$B$661,MATCH(N541,'RBA 5Y yield'!$A$5:$A$661,1))*100,"")</f>
        <v>2.6625</v>
      </c>
      <c r="AI541" s="435">
        <f>IF(AND(ISNUMBER(AH541),ISNUMBER(AH540)),AH541-AH540,"")</f>
        <v>-0.155</v>
      </c>
      <c r="AJ541" s="435">
        <f>IF(AND(ISNUMBER(AH541),ISNUMBER(AH529)),AH541-AH529,"")</f>
        <v>-1.125</v>
      </c>
      <c r="AK541" s="435">
        <f>IF(AND(ISNUMBER(AH541),ISNUMBER(AH481)),AH541-AH481,"")</f>
        <v>-3.5449</v>
      </c>
      <c r="AL541" s="560">
        <f>IFERROR(LN(INDEX(Data!$B$2:$B$497,MATCH(N541,Data!$A$2:$A$497,1))/INDEX(Data!$B$2:$B$497,MATCH(N529,Data!$A$2:$A$497,1))),"")</f>
        <v>0.125428656534082</v>
      </c>
      <c r="AM541" s="560">
        <f>IFERROR(LN(INDEX(Data!$C$2:$C$497,MATCH(N541,Data!$A$2:$A$497,1))/INDEX(Data!$C$2:$C$497,MATCH(N529,Data!$A$2:$A$497,1))),"")</f>
        <v>0.130311431302165</v>
      </c>
      <c r="AN541" s="560">
        <f>IFERROR(LN(INDEX(Data!$D$2:$D$497,MATCH(N541,Data!$A$2:$A$497,1))/INDEX(Data!$D$2:$D$497,MATCH(N529,Data!$A$2:$A$497,1))),"")</f>
        <v>0.0879392972620091</v>
      </c>
      <c r="AO541" s="560">
        <f>IFERROR(LN(INDEX(Data!$E$2:$E$497,MATCH(N541,Data!$A$2:$A$497,1))/INDEX(Data!$E$2:$E$497,MATCH(N529,Data!$A$2:$A$497,1))),"")</f>
        <v>0.186033657762635</v>
      </c>
      <c r="AP541" s="560">
        <f>IFERROR(LN(INDEX(Data!$F$2:$F$497,MATCH(N541,Data!$A$2:$A$497,1))/INDEX(Data!$F$2:$F$497,MATCH(N529,Data!$A$2:$A$497,1))),"")</f>
        <v>0.0522579410706912</v>
      </c>
      <c r="AQ541" s="560">
        <f>IFERROR(LN(INDEX(Data!$G$2:$G$497,MATCH(N541,Data!$A$2:$A$497,1))/INDEX(Data!$G$2:$G$497,MATCH(N529,Data!$A$2:$A$497,1))),"")</f>
        <v>0.0119812442101025</v>
      </c>
      <c r="AR541" s="560">
        <f>IFERROR(LN(INDEX(Data!$H$2:$H$497,MATCH(N541,Data!$A$2:$A$497,1))/INDEX(Data!$H$2:$H$497,MATCH(N529,Data!$A$2:$A$497,1))),"")</f>
        <v>0.0560365561240264</v>
      </c>
      <c r="AS541" s="560">
        <f>IFERROR(LN(INDEX(Data!$I$2:$I$497,MATCH(N541,Data!$A$2:$A$497,1))/INDEX(Data!$I$2:$I$497,MATCH(N529,Data!$A$2:$A$497,1))),"")</f>
        <v>0.0686980458144003</v>
      </c>
      <c r="AT541" s="560">
        <f>IFERROR(LN(INDEX(Data!$J$2:$J$497,MATCH(N541,Data!$A$2:$A$497,1))/INDEX(Data!$J$2:$J$497,MATCH(N529,Data!$A$2:$A$497,1))),"")</f>
        <v>0.0913545379581399</v>
      </c>
      <c r="AU541" s="560">
        <f>IFERROR(LN(INDEX(Data!$K$2:$K$497,MATCH(N541,Data!$A$2:$A$497,1))/INDEX(Data!$K$2:$K$497,MATCH(N529,Data!$A$2:$A$497,1))),"")</f>
        <v>0.095872554800656</v>
      </c>
      <c r="AV541" s="561">
        <f>IFERROR(LN(INDEX(Data!$L$2:$L$497,MATCH(N541,Data!$A$2:$A$497,1))/INDEX(Data!$L$2:$L$497,MATCH(N529,Data!$A$2:$A$497,1))),"")</f>
        <v>0.0426821782607291</v>
      </c>
    </row>
    <row r="542">
      <c r="N542" s="337" t="n">
        <v>41213</v>
      </c>
      <c r="O542" s="116">
        <f>INDEX('Additional data'!$B$2:$B$965,MATCH(DATE(YEAR(N542),MONTH(N542),1),'Additional data'!$A$2:$A$965,0))</f>
        <v>89.57</v>
      </c>
      <c r="P542" s="489">
        <f>LN(O542)</f>
        <v>4.4950204424871</v>
      </c>
      <c r="Q542" s="489">
        <f>Q541+LN(1+INDEX('Additional data'!$H$2:$H$1196,MATCH(N542,'Additional data'!$G$2:$G$1196,1))+INDEX('Additional data'!$I$2:$I$1196,MATCH(N542,'Additional data'!$G$2:$G$1196,1)))</f>
        <v>4.07736890876575</v>
      </c>
      <c r="R542" s="489">
        <f>LN(INDEX(Data!$B$2:$B$497,MATCH(N542,Data!$A$2:$A$497,1)))</f>
        <v>10.4725690063766</v>
      </c>
      <c r="S542" s="116">
        <f>IF(INDEX('Additional data'!$E$2:$E$699,MATCH(DATE(YEAR(N542),MONTH(N542),1),'Additional data'!$D$2:$D$699,0))=0,(INDEX('Additional data'!$E$2:$E$699,MATCH(DATE(YEAR(N542),MONTH(N542),1),'Additional data'!$D$2:$D$699,0)-1)+INDEX('Additional data'!$E$2:$E$699,MATCH(DATE(YEAR(N542),MONTH(N542),1),'Additional data'!$D$2:$D$699,0)+1))/2,INDEX('Additional data'!$E$2:$E$699,MATCH(DATE(YEAR(N542),MONTH(N542),1),'Additional data'!$D$2:$D$699,0)))</f>
        <v>3.1625</v>
      </c>
      <c r="T542" s="425">
        <f>P542-P541</f>
        <v>-0.0559047286485912</v>
      </c>
      <c r="U542" s="425">
        <f>Q542-Q541</f>
        <v>-0.0176549352387205</v>
      </c>
      <c r="V542" s="425">
        <f>R542-R541</f>
        <v>0.0292244080426016</v>
      </c>
      <c r="W542" s="116">
        <f>S542-S541</f>
        <v>-0.3275</v>
      </c>
      <c r="X542" s="425">
        <f>P542-P530</f>
        <v>0.0359170326337965</v>
      </c>
      <c r="Y542" s="425">
        <f>Q542-Q530</f>
        <v>0.136481628354954</v>
      </c>
      <c r="Z542" s="425">
        <f>R542-R530</f>
        <v>0.0853968337505862</v>
      </c>
      <c r="AA542" s="116">
        <f>S542-S530</f>
        <v>-1.5625</v>
      </c>
      <c r="AB542" s="425">
        <f>P542-P482</f>
        <v>0.0383502648174563</v>
      </c>
      <c r="AC542" s="425">
        <f>Q542-Q482</f>
        <v>0.040747707719639</v>
      </c>
      <c r="AD542" s="425">
        <f>R542-R482</f>
        <v>-0.184182148836076</v>
      </c>
      <c r="AE542" s="235">
        <f>S542-S482</f>
        <v>-3.7475</v>
      </c>
      <c r="AG542" s="554">
        <f>N542</f>
        <v>41213.0</v>
      </c>
      <c r="AH542" s="435">
        <f>IFERROR(INDEX('RBA 5Y yield'!$B$5:$B$661,MATCH(N542,'RBA 5Y yield'!$A$5:$A$661,1))*100,"")</f>
        <v>2.615</v>
      </c>
      <c r="AI542" s="435">
        <f>IF(AND(ISNUMBER(AH542),ISNUMBER(AH541)),AH542-AH541,"")</f>
        <v>-0.0475000000000003</v>
      </c>
      <c r="AJ542" s="435">
        <f>IF(AND(ISNUMBER(AH542),ISNUMBER(AH530)),AH542-AH530,"")</f>
        <v>-1.33</v>
      </c>
      <c r="AK542" s="435">
        <f>IF(AND(ISNUMBER(AH542),ISNUMBER(AH482)),AH542-AH482,"")</f>
        <v>-3.8398</v>
      </c>
      <c r="AL542" s="560">
        <f>IFERROR(LN(INDEX(Data!$B$2:$B$497,MATCH(N542,Data!$A$2:$A$497,1))/INDEX(Data!$B$2:$B$497,MATCH(N530,Data!$A$2:$A$497,1))),"")</f>
        <v>0.0853968337505869</v>
      </c>
      <c r="AM542" s="560">
        <f>IFERROR(LN(INDEX(Data!$C$2:$C$497,MATCH(N542,Data!$A$2:$A$497,1))/INDEX(Data!$C$2:$C$497,MATCH(N530,Data!$A$2:$A$497,1))),"")</f>
        <v>0.134197135510023</v>
      </c>
      <c r="AN542" s="560">
        <f>IFERROR(LN(INDEX(Data!$D$2:$D$497,MATCH(N542,Data!$A$2:$A$497,1))/INDEX(Data!$D$2:$D$497,MATCH(N530,Data!$A$2:$A$497,1))),"")</f>
        <v>0.0891211618894666</v>
      </c>
      <c r="AO542" s="560">
        <f>IFERROR(LN(INDEX(Data!$E$2:$E$497,MATCH(N542,Data!$A$2:$A$497,1))/INDEX(Data!$E$2:$E$497,MATCH(N530,Data!$A$2:$A$497,1))),"")</f>
        <v>0.19371466328319</v>
      </c>
      <c r="AP542" s="560">
        <f>IFERROR(LN(INDEX(Data!$F$2:$F$497,MATCH(N542,Data!$A$2:$A$497,1))/INDEX(Data!$F$2:$F$497,MATCH(N530,Data!$A$2:$A$497,1))),"")</f>
        <v>0.00825829772168726</v>
      </c>
      <c r="AQ542" s="560">
        <f>IFERROR(LN(INDEX(Data!$G$2:$G$497,MATCH(N542,Data!$A$2:$A$497,1))/INDEX(Data!$G$2:$G$497,MATCH(N530,Data!$A$2:$A$497,1))),"")</f>
        <v>0.0119812442101025</v>
      </c>
      <c r="AR542" s="560">
        <f>IFERROR(LN(INDEX(Data!$H$2:$H$497,MATCH(N542,Data!$A$2:$A$497,1))/INDEX(Data!$H$2:$H$497,MATCH(N530,Data!$A$2:$A$497,1))),"")</f>
        <v>0.0259058772447942</v>
      </c>
      <c r="AS542" s="560">
        <f>IFERROR(LN(INDEX(Data!$I$2:$I$497,MATCH(N542,Data!$A$2:$A$497,1))/INDEX(Data!$I$2:$I$497,MATCH(N530,Data!$A$2:$A$497,1))),"")</f>
        <v>0.0686980458144003</v>
      </c>
      <c r="AT542" s="560">
        <f>IFERROR(LN(INDEX(Data!$J$2:$J$497,MATCH(N542,Data!$A$2:$A$497,1))/INDEX(Data!$J$2:$J$497,MATCH(N530,Data!$A$2:$A$497,1))),"")</f>
        <v>0.0972678595152738</v>
      </c>
      <c r="AU542" s="560">
        <f>IFERROR(LN(INDEX(Data!$K$2:$K$497,MATCH(N542,Data!$A$2:$A$497,1))/INDEX(Data!$K$2:$K$497,MATCH(N530,Data!$A$2:$A$497,1))),"")</f>
        <v>0.0982007520446396</v>
      </c>
      <c r="AV542" s="561">
        <f>IFERROR(LN(INDEX(Data!$L$2:$L$497,MATCH(N542,Data!$A$2:$A$497,1))/INDEX(Data!$L$2:$L$497,MATCH(N530,Data!$A$2:$A$497,1))),"")</f>
        <v>0.0414502582690394</v>
      </c>
    </row>
    <row r="543">
      <c r="N543" s="337" t="n">
        <v>41243</v>
      </c>
      <c r="O543" s="116">
        <f>INDEX('Additional data'!$B$2:$B$965,MATCH(DATE(YEAR(N543),MONTH(N543),1),'Additional data'!$A$2:$A$965,0))</f>
        <v>86.66</v>
      </c>
      <c r="P543" s="489">
        <f>LN(O543)</f>
        <v>4.46199241631176</v>
      </c>
      <c r="Q543" s="489">
        <f>Q542+LN(1+INDEX('Additional data'!$H$2:$H$1196,MATCH(N543,'Additional data'!$G$2:$G$1196,1))+INDEX('Additional data'!$I$2:$I$1196,MATCH(N543,'Additional data'!$G$2:$G$1196,1)))</f>
        <v>4.08523786714444</v>
      </c>
      <c r="R543" s="489">
        <f>LN(INDEX(Data!$B$2:$B$497,MATCH(N543,Data!$A$2:$A$497,1)))</f>
        <v>10.4752170072224</v>
      </c>
      <c r="S543" s="116">
        <f>IF(INDEX('Additional data'!$E$2:$E$699,MATCH(DATE(YEAR(N543),MONTH(N543),1),'Additional data'!$D$2:$D$699,0))=0,(INDEX('Additional data'!$E$2:$E$699,MATCH(DATE(YEAR(N543),MONTH(N543),1),'Additional data'!$D$2:$D$699,0)-1)+INDEX('Additional data'!$E$2:$E$699,MATCH(DATE(YEAR(N543),MONTH(N543),1),'Additional data'!$D$2:$D$699,0)+1))/2,INDEX('Additional data'!$E$2:$E$699,MATCH(DATE(YEAR(N543),MONTH(N543),1),'Additional data'!$D$2:$D$699,0)))</f>
        <v>3.2425</v>
      </c>
      <c r="T543" s="425">
        <f>P543-P542</f>
        <v>-0.0330280261753408</v>
      </c>
      <c r="U543" s="425">
        <f>Q543-Q542</f>
        <v>0.00786895837869484</v>
      </c>
      <c r="V543" s="425">
        <f>R543-R542</f>
        <v>0.00264800084584493</v>
      </c>
      <c r="W543" s="116">
        <f>S543-S542</f>
        <v>0.0800000000000001</v>
      </c>
      <c r="X543" s="425">
        <f>P543-P531</f>
        <v>-0.114881170521214</v>
      </c>
      <c r="Y543" s="425">
        <f>Q543-Q531</f>
        <v>0.147054238307964</v>
      </c>
      <c r="Z543" s="425">
        <f>R543-R531</f>
        <v>0.122991691421147</v>
      </c>
      <c r="AA543" s="116">
        <f>S543-S531</f>
        <v>-1.38</v>
      </c>
      <c r="AB543" s="425">
        <f>P543-P483</f>
        <v>-0.0878764538912389</v>
      </c>
      <c r="AC543" s="425">
        <f>Q543-Q483</f>
        <v>0.0942418441246096</v>
      </c>
      <c r="AD543" s="425">
        <f>R543-R483</f>
        <v>-0.157706669626275</v>
      </c>
      <c r="AE543" s="235">
        <f>S543-S483</f>
        <v>-3.9075</v>
      </c>
      <c r="AG543" s="554">
        <f>N543</f>
        <v>41243.0</v>
      </c>
      <c r="AH543" s="435">
        <f>IFERROR(INDEX('RBA 5Y yield'!$B$5:$B$661,MATCH(N543,'RBA 5Y yield'!$A$5:$A$661,1))*100,"")</f>
        <v>2.735</v>
      </c>
      <c r="AI543" s="435">
        <f>IF(AND(ISNUMBER(AH543),ISNUMBER(AH542)),AH543-AH542,"")</f>
        <v>0.12</v>
      </c>
      <c r="AJ543" s="435">
        <f>IF(AND(ISNUMBER(AH543),ISNUMBER(AH531)),AH543-AH531,"")</f>
        <v>-0.8375</v>
      </c>
      <c r="AK543" s="435">
        <f>IF(AND(ISNUMBER(AH543),ISNUMBER(AH483)),AH543-AH483,"")</f>
        <v>-3.6264</v>
      </c>
      <c r="AL543" s="560">
        <f>IFERROR(LN(INDEX(Data!$B$2:$B$497,MATCH(N543,Data!$A$2:$A$497,1))/INDEX(Data!$B$2:$B$497,MATCH(N531,Data!$A$2:$A$497,1))),"")</f>
        <v>0.122991691421147</v>
      </c>
      <c r="AM543" s="560">
        <f>IFERROR(LN(INDEX(Data!$C$2:$C$497,MATCH(N543,Data!$A$2:$A$497,1))/INDEX(Data!$C$2:$C$497,MATCH(N531,Data!$A$2:$A$497,1))),"")</f>
        <v>0.123352972606154</v>
      </c>
      <c r="AN543" s="560">
        <f>IFERROR(LN(INDEX(Data!$D$2:$D$497,MATCH(N543,Data!$A$2:$A$497,1))/INDEX(Data!$D$2:$D$497,MATCH(N531,Data!$A$2:$A$497,1))),"")</f>
        <v>0.106057623399925</v>
      </c>
      <c r="AO543" s="560">
        <f>IFERROR(LN(INDEX(Data!$E$2:$E$497,MATCH(N543,Data!$A$2:$A$497,1))/INDEX(Data!$E$2:$E$497,MATCH(N531,Data!$A$2:$A$497,1))),"")</f>
        <v>0.18835324726536</v>
      </c>
      <c r="AP543" s="560">
        <f>IFERROR(LN(INDEX(Data!$F$2:$F$497,MATCH(N543,Data!$A$2:$A$497,1))/INDEX(Data!$F$2:$F$497,MATCH(N531,Data!$A$2:$A$497,1))),"")</f>
        <v>-0.0294338590715016</v>
      </c>
      <c r="AQ543" s="560">
        <f>IFERROR(LN(INDEX(Data!$G$2:$G$497,MATCH(N543,Data!$A$2:$A$497,1))/INDEX(Data!$G$2:$G$497,MATCH(N531,Data!$A$2:$A$497,1))),"")</f>
        <v>0.0119812442101025</v>
      </c>
      <c r="AR543" s="560">
        <f>IFERROR(LN(INDEX(Data!$H$2:$H$497,MATCH(N543,Data!$A$2:$A$497,1))/INDEX(Data!$H$2:$H$497,MATCH(N531,Data!$A$2:$A$497,1))),"")</f>
        <v>0.016360660134302</v>
      </c>
      <c r="AS543" s="560">
        <f>IFERROR(LN(INDEX(Data!$I$2:$I$497,MATCH(N543,Data!$A$2:$A$497,1))/INDEX(Data!$I$2:$I$497,MATCH(N531,Data!$A$2:$A$497,1))),"")</f>
        <v>0.0686980458144003</v>
      </c>
      <c r="AT543" s="560">
        <f>IFERROR(LN(INDEX(Data!$J$2:$J$497,MATCH(N543,Data!$A$2:$A$497,1))/INDEX(Data!$J$2:$J$497,MATCH(N531,Data!$A$2:$A$497,1))),"")</f>
        <v>0.080160800834388</v>
      </c>
      <c r="AU543" s="560">
        <f>IFERROR(LN(INDEX(Data!$K$2:$K$497,MATCH(N543,Data!$A$2:$A$497,1))/INDEX(Data!$K$2:$K$497,MATCH(N531,Data!$A$2:$A$497,1))),"")</f>
        <v>0.107582252875464</v>
      </c>
      <c r="AV543" s="561">
        <f>IFERROR(LN(INDEX(Data!$L$2:$L$497,MATCH(N543,Data!$A$2:$A$497,1))/INDEX(Data!$L$2:$L$497,MATCH(N531,Data!$A$2:$A$497,1))),"")</f>
        <v>0.0400739741118217</v>
      </c>
    </row>
    <row r="544">
      <c r="N544" s="337" t="n">
        <v>41274</v>
      </c>
      <c r="O544" s="116">
        <f>INDEX('Additional data'!$B$2:$B$965,MATCH(DATE(YEAR(N544),MONTH(N544),1),'Additional data'!$A$2:$A$965,0))</f>
        <v>88.25</v>
      </c>
      <c r="P544" s="489">
        <f>LN(O544)</f>
        <v>4.48017369581341</v>
      </c>
      <c r="Q544" s="489">
        <f>Q543+LN(1+INDEX('Additional data'!$H$2:$H$1196,MATCH(N544,'Additional data'!$G$2:$G$1196,1))+INDEX('Additional data'!$I$2:$I$1196,MATCH(N544,'Additional data'!$G$2:$G$1196,1)))</f>
        <v>4.09706761889802</v>
      </c>
      <c r="R544" s="489">
        <f>LN(INDEX(Data!$B$2:$B$497,MATCH(N544,Data!$A$2:$A$497,1)))</f>
        <v>10.5089675494991</v>
      </c>
      <c r="S544" s="116">
        <f>IF(INDEX('Additional data'!$E$2:$E$699,MATCH(DATE(YEAR(N544),MONTH(N544),1),'Additional data'!$D$2:$D$699,0))=0,(INDEX('Additional data'!$E$2:$E$699,MATCH(DATE(YEAR(N544),MONTH(N544),1),'Additional data'!$D$2:$D$699,0)-1)+INDEX('Additional data'!$E$2:$E$699,MATCH(DATE(YEAR(N544),MONTH(N544),1),'Additional data'!$D$2:$D$699,0)+1))/2,INDEX('Additional data'!$E$2:$E$699,MATCH(DATE(YEAR(N544),MONTH(N544),1),'Additional data'!$D$2:$D$699,0)))</f>
        <v>3.1125</v>
      </c>
      <c r="T544" s="425">
        <f>P544-P543</f>
        <v>0.0181812795016425</v>
      </c>
      <c r="U544" s="425">
        <f>Q544-Q543</f>
        <v>0.0118297517535773</v>
      </c>
      <c r="V544" s="425">
        <f>R544-R543</f>
        <v>0.0337505422766959</v>
      </c>
      <c r="W544" s="116">
        <f>S544-S543</f>
        <v>-0.13</v>
      </c>
      <c r="X544" s="425">
        <f>P544-P532</f>
        <v>-0.110593259863942</v>
      </c>
      <c r="Y544" s="425">
        <f>Q544-Q532</f>
        <v>0.15141197522284</v>
      </c>
      <c r="Z544" s="425">
        <f>R544-R532</f>
        <v>0.172614749916471</v>
      </c>
      <c r="AA544" s="116">
        <f>S544-S532</f>
        <v>-1.395</v>
      </c>
      <c r="AB544" s="425">
        <f>P544-P484</f>
        <v>-0.0386757837081584</v>
      </c>
      <c r="AC544" s="425">
        <f>Q544-Q484</f>
        <v>0.11208966820375</v>
      </c>
      <c r="AD544" s="425">
        <f>R544-R484</f>
        <v>-0.100049529949031</v>
      </c>
      <c r="AE544" s="235">
        <f>S544-S484</f>
        <v>-4.1775</v>
      </c>
      <c r="AG544" s="554">
        <f>N544</f>
        <v>41274.0</v>
      </c>
      <c r="AH544" s="435">
        <f>IFERROR(INDEX('RBA 5Y yield'!$B$5:$B$661,MATCH(N544,'RBA 5Y yield'!$A$5:$A$661,1))*100,"")</f>
        <v>2.825</v>
      </c>
      <c r="AI544" s="435">
        <f>IF(AND(ISNUMBER(AH544),ISNUMBER(AH543)),AH544-AH543,"")</f>
        <v>0.0900000000000003</v>
      </c>
      <c r="AJ544" s="435">
        <f>IF(AND(ISNUMBER(AH544),ISNUMBER(AH532)),AH544-AH532,"")</f>
        <v>-0.51</v>
      </c>
      <c r="AK544" s="435">
        <f>IF(AND(ISNUMBER(AH544),ISNUMBER(AH484)),AH544-AH484,"")</f>
        <v>-3.6387</v>
      </c>
      <c r="AL544" s="560">
        <f>IFERROR(LN(INDEX(Data!$B$2:$B$497,MATCH(N544,Data!$A$2:$A$497,1))/INDEX(Data!$B$2:$B$497,MATCH(N532,Data!$A$2:$A$497,1))),"")</f>
        <v>0.172614749916472</v>
      </c>
      <c r="AM544" s="560">
        <f>IFERROR(LN(INDEX(Data!$C$2:$C$497,MATCH(N544,Data!$A$2:$A$497,1))/INDEX(Data!$C$2:$C$497,MATCH(N532,Data!$A$2:$A$497,1))),"")</f>
        <v>0.139406208612257</v>
      </c>
      <c r="AN544" s="560">
        <f>IFERROR(LN(INDEX(Data!$D$2:$D$497,MATCH(N544,Data!$A$2:$A$497,1))/INDEX(Data!$D$2:$D$497,MATCH(N532,Data!$A$2:$A$497,1))),"")</f>
        <v>0.147704572157921</v>
      </c>
      <c r="AO544" s="560">
        <f>IFERROR(LN(INDEX(Data!$E$2:$E$497,MATCH(N544,Data!$A$2:$A$497,1))/INDEX(Data!$E$2:$E$497,MATCH(N532,Data!$A$2:$A$497,1))),"")</f>
        <v>0.199705125631813</v>
      </c>
      <c r="AP544" s="560">
        <f>IFERROR(LN(INDEX(Data!$F$2:$F$497,MATCH(N544,Data!$A$2:$A$497,1))/INDEX(Data!$F$2:$F$497,MATCH(N532,Data!$A$2:$A$497,1))),"")</f>
        <v>-0.0118325043047887</v>
      </c>
      <c r="AQ544" s="560">
        <f>IFERROR(LN(INDEX(Data!$G$2:$G$497,MATCH(N544,Data!$A$2:$A$497,1))/INDEX(Data!$G$2:$G$497,MATCH(N532,Data!$A$2:$A$497,1))),"")</f>
        <v>0.041716752769651</v>
      </c>
      <c r="AR544" s="560">
        <f>IFERROR(LN(INDEX(Data!$H$2:$H$497,MATCH(N544,Data!$A$2:$A$497,1))/INDEX(Data!$H$2:$H$497,MATCH(N532,Data!$A$2:$A$497,1))),"")</f>
        <v>-0.0134418832709967</v>
      </c>
      <c r="AS544" s="560">
        <f>IFERROR(LN(INDEX(Data!$I$2:$I$497,MATCH(N544,Data!$A$2:$A$497,1))/INDEX(Data!$I$2:$I$497,MATCH(N532,Data!$A$2:$A$497,1))),"")</f>
        <v>0.0572053638034579</v>
      </c>
      <c r="AT544" s="560">
        <f>IFERROR(LN(INDEX(Data!$J$2:$J$497,MATCH(N544,Data!$A$2:$A$497,1))/INDEX(Data!$J$2:$J$497,MATCH(N532,Data!$A$2:$A$497,1))),"")</f>
        <v>0.0742153374104286</v>
      </c>
      <c r="AU544" s="560">
        <f>IFERROR(LN(INDEX(Data!$K$2:$K$497,MATCH(N544,Data!$A$2:$A$497,1))/INDEX(Data!$K$2:$K$497,MATCH(N532,Data!$A$2:$A$497,1))),"")</f>
        <v>0.0922224249992526</v>
      </c>
      <c r="AV544" s="561">
        <f>IFERROR(LN(INDEX(Data!$L$2:$L$497,MATCH(N544,Data!$A$2:$A$497,1))/INDEX(Data!$L$2:$L$497,MATCH(N532,Data!$A$2:$A$497,1))),"")</f>
        <v>0.0389216624999038</v>
      </c>
    </row>
    <row r="545">
      <c r="N545" s="337" t="n">
        <v>41305</v>
      </c>
      <c r="O545" s="116">
        <f>INDEX('Additional data'!$B$2:$B$965,MATCH(DATE(YEAR(N545),MONTH(N545),1),'Additional data'!$A$2:$A$965,0))</f>
        <v>94.69</v>
      </c>
      <c r="P545" s="489">
        <f>LN(O545)</f>
        <v>4.55060839799541</v>
      </c>
      <c r="Q545" s="489">
        <f>Q544+LN(1+INDEX('Additional data'!$H$2:$H$1196,MATCH(N545,'Additional data'!$G$2:$G$1196,1))+INDEX('Additional data'!$I$2:$I$1196,MATCH(N545,'Additional data'!$G$2:$G$1196,1)))</f>
        <v>4.15127167291153</v>
      </c>
      <c r="R545" s="489">
        <f>LN(INDEX(Data!$B$2:$B$497,MATCH(N545,Data!$A$2:$A$497,1)))</f>
        <v>10.5585161600317</v>
      </c>
      <c r="S545" s="116">
        <f>IF(INDEX('Additional data'!$E$2:$E$699,MATCH(DATE(YEAR(N545),MONTH(N545),1),'Additional data'!$D$2:$D$699,0))=0,(INDEX('Additional data'!$E$2:$E$699,MATCH(DATE(YEAR(N545),MONTH(N545),1),'Additional data'!$D$2:$D$699,0)-1)+INDEX('Additional data'!$E$2:$E$699,MATCH(DATE(YEAR(N545),MONTH(N545),1),'Additional data'!$D$2:$D$699,0)+1))/2,INDEX('Additional data'!$E$2:$E$699,MATCH(DATE(YEAR(N545),MONTH(N545),1),'Additional data'!$D$2:$D$699,0)))</f>
        <v>3</v>
      </c>
      <c r="T545" s="425">
        <f>P545-P544</f>
        <v>0.0704347021820029</v>
      </c>
      <c r="U545" s="425">
        <f>Q545-Q544</f>
        <v>0.0542040540135123</v>
      </c>
      <c r="V545" s="425">
        <f>R545-R544</f>
        <v>0.0495486105325078</v>
      </c>
      <c r="W545" s="116">
        <f>S545-S544</f>
        <v>-0.1125</v>
      </c>
      <c r="X545" s="425">
        <f>P545-P533</f>
        <v>-0.0569589125924042</v>
      </c>
      <c r="Y545" s="425">
        <f>Q545-Q533</f>
        <v>0.156349787933435</v>
      </c>
      <c r="Z545" s="425">
        <f>R545-R533</f>
        <v>0.171221292549486</v>
      </c>
      <c r="AA545" s="116">
        <f>S545-S533</f>
        <v>-1.41</v>
      </c>
      <c r="AB545" s="425">
        <f>P545-P485</f>
        <v>0.0185466838279558</v>
      </c>
      <c r="AC545" s="425">
        <f>Q545-Q485</f>
        <v>0.229446537222531</v>
      </c>
      <c r="AD545" s="425">
        <f>R545-R485</f>
        <v>0.0688370752524286</v>
      </c>
      <c r="AE545" s="235">
        <f>S545-S485</f>
        <v>-4.18</v>
      </c>
      <c r="AG545" s="554">
        <f>N545</f>
        <v>41305.0</v>
      </c>
      <c r="AH545" s="435">
        <f>IFERROR(INDEX('RBA 5Y yield'!$B$5:$B$661,MATCH(N545,'RBA 5Y yield'!$A$5:$A$661,1))*100,"")</f>
        <v>2.9375</v>
      </c>
      <c r="AI545" s="435">
        <f>IF(AND(ISNUMBER(AH545),ISNUMBER(AH544)),AH545-AH544,"")</f>
        <v>0.1125</v>
      </c>
      <c r="AJ545" s="435">
        <f>IF(AND(ISNUMBER(AH545),ISNUMBER(AH533)),AH545-AH533,"")</f>
        <v>-0.45</v>
      </c>
      <c r="AK545" s="435">
        <f>IF(AND(ISNUMBER(AH545),ISNUMBER(AH485)),AH545-AH485,"")</f>
        <v>-3.4049</v>
      </c>
      <c r="AL545" s="560">
        <f>IFERROR(LN(INDEX(Data!$B$2:$B$497,MATCH(N545,Data!$A$2:$A$497,1))/INDEX(Data!$B$2:$B$497,MATCH(N533,Data!$A$2:$A$497,1))),"")</f>
        <v>0.171221292549486</v>
      </c>
      <c r="AM545" s="560">
        <f>IFERROR(LN(INDEX(Data!$C$2:$C$497,MATCH(N545,Data!$A$2:$A$497,1))/INDEX(Data!$C$2:$C$497,MATCH(N533,Data!$A$2:$A$497,1))),"")</f>
        <v>0.18070945259036</v>
      </c>
      <c r="AN545" s="560">
        <f>IFERROR(LN(INDEX(Data!$D$2:$D$497,MATCH(N545,Data!$A$2:$A$497,1))/INDEX(Data!$D$2:$D$497,MATCH(N533,Data!$A$2:$A$497,1))),"")</f>
        <v>0.121168681064834</v>
      </c>
      <c r="AO545" s="560">
        <f>IFERROR(LN(INDEX(Data!$E$2:$E$497,MATCH(N545,Data!$A$2:$A$497,1))/INDEX(Data!$E$2:$E$497,MATCH(N533,Data!$A$2:$A$497,1))),"")</f>
        <v>0.211272465095767</v>
      </c>
      <c r="AP545" s="560">
        <f>IFERROR(LN(INDEX(Data!$F$2:$F$497,MATCH(N545,Data!$A$2:$A$497,1))/INDEX(Data!$F$2:$F$497,MATCH(N533,Data!$A$2:$A$497,1))),"")</f>
        <v>0.0400537667430396</v>
      </c>
      <c r="AQ545" s="560">
        <f>IFERROR(LN(INDEX(Data!$G$2:$G$497,MATCH(N545,Data!$A$2:$A$497,1))/INDEX(Data!$G$2:$G$497,MATCH(N533,Data!$A$2:$A$497,1))),"")</f>
        <v>0.041716752769651</v>
      </c>
      <c r="AR545" s="560">
        <f>IFERROR(LN(INDEX(Data!$H$2:$H$497,MATCH(N545,Data!$A$2:$A$497,1))/INDEX(Data!$H$2:$H$497,MATCH(N533,Data!$A$2:$A$497,1))),"")</f>
        <v>0.00699015554620913</v>
      </c>
      <c r="AS545" s="560">
        <f>IFERROR(LN(INDEX(Data!$I$2:$I$497,MATCH(N545,Data!$A$2:$A$497,1))/INDEX(Data!$I$2:$I$497,MATCH(N533,Data!$A$2:$A$497,1))),"")</f>
        <v>0.0572053638034579</v>
      </c>
      <c r="AT545" s="560">
        <f>IFERROR(LN(INDEX(Data!$J$2:$J$497,MATCH(N545,Data!$A$2:$A$497,1))/INDEX(Data!$J$2:$J$497,MATCH(N533,Data!$A$2:$A$497,1))),"")</f>
        <v>0.0705964734055061</v>
      </c>
      <c r="AU545" s="560">
        <f>IFERROR(LN(INDEX(Data!$K$2:$K$497,MATCH(N545,Data!$A$2:$A$497,1))/INDEX(Data!$K$2:$K$497,MATCH(N533,Data!$A$2:$A$497,1))),"")</f>
        <v>0.0758911333950532</v>
      </c>
      <c r="AV545" s="561">
        <f>IFERROR(LN(INDEX(Data!$L$2:$L$497,MATCH(N545,Data!$A$2:$A$497,1))/INDEX(Data!$L$2:$L$497,MATCH(N533,Data!$A$2:$A$497,1))),"")</f>
        <v>0.0377159885765169</v>
      </c>
    </row>
    <row r="546">
      <c r="N546" s="337" t="n">
        <v>41333</v>
      </c>
      <c r="O546" s="116">
        <f>INDEX('Additional data'!$B$2:$B$965,MATCH(DATE(YEAR(N546),MONTH(N546),1),'Additional data'!$A$2:$A$965,0))</f>
        <v>95.32</v>
      </c>
      <c r="P546" s="489">
        <f>LN(O546)</f>
        <v>4.55723965223054</v>
      </c>
      <c r="Q546" s="489">
        <f>Q545+LN(1+INDEX('Additional data'!$H$2:$H$1196,MATCH(N546,'Additional data'!$G$2:$G$1196,1))+INDEX('Additional data'!$I$2:$I$1196,MATCH(N546,'Additional data'!$G$2:$G$1196,1)))</f>
        <v>4.16399044531931</v>
      </c>
      <c r="R546" s="489">
        <f>LN(INDEX(Data!$B$2:$B$497,MATCH(N546,Data!$A$2:$A$497,1)))</f>
        <v>10.6089896063208</v>
      </c>
      <c r="S546" s="116">
        <f>IF(INDEX('Additional data'!$E$2:$E$699,MATCH(DATE(YEAR(N546),MONTH(N546),1),'Additional data'!$D$2:$D$699,0))=0,(INDEX('Additional data'!$E$2:$E$699,MATCH(DATE(YEAR(N546),MONTH(N546),1),'Additional data'!$D$2:$D$699,0)-1)+INDEX('Additional data'!$E$2:$E$699,MATCH(DATE(YEAR(N546),MONTH(N546),1),'Additional data'!$D$2:$D$699,0)+1))/2,INDEX('Additional data'!$E$2:$E$699,MATCH(DATE(YEAR(N546),MONTH(N546),1),'Additional data'!$D$2:$D$699,0)))</f>
        <v>2.94</v>
      </c>
      <c r="T546" s="425">
        <f>P546-P545</f>
        <v>0.006631254235133</v>
      </c>
      <c r="U546" s="425">
        <f>Q546-Q545</f>
        <v>0.0127187724077746</v>
      </c>
      <c r="V546" s="425">
        <f>R546-R545</f>
        <v>0.0504734462891729</v>
      </c>
      <c r="W546" s="116">
        <f>S546-S545</f>
        <v>-0.0600000000000001</v>
      </c>
      <c r="X546" s="425">
        <f>P546-P534</f>
        <v>-0.0701811426923698</v>
      </c>
      <c r="Y546" s="425">
        <f>Q546-Q534</f>
        <v>0.125817518346894</v>
      </c>
      <c r="Z546" s="425">
        <f>R546-R534</f>
        <v>0.197864194567465</v>
      </c>
      <c r="AA546" s="116">
        <f>S546-S534</f>
        <v>-1.43</v>
      </c>
      <c r="AB546" s="425">
        <f>P546-P486</f>
        <v>-0.00031467981588662</v>
      </c>
      <c r="AC546" s="425">
        <f>Q546-Q486</f>
        <v>0.272212230982602</v>
      </c>
      <c r="AD546" s="425">
        <f>R546-R486</f>
        <v>0.116689720615708</v>
      </c>
      <c r="AE546" s="235">
        <f>S546-S486</f>
        <v>-4.75</v>
      </c>
      <c r="AG546" s="554">
        <f>N546</f>
        <v>41333.0</v>
      </c>
      <c r="AH546" s="435">
        <f>IFERROR(INDEX('RBA 5Y yield'!$B$5:$B$661,MATCH(N546,'RBA 5Y yield'!$A$5:$A$661,1))*100,"")</f>
        <v>3.02</v>
      </c>
      <c r="AI546" s="435">
        <f>IF(AND(ISNUMBER(AH546),ISNUMBER(AH545)),AH546-AH545,"")</f>
        <v>0.0825</v>
      </c>
      <c r="AJ546" s="435">
        <f>IF(AND(ISNUMBER(AH546),ISNUMBER(AH534)),AH546-AH534,"")</f>
        <v>-0.6</v>
      </c>
      <c r="AK546" s="435">
        <f>IF(AND(ISNUMBER(AH546),ISNUMBER(AH486)),AH546-AH486,"")</f>
        <v>-3.481</v>
      </c>
      <c r="AL546" s="560">
        <f>IFERROR(LN(INDEX(Data!$B$2:$B$497,MATCH(N546,Data!$A$2:$A$497,1))/INDEX(Data!$B$2:$B$497,MATCH(N534,Data!$A$2:$A$497,1))),"")</f>
        <v>0.197864194567466</v>
      </c>
      <c r="AM546" s="560">
        <f>IFERROR(LN(INDEX(Data!$C$2:$C$497,MATCH(N546,Data!$A$2:$A$497,1))/INDEX(Data!$C$2:$C$497,MATCH(N534,Data!$A$2:$A$497,1))),"")</f>
        <v>0.184303178453575</v>
      </c>
      <c r="AN546" s="560">
        <f>IFERROR(LN(INDEX(Data!$D$2:$D$497,MATCH(N546,Data!$A$2:$A$497,1))/INDEX(Data!$D$2:$D$497,MATCH(N534,Data!$A$2:$A$497,1))),"")</f>
        <v>0.102216614604537</v>
      </c>
      <c r="AO546" s="560">
        <f>IFERROR(LN(INDEX(Data!$E$2:$E$497,MATCH(N546,Data!$A$2:$A$497,1))/INDEX(Data!$E$2:$E$497,MATCH(N534,Data!$A$2:$A$497,1))),"")</f>
        <v>0.259139427709984</v>
      </c>
      <c r="AP546" s="560">
        <f>IFERROR(LN(INDEX(Data!$F$2:$F$497,MATCH(N546,Data!$A$2:$A$497,1))/INDEX(Data!$F$2:$F$497,MATCH(N534,Data!$A$2:$A$497,1))),"")</f>
        <v>-0.0284623660652937</v>
      </c>
      <c r="AQ546" s="560">
        <f>IFERROR(LN(INDEX(Data!$G$2:$G$497,MATCH(N546,Data!$A$2:$A$497,1))/INDEX(Data!$G$2:$G$497,MATCH(N534,Data!$A$2:$A$497,1))),"")</f>
        <v>0.041716752769651</v>
      </c>
      <c r="AR546" s="560">
        <f>IFERROR(LN(INDEX(Data!$H$2:$H$497,MATCH(N546,Data!$A$2:$A$497,1))/INDEX(Data!$H$2:$H$497,MATCH(N534,Data!$A$2:$A$497,1))),"")</f>
        <v>0.0233953065427682</v>
      </c>
      <c r="AS546" s="560">
        <f>IFERROR(LN(INDEX(Data!$I$2:$I$497,MATCH(N546,Data!$A$2:$A$497,1))/INDEX(Data!$I$2:$I$497,MATCH(N534,Data!$A$2:$A$497,1))),"")</f>
        <v>0.0572053638034579</v>
      </c>
      <c r="AT546" s="560">
        <f>IFERROR(LN(INDEX(Data!$J$2:$J$497,MATCH(N546,Data!$A$2:$A$497,1))/INDEX(Data!$J$2:$J$497,MATCH(N534,Data!$A$2:$A$497,1))),"")</f>
        <v>0.0786438687944011</v>
      </c>
      <c r="AU546" s="560">
        <f>IFERROR(LN(INDEX(Data!$K$2:$K$497,MATCH(N546,Data!$A$2:$A$497,1))/INDEX(Data!$K$2:$K$497,MATCH(N534,Data!$A$2:$A$497,1))),"")</f>
        <v>0.0773391647348939</v>
      </c>
      <c r="AV546" s="561">
        <f>IFERROR(LN(INDEX(Data!$L$2:$L$497,MATCH(N546,Data!$A$2:$A$497,1))/INDEX(Data!$L$2:$L$497,MATCH(N534,Data!$A$2:$A$497,1))),"")</f>
        <v>0.0366408797736873</v>
      </c>
    </row>
    <row r="547">
      <c r="N547" s="337" t="n">
        <v>41364</v>
      </c>
      <c r="O547" s="116">
        <f>INDEX('Additional data'!$B$2:$B$965,MATCH(DATE(YEAR(N547),MONTH(N547),1),'Additional data'!$A$2:$A$965,0))</f>
        <v>93.05</v>
      </c>
      <c r="P547" s="489">
        <f>LN(O547)</f>
        <v>4.53313698308826</v>
      </c>
      <c r="Q547" s="489">
        <f>Q546+LN(1+INDEX('Additional data'!$H$2:$H$1196,MATCH(N547,'Additional data'!$G$2:$G$1196,1))+INDEX('Additional data'!$I$2:$I$1196,MATCH(N547,'Additional data'!$G$2:$G$1196,1)))</f>
        <v>4.20359569991167</v>
      </c>
      <c r="R547" s="489">
        <f>LN(INDEX(Data!$B$2:$B$497,MATCH(N547,Data!$A$2:$A$497,1)))</f>
        <v>10.5863388506126</v>
      </c>
      <c r="S547" s="116">
        <f>IF(INDEX('Additional data'!$E$2:$E$699,MATCH(DATE(YEAR(N547),MONTH(N547),1),'Additional data'!$D$2:$D$699,0))=0,(INDEX('Additional data'!$E$2:$E$699,MATCH(DATE(YEAR(N547),MONTH(N547),1),'Additional data'!$D$2:$D$699,0)-1)+INDEX('Additional data'!$E$2:$E$699,MATCH(DATE(YEAR(N547),MONTH(N547),1),'Additional data'!$D$2:$D$699,0)+1))/2,INDEX('Additional data'!$E$2:$E$699,MATCH(DATE(YEAR(N547),MONTH(N547),1),'Additional data'!$D$2:$D$699,0)))</f>
        <v>3.05</v>
      </c>
      <c r="T547" s="425">
        <f>P547-P546</f>
        <v>-0.0241026691422821</v>
      </c>
      <c r="U547" s="425">
        <f>Q547-Q546</f>
        <v>0.0396052545923595</v>
      </c>
      <c r="V547" s="425">
        <f>R547-R546</f>
        <v>-0.0226507557082432</v>
      </c>
      <c r="W547" s="116">
        <f>S547-S546</f>
        <v>0.11</v>
      </c>
      <c r="X547" s="425">
        <f>P547-P535</f>
        <v>-0.132092959327495</v>
      </c>
      <c r="Y547" s="425">
        <f>Q547-Q535</f>
        <v>0.134699600296413</v>
      </c>
      <c r="Z547" s="425">
        <f>R547-R535</f>
        <v>0.163813134592328</v>
      </c>
      <c r="AA547" s="116">
        <f>S547-S535</f>
        <v>-1.3925</v>
      </c>
      <c r="AB547" s="425">
        <f>P547-P487</f>
        <v>-0.126142528546864</v>
      </c>
      <c r="AC547" s="425">
        <f>Q547-Q487</f>
        <v>0.319547283636903</v>
      </c>
      <c r="AD547" s="425">
        <f>R547-R487</f>
        <v>0.13604462628682</v>
      </c>
      <c r="AE547" s="235">
        <f>S547-S487</f>
        <v>-4.85</v>
      </c>
      <c r="AG547" s="554">
        <f>N547</f>
        <v>41364.0</v>
      </c>
      <c r="AH547" s="435">
        <f>IFERROR(INDEX('RBA 5Y yield'!$B$5:$B$661,MATCH(N547,'RBA 5Y yield'!$A$5:$A$661,1))*100,"")</f>
        <v>3.1175</v>
      </c>
      <c r="AI547" s="435">
        <f>IF(AND(ISNUMBER(AH547),ISNUMBER(AH546)),AH547-AH546,"")</f>
        <v>0.0975000000000001</v>
      </c>
      <c r="AJ547" s="435">
        <f>IF(AND(ISNUMBER(AH547),ISNUMBER(AH535)),AH547-AH535,"")</f>
        <v>-0.6325</v>
      </c>
      <c r="AK547" s="435">
        <f>IF(AND(ISNUMBER(AH547),ISNUMBER(AH487)),AH547-AH487,"")</f>
        <v>-2.9828</v>
      </c>
      <c r="AL547" s="560">
        <f>IFERROR(LN(INDEX(Data!$B$2:$B$497,MATCH(N547,Data!$A$2:$A$497,1))/INDEX(Data!$B$2:$B$497,MATCH(N535,Data!$A$2:$A$497,1))),"")</f>
        <v>0.163813134592328</v>
      </c>
      <c r="AM547" s="560">
        <f>IFERROR(LN(INDEX(Data!$C$2:$C$497,MATCH(N547,Data!$A$2:$A$497,1))/INDEX(Data!$C$2:$C$497,MATCH(N535,Data!$A$2:$A$497,1))),"")</f>
        <v>0.132954926991572</v>
      </c>
      <c r="AN547" s="560">
        <f>IFERROR(LN(INDEX(Data!$D$2:$D$497,MATCH(N547,Data!$A$2:$A$497,1))/INDEX(Data!$D$2:$D$497,MATCH(N535,Data!$A$2:$A$497,1))),"")</f>
        <v>0.0474952367684833</v>
      </c>
      <c r="AO547" s="560">
        <f>IFERROR(LN(INDEX(Data!$E$2:$E$497,MATCH(N547,Data!$A$2:$A$497,1))/INDEX(Data!$E$2:$E$497,MATCH(N535,Data!$A$2:$A$497,1))),"")</f>
        <v>0.19192477672441</v>
      </c>
      <c r="AP547" s="560">
        <f>IFERROR(LN(INDEX(Data!$F$2:$F$497,MATCH(N547,Data!$A$2:$A$497,1))/INDEX(Data!$F$2:$F$497,MATCH(N535,Data!$A$2:$A$497,1))),"")</f>
        <v>-0.0572522747204081</v>
      </c>
      <c r="AQ547" s="560">
        <f>IFERROR(LN(INDEX(Data!$G$2:$G$497,MATCH(N547,Data!$A$2:$A$497,1))/INDEX(Data!$G$2:$G$497,MATCH(N535,Data!$A$2:$A$497,1))),"")</f>
        <v>0.0425120522656554</v>
      </c>
      <c r="AR547" s="560">
        <f>IFERROR(LN(INDEX(Data!$H$2:$H$497,MATCH(N547,Data!$A$2:$A$497,1))/INDEX(Data!$H$2:$H$497,MATCH(N535,Data!$A$2:$A$497,1))),"")</f>
        <v>0.0122608839261035</v>
      </c>
      <c r="AS547" s="560">
        <f>IFERROR(LN(INDEX(Data!$I$2:$I$497,MATCH(N547,Data!$A$2:$A$497,1))/INDEX(Data!$I$2:$I$497,MATCH(N535,Data!$A$2:$A$497,1))),"")</f>
        <v>0.0668084309872922</v>
      </c>
      <c r="AT547" s="560">
        <f>IFERROR(LN(INDEX(Data!$J$2:$J$497,MATCH(N547,Data!$A$2:$A$497,1))/INDEX(Data!$J$2:$J$497,MATCH(N535,Data!$A$2:$A$497,1))),"")</f>
        <v>0.0680350835717265</v>
      </c>
      <c r="AU547" s="560">
        <f>IFERROR(LN(INDEX(Data!$K$2:$K$497,MATCH(N547,Data!$A$2:$A$497,1))/INDEX(Data!$K$2:$K$497,MATCH(N535,Data!$A$2:$A$497,1))),"")</f>
        <v>0.0828113029662587</v>
      </c>
      <c r="AV547" s="561">
        <f>IFERROR(LN(INDEX(Data!$L$2:$L$497,MATCH(N547,Data!$A$2:$A$497,1))/INDEX(Data!$L$2:$L$497,MATCH(N535,Data!$A$2:$A$497,1))),"")</f>
        <v>0.0352035725146736</v>
      </c>
    </row>
    <row r="548">
      <c r="N548" s="337" t="n">
        <v>41394</v>
      </c>
      <c r="O548" s="116">
        <f>INDEX('Additional data'!$B$2:$B$965,MATCH(DATE(YEAR(N548),MONTH(N548),1),'Additional data'!$A$2:$A$965,0))</f>
        <v>92.07</v>
      </c>
      <c r="P548" s="489">
        <f>LN(O548)</f>
        <v>4.52254915729975</v>
      </c>
      <c r="Q548" s="489">
        <f>Q547+LN(1+INDEX('Additional data'!$H$2:$H$1196,MATCH(N548,'Additional data'!$G$2:$G$1196,1))+INDEX('Additional data'!$I$2:$I$1196,MATCH(N548,'Additional data'!$G$2:$G$1196,1)))</f>
        <v>4.21907527076005</v>
      </c>
      <c r="R548" s="489">
        <f>LN(INDEX(Data!$B$2:$B$497,MATCH(N548,Data!$A$2:$A$497,1)))</f>
        <v>10.6238324958155</v>
      </c>
      <c r="S548" s="116">
        <f>IF(INDEX('Additional data'!$E$2:$E$699,MATCH(DATE(YEAR(N548),MONTH(N548),1),'Additional data'!$D$2:$D$699,0))=0,(INDEX('Additional data'!$E$2:$E$699,MATCH(DATE(YEAR(N548),MONTH(N548),1),'Additional data'!$D$2:$D$699,0)-1)+INDEX('Additional data'!$E$2:$E$699,MATCH(DATE(YEAR(N548),MONTH(N548),1),'Additional data'!$D$2:$D$699,0)+1))/2,INDEX('Additional data'!$E$2:$E$699,MATCH(DATE(YEAR(N548),MONTH(N548),1),'Additional data'!$D$2:$D$699,0)))</f>
        <v>3.02</v>
      </c>
      <c r="T548" s="425">
        <f>P548-P547</f>
        <v>-0.0105878257885053</v>
      </c>
      <c r="U548" s="425">
        <f>Q548-Q547</f>
        <v>0.0154795708483864</v>
      </c>
      <c r="V548" s="425">
        <f>R548-R547</f>
        <v>0.0374936452029626</v>
      </c>
      <c r="W548" s="116">
        <f>S548-S547</f>
        <v>-0.0299999999999998</v>
      </c>
      <c r="X548" s="425">
        <f>P548-P536</f>
        <v>-0.115378592926509</v>
      </c>
      <c r="Y548" s="425">
        <f>Q548-Q536</f>
        <v>0.158715502167086</v>
      </c>
      <c r="Z548" s="425">
        <f>R548-R536</f>
        <v>0.190340813892117</v>
      </c>
      <c r="AA548" s="116">
        <f>S548-S536</f>
        <v>-1.1825</v>
      </c>
      <c r="AB548" s="425">
        <f>P548-P488</f>
        <v>-0.201026093066958</v>
      </c>
      <c r="AC548" s="425">
        <f>Q548-Q488</f>
        <v>0.28823869298653</v>
      </c>
      <c r="AD548" s="425">
        <f>R548-R488</f>
        <v>0.12814760305573</v>
      </c>
      <c r="AE548" s="235">
        <f>S548-S488</f>
        <v>-4.82</v>
      </c>
      <c r="AG548" s="554">
        <f>N548</f>
        <v>41394.0</v>
      </c>
      <c r="AH548" s="435">
        <f>IFERROR(INDEX('RBA 5Y yield'!$B$5:$B$661,MATCH(N548,'RBA 5Y yield'!$A$5:$A$661,1))*100,"")</f>
        <v>2.9075</v>
      </c>
      <c r="AI548" s="435">
        <f>IF(AND(ISNUMBER(AH548),ISNUMBER(AH547)),AH548-AH547,"")</f>
        <v>-0.21</v>
      </c>
      <c r="AJ548" s="435">
        <f>IF(AND(ISNUMBER(AH548),ISNUMBER(AH536)),AH548-AH536,"")</f>
        <v>-0.455</v>
      </c>
      <c r="AK548" s="435">
        <f>IF(AND(ISNUMBER(AH548),ISNUMBER(AH488)),AH548-AH488,"")</f>
        <v>-3.2787</v>
      </c>
      <c r="AL548" s="560">
        <f>IFERROR(LN(INDEX(Data!$B$2:$B$497,MATCH(N548,Data!$A$2:$A$497,1))/INDEX(Data!$B$2:$B$497,MATCH(N536,Data!$A$2:$A$497,1))),"")</f>
        <v>0.190340813892119</v>
      </c>
      <c r="AM548" s="560">
        <f>IFERROR(LN(INDEX(Data!$C$2:$C$497,MATCH(N548,Data!$A$2:$A$497,1))/INDEX(Data!$C$2:$C$497,MATCH(N536,Data!$A$2:$A$497,1))),"")</f>
        <v>0.185094135599355</v>
      </c>
      <c r="AN548" s="560">
        <f>IFERROR(LN(INDEX(Data!$D$2:$D$497,MATCH(N548,Data!$A$2:$A$497,1))/INDEX(Data!$D$2:$D$497,MATCH(N536,Data!$A$2:$A$497,1))),"")</f>
        <v>0.0616706197270184</v>
      </c>
      <c r="AO548" s="560">
        <f>IFERROR(LN(INDEX(Data!$E$2:$E$497,MATCH(N548,Data!$A$2:$A$497,1))/INDEX(Data!$E$2:$E$497,MATCH(N536,Data!$A$2:$A$497,1))),"")</f>
        <v>0.23689322528468</v>
      </c>
      <c r="AP548" s="560">
        <f>IFERROR(LN(INDEX(Data!$F$2:$F$497,MATCH(N548,Data!$A$2:$A$497,1))/INDEX(Data!$F$2:$F$497,MATCH(N536,Data!$A$2:$A$497,1))),"")</f>
        <v>-0.0913415298928677</v>
      </c>
      <c r="AQ548" s="560">
        <f>IFERROR(LN(INDEX(Data!$G$2:$G$497,MATCH(N548,Data!$A$2:$A$497,1))/INDEX(Data!$G$2:$G$497,MATCH(N536,Data!$A$2:$A$497,1))),"")</f>
        <v>0.0425120522656554</v>
      </c>
      <c r="AR548" s="560">
        <f>IFERROR(LN(INDEX(Data!$H$2:$H$497,MATCH(N548,Data!$A$2:$A$497,1))/INDEX(Data!$H$2:$H$497,MATCH(N536,Data!$A$2:$A$497,1))),"")</f>
        <v>0.00686356947438368</v>
      </c>
      <c r="AS548" s="560">
        <f>IFERROR(LN(INDEX(Data!$I$2:$I$497,MATCH(N548,Data!$A$2:$A$497,1))/INDEX(Data!$I$2:$I$497,MATCH(N536,Data!$A$2:$A$497,1))),"")</f>
        <v>0.0668084309872922</v>
      </c>
      <c r="AT548" s="560">
        <f>IFERROR(LN(INDEX(Data!$J$2:$J$497,MATCH(N548,Data!$A$2:$A$497,1))/INDEX(Data!$J$2:$J$497,MATCH(N536,Data!$A$2:$A$497,1))),"")</f>
        <v>0.0675252999297281</v>
      </c>
      <c r="AU548" s="560">
        <f>IFERROR(LN(INDEX(Data!$K$2:$K$497,MATCH(N548,Data!$A$2:$A$497,1))/INDEX(Data!$K$2:$K$497,MATCH(N536,Data!$A$2:$A$497,1))),"")</f>
        <v>0.086419469393494</v>
      </c>
      <c r="AV548" s="561">
        <f>IFERROR(LN(INDEX(Data!$L$2:$L$497,MATCH(N548,Data!$A$2:$A$497,1))/INDEX(Data!$L$2:$L$497,MATCH(N536,Data!$A$2:$A$497,1))),"")</f>
        <v>0.0340386409494061</v>
      </c>
    </row>
    <row r="549">
      <c r="N549" s="337" t="n">
        <v>41425</v>
      </c>
      <c r="O549" s="116">
        <f>INDEX('Additional data'!$B$2:$B$965,MATCH(DATE(YEAR(N549),MONTH(N549),1),'Additional data'!$A$2:$A$965,0))</f>
        <v>94.8</v>
      </c>
      <c r="P549" s="489">
        <f>LN(O549)</f>
        <v>4.55176940926098</v>
      </c>
      <c r="Q549" s="489">
        <f>Q548+LN(1+INDEX('Additional data'!$H$2:$H$1196,MATCH(N549,'Additional data'!$G$2:$G$1196,1))+INDEX('Additional data'!$I$2:$I$1196,MATCH(N549,'Additional data'!$G$2:$G$1196,1)))</f>
        <v>4.24669043779302</v>
      </c>
      <c r="R549" s="489">
        <f>LN(INDEX(Data!$B$2:$B$497,MATCH(N549,Data!$A$2:$A$497,1)))</f>
        <v>10.5789862531556</v>
      </c>
      <c r="S549" s="116">
        <f>IF(INDEX('Additional data'!$E$2:$E$699,MATCH(DATE(YEAR(N549),MONTH(N549),1),'Additional data'!$D$2:$D$699,0))=0,(INDEX('Additional data'!$E$2:$E$699,MATCH(DATE(YEAR(N549),MONTH(N549),1),'Additional data'!$D$2:$D$699,0)-1)+INDEX('Additional data'!$E$2:$E$699,MATCH(DATE(YEAR(N549),MONTH(N549),1),'Additional data'!$D$2:$D$699,0)+1))/2,INDEX('Additional data'!$E$2:$E$699,MATCH(DATE(YEAR(N549),MONTH(N549),1),'Additional data'!$D$2:$D$699,0)))</f>
        <v>2.82</v>
      </c>
      <c r="T549" s="425">
        <f>P549-P548</f>
        <v>0.0292202519612221</v>
      </c>
      <c r="U549" s="425">
        <f>Q549-Q548</f>
        <v>0.0276151670329732</v>
      </c>
      <c r="V549" s="425">
        <f>R549-R548</f>
        <v>-0.0448462426599576</v>
      </c>
      <c r="W549" s="116">
        <f>S549-S548</f>
        <v>-0.2</v>
      </c>
      <c r="X549" s="425">
        <f>P549-P537</f>
        <v>0.00105540906894408</v>
      </c>
      <c r="Y549" s="425">
        <f>Q549-Q537</f>
        <v>0.24990965084293</v>
      </c>
      <c r="Z549" s="425">
        <f>R549-R537</f>
        <v>0.216982739185514</v>
      </c>
      <c r="AA549" s="116">
        <f>S549-S537</f>
        <v>-0.835</v>
      </c>
      <c r="AB549" s="425">
        <f>P549-P489</f>
        <v>-0.27965947094147</v>
      </c>
      <c r="AC549" s="425">
        <f>Q549-Q489</f>
        <v>0.295561156751741</v>
      </c>
      <c r="AD549" s="425">
        <f>R549-R489</f>
        <v>0.0590569588646996</v>
      </c>
      <c r="AE549" s="235">
        <f>S549-S489</f>
        <v>-4.93</v>
      </c>
      <c r="AG549" s="554">
        <f>N549</f>
        <v>41425.0</v>
      </c>
      <c r="AH549" s="435">
        <f>IFERROR(INDEX('RBA 5Y yield'!$B$5:$B$661,MATCH(N549,'RBA 5Y yield'!$A$5:$A$661,1))*100,"")</f>
        <v>2.7875</v>
      </c>
      <c r="AI549" s="435">
        <f>IF(AND(ISNUMBER(AH549),ISNUMBER(AH548)),AH549-AH548,"")</f>
        <v>-0.12</v>
      </c>
      <c r="AJ549" s="435">
        <f>IF(AND(ISNUMBER(AH549),ISNUMBER(AH537)),AH549-AH537,"")</f>
        <v>0.0375000000000001</v>
      </c>
      <c r="AK549" s="435">
        <f>IF(AND(ISNUMBER(AH549),ISNUMBER(AH489)),AH549-AH489,"")</f>
        <v>-3.5461</v>
      </c>
      <c r="AL549" s="560">
        <f>IFERROR(LN(INDEX(Data!$B$2:$B$497,MATCH(N549,Data!$A$2:$A$497,1))/INDEX(Data!$B$2:$B$497,MATCH(N537,Data!$A$2:$A$497,1))),"")</f>
        <v>0.216982739185514</v>
      </c>
      <c r="AM549" s="560">
        <f>IFERROR(LN(INDEX(Data!$C$2:$C$497,MATCH(N549,Data!$A$2:$A$497,1))/INDEX(Data!$C$2:$C$497,MATCH(N537,Data!$A$2:$A$497,1))),"")</f>
        <v>0.277978311830931</v>
      </c>
      <c r="AN549" s="560">
        <f>IFERROR(LN(INDEX(Data!$D$2:$D$497,MATCH(N549,Data!$A$2:$A$497,1))/INDEX(Data!$D$2:$D$497,MATCH(N537,Data!$A$2:$A$497,1))),"")</f>
        <v>0.147715017767307</v>
      </c>
      <c r="AO549" s="560">
        <f>IFERROR(LN(INDEX(Data!$E$2:$E$497,MATCH(N549,Data!$A$2:$A$497,1))/INDEX(Data!$E$2:$E$497,MATCH(N537,Data!$A$2:$A$497,1))),"")</f>
        <v>0.224277646511941</v>
      </c>
      <c r="AP549" s="560">
        <f>IFERROR(LN(INDEX(Data!$F$2:$F$497,MATCH(N549,Data!$A$2:$A$497,1))/INDEX(Data!$F$2:$F$497,MATCH(N537,Data!$A$2:$A$497,1))),"")</f>
        <v>0.0413928106356764</v>
      </c>
      <c r="AQ549" s="560">
        <f>IFERROR(LN(INDEX(Data!$G$2:$G$497,MATCH(N549,Data!$A$2:$A$497,1))/INDEX(Data!$G$2:$G$497,MATCH(N537,Data!$A$2:$A$497,1))),"")</f>
        <v>0.0425120522656554</v>
      </c>
      <c r="AR549" s="560">
        <f>IFERROR(LN(INDEX(Data!$H$2:$H$497,MATCH(N549,Data!$A$2:$A$497,1))/INDEX(Data!$H$2:$H$497,MATCH(N537,Data!$A$2:$A$497,1))),"")</f>
        <v>-0.0243608224616759</v>
      </c>
      <c r="AS549" s="560">
        <f>IFERROR(LN(INDEX(Data!$I$2:$I$497,MATCH(N549,Data!$A$2:$A$497,1))/INDEX(Data!$I$2:$I$497,MATCH(N537,Data!$A$2:$A$497,1))),"")</f>
        <v>0.0668084309872922</v>
      </c>
      <c r="AT549" s="560">
        <f>IFERROR(LN(INDEX(Data!$J$2:$J$497,MATCH(N549,Data!$A$2:$A$497,1))/INDEX(Data!$J$2:$J$497,MATCH(N537,Data!$A$2:$A$497,1))),"")</f>
        <v>0.0362837752603294</v>
      </c>
      <c r="AU549" s="560">
        <f>IFERROR(LN(INDEX(Data!$K$2:$K$497,MATCH(N549,Data!$A$2:$A$497,1))/INDEX(Data!$K$2:$K$497,MATCH(N537,Data!$A$2:$A$497,1))),"")</f>
        <v>0.0587436523366255</v>
      </c>
      <c r="AV549" s="561">
        <f>IFERROR(LN(INDEX(Data!$L$2:$L$497,MATCH(N549,Data!$A$2:$A$497,1))/INDEX(Data!$L$2:$L$497,MATCH(N537,Data!$A$2:$A$497,1))),"")</f>
        <v>0.0328006705298019</v>
      </c>
    </row>
    <row r="550">
      <c r="N550" s="337" t="n">
        <v>41455</v>
      </c>
      <c r="O550" s="116">
        <f>INDEX('Additional data'!$B$2:$B$965,MATCH(DATE(YEAR(N550),MONTH(N550),1),'Additional data'!$A$2:$A$965,0))</f>
        <v>95.8</v>
      </c>
      <c r="P550" s="489">
        <f>LN(O550)</f>
        <v>4.56226268497681</v>
      </c>
      <c r="Q550" s="489">
        <f>Q549+LN(1+INDEX('Additional data'!$H$2:$H$1196,MATCH(N550,'Additional data'!$G$2:$G$1196,1))+INDEX('Additional data'!$I$2:$I$1196,MATCH(N550,'Additional data'!$G$2:$G$1196,1)))</f>
        <v>4.23461785655876</v>
      </c>
      <c r="R550" s="489">
        <f>LN(INDEX(Data!$B$2:$B$497,MATCH(N550,Data!$A$2:$A$497,1)))</f>
        <v>10.5524299821186</v>
      </c>
      <c r="S550" s="116">
        <f>IF(INDEX('Additional data'!$E$2:$E$699,MATCH(DATE(YEAR(N550),MONTH(N550),1),'Additional data'!$D$2:$D$699,0))=0,(INDEX('Additional data'!$E$2:$E$699,MATCH(DATE(YEAR(N550),MONTH(N550),1),'Additional data'!$D$2:$D$699,0)-1)+INDEX('Additional data'!$E$2:$E$699,MATCH(DATE(YEAR(N550),MONTH(N550),1),'Additional data'!$D$2:$D$699,0)+1))/2,INDEX('Additional data'!$E$2:$E$699,MATCH(DATE(YEAR(N550),MONTH(N550),1),'Additional data'!$D$2:$D$699,0)))</f>
        <v>2.8</v>
      </c>
      <c r="T550" s="425">
        <f>P550-P549</f>
        <v>0.010493275715838</v>
      </c>
      <c r="U550" s="425">
        <f>Q550-Q549</f>
        <v>-0.0120725812342695</v>
      </c>
      <c r="V550" s="425">
        <f>R550-R549</f>
        <v>-0.0265562710369629</v>
      </c>
      <c r="W550" s="116">
        <f>S550-S549</f>
        <v>-0.02</v>
      </c>
      <c r="X550" s="425">
        <f>P550-P538</f>
        <v>0.150555896201523</v>
      </c>
      <c r="Y550" s="425">
        <f>Q550-Q538</f>
        <v>0.199674608514312</v>
      </c>
      <c r="Z550" s="425">
        <f>R550-R538</f>
        <v>0.18790782663552</v>
      </c>
      <c r="AA550" s="116">
        <f>S550-S538</f>
        <v>-0.6925</v>
      </c>
      <c r="AB550" s="425">
        <f>P550-P490</f>
        <v>-0.335054590422216</v>
      </c>
      <c r="AC550" s="425">
        <f>Q550-Q490</f>
        <v>0.369700272336537</v>
      </c>
      <c r="AD550" s="425">
        <f>R550-R490</f>
        <v>0.108469852120608</v>
      </c>
      <c r="AE550" s="235">
        <f>S550-S490</f>
        <v>-5.01</v>
      </c>
      <c r="AG550" s="554">
        <f>N550</f>
        <v>41455.0</v>
      </c>
      <c r="AH550" s="435">
        <f>IFERROR(INDEX('RBA 5Y yield'!$B$5:$B$661,MATCH(N550,'RBA 5Y yield'!$A$5:$A$661,1))*100,"")</f>
        <v>2.923375</v>
      </c>
      <c r="AI550" s="435">
        <f>IF(AND(ISNUMBER(AH550),ISNUMBER(AH549)),AH550-AH549,"")</f>
        <v>0.135875</v>
      </c>
      <c r="AJ550" s="435">
        <f>IF(AND(ISNUMBER(AH550),ISNUMBER(AH538)),AH550-AH538,"")</f>
        <v>0.430875</v>
      </c>
      <c r="AK550" s="435">
        <f>IF(AND(ISNUMBER(AH550),ISNUMBER(AH490)),AH550-AH490,"")</f>
        <v>-3.766925</v>
      </c>
      <c r="AL550" s="560">
        <f>IFERROR(LN(INDEX(Data!$B$2:$B$497,MATCH(N550,Data!$A$2:$A$497,1))/INDEX(Data!$B$2:$B$497,MATCH(N538,Data!$A$2:$A$497,1))),"")</f>
        <v>0.187907826635519</v>
      </c>
      <c r="AM550" s="560">
        <f>IFERROR(LN(INDEX(Data!$C$2:$C$497,MATCH(N550,Data!$A$2:$A$497,1))/INDEX(Data!$C$2:$C$497,MATCH(N538,Data!$A$2:$A$497,1))),"")</f>
        <v>0.313064289227502</v>
      </c>
      <c r="AN550" s="560">
        <f>IFERROR(LN(INDEX(Data!$D$2:$D$497,MATCH(N550,Data!$A$2:$A$497,1))/INDEX(Data!$D$2:$D$497,MATCH(N538,Data!$A$2:$A$497,1))),"")</f>
        <v>0.175874988613859</v>
      </c>
      <c r="AO550" s="560">
        <f>IFERROR(LN(INDEX(Data!$E$2:$E$497,MATCH(N550,Data!$A$2:$A$497,1))/INDEX(Data!$E$2:$E$497,MATCH(N538,Data!$A$2:$A$497,1))),"")</f>
        <v>0.251613332437064</v>
      </c>
      <c r="AP550" s="560">
        <f>IFERROR(LN(INDEX(Data!$F$2:$F$497,MATCH(N550,Data!$A$2:$A$497,1))/INDEX(Data!$F$2:$F$497,MATCH(N538,Data!$A$2:$A$497,1))),"")</f>
        <v>0.133364476261947</v>
      </c>
      <c r="AQ550" s="560">
        <f>IFERROR(LN(INDEX(Data!$G$2:$G$497,MATCH(N550,Data!$A$2:$A$497,1))/INDEX(Data!$G$2:$G$497,MATCH(N538,Data!$A$2:$A$497,1))),"")</f>
        <v>0.0634248557758863</v>
      </c>
      <c r="AR550" s="560">
        <f>IFERROR(LN(INDEX(Data!$H$2:$H$497,MATCH(N550,Data!$A$2:$A$497,1))/INDEX(Data!$H$2:$H$497,MATCH(N538,Data!$A$2:$A$497,1))),"")</f>
        <v>-0.013134885185966</v>
      </c>
      <c r="AS550" s="560">
        <f>IFERROR(LN(INDEX(Data!$I$2:$I$497,MATCH(N550,Data!$A$2:$A$497,1))/INDEX(Data!$I$2:$I$497,MATCH(N538,Data!$A$2:$A$497,1))),"")</f>
        <v>0.128504614787256</v>
      </c>
      <c r="AT550" s="560">
        <f>IFERROR(LN(INDEX(Data!$J$2:$J$497,MATCH(N550,Data!$A$2:$A$497,1))/INDEX(Data!$J$2:$J$497,MATCH(N538,Data!$A$2:$A$497,1))),"")</f>
        <v>0.0273961941864899</v>
      </c>
      <c r="AU550" s="560">
        <f>IFERROR(LN(INDEX(Data!$K$2:$K$497,MATCH(N550,Data!$A$2:$A$497,1))/INDEX(Data!$K$2:$K$497,MATCH(N538,Data!$A$2:$A$497,1))),"")</f>
        <v>0.0448848248250879</v>
      </c>
      <c r="AV550" s="561">
        <f>IFERROR(LN(INDEX(Data!$L$2:$L$497,MATCH(N550,Data!$A$2:$A$497,1))/INDEX(Data!$L$2:$L$497,MATCH(N538,Data!$A$2:$A$497,1))),"")</f>
        <v>0.0322638053450202</v>
      </c>
    </row>
    <row r="551">
      <c r="N551" s="337" t="n">
        <v>41486</v>
      </c>
      <c r="O551" s="116">
        <f>INDEX('Additional data'!$B$2:$B$965,MATCH(DATE(YEAR(N551),MONTH(N551),1),'Additional data'!$A$2:$A$965,0))</f>
        <v>104.61</v>
      </c>
      <c r="P551" s="489">
        <f>LN(O551)</f>
        <v>4.65023914935567</v>
      </c>
      <c r="Q551" s="489">
        <f>Q550+LN(1+INDEX('Additional data'!$H$2:$H$1196,MATCH(N551,'Additional data'!$G$2:$G$1196,1))+INDEX('Additional data'!$I$2:$I$1196,MATCH(N551,'Additional data'!$G$2:$G$1196,1)))</f>
        <v>4.28957941463273</v>
      </c>
      <c r="R551" s="489">
        <f>LN(INDEX(Data!$B$2:$B$497,MATCH(N551,Data!$A$2:$A$497,1)))</f>
        <v>10.6056025866736</v>
      </c>
      <c r="S551" s="116">
        <f>IF(INDEX('Additional data'!$E$2:$E$699,MATCH(DATE(YEAR(N551),MONTH(N551),1),'Additional data'!$D$2:$D$699,0))=0,(INDEX('Additional data'!$E$2:$E$699,MATCH(DATE(YEAR(N551),MONTH(N551),1),'Additional data'!$D$2:$D$699,0)-1)+INDEX('Additional data'!$E$2:$E$699,MATCH(DATE(YEAR(N551),MONTH(N551),1),'Additional data'!$D$2:$D$699,0)+1))/2,INDEX('Additional data'!$E$2:$E$699,MATCH(DATE(YEAR(N551),MONTH(N551),1),'Additional data'!$D$2:$D$699,0)))</f>
        <v>2.76</v>
      </c>
      <c r="T551" s="425">
        <f>P551-P550</f>
        <v>0.0879764643788548</v>
      </c>
      <c r="U551" s="425">
        <f>Q551-Q550</f>
        <v>0.0549615580739742</v>
      </c>
      <c r="V551" s="425">
        <f>R551-R550</f>
        <v>0.0531726045549572</v>
      </c>
      <c r="W551" s="116">
        <f>S551-S550</f>
        <v>-0.04</v>
      </c>
      <c r="X551" s="425">
        <f>P551-P539</f>
        <v>0.173698105964759</v>
      </c>
      <c r="Y551" s="425">
        <f>Q551-Q539</f>
        <v>0.246767208209591</v>
      </c>
      <c r="Z551" s="425">
        <f>R551-R539</f>
        <v>0.204332129769275</v>
      </c>
      <c r="AA551" s="116">
        <f>S551-S539</f>
        <v>-0.785</v>
      </c>
      <c r="AB551" s="425">
        <f>P551-P491</f>
        <v>-0.243412789254768</v>
      </c>
      <c r="AC551" s="425">
        <f>Q551-Q491</f>
        <v>0.430679902736074</v>
      </c>
      <c r="AD551" s="425">
        <f>R551-R491</f>
        <v>0.215408490962757</v>
      </c>
      <c r="AE551" s="235">
        <f>S551-S491</f>
        <v>-4.99</v>
      </c>
      <c r="AG551" s="554">
        <f>N551</f>
        <v>41486.0</v>
      </c>
      <c r="AH551" s="435">
        <f>IFERROR(INDEX('RBA 5Y yield'!$B$5:$B$661,MATCH(N551,'RBA 5Y yield'!$A$5:$A$661,1))*100,"")</f>
        <v>3.05925</v>
      </c>
      <c r="AI551" s="435">
        <f>IF(AND(ISNUMBER(AH551),ISNUMBER(AH550)),AH551-AH550,"")</f>
        <v>0.135875</v>
      </c>
      <c r="AJ551" s="435">
        <f>IF(AND(ISNUMBER(AH551),ISNUMBER(AH539)),AH551-AH539,"")</f>
        <v>0.59175</v>
      </c>
      <c r="AK551" s="435">
        <f>IF(AND(ISNUMBER(AH551),ISNUMBER(AH491)),AH551-AH491,"")</f>
        <v>-3.34505</v>
      </c>
      <c r="AL551" s="560">
        <f>IFERROR(LN(INDEX(Data!$B$2:$B$497,MATCH(N551,Data!$A$2:$A$497,1))/INDEX(Data!$B$2:$B$497,MATCH(N539,Data!$A$2:$A$497,1))),"")</f>
        <v>0.204332129769276</v>
      </c>
      <c r="AM551" s="560">
        <f>IFERROR(LN(INDEX(Data!$C$2:$C$497,MATCH(N551,Data!$A$2:$A$497,1))/INDEX(Data!$C$2:$C$497,MATCH(N539,Data!$A$2:$A$497,1))),"")</f>
        <v>0.391964829225316</v>
      </c>
      <c r="AN551" s="560">
        <f>IFERROR(LN(INDEX(Data!$D$2:$D$497,MATCH(N551,Data!$A$2:$A$497,1))/INDEX(Data!$D$2:$D$497,MATCH(N539,Data!$A$2:$A$497,1))),"")</f>
        <v>0.218816511422257</v>
      </c>
      <c r="AO551" s="560">
        <f>IFERROR(LN(INDEX(Data!$E$2:$E$497,MATCH(N551,Data!$A$2:$A$497,1))/INDEX(Data!$E$2:$E$497,MATCH(N539,Data!$A$2:$A$497,1))),"")</f>
        <v>0.275267294523612</v>
      </c>
      <c r="AP551" s="560">
        <f>IFERROR(LN(INDEX(Data!$F$2:$F$497,MATCH(N551,Data!$A$2:$A$497,1))/INDEX(Data!$F$2:$F$497,MATCH(N539,Data!$A$2:$A$497,1))),"")</f>
        <v>0.165575064201766</v>
      </c>
      <c r="AQ551" s="560">
        <f>IFERROR(LN(INDEX(Data!$G$2:$G$497,MATCH(N551,Data!$A$2:$A$497,1))/INDEX(Data!$G$2:$G$497,MATCH(N539,Data!$A$2:$A$497,1))),"")</f>
        <v>0.0634248557758863</v>
      </c>
      <c r="AR551" s="560">
        <f>IFERROR(LN(INDEX(Data!$H$2:$H$497,MATCH(N551,Data!$A$2:$A$497,1))/INDEX(Data!$H$2:$H$497,MATCH(N539,Data!$A$2:$A$497,1))),"")</f>
        <v>0.00895165694760099</v>
      </c>
      <c r="AS551" s="560">
        <f>IFERROR(LN(INDEX(Data!$I$2:$I$497,MATCH(N551,Data!$A$2:$A$497,1))/INDEX(Data!$I$2:$I$497,MATCH(N539,Data!$A$2:$A$497,1))),"")</f>
        <v>0.128504614787256</v>
      </c>
      <c r="AT551" s="560">
        <f>IFERROR(LN(INDEX(Data!$J$2:$J$497,MATCH(N551,Data!$A$2:$A$497,1))/INDEX(Data!$J$2:$J$497,MATCH(N539,Data!$A$2:$A$497,1))),"")</f>
        <v>0.0322062485436941</v>
      </c>
      <c r="AU551" s="560">
        <f>IFERROR(LN(INDEX(Data!$K$2:$K$497,MATCH(N551,Data!$A$2:$A$497,1))/INDEX(Data!$K$2:$K$497,MATCH(N539,Data!$A$2:$A$497,1))),"")</f>
        <v>0.0350996900550536</v>
      </c>
      <c r="AV551" s="561">
        <f>IFERROR(LN(INDEX(Data!$L$2:$L$497,MATCH(N551,Data!$A$2:$A$497,1))/INDEX(Data!$L$2:$L$497,MATCH(N539,Data!$A$2:$A$497,1))),"")</f>
        <v>0.0318715320739916</v>
      </c>
    </row>
    <row r="552">
      <c r="N552" s="337" t="n">
        <v>41517</v>
      </c>
      <c r="O552" s="116">
        <f>INDEX('Additional data'!$B$2:$B$965,MATCH(DATE(YEAR(N552),MONTH(N552),1),'Additional data'!$A$2:$A$965,0))</f>
        <v>106.57</v>
      </c>
      <c r="P552" s="489">
        <f>LN(O552)</f>
        <v>4.66880204623287</v>
      </c>
      <c r="Q552" s="489">
        <f>Q551+LN(1+INDEX('Additional data'!$H$2:$H$1196,MATCH(N552,'Additional data'!$G$2:$G$1196,1))+INDEX('Additional data'!$I$2:$I$1196,MATCH(N552,'Additional data'!$G$2:$G$1196,1)))</f>
        <v>4.26210543763197</v>
      </c>
      <c r="R552" s="489">
        <f>LN(INDEX(Data!$B$2:$B$497,MATCH(N552,Data!$A$2:$A$497,1)))</f>
        <v>10.6311952342542</v>
      </c>
      <c r="S552" s="116">
        <f>IF(INDEX('Additional data'!$E$2:$E$699,MATCH(DATE(YEAR(N552),MONTH(N552),1),'Additional data'!$D$2:$D$699,0))=0,(INDEX('Additional data'!$E$2:$E$699,MATCH(DATE(YEAR(N552),MONTH(N552),1),'Additional data'!$D$2:$D$699,0)-1)+INDEX('Additional data'!$E$2:$E$699,MATCH(DATE(YEAR(N552),MONTH(N552),1),'Additional data'!$D$2:$D$699,0)+1))/2,INDEX('Additional data'!$E$2:$E$699,MATCH(DATE(YEAR(N552),MONTH(N552),1),'Additional data'!$D$2:$D$699,0)))</f>
        <v>2.6</v>
      </c>
      <c r="T552" s="425">
        <f>P552-P551</f>
        <v>0.0185628968771958</v>
      </c>
      <c r="U552" s="425">
        <f>Q552-Q551</f>
        <v>-0.0274739770007555</v>
      </c>
      <c r="V552" s="425">
        <f>R552-R551</f>
        <v>0.0255926475805932</v>
      </c>
      <c r="W552" s="116">
        <f>S552-S551</f>
        <v>-0.16</v>
      </c>
      <c r="X552" s="425">
        <f>P552-P540</f>
        <v>0.123806583280844</v>
      </c>
      <c r="Y552" s="425">
        <f>Q552-Q540</f>
        <v>0.194112932678538</v>
      </c>
      <c r="Z552" s="425">
        <f>R552-R540</f>
        <v>0.20891103896272</v>
      </c>
      <c r="AA552" s="116">
        <f>S552-S540</f>
        <v>-1.0175</v>
      </c>
      <c r="AB552" s="425">
        <f>P552-P492</f>
        <v>-0.0900329872993764</v>
      </c>
      <c r="AC552" s="425">
        <f>Q552-Q492</f>
        <v>0.386742199704654</v>
      </c>
      <c r="AD552" s="425">
        <f>R552-R492</f>
        <v>0.201542315705542</v>
      </c>
      <c r="AE552" s="235">
        <f>S552-S492</f>
        <v>-4.71</v>
      </c>
      <c r="AG552" s="554">
        <f>N552</f>
        <v>41517.0</v>
      </c>
      <c r="AH552" s="435">
        <f>IFERROR(INDEX('RBA 5Y yield'!$B$5:$B$661,MATCH(N552,'RBA 5Y yield'!$A$5:$A$661,1))*100,"")</f>
        <v>3.195125</v>
      </c>
      <c r="AI552" s="435">
        <f>IF(AND(ISNUMBER(AH552),ISNUMBER(AH551)),AH552-AH551,"")</f>
        <v>0.135875</v>
      </c>
      <c r="AJ552" s="435">
        <f>IF(AND(ISNUMBER(AH552),ISNUMBER(AH540)),AH552-AH540,"")</f>
        <v>0.377625</v>
      </c>
      <c r="AK552" s="435">
        <f>IF(AND(ISNUMBER(AH552),ISNUMBER(AH492)),AH552-AH492,"")</f>
        <v>-2.578875</v>
      </c>
      <c r="AL552" s="560">
        <f>IFERROR(LN(INDEX(Data!$B$2:$B$497,MATCH(N552,Data!$A$2:$A$497,1))/INDEX(Data!$B$2:$B$497,MATCH(N540,Data!$A$2:$A$497,1))),"")</f>
        <v>0.20891103896272</v>
      </c>
      <c r="AM552" s="560">
        <f>IFERROR(LN(INDEX(Data!$C$2:$C$497,MATCH(N552,Data!$A$2:$A$497,1))/INDEX(Data!$C$2:$C$497,MATCH(N540,Data!$A$2:$A$497,1))),"")</f>
        <v>0.340721192122612</v>
      </c>
      <c r="AN552" s="560">
        <f>IFERROR(LN(INDEX(Data!$D$2:$D$497,MATCH(N552,Data!$A$2:$A$497,1))/INDEX(Data!$D$2:$D$497,MATCH(N540,Data!$A$2:$A$497,1))),"")</f>
        <v>0.209137927669966</v>
      </c>
      <c r="AO552" s="560">
        <f>IFERROR(LN(INDEX(Data!$E$2:$E$497,MATCH(N552,Data!$A$2:$A$497,1))/INDEX(Data!$E$2:$E$497,MATCH(N540,Data!$A$2:$A$497,1))),"")</f>
        <v>0.204316790469721</v>
      </c>
      <c r="AP552" s="560">
        <f>IFERROR(LN(INDEX(Data!$F$2:$F$497,MATCH(N552,Data!$A$2:$A$497,1))/INDEX(Data!$F$2:$F$497,MATCH(N540,Data!$A$2:$A$497,1))),"")</f>
        <v>0.126552695423766</v>
      </c>
      <c r="AQ552" s="560">
        <f>IFERROR(LN(INDEX(Data!$G$2:$G$497,MATCH(N552,Data!$A$2:$A$497,1))/INDEX(Data!$G$2:$G$497,MATCH(N540,Data!$A$2:$A$497,1))),"")</f>
        <v>0.0634248557758863</v>
      </c>
      <c r="AR552" s="560">
        <f>IFERROR(LN(INDEX(Data!$H$2:$H$497,MATCH(N552,Data!$A$2:$A$497,1))/INDEX(Data!$H$2:$H$497,MATCH(N540,Data!$A$2:$A$497,1))),"")</f>
        <v>0.0124302670250036</v>
      </c>
      <c r="AS552" s="560">
        <f>IFERROR(LN(INDEX(Data!$I$2:$I$497,MATCH(N552,Data!$A$2:$A$497,1))/INDEX(Data!$I$2:$I$497,MATCH(N540,Data!$A$2:$A$497,1))),"")</f>
        <v>0.128504614787256</v>
      </c>
      <c r="AT552" s="560">
        <f>IFERROR(LN(INDEX(Data!$J$2:$J$497,MATCH(N552,Data!$A$2:$A$497,1))/INDEX(Data!$J$2:$J$497,MATCH(N540,Data!$A$2:$A$497,1))),"")</f>
        <v>0.0227390529297077</v>
      </c>
      <c r="AU552" s="560">
        <f>IFERROR(LN(INDEX(Data!$K$2:$K$497,MATCH(N552,Data!$A$2:$A$497,1))/INDEX(Data!$K$2:$K$497,MATCH(N540,Data!$A$2:$A$497,1))),"")</f>
        <v>0.0280248184595722</v>
      </c>
      <c r="AV552" s="561">
        <f>IFERROR(LN(INDEX(Data!$L$2:$L$497,MATCH(N552,Data!$A$2:$A$497,1))/INDEX(Data!$L$2:$L$497,MATCH(N540,Data!$A$2:$A$497,1))),"")</f>
        <v>0.0311952432189883</v>
      </c>
    </row>
    <row r="553">
      <c r="N553" s="337" t="n">
        <v>41547</v>
      </c>
      <c r="O553" s="116">
        <f>INDEX('Additional data'!$B$2:$B$965,MATCH(DATE(YEAR(N553),MONTH(N553),1),'Additional data'!$A$2:$A$965,0))</f>
        <v>106.29</v>
      </c>
      <c r="P553" s="489">
        <f>LN(O553)</f>
        <v>4.66617120754549</v>
      </c>
      <c r="Q553" s="489">
        <f>Q552+LN(1+INDEX('Additional data'!$H$2:$H$1196,MATCH(N553,'Additional data'!$G$2:$G$1196,1))+INDEX('Additional data'!$I$2:$I$1196,MATCH(N553,'Additional data'!$G$2:$G$1196,1)))</f>
        <v>4.29911216326107</v>
      </c>
      <c r="R553" s="489">
        <f>LN(INDEX(Data!$B$2:$B$497,MATCH(N553,Data!$A$2:$A$497,1)))</f>
        <v>10.654781952457</v>
      </c>
      <c r="S553" s="116">
        <f>IF(INDEX('Additional data'!$E$2:$E$699,MATCH(DATE(YEAR(N553),MONTH(N553),1),'Additional data'!$D$2:$D$699,0))=0,(INDEX('Additional data'!$E$2:$E$699,MATCH(DATE(YEAR(N553),MONTH(N553),1),'Additional data'!$D$2:$D$699,0)-1)+INDEX('Additional data'!$E$2:$E$699,MATCH(DATE(YEAR(N553),MONTH(N553),1),'Additional data'!$D$2:$D$699,0)+1))/2,INDEX('Additional data'!$E$2:$E$699,MATCH(DATE(YEAR(N553),MONTH(N553),1),'Additional data'!$D$2:$D$699,0)))</f>
        <v>2.58</v>
      </c>
      <c r="T553" s="425">
        <f>P553-P552</f>
        <v>-0.00263083868737457</v>
      </c>
      <c r="U553" s="425">
        <f>Q553-Q552</f>
        <v>0.0370067256290954</v>
      </c>
      <c r="V553" s="425">
        <f>R553-R552</f>
        <v>0.0235867182028109</v>
      </c>
      <c r="W553" s="116">
        <f>S553-S552</f>
        <v>-0.02</v>
      </c>
      <c r="X553" s="425">
        <f>P553-P541</f>
        <v>0.115246036409795</v>
      </c>
      <c r="Y553" s="425">
        <f>Q553-Q541</f>
        <v>0.204088319256602</v>
      </c>
      <c r="Z553" s="425">
        <f>R553-R541</f>
        <v>0.211437354122983</v>
      </c>
      <c r="AA553" s="116">
        <f>S553-S541</f>
        <v>-0.91</v>
      </c>
      <c r="AB553" s="425">
        <f>P553-P493</f>
        <v>0.022742309440309</v>
      </c>
      <c r="AC553" s="425">
        <f>Q553-Q493</f>
        <v>0.520259825714593</v>
      </c>
      <c r="AD553" s="425">
        <f>R553-R493</f>
        <v>0.337401406420421</v>
      </c>
      <c r="AE553" s="235">
        <f>S553-S493</f>
        <v>-4.69</v>
      </c>
      <c r="AG553" s="554">
        <f>N553</f>
        <v>41547.0</v>
      </c>
      <c r="AH553" s="435">
        <f>IFERROR(INDEX('RBA 5Y yield'!$B$5:$B$661,MATCH(N553,'RBA 5Y yield'!$A$5:$A$661,1))*100,"")</f>
        <v>3.331</v>
      </c>
      <c r="AI553" s="435">
        <f>IF(AND(ISNUMBER(AH553),ISNUMBER(AH552)),AH553-AH552,"")</f>
        <v>0.135875</v>
      </c>
      <c r="AJ553" s="435">
        <f>IF(AND(ISNUMBER(AH553),ISNUMBER(AH541)),AH553-AH541,"")</f>
        <v>0.6685</v>
      </c>
      <c r="AK553" s="435">
        <f>IF(AND(ISNUMBER(AH553),ISNUMBER(AH493)),AH553-AH493,"")</f>
        <v>-2.2054</v>
      </c>
      <c r="AL553" s="560">
        <f>IFERROR(LN(INDEX(Data!$B$2:$B$497,MATCH(N553,Data!$A$2:$A$497,1))/INDEX(Data!$B$2:$B$497,MATCH(N541,Data!$A$2:$A$497,1))),"")</f>
        <v>0.211437354122984</v>
      </c>
      <c r="AM553" s="560">
        <f>IFERROR(LN(INDEX(Data!$C$2:$C$497,MATCH(N553,Data!$A$2:$A$497,1))/INDEX(Data!$C$2:$C$497,MATCH(N541,Data!$A$2:$A$497,1))),"")</f>
        <v>0.313611898038795</v>
      </c>
      <c r="AN553" s="560">
        <f>IFERROR(LN(INDEX(Data!$D$2:$D$497,MATCH(N553,Data!$A$2:$A$497,1))/INDEX(Data!$D$2:$D$497,MATCH(N541,Data!$A$2:$A$497,1))),"")</f>
        <v>0.166300887896575</v>
      </c>
      <c r="AO553" s="560">
        <f>IFERROR(LN(INDEX(Data!$E$2:$E$497,MATCH(N553,Data!$A$2:$A$497,1))/INDEX(Data!$E$2:$E$497,MATCH(N541,Data!$A$2:$A$497,1))),"")</f>
        <v>0.208399005615708</v>
      </c>
      <c r="AP553" s="560">
        <f>IFERROR(LN(INDEX(Data!$F$2:$F$497,MATCH(N553,Data!$A$2:$A$497,1))/INDEX(Data!$F$2:$F$497,MATCH(N541,Data!$A$2:$A$497,1))),"")</f>
        <v>0.0639456692598119</v>
      </c>
      <c r="AQ553" s="560">
        <f>IFERROR(LN(INDEX(Data!$G$2:$G$497,MATCH(N553,Data!$A$2:$A$497,1))/INDEX(Data!$G$2:$G$497,MATCH(N541,Data!$A$2:$A$497,1))),"")</f>
        <v>0.0897190886309153</v>
      </c>
      <c r="AR553" s="560">
        <f>IFERROR(LN(INDEX(Data!$H$2:$H$497,MATCH(N553,Data!$A$2:$A$497,1))/INDEX(Data!$H$2:$H$497,MATCH(N541,Data!$A$2:$A$497,1))),"")</f>
        <v>0.0450254471404602</v>
      </c>
      <c r="AS553" s="560">
        <f>IFERROR(LN(INDEX(Data!$I$2:$I$497,MATCH(N553,Data!$A$2:$A$497,1))/INDEX(Data!$I$2:$I$497,MATCH(N541,Data!$A$2:$A$497,1))),"")</f>
        <v>0.123834695299939</v>
      </c>
      <c r="AT553" s="560">
        <f>IFERROR(LN(INDEX(Data!$J$2:$J$497,MATCH(N553,Data!$A$2:$A$497,1))/INDEX(Data!$J$2:$J$497,MATCH(N541,Data!$A$2:$A$497,1))),"")</f>
        <v>0.0180498432329416</v>
      </c>
      <c r="AU553" s="560">
        <f>IFERROR(LN(INDEX(Data!$K$2:$K$497,MATCH(N553,Data!$A$2:$A$497,1))/INDEX(Data!$K$2:$K$497,MATCH(N541,Data!$A$2:$A$497,1))),"")</f>
        <v>0.0310219321523916</v>
      </c>
      <c r="AV553" s="561">
        <f>IFERROR(LN(INDEX(Data!$L$2:$L$497,MATCH(N553,Data!$A$2:$A$497,1))/INDEX(Data!$L$2:$L$497,MATCH(N541,Data!$A$2:$A$497,1))),"")</f>
        <v>0.0301767146226694</v>
      </c>
    </row>
    <row r="554">
      <c r="N554" s="337" t="n">
        <v>41578</v>
      </c>
      <c r="O554" s="116">
        <f>INDEX('Additional data'!$B$2:$B$965,MATCH(DATE(YEAR(N554),MONTH(N554),1),'Additional data'!$A$2:$A$965,0))</f>
        <v>100.54</v>
      </c>
      <c r="P554" s="489">
        <f>LN(O554)</f>
        <v>4.61055565826443</v>
      </c>
      <c r="Q554" s="489">
        <f>Q553+LN(1+INDEX('Additional data'!$H$2:$H$1196,MATCH(N554,'Additional data'!$G$2:$G$1196,1))+INDEX('Additional data'!$I$2:$I$1196,MATCH(N554,'Additional data'!$G$2:$G$1196,1)))</f>
        <v>4.33996615726934</v>
      </c>
      <c r="R554" s="489">
        <f>LN(INDEX(Data!$B$2:$B$497,MATCH(N554,Data!$A$2:$A$497,1)))</f>
        <v>10.6931751482168</v>
      </c>
      <c r="S554" s="116">
        <f>IF(INDEX('Additional data'!$E$2:$E$699,MATCH(DATE(YEAR(N554),MONTH(N554),1),'Additional data'!$D$2:$D$699,0))=0,(INDEX('Additional data'!$E$2:$E$699,MATCH(DATE(YEAR(N554),MONTH(N554),1),'Additional data'!$D$2:$D$699,0)-1)+INDEX('Additional data'!$E$2:$E$699,MATCH(DATE(YEAR(N554),MONTH(N554),1),'Additional data'!$D$2:$D$699,0)+1))/2,INDEX('Additional data'!$E$2:$E$699,MATCH(DATE(YEAR(N554),MONTH(N554),1),'Additional data'!$D$2:$D$699,0)))</f>
        <v>2.58</v>
      </c>
      <c r="T554" s="425">
        <f>P554-P553</f>
        <v>-0.0556155492810611</v>
      </c>
      <c r="U554" s="425">
        <f>Q554-Q553</f>
        <v>0.0408539940082662</v>
      </c>
      <c r="V554" s="425">
        <f>R554-R553</f>
        <v>0.0383931957598627</v>
      </c>
      <c r="W554" s="116">
        <f>S554-S553</f>
        <v>0</v>
      </c>
      <c r="X554" s="425">
        <f>P554-P542</f>
        <v>0.115535215777325</v>
      </c>
      <c r="Y554" s="425">
        <f>Q554-Q542</f>
        <v>0.262597248503589</v>
      </c>
      <c r="Z554" s="425">
        <f>R554-R542</f>
        <v>0.220606141840245</v>
      </c>
      <c r="AA554" s="116">
        <f>S554-S542</f>
        <v>-0.5825</v>
      </c>
      <c r="AB554" s="425">
        <f>P554-P494</f>
        <v>0.271306052946606</v>
      </c>
      <c r="AC554" s="425">
        <f>Q554-Q494</f>
        <v>0.748890227199778</v>
      </c>
      <c r="AD554" s="425">
        <f>R554-R494</f>
        <v>0.525699381303188</v>
      </c>
      <c r="AE554" s="235">
        <f>S554-S494</f>
        <v>-3.45</v>
      </c>
      <c r="AG554" s="554">
        <f>N554</f>
        <v>41578.0</v>
      </c>
      <c r="AH554" s="435">
        <f>IFERROR(INDEX('RBA 5Y yield'!$B$5:$B$661,MATCH(N554,'RBA 5Y yield'!$A$5:$A$661,1))*100,"")</f>
        <v>3.351</v>
      </c>
      <c r="AI554" s="435">
        <f>IF(AND(ISNUMBER(AH554),ISNUMBER(AH553)),AH554-AH553,"")</f>
        <v>0.02</v>
      </c>
      <c r="AJ554" s="435">
        <f>IF(AND(ISNUMBER(AH554),ISNUMBER(AH542)),AH554-AH542,"")</f>
        <v>0.736</v>
      </c>
      <c r="AK554" s="435">
        <f>IF(AND(ISNUMBER(AH554),ISNUMBER(AH494)),AH554-AH494,"")</f>
        <v>-1.4774</v>
      </c>
      <c r="AL554" s="560">
        <f>IFERROR(LN(INDEX(Data!$B$2:$B$497,MATCH(N554,Data!$A$2:$A$497,1))/INDEX(Data!$B$2:$B$497,MATCH(N542,Data!$A$2:$A$497,1))),"")</f>
        <v>0.220606141840245</v>
      </c>
      <c r="AM554" s="560">
        <f>IFERROR(LN(INDEX(Data!$C$2:$C$497,MATCH(N554,Data!$A$2:$A$497,1))/INDEX(Data!$C$2:$C$497,MATCH(N542,Data!$A$2:$A$497,1))),"")</f>
        <v>0.341507043822139</v>
      </c>
      <c r="AN554" s="560">
        <f>IFERROR(LN(INDEX(Data!$D$2:$D$497,MATCH(N554,Data!$A$2:$A$497,1))/INDEX(Data!$D$2:$D$497,MATCH(N542,Data!$A$2:$A$497,1))),"")</f>
        <v>0.192848741462394</v>
      </c>
      <c r="AO554" s="560">
        <f>IFERROR(LN(INDEX(Data!$E$2:$E$497,MATCH(N554,Data!$A$2:$A$497,1))/INDEX(Data!$E$2:$E$497,MATCH(N542,Data!$A$2:$A$497,1))),"")</f>
        <v>0.217750581646401</v>
      </c>
      <c r="AP554" s="560">
        <f>IFERROR(LN(INDEX(Data!$F$2:$F$497,MATCH(N554,Data!$A$2:$A$497,1))/INDEX(Data!$F$2:$F$497,MATCH(N542,Data!$A$2:$A$497,1))),"")</f>
        <v>0.0754319541787684</v>
      </c>
      <c r="AQ554" s="560">
        <f>IFERROR(LN(INDEX(Data!$G$2:$G$497,MATCH(N554,Data!$A$2:$A$497,1))/INDEX(Data!$G$2:$G$497,MATCH(N542,Data!$A$2:$A$497,1))),"")</f>
        <v>0.0897190886309153</v>
      </c>
      <c r="AR554" s="560">
        <f>IFERROR(LN(INDEX(Data!$H$2:$H$497,MATCH(N554,Data!$A$2:$A$497,1))/INDEX(Data!$H$2:$H$497,MATCH(N542,Data!$A$2:$A$497,1))),"")</f>
        <v>0.0698632590171074</v>
      </c>
      <c r="AS554" s="560">
        <f>IFERROR(LN(INDEX(Data!$I$2:$I$497,MATCH(N554,Data!$A$2:$A$497,1))/INDEX(Data!$I$2:$I$497,MATCH(N542,Data!$A$2:$A$497,1))),"")</f>
        <v>0.123834695299939</v>
      </c>
      <c r="AT554" s="560">
        <f>IFERROR(LN(INDEX(Data!$J$2:$J$497,MATCH(N554,Data!$A$2:$A$497,1))/INDEX(Data!$J$2:$J$497,MATCH(N542,Data!$A$2:$A$497,1))),"")</f>
        <v>0.0173068477725509</v>
      </c>
      <c r="AU554" s="560">
        <f>IFERROR(LN(INDEX(Data!$K$2:$K$497,MATCH(N554,Data!$A$2:$A$497,1))/INDEX(Data!$K$2:$K$497,MATCH(N542,Data!$A$2:$A$497,1))),"")</f>
        <v>0.0362910011357733</v>
      </c>
      <c r="AV554" s="561">
        <f>IFERROR(LN(INDEX(Data!$L$2:$L$497,MATCH(N554,Data!$A$2:$A$497,1))/INDEX(Data!$L$2:$L$497,MATCH(N542,Data!$A$2:$A$497,1))),"")</f>
        <v>0.0293926248339875</v>
      </c>
    </row>
    <row r="555">
      <c r="N555" s="337" t="n">
        <v>41608</v>
      </c>
      <c r="O555" s="116">
        <f>INDEX('Additional data'!$B$2:$B$965,MATCH(DATE(YEAR(N555),MONTH(N555),1),'Additional data'!$A$2:$A$965,0))</f>
        <v>93.86</v>
      </c>
      <c r="P555" s="489">
        <f>LN(O555)</f>
        <v>4.54180431036627</v>
      </c>
      <c r="Q555" s="489">
        <f>Q554+LN(1+INDEX('Additional data'!$H$2:$H$1196,MATCH(N555,'Additional data'!$G$2:$G$1196,1))+INDEX('Additional data'!$I$2:$I$1196,MATCH(N555,'Additional data'!$G$2:$G$1196,1)))</f>
        <v>4.3705923508111</v>
      </c>
      <c r="R555" s="489">
        <f>LN(INDEX(Data!$B$2:$B$497,MATCH(N555,Data!$A$2:$A$497,1)))</f>
        <v>10.6792713527159</v>
      </c>
      <c r="S555" s="116">
        <f>IF(INDEX('Additional data'!$E$2:$E$699,MATCH(DATE(YEAR(N555),MONTH(N555),1),'Additional data'!$D$2:$D$699,0))=0,(INDEX('Additional data'!$E$2:$E$699,MATCH(DATE(YEAR(N555),MONTH(N555),1),'Additional data'!$D$2:$D$699,0)-1)+INDEX('Additional data'!$E$2:$E$699,MATCH(DATE(YEAR(N555),MONTH(N555),1),'Additional data'!$D$2:$D$699,0)+1))/2,INDEX('Additional data'!$E$2:$E$699,MATCH(DATE(YEAR(N555),MONTH(N555),1),'Additional data'!$D$2:$D$699,0)))</f>
        <v>2.58</v>
      </c>
      <c r="T555" s="425">
        <f>P555-P554</f>
        <v>-0.0687513478981581</v>
      </c>
      <c r="U555" s="425">
        <f>Q555-Q554</f>
        <v>0.0306261935417611</v>
      </c>
      <c r="V555" s="425">
        <f>R555-R554</f>
        <v>-0.0139037955009016</v>
      </c>
      <c r="W555" s="116">
        <f>S555-S554</f>
        <v>0</v>
      </c>
      <c r="X555" s="425">
        <f>P555-P543</f>
        <v>0.0798118940545081</v>
      </c>
      <c r="Y555" s="425">
        <f>Q555-Q543</f>
        <v>0.285354483666655</v>
      </c>
      <c r="Z555" s="425">
        <f>R555-R543</f>
        <v>0.204054345493498</v>
      </c>
      <c r="AA555" s="116">
        <f>S555-S543</f>
        <v>-0.6625</v>
      </c>
      <c r="AB555" s="425">
        <f>P555-P495</f>
        <v>0.491063385626303</v>
      </c>
      <c r="AC555" s="425">
        <f>Q555-Q495</f>
        <v>0.859750813452145</v>
      </c>
      <c r="AD555" s="425">
        <f>R555-R495</f>
        <v>0.586723623966718</v>
      </c>
      <c r="AE555" s="235">
        <f>S555-S495</f>
        <v>-2.18</v>
      </c>
      <c r="AG555" s="554">
        <f>N555</f>
        <v>41608.0</v>
      </c>
      <c r="AH555" s="435">
        <f>IFERROR(INDEX('RBA 5Y yield'!$B$5:$B$661,MATCH(N555,'RBA 5Y yield'!$A$5:$A$661,1))*100,"")</f>
        <v>3.462</v>
      </c>
      <c r="AI555" s="435">
        <f>IF(AND(ISNUMBER(AH555),ISNUMBER(AH554)),AH555-AH554,"")</f>
        <v>0.111</v>
      </c>
      <c r="AJ555" s="435">
        <f>IF(AND(ISNUMBER(AH555),ISNUMBER(AH543)),AH555-AH543,"")</f>
        <v>0.727</v>
      </c>
      <c r="AK555" s="435">
        <f>IF(AND(ISNUMBER(AH555),ISNUMBER(AH495)),AH555-AH495,"")</f>
        <v>-0.8167</v>
      </c>
      <c r="AL555" s="560">
        <f>IFERROR(LN(INDEX(Data!$B$2:$B$497,MATCH(N555,Data!$A$2:$A$497,1))/INDEX(Data!$B$2:$B$497,MATCH(N543,Data!$A$2:$A$497,1))),"")</f>
        <v>0.204054345493499</v>
      </c>
      <c r="AM555" s="560">
        <f>IFERROR(LN(INDEX(Data!$C$2:$C$497,MATCH(N555,Data!$A$2:$A$497,1))/INDEX(Data!$C$2:$C$497,MATCH(N543,Data!$A$2:$A$497,1))),"")</f>
        <v>0.389956707704089</v>
      </c>
      <c r="AN555" s="560">
        <f>IFERROR(LN(INDEX(Data!$D$2:$D$497,MATCH(N555,Data!$A$2:$A$497,1))/INDEX(Data!$D$2:$D$497,MATCH(N543,Data!$A$2:$A$497,1))),"")</f>
        <v>0.218189999703611</v>
      </c>
      <c r="AO555" s="560">
        <f>IFERROR(LN(INDEX(Data!$E$2:$E$497,MATCH(N555,Data!$A$2:$A$497,1))/INDEX(Data!$E$2:$E$497,MATCH(N543,Data!$A$2:$A$497,1))),"")</f>
        <v>0.218870717267546</v>
      </c>
      <c r="AP555" s="560">
        <f>IFERROR(LN(INDEX(Data!$F$2:$F$497,MATCH(N555,Data!$A$2:$A$497,1))/INDEX(Data!$F$2:$F$497,MATCH(N543,Data!$A$2:$A$497,1))),"")</f>
        <v>0.0945809208720939</v>
      </c>
      <c r="AQ555" s="560">
        <f>IFERROR(LN(INDEX(Data!$G$2:$G$497,MATCH(N555,Data!$A$2:$A$497,1))/INDEX(Data!$G$2:$G$497,MATCH(N543,Data!$A$2:$A$497,1))),"")</f>
        <v>0.0897190886309153</v>
      </c>
      <c r="AR555" s="560">
        <f>IFERROR(LN(INDEX(Data!$H$2:$H$497,MATCH(N555,Data!$A$2:$A$497,1))/INDEX(Data!$H$2:$H$497,MATCH(N543,Data!$A$2:$A$497,1))),"")</f>
        <v>0.0538818593964475</v>
      </c>
      <c r="AS555" s="560">
        <f>IFERROR(LN(INDEX(Data!$I$2:$I$497,MATCH(N555,Data!$A$2:$A$497,1))/INDEX(Data!$I$2:$I$497,MATCH(N543,Data!$A$2:$A$497,1))),"")</f>
        <v>0.123834695299939</v>
      </c>
      <c r="AT555" s="560">
        <f>IFERROR(LN(INDEX(Data!$J$2:$J$497,MATCH(N555,Data!$A$2:$A$497,1))/INDEX(Data!$J$2:$J$497,MATCH(N543,Data!$A$2:$A$497,1))),"")</f>
        <v>0.0162425876857784</v>
      </c>
      <c r="AU555" s="560">
        <f>IFERROR(LN(INDEX(Data!$K$2:$K$497,MATCH(N555,Data!$A$2:$A$497,1))/INDEX(Data!$K$2:$K$497,MATCH(N543,Data!$A$2:$A$497,1))),"")</f>
        <v>0.029424366294932</v>
      </c>
      <c r="AV555" s="561">
        <f>IFERROR(LN(INDEX(Data!$L$2:$L$497,MATCH(N555,Data!$A$2:$A$497,1))/INDEX(Data!$L$2:$L$497,MATCH(N543,Data!$A$2:$A$497,1))),"")</f>
        <v>0.0289817602276968</v>
      </c>
    </row>
    <row r="556">
      <c r="N556" s="337" t="n">
        <v>41639</v>
      </c>
      <c r="O556" s="116">
        <f>INDEX('Additional data'!$B$2:$B$965,MATCH(DATE(YEAR(N556),MONTH(N556),1),'Additional data'!$A$2:$A$965,0))</f>
        <v>97.63</v>
      </c>
      <c r="P556" s="489">
        <f>LN(O556)</f>
        <v>4.58118482323758</v>
      </c>
      <c r="Q556" s="489">
        <f>Q555+LN(1+INDEX('Additional data'!$H$2:$H$1196,MATCH(N556,'Additional data'!$G$2:$G$1196,1))+INDEX('Additional data'!$I$2:$I$1196,MATCH(N556,'Additional data'!$G$2:$G$1196,1)))</f>
        <v>4.39830478937763</v>
      </c>
      <c r="R556" s="489">
        <f>LN(INDEX(Data!$B$2:$B$497,MATCH(N556,Data!$A$2:$A$497,1)))</f>
        <v>10.6884161278133</v>
      </c>
      <c r="S556" s="116">
        <f>IF(INDEX('Additional data'!$E$2:$E$699,MATCH(DATE(YEAR(N556),MONTH(N556),1),'Additional data'!$D$2:$D$699,0))=0,(INDEX('Additional data'!$E$2:$E$699,MATCH(DATE(YEAR(N556),MONTH(N556),1),'Additional data'!$D$2:$D$699,0)-1)+INDEX('Additional data'!$E$2:$E$699,MATCH(DATE(YEAR(N556),MONTH(N556),1),'Additional data'!$D$2:$D$699,0)+1))/2,INDEX('Additional data'!$E$2:$E$699,MATCH(DATE(YEAR(N556),MONTH(N556),1),'Additional data'!$D$2:$D$699,0)))</f>
        <v>2.6</v>
      </c>
      <c r="T556" s="425">
        <f>P556-P555</f>
        <v>0.0393805128713085</v>
      </c>
      <c r="U556" s="425">
        <f>Q556-Q555</f>
        <v>0.0277124385665362</v>
      </c>
      <c r="V556" s="425">
        <f>R556-R555</f>
        <v>0.00914477509734901</v>
      </c>
      <c r="W556" s="116">
        <f>S556-S555</f>
        <v>0.02</v>
      </c>
      <c r="X556" s="425">
        <f>P556-P544</f>
        <v>0.101011127424174</v>
      </c>
      <c r="Y556" s="425">
        <f>Q556-Q544</f>
        <v>0.301237170479614</v>
      </c>
      <c r="Z556" s="425">
        <f>R556-R544</f>
        <v>0.179448578314151</v>
      </c>
      <c r="AA556" s="116">
        <f>S556-S544</f>
        <v>-0.5125</v>
      </c>
      <c r="AB556" s="425">
        <f>P556-P496</f>
        <v>0.867125070593345</v>
      </c>
      <c r="AC556" s="425">
        <f>Q556-Q496</f>
        <v>0.869918072802932</v>
      </c>
      <c r="AD556" s="425">
        <f>R556-R496</f>
        <v>0.596658496076188</v>
      </c>
      <c r="AE556" s="235">
        <f>S556-S496</f>
        <v>-1.79</v>
      </c>
      <c r="AG556" s="554">
        <f>N556</f>
        <v>41639.0</v>
      </c>
      <c r="AH556" s="435">
        <f>IFERROR(INDEX('RBA 5Y yield'!$B$5:$B$661,MATCH(N556,'RBA 5Y yield'!$A$5:$A$661,1))*100,"")</f>
        <v>3.461</v>
      </c>
      <c r="AI556" s="435">
        <f>IF(AND(ISNUMBER(AH556),ISNUMBER(AH555)),AH556-AH555,"")</f>
        <v>-0.000999999999999446</v>
      </c>
      <c r="AJ556" s="435">
        <f>IF(AND(ISNUMBER(AH556),ISNUMBER(AH544)),AH556-AH544,"")</f>
        <v>0.636</v>
      </c>
      <c r="AK556" s="435">
        <f>IF(AND(ISNUMBER(AH556),ISNUMBER(AH496)),AH556-AH496,"")</f>
        <v>-0.261099999999999</v>
      </c>
      <c r="AL556" s="560">
        <f>IFERROR(LN(INDEX(Data!$B$2:$B$497,MATCH(N556,Data!$A$2:$A$497,1))/INDEX(Data!$B$2:$B$497,MATCH(N544,Data!$A$2:$A$497,1))),"")</f>
        <v>0.179448578314152</v>
      </c>
      <c r="AM556" s="560">
        <f>IFERROR(LN(INDEX(Data!$C$2:$C$497,MATCH(N556,Data!$A$2:$A$497,1))/INDEX(Data!$C$2:$C$497,MATCH(N544,Data!$A$2:$A$497,1))),"")</f>
        <v>0.407895325221193</v>
      </c>
      <c r="AN556" s="560">
        <f>IFERROR(LN(INDEX(Data!$D$2:$D$497,MATCH(N556,Data!$A$2:$A$497,1))/INDEX(Data!$D$2:$D$497,MATCH(N544,Data!$A$2:$A$497,1))),"")</f>
        <v>0.186029030662355</v>
      </c>
      <c r="AO556" s="560">
        <f>IFERROR(LN(INDEX(Data!$E$2:$E$497,MATCH(N556,Data!$A$2:$A$497,1))/INDEX(Data!$E$2:$E$497,MATCH(N544,Data!$A$2:$A$497,1))),"")</f>
        <v>0.206757173736133</v>
      </c>
      <c r="AP556" s="560">
        <f>IFERROR(LN(INDEX(Data!$F$2:$F$497,MATCH(N556,Data!$A$2:$A$497,1))/INDEX(Data!$F$2:$F$497,MATCH(N544,Data!$A$2:$A$497,1))),"")</f>
        <v>0.136557327816164</v>
      </c>
      <c r="AQ556" s="560">
        <f>IFERROR(LN(INDEX(Data!$G$2:$G$497,MATCH(N556,Data!$A$2:$A$497,1))/INDEX(Data!$G$2:$G$497,MATCH(N544,Data!$A$2:$A$497,1))),"")</f>
        <v>0.106937405510786</v>
      </c>
      <c r="AR556" s="560">
        <f>IFERROR(LN(INDEX(Data!$H$2:$H$497,MATCH(N556,Data!$A$2:$A$497,1))/INDEX(Data!$H$2:$H$497,MATCH(N544,Data!$A$2:$A$497,1))),"")</f>
        <v>0.0838801358225313</v>
      </c>
      <c r="AS556" s="560">
        <f>IFERROR(LN(INDEX(Data!$I$2:$I$497,MATCH(N556,Data!$A$2:$A$497,1))/INDEX(Data!$I$2:$I$497,MATCH(N544,Data!$A$2:$A$497,1))),"")</f>
        <v>0.205078223382125</v>
      </c>
      <c r="AT556" s="560">
        <f>IFERROR(LN(INDEX(Data!$J$2:$J$497,MATCH(N556,Data!$A$2:$A$497,1))/INDEX(Data!$J$2:$J$497,MATCH(N544,Data!$A$2:$A$497,1))),"")</f>
        <v>0.0196628923108511</v>
      </c>
      <c r="AU556" s="560">
        <f>IFERROR(LN(INDEX(Data!$K$2:$K$497,MATCH(N556,Data!$A$2:$A$497,1))/INDEX(Data!$K$2:$K$497,MATCH(N544,Data!$A$2:$A$497,1))),"")</f>
        <v>0.0224294663516413</v>
      </c>
      <c r="AV556" s="561">
        <f>IFERROR(LN(INDEX(Data!$L$2:$L$497,MATCH(N556,Data!$A$2:$A$497,1))/INDEX(Data!$L$2:$L$497,MATCH(N544,Data!$A$2:$A$497,1))),"")</f>
        <v>0.0282568486881554</v>
      </c>
    </row>
    <row r="557">
      <c r="N557" s="337" t="n">
        <v>41670</v>
      </c>
      <c r="O557" s="116">
        <f>INDEX('Additional data'!$B$2:$B$965,MATCH(DATE(YEAR(N557),MONTH(N557),1),'Additional data'!$A$2:$A$965,0))</f>
        <v>94.62</v>
      </c>
      <c r="P557" s="489">
        <f>LN(O557)</f>
        <v>4.549868870203</v>
      </c>
      <c r="Q557" s="489">
        <f>Q556+LN(1+INDEX('Additional data'!$H$2:$H$1196,MATCH(N557,'Additional data'!$G$2:$G$1196,1))+INDEX('Additional data'!$I$2:$I$1196,MATCH(N557,'Additional data'!$G$2:$G$1196,1)))</f>
        <v>4.36454115922482</v>
      </c>
      <c r="R557" s="489">
        <f>LN(INDEX(Data!$B$2:$B$497,MATCH(N557,Data!$A$2:$A$497,1)))</f>
        <v>10.6604189814189</v>
      </c>
      <c r="S557" s="116">
        <f>IF(INDEX('Additional data'!$E$2:$E$699,MATCH(DATE(YEAR(N557),MONTH(N557),1),'Additional data'!$D$2:$D$699,0))=0,(INDEX('Additional data'!$E$2:$E$699,MATCH(DATE(YEAR(N557),MONTH(N557),1),'Additional data'!$D$2:$D$699,0)-1)+INDEX('Additional data'!$E$2:$E$699,MATCH(DATE(YEAR(N557),MONTH(N557),1),'Additional data'!$D$2:$D$699,0)+1))/2,INDEX('Additional data'!$E$2:$E$699,MATCH(DATE(YEAR(N557),MONTH(N557),1),'Additional data'!$D$2:$D$699,0)))</f>
        <v>2.62</v>
      </c>
      <c r="T557" s="425">
        <f>P557-P556</f>
        <v>-0.0313159530345777</v>
      </c>
      <c r="U557" s="425">
        <f>Q557-Q556</f>
        <v>-0.0337636301528095</v>
      </c>
      <c r="V557" s="425">
        <f>R557-R556</f>
        <v>-0.0279971463943802</v>
      </c>
      <c r="W557" s="116">
        <f>S557-S556</f>
        <v>0.02</v>
      </c>
      <c r="X557" s="425">
        <f>P557-P545</f>
        <v>-0.000739527792406491</v>
      </c>
      <c r="Y557" s="425">
        <f>Q557-Q545</f>
        <v>0.213269486313292</v>
      </c>
      <c r="Z557" s="425">
        <f>R557-R545</f>
        <v>0.101902821387263</v>
      </c>
      <c r="AA557" s="116">
        <f>S557-S545</f>
        <v>-0.38</v>
      </c>
      <c r="AB557" s="425">
        <f>P557-P497</f>
        <v>0.818408968553948</v>
      </c>
      <c r="AC557" s="425">
        <f>Q557-Q497</f>
        <v>0.920514791268196</v>
      </c>
      <c r="AD557" s="425">
        <f>R557-R497</f>
        <v>0.619381888586995</v>
      </c>
      <c r="AE557" s="235">
        <f>S557-S497</f>
        <v>-1.12</v>
      </c>
      <c r="AG557" s="554">
        <f>N557</f>
        <v>41670.0</v>
      </c>
      <c r="AH557" s="435">
        <f>IFERROR(INDEX('RBA 5Y yield'!$B$5:$B$661,MATCH(N557,'RBA 5Y yield'!$A$5:$A$661,1))*100,"")</f>
        <v>3.409</v>
      </c>
      <c r="AI557" s="435">
        <f>IF(AND(ISNUMBER(AH557),ISNUMBER(AH556)),AH557-AH556,"")</f>
        <v>-0.052</v>
      </c>
      <c r="AJ557" s="435">
        <f>IF(AND(ISNUMBER(AH557),ISNUMBER(AH545)),AH557-AH545,"")</f>
        <v>0.4715</v>
      </c>
      <c r="AK557" s="435">
        <f>IF(AND(ISNUMBER(AH557),ISNUMBER(AH497)),AH557-AH497,"")</f>
        <v>-0.0877999999999997</v>
      </c>
      <c r="AL557" s="560">
        <f>IFERROR(LN(INDEX(Data!$B$2:$B$497,MATCH(N557,Data!$A$2:$A$497,1))/INDEX(Data!$B$2:$B$497,MATCH(N545,Data!$A$2:$A$497,1))),"")</f>
        <v>0.101902821387263</v>
      </c>
      <c r="AM557" s="560">
        <f>IFERROR(LN(INDEX(Data!$C$2:$C$497,MATCH(N557,Data!$A$2:$A$497,1))/INDEX(Data!$C$2:$C$497,MATCH(N545,Data!$A$2:$A$497,1))),"")</f>
        <v>0.352273476731998</v>
      </c>
      <c r="AN557" s="560">
        <f>IFERROR(LN(INDEX(Data!$D$2:$D$497,MATCH(N557,Data!$A$2:$A$497,1))/INDEX(Data!$D$2:$D$497,MATCH(N545,Data!$A$2:$A$497,1))),"")</f>
        <v>0.156615167061836</v>
      </c>
      <c r="AO557" s="560">
        <f>IFERROR(LN(INDEX(Data!$E$2:$E$497,MATCH(N557,Data!$A$2:$A$497,1))/INDEX(Data!$E$2:$E$497,MATCH(N545,Data!$A$2:$A$497,1))),"")</f>
        <v>0.22325654587276</v>
      </c>
      <c r="AP557" s="560">
        <f>IFERROR(LN(INDEX(Data!$F$2:$F$497,MATCH(N557,Data!$A$2:$A$497,1))/INDEX(Data!$F$2:$F$497,MATCH(N545,Data!$A$2:$A$497,1))),"")</f>
        <v>0.107136302223432</v>
      </c>
      <c r="AQ557" s="560">
        <f>IFERROR(LN(INDEX(Data!$G$2:$G$497,MATCH(N557,Data!$A$2:$A$497,1))/INDEX(Data!$G$2:$G$497,MATCH(N545,Data!$A$2:$A$497,1))),"")</f>
        <v>0.106937405510786</v>
      </c>
      <c r="AR557" s="560">
        <f>IFERROR(LN(INDEX(Data!$H$2:$H$497,MATCH(N557,Data!$A$2:$A$497,1))/INDEX(Data!$H$2:$H$497,MATCH(N545,Data!$A$2:$A$497,1))),"")</f>
        <v>0.0631488899019114</v>
      </c>
      <c r="AS557" s="560">
        <f>IFERROR(LN(INDEX(Data!$I$2:$I$497,MATCH(N557,Data!$A$2:$A$497,1))/INDEX(Data!$I$2:$I$497,MATCH(N545,Data!$A$2:$A$497,1))),"")</f>
        <v>0.205078223382125</v>
      </c>
      <c r="AT557" s="560">
        <f>IFERROR(LN(INDEX(Data!$J$2:$J$497,MATCH(N557,Data!$A$2:$A$497,1))/INDEX(Data!$J$2:$J$497,MATCH(N545,Data!$A$2:$A$497,1))),"")</f>
        <v>0.0327396215155201</v>
      </c>
      <c r="AU557" s="560">
        <f>IFERROR(LN(INDEX(Data!$K$2:$K$497,MATCH(N557,Data!$A$2:$A$497,1))/INDEX(Data!$K$2:$K$497,MATCH(N545,Data!$A$2:$A$497,1))),"")</f>
        <v>0.0421093171985929</v>
      </c>
      <c r="AV557" s="561">
        <f>IFERROR(LN(INDEX(Data!$L$2:$L$497,MATCH(N557,Data!$A$2:$A$497,1))/INDEX(Data!$L$2:$L$497,MATCH(N545,Data!$A$2:$A$497,1))),"")</f>
        <v>0.0278163048863955</v>
      </c>
    </row>
    <row r="558">
      <c r="N558" s="337" t="n">
        <v>41698</v>
      </c>
      <c r="O558" s="116">
        <f>INDEX('Additional data'!$B$2:$B$965,MATCH(DATE(YEAR(N558),MONTH(N558),1),'Additional data'!$A$2:$A$965,0))</f>
        <v>100.82</v>
      </c>
      <c r="P558" s="489">
        <f>LN(O558)</f>
        <v>4.61333674865448</v>
      </c>
      <c r="Q558" s="489">
        <f>Q557+LN(1+INDEX('Additional data'!$H$2:$H$1196,MATCH(N558,'Additional data'!$G$2:$G$1196,1))+INDEX('Additional data'!$I$2:$I$1196,MATCH(N558,'Additional data'!$G$2:$G$1196,1)))</f>
        <v>4.41008797418079</v>
      </c>
      <c r="R558" s="489">
        <f>LN(INDEX(Data!$B$2:$B$497,MATCH(N558,Data!$A$2:$A$497,1)))</f>
        <v>10.7076621385463</v>
      </c>
      <c r="S558" s="116">
        <f>IF(INDEX('Additional data'!$E$2:$E$699,MATCH(DATE(YEAR(N558),MONTH(N558),1),'Additional data'!$D$2:$D$699,0))=0,(INDEX('Additional data'!$E$2:$E$699,MATCH(DATE(YEAR(N558),MONTH(N558),1),'Additional data'!$D$2:$D$699,0)-1)+INDEX('Additional data'!$E$2:$E$699,MATCH(DATE(YEAR(N558),MONTH(N558),1),'Additional data'!$D$2:$D$699,0)+1))/2,INDEX('Additional data'!$E$2:$E$699,MATCH(DATE(YEAR(N558),MONTH(N558),1),'Additional data'!$D$2:$D$699,0)))</f>
        <v>2.63</v>
      </c>
      <c r="T558" s="425">
        <f>P558-P557</f>
        <v>0.0634678784514824</v>
      </c>
      <c r="U558" s="425">
        <f>Q558-Q557</f>
        <v>0.0455468149559701</v>
      </c>
      <c r="V558" s="425">
        <f>R558-R557</f>
        <v>0.0472431571274345</v>
      </c>
      <c r="W558" s="116">
        <f>S558-S557</f>
        <v>0.00999999999999979</v>
      </c>
      <c r="X558" s="425">
        <f>P558-P546</f>
        <v>0.0560970964239429</v>
      </c>
      <c r="Y558" s="425">
        <f>Q558-Q546</f>
        <v>0.246097528861488</v>
      </c>
      <c r="Z558" s="425">
        <f>R558-R546</f>
        <v>0.0986725322255246</v>
      </c>
      <c r="AA558" s="116">
        <f>S558-S546</f>
        <v>-0.31</v>
      </c>
      <c r="AB558" s="425">
        <f>P558-P498</f>
        <v>0.945680930992175</v>
      </c>
      <c r="AC558" s="425">
        <f>Q558-Q498</f>
        <v>1.07286761054198</v>
      </c>
      <c r="AD558" s="425">
        <f>R558-R498</f>
        <v>0.71017758623131</v>
      </c>
      <c r="AE558" s="235">
        <f>S558-S498</f>
        <v>-0.53</v>
      </c>
      <c r="AG558" s="554">
        <f>N558</f>
        <v>41698.0</v>
      </c>
      <c r="AH558" s="435">
        <f>IFERROR(INDEX('RBA 5Y yield'!$B$5:$B$661,MATCH(N558,'RBA 5Y yield'!$A$5:$A$661,1))*100,"")</f>
        <v>3.408</v>
      </c>
      <c r="AI558" s="435">
        <f>IF(AND(ISNUMBER(AH558),ISNUMBER(AH557)),AH558-AH557,"")</f>
        <v>-0.00100000000000033</v>
      </c>
      <c r="AJ558" s="435">
        <f>IF(AND(ISNUMBER(AH558),ISNUMBER(AH546)),AH558-AH546,"")</f>
        <v>0.388</v>
      </c>
      <c r="AK558" s="435">
        <f>IF(AND(ISNUMBER(AH558),ISNUMBER(AH498)),AH558-AH498,"")</f>
        <v>-0.1815</v>
      </c>
      <c r="AL558" s="560">
        <f>IFERROR(LN(INDEX(Data!$B$2:$B$497,MATCH(N558,Data!$A$2:$A$497,1))/INDEX(Data!$B$2:$B$497,MATCH(N546,Data!$A$2:$A$497,1))),"")</f>
        <v>0.0986725322255251</v>
      </c>
      <c r="AM558" s="560">
        <f>IFERROR(LN(INDEX(Data!$C$2:$C$497,MATCH(N558,Data!$A$2:$A$497,1))/INDEX(Data!$C$2:$C$497,MATCH(N546,Data!$A$2:$A$497,1))),"")</f>
        <v>0.334930258923871</v>
      </c>
      <c r="AN558" s="560">
        <f>IFERROR(LN(INDEX(Data!$D$2:$D$497,MATCH(N558,Data!$A$2:$A$497,1))/INDEX(Data!$D$2:$D$497,MATCH(N546,Data!$A$2:$A$497,1))),"")</f>
        <v>0.143887115644657</v>
      </c>
      <c r="AO558" s="560">
        <f>IFERROR(LN(INDEX(Data!$E$2:$E$497,MATCH(N558,Data!$A$2:$A$497,1))/INDEX(Data!$E$2:$E$497,MATCH(N546,Data!$A$2:$A$497,1))),"")</f>
        <v>0.204404107098402</v>
      </c>
      <c r="AP558" s="560">
        <f>IFERROR(LN(INDEX(Data!$F$2:$F$497,MATCH(N558,Data!$A$2:$A$497,1))/INDEX(Data!$F$2:$F$497,MATCH(N546,Data!$A$2:$A$497,1))),"")</f>
        <v>0.152104966766354</v>
      </c>
      <c r="AQ558" s="560">
        <f>IFERROR(LN(INDEX(Data!$G$2:$G$497,MATCH(N558,Data!$A$2:$A$497,1))/INDEX(Data!$G$2:$G$497,MATCH(N546,Data!$A$2:$A$497,1))),"")</f>
        <v>0.106937405510786</v>
      </c>
      <c r="AR558" s="560">
        <f>IFERROR(LN(INDEX(Data!$H$2:$H$497,MATCH(N558,Data!$A$2:$A$497,1))/INDEX(Data!$H$2:$H$497,MATCH(N546,Data!$A$2:$A$497,1))),"")</f>
        <v>0.0517134340557097</v>
      </c>
      <c r="AS558" s="560">
        <f>IFERROR(LN(INDEX(Data!$I$2:$I$497,MATCH(N558,Data!$A$2:$A$497,1))/INDEX(Data!$I$2:$I$497,MATCH(N546,Data!$A$2:$A$497,1))),"")</f>
        <v>0.205078223382125</v>
      </c>
      <c r="AT558" s="560">
        <f>IFERROR(LN(INDEX(Data!$J$2:$J$497,MATCH(N558,Data!$A$2:$A$497,1))/INDEX(Data!$J$2:$J$497,MATCH(N546,Data!$A$2:$A$497,1))),"")</f>
        <v>0.0302221273908514</v>
      </c>
      <c r="AU558" s="560">
        <f>IFERROR(LN(INDEX(Data!$K$2:$K$497,MATCH(N558,Data!$A$2:$A$497,1))/INDEX(Data!$K$2:$K$497,MATCH(N546,Data!$A$2:$A$497,1))),"")</f>
        <v>0.0405440224006856</v>
      </c>
      <c r="AV558" s="561">
        <f>IFERROR(LN(INDEX(Data!$L$2:$L$497,MATCH(N558,Data!$A$2:$A$497,1))/INDEX(Data!$L$2:$L$497,MATCH(N546,Data!$A$2:$A$497,1))),"")</f>
        <v>0.0275634264605923</v>
      </c>
    </row>
    <row r="559">
      <c r="N559" s="337" t="n">
        <v>41729</v>
      </c>
      <c r="O559" s="116">
        <f>INDEX('Additional data'!$B$2:$B$965,MATCH(DATE(YEAR(N559),MONTH(N559),1),'Additional data'!$A$2:$A$965,0))</f>
        <v>100.8</v>
      </c>
      <c r="P559" s="489">
        <f>LN(O559)</f>
        <v>4.61313835563727</v>
      </c>
      <c r="Q559" s="489">
        <f>Q558+LN(1+INDEX('Additional data'!$H$2:$H$1196,MATCH(N559,'Additional data'!$G$2:$G$1196,1))+INDEX('Additional data'!$I$2:$I$1196,MATCH(N559,'Additional data'!$G$2:$G$1196,1)))</f>
        <v>4.41437875559795</v>
      </c>
      <c r="R559" s="489">
        <f>LN(INDEX(Data!$B$2:$B$497,MATCH(N559,Data!$A$2:$A$497,1)))</f>
        <v>10.7102046006577</v>
      </c>
      <c r="S559" s="116">
        <f>IF(INDEX('Additional data'!$E$2:$E$699,MATCH(DATE(YEAR(N559),MONTH(N559),1),'Additional data'!$D$2:$D$699,0))=0,(INDEX('Additional data'!$E$2:$E$699,MATCH(DATE(YEAR(N559),MONTH(N559),1),'Additional data'!$D$2:$D$699,0)-1)+INDEX('Additional data'!$E$2:$E$699,MATCH(DATE(YEAR(N559),MONTH(N559),1),'Additional data'!$D$2:$D$699,0)+1))/2,INDEX('Additional data'!$E$2:$E$699,MATCH(DATE(YEAR(N559),MONTH(N559),1),'Additional data'!$D$2:$D$699,0)))</f>
        <v>2.65</v>
      </c>
      <c r="T559" s="425">
        <f>P559-P558</f>
        <v>-0.000198393017216247</v>
      </c>
      <c r="U559" s="425">
        <f>Q559-Q558</f>
        <v>0.004290781417156</v>
      </c>
      <c r="V559" s="425">
        <f>R559-R558</f>
        <v>0.00254246211131814</v>
      </c>
      <c r="W559" s="116">
        <f>S559-S558</f>
        <v>0.02</v>
      </c>
      <c r="X559" s="425">
        <f>P559-P547</f>
        <v>0.0800013725490087</v>
      </c>
      <c r="Y559" s="425">
        <f>Q559-Q547</f>
        <v>0.210783055686284</v>
      </c>
      <c r="Z559" s="425">
        <f>R559-R547</f>
        <v>0.123865750045086</v>
      </c>
      <c r="AA559" s="116">
        <f>S559-S547</f>
        <v>-0.4</v>
      </c>
      <c r="AB559" s="425">
        <f>P559-P499</f>
        <v>0.74235409822572</v>
      </c>
      <c r="AC559" s="425">
        <f>Q559-Q499</f>
        <v>0.990705504228932</v>
      </c>
      <c r="AD559" s="425">
        <f>R559-R499</f>
        <v>0.635291428709049</v>
      </c>
      <c r="AE559" s="235">
        <f>S559-S499</f>
        <v>-0.51</v>
      </c>
      <c r="AG559" s="554">
        <f>N559</f>
        <v>41729.0</v>
      </c>
      <c r="AH559" s="435">
        <f>IFERROR(INDEX('RBA 5Y yield'!$B$5:$B$661,MATCH(N559,'RBA 5Y yield'!$A$5:$A$661,1))*100,"")</f>
        <v>3.411</v>
      </c>
      <c r="AI559" s="435">
        <f>IF(AND(ISNUMBER(AH559),ISNUMBER(AH558)),AH559-AH558,"")</f>
        <v>0.00300000000000011</v>
      </c>
      <c r="AJ559" s="435">
        <f>IF(AND(ISNUMBER(AH559),ISNUMBER(AH547)),AH559-AH547,"")</f>
        <v>0.2935</v>
      </c>
      <c r="AK559" s="435">
        <f>IF(AND(ISNUMBER(AH559),ISNUMBER(AH499)),AH559-AH499,"")</f>
        <v>-0.3176</v>
      </c>
      <c r="AL559" s="560">
        <f>IFERROR(LN(INDEX(Data!$B$2:$B$497,MATCH(N559,Data!$A$2:$A$497,1))/INDEX(Data!$B$2:$B$497,MATCH(N547,Data!$A$2:$A$497,1))),"")</f>
        <v>0.123865750045085</v>
      </c>
      <c r="AM559" s="560">
        <f>IFERROR(LN(INDEX(Data!$C$2:$C$497,MATCH(N559,Data!$A$2:$A$497,1))/INDEX(Data!$C$2:$C$497,MATCH(N547,Data!$A$2:$A$497,1))),"")</f>
        <v>0.293493869876728</v>
      </c>
      <c r="AN559" s="560">
        <f>IFERROR(LN(INDEX(Data!$D$2:$D$497,MATCH(N559,Data!$A$2:$A$497,1))/INDEX(Data!$D$2:$D$497,MATCH(N547,Data!$A$2:$A$497,1))),"")</f>
        <v>0.154586742026768</v>
      </c>
      <c r="AO559" s="560">
        <f>IFERROR(LN(INDEX(Data!$E$2:$E$497,MATCH(N559,Data!$A$2:$A$497,1))/INDEX(Data!$E$2:$E$497,MATCH(N547,Data!$A$2:$A$497,1))),"")</f>
        <v>0.154280697997121</v>
      </c>
      <c r="AP559" s="560">
        <f>IFERROR(LN(INDEX(Data!$F$2:$F$497,MATCH(N559,Data!$A$2:$A$497,1))/INDEX(Data!$F$2:$F$497,MATCH(N547,Data!$A$2:$A$497,1))),"")</f>
        <v>0.128880255231802</v>
      </c>
      <c r="AQ559" s="560">
        <f>IFERROR(LN(INDEX(Data!$G$2:$G$497,MATCH(N559,Data!$A$2:$A$497,1))/INDEX(Data!$G$2:$G$497,MATCH(N547,Data!$A$2:$A$497,1))),"")</f>
        <v>0.114233273692144</v>
      </c>
      <c r="AR559" s="560">
        <f>IFERROR(LN(INDEX(Data!$H$2:$H$497,MATCH(N559,Data!$A$2:$A$497,1))/INDEX(Data!$H$2:$H$497,MATCH(N547,Data!$A$2:$A$497,1))),"")</f>
        <v>0.0589847445430298</v>
      </c>
      <c r="AS559" s="560">
        <f>IFERROR(LN(INDEX(Data!$I$2:$I$497,MATCH(N559,Data!$A$2:$A$497,1))/INDEX(Data!$I$2:$I$497,MATCH(N547,Data!$A$2:$A$497,1))),"")</f>
        <v>0.212849291475685</v>
      </c>
      <c r="AT559" s="560">
        <f>IFERROR(LN(INDEX(Data!$J$2:$J$497,MATCH(N559,Data!$A$2:$A$497,1))/INDEX(Data!$J$2:$J$497,MATCH(N547,Data!$A$2:$A$497,1))),"")</f>
        <v>0.0324432290242939</v>
      </c>
      <c r="AU559" s="560">
        <f>IFERROR(LN(INDEX(Data!$K$2:$K$497,MATCH(N559,Data!$A$2:$A$497,1))/INDEX(Data!$K$2:$K$497,MATCH(N547,Data!$A$2:$A$497,1))),"")</f>
        <v>0.0361767665050849</v>
      </c>
      <c r="AV559" s="561">
        <f>IFERROR(LN(INDEX(Data!$L$2:$L$497,MATCH(N559,Data!$A$2:$A$497,1))/INDEX(Data!$L$2:$L$497,MATCH(N547,Data!$A$2:$A$497,1))),"")</f>
        <v>0.0272819537164198</v>
      </c>
    </row>
    <row r="560">
      <c r="N560" s="337" t="n">
        <v>41759</v>
      </c>
      <c r="O560" s="116">
        <f>INDEX('Additional data'!$B$2:$B$965,MATCH(DATE(YEAR(N560),MONTH(N560),1),'Additional data'!$A$2:$A$965,0))</f>
        <v>102.07</v>
      </c>
      <c r="P560" s="489">
        <f>LN(O560)</f>
        <v>4.62565885241541</v>
      </c>
      <c r="Q560" s="489">
        <f>Q559+LN(1+INDEX('Additional data'!$H$2:$H$1196,MATCH(N560,'Additional data'!$G$2:$G$1196,1))+INDEX('Additional data'!$I$2:$I$1196,MATCH(N560,'Additional data'!$G$2:$G$1196,1)))</f>
        <v>4.41257713365132</v>
      </c>
      <c r="R560" s="489">
        <f>LN(INDEX(Data!$B$2:$B$497,MATCH(N560,Data!$A$2:$A$497,1)))</f>
        <v>10.7230356507827</v>
      </c>
      <c r="S560" s="116">
        <f>IF(INDEX('Additional data'!$E$2:$E$699,MATCH(DATE(YEAR(N560),MONTH(N560),1),'Additional data'!$D$2:$D$699,0))=0,(INDEX('Additional data'!$E$2:$E$699,MATCH(DATE(YEAR(N560),MONTH(N560),1),'Additional data'!$D$2:$D$699,0)-1)+INDEX('Additional data'!$E$2:$E$699,MATCH(DATE(YEAR(N560),MONTH(N560),1),'Additional data'!$D$2:$D$699,0)+1))/2,INDEX('Additional data'!$E$2:$E$699,MATCH(DATE(YEAR(N560),MONTH(N560),1),'Additional data'!$D$2:$D$699,0)))</f>
        <v>2.68</v>
      </c>
      <c r="T560" s="425">
        <f>P560-P559</f>
        <v>0.0125204967781389</v>
      </c>
      <c r="U560" s="425">
        <f>Q560-Q559</f>
        <v>-0.00180162194662792</v>
      </c>
      <c r="V560" s="425">
        <f>R560-R559</f>
        <v>0.0128310501250386</v>
      </c>
      <c r="W560" s="116">
        <f>S560-S559</f>
        <v>0.0300000000000003</v>
      </c>
      <c r="X560" s="425">
        <f>P560-P548</f>
        <v>0.103109695115653</v>
      </c>
      <c r="Y560" s="425">
        <f>Q560-Q548</f>
        <v>0.19350186289127</v>
      </c>
      <c r="Z560" s="425">
        <f>R560-R548</f>
        <v>0.0992031549671619</v>
      </c>
      <c r="AA560" s="116">
        <f>S560-S548</f>
        <v>-0.34</v>
      </c>
      <c r="AB560" s="425">
        <f>P560-P500</f>
        <v>0.717844691761316</v>
      </c>
      <c r="AC560" s="425">
        <f>Q560-Q500</f>
        <v>0.891958676225825</v>
      </c>
      <c r="AD560" s="425">
        <f>R560-R500</f>
        <v>0.589184434786228</v>
      </c>
      <c r="AE560" s="235">
        <f>S560-S500</f>
        <v>-0.42</v>
      </c>
      <c r="AG560" s="554">
        <f>N560</f>
        <v>41759.0</v>
      </c>
      <c r="AH560" s="435">
        <f>IFERROR(INDEX('RBA 5Y yield'!$B$5:$B$661,MATCH(N560,'RBA 5Y yield'!$A$5:$A$661,1))*100,"")</f>
        <v>3.398</v>
      </c>
      <c r="AI560" s="435">
        <f>IF(AND(ISNUMBER(AH560),ISNUMBER(AH559)),AH560-AH559,"")</f>
        <v>-0.0129999999999999</v>
      </c>
      <c r="AJ560" s="435">
        <f>IF(AND(ISNUMBER(AH560),ISNUMBER(AH548)),AH560-AH548,"")</f>
        <v>0.4905</v>
      </c>
      <c r="AK560" s="435">
        <f>IF(AND(ISNUMBER(AH560),ISNUMBER(AH500)),AH560-AH500,"")</f>
        <v>-0.6475</v>
      </c>
      <c r="AL560" s="560">
        <f>IFERROR(LN(INDEX(Data!$B$2:$B$497,MATCH(N560,Data!$A$2:$A$497,1))/INDEX(Data!$B$2:$B$497,MATCH(N548,Data!$A$2:$A$497,1))),"")</f>
        <v>0.0992031549671621</v>
      </c>
      <c r="AM560" s="560">
        <f>IFERROR(LN(INDEX(Data!$C$2:$C$497,MATCH(N560,Data!$A$2:$A$497,1))/INDEX(Data!$C$2:$C$497,MATCH(N548,Data!$A$2:$A$497,1))),"")</f>
        <v>0.269135790696602</v>
      </c>
      <c r="AN560" s="560">
        <f>IFERROR(LN(INDEX(Data!$D$2:$D$497,MATCH(N560,Data!$A$2:$A$497,1))/INDEX(Data!$D$2:$D$497,MATCH(N548,Data!$A$2:$A$497,1))),"")</f>
        <v>0.149724089051855</v>
      </c>
      <c r="AO560" s="560">
        <f>IFERROR(LN(INDEX(Data!$E$2:$E$497,MATCH(N560,Data!$A$2:$A$497,1))/INDEX(Data!$E$2:$E$497,MATCH(N548,Data!$A$2:$A$497,1))),"")</f>
        <v>0.124552295673514</v>
      </c>
      <c r="AP560" s="560">
        <f>IFERROR(LN(INDEX(Data!$F$2:$F$497,MATCH(N560,Data!$A$2:$A$497,1))/INDEX(Data!$F$2:$F$497,MATCH(N548,Data!$A$2:$A$497,1))),"")</f>
        <v>0.180739123349134</v>
      </c>
      <c r="AQ560" s="560">
        <f>IFERROR(LN(INDEX(Data!$G$2:$G$497,MATCH(N560,Data!$A$2:$A$497,1))/INDEX(Data!$G$2:$G$497,MATCH(N548,Data!$A$2:$A$497,1))),"")</f>
        <v>0.114233273692144</v>
      </c>
      <c r="AR560" s="560">
        <f>IFERROR(LN(INDEX(Data!$H$2:$H$497,MATCH(N560,Data!$A$2:$A$497,1))/INDEX(Data!$H$2:$H$497,MATCH(N548,Data!$A$2:$A$497,1))),"")</f>
        <v>0.0666720983287997</v>
      </c>
      <c r="AS560" s="560">
        <f>IFERROR(LN(INDEX(Data!$I$2:$I$497,MATCH(N560,Data!$A$2:$A$497,1))/INDEX(Data!$I$2:$I$497,MATCH(N548,Data!$A$2:$A$497,1))),"")</f>
        <v>0.212849291475685</v>
      </c>
      <c r="AT560" s="560">
        <f>IFERROR(LN(INDEX(Data!$J$2:$J$497,MATCH(N560,Data!$A$2:$A$497,1))/INDEX(Data!$J$2:$J$497,MATCH(N548,Data!$A$2:$A$497,1))),"")</f>
        <v>0.0261651994378325</v>
      </c>
      <c r="AU560" s="560">
        <f>IFERROR(LN(INDEX(Data!$K$2:$K$497,MATCH(N560,Data!$A$2:$A$497,1))/INDEX(Data!$K$2:$K$497,MATCH(N548,Data!$A$2:$A$497,1))),"")</f>
        <v>0.0319589889493817</v>
      </c>
      <c r="AV560" s="561">
        <f>IFERROR(LN(INDEX(Data!$L$2:$L$497,MATCH(N560,Data!$A$2:$A$497,1))/INDEX(Data!$L$2:$L$497,MATCH(N548,Data!$A$2:$A$497,1))),"")</f>
        <v>0.0268830067987978</v>
      </c>
    </row>
    <row r="561">
      <c r="N561" s="337" t="n">
        <v>41790</v>
      </c>
      <c r="O561" s="116">
        <f>INDEX('Additional data'!$B$2:$B$965,MATCH(DATE(YEAR(N561),MONTH(N561),1),'Additional data'!$A$2:$A$965,0))</f>
        <v>102.18</v>
      </c>
      <c r="P561" s="489">
        <f>LN(O561)</f>
        <v>4.62673596390265</v>
      </c>
      <c r="Q561" s="489">
        <f>Q560+LN(1+INDEX('Additional data'!$H$2:$H$1196,MATCH(N561,'Additional data'!$G$2:$G$1196,1))+INDEX('Additional data'!$I$2:$I$1196,MATCH(N561,'Additional data'!$G$2:$G$1196,1)))</f>
        <v>4.43286983691908</v>
      </c>
      <c r="R561" s="489">
        <f>LN(INDEX(Data!$B$2:$B$497,MATCH(N561,Data!$A$2:$A$497,1)))</f>
        <v>10.7291399895048</v>
      </c>
      <c r="S561" s="116">
        <f>IF(INDEX('Additional data'!$E$2:$E$699,MATCH(DATE(YEAR(N561),MONTH(N561),1),'Additional data'!$D$2:$D$699,0))=0,(INDEX('Additional data'!$E$2:$E$699,MATCH(DATE(YEAR(N561),MONTH(N561),1),'Additional data'!$D$2:$D$699,0)-1)+INDEX('Additional data'!$E$2:$E$699,MATCH(DATE(YEAR(N561),MONTH(N561),1),'Additional data'!$D$2:$D$699,0)+1))/2,INDEX('Additional data'!$E$2:$E$699,MATCH(DATE(YEAR(N561),MONTH(N561),1),'Additional data'!$D$2:$D$699,0)))</f>
        <v>2.69</v>
      </c>
      <c r="T561" s="425">
        <f>P561-P560</f>
        <v>0.00107711148724476</v>
      </c>
      <c r="U561" s="425">
        <f>Q561-Q560</f>
        <v>0.0202927032677627</v>
      </c>
      <c r="V561" s="425">
        <f>R561-R560</f>
        <v>0.00610433872206606</v>
      </c>
      <c r="W561" s="116">
        <f>S561-S560</f>
        <v>0.00999999999999979</v>
      </c>
      <c r="X561" s="425">
        <f>P561-P549</f>
        <v>0.0749665546416756</v>
      </c>
      <c r="Y561" s="425">
        <f>Q561-Q549</f>
        <v>0.186179399126059</v>
      </c>
      <c r="Z561" s="425">
        <f>R561-R549</f>
        <v>0.150153736349186</v>
      </c>
      <c r="AA561" s="116">
        <f>S561-S549</f>
        <v>-0.13</v>
      </c>
      <c r="AB561" s="425">
        <f>P561-P501</f>
        <v>0.546490326060053</v>
      </c>
      <c r="AC561" s="425">
        <f>Q561-Q501</f>
        <v>0.861463212661483</v>
      </c>
      <c r="AD561" s="425">
        <f>R561-R501</f>
        <v>0.574014144470748</v>
      </c>
      <c r="AE561" s="235">
        <f>S561-S501</f>
        <v>-0.44</v>
      </c>
      <c r="AG561" s="554">
        <f>N561</f>
        <v>41790.0</v>
      </c>
      <c r="AH561" s="435">
        <f>IFERROR(INDEX('RBA 5Y yield'!$B$5:$B$661,MATCH(N561,'RBA 5Y yield'!$A$5:$A$661,1))*100,"")</f>
        <v>3.2</v>
      </c>
      <c r="AI561" s="435">
        <f>IF(AND(ISNUMBER(AH561),ISNUMBER(AH560)),AH561-AH560,"")</f>
        <v>-0.198</v>
      </c>
      <c r="AJ561" s="435">
        <f>IF(AND(ISNUMBER(AH561),ISNUMBER(AH549)),AH561-AH549,"")</f>
        <v>0.4125</v>
      </c>
      <c r="AK561" s="435">
        <f>IF(AND(ISNUMBER(AH561),ISNUMBER(AH501)),AH561-AH501,"")</f>
        <v>-1.2743</v>
      </c>
      <c r="AL561" s="560">
        <f>IFERROR(LN(INDEX(Data!$B$2:$B$497,MATCH(N561,Data!$A$2:$A$497,1))/INDEX(Data!$B$2:$B$497,MATCH(N549,Data!$A$2:$A$497,1))),"")</f>
        <v>0.150153736349186</v>
      </c>
      <c r="AM561" s="560">
        <f>IFERROR(LN(INDEX(Data!$C$2:$C$497,MATCH(N561,Data!$A$2:$A$497,1))/INDEX(Data!$C$2:$C$497,MATCH(N549,Data!$A$2:$A$497,1))),"")</f>
        <v>0.193208728330693</v>
      </c>
      <c r="AN561" s="560">
        <f>IFERROR(LN(INDEX(Data!$D$2:$D$497,MATCH(N561,Data!$A$2:$A$497,1))/INDEX(Data!$D$2:$D$497,MATCH(N549,Data!$A$2:$A$497,1))),"")</f>
        <v>0.0857542599654191</v>
      </c>
      <c r="AO561" s="560">
        <f>IFERROR(LN(INDEX(Data!$E$2:$E$497,MATCH(N561,Data!$A$2:$A$497,1))/INDEX(Data!$E$2:$E$497,MATCH(N549,Data!$A$2:$A$497,1))),"")</f>
        <v>0.125183174548499</v>
      </c>
      <c r="AP561" s="560">
        <f>IFERROR(LN(INDEX(Data!$F$2:$F$497,MATCH(N561,Data!$A$2:$A$497,1))/INDEX(Data!$F$2:$F$497,MATCH(N549,Data!$A$2:$A$497,1))),"")</f>
        <v>0.110048253442399</v>
      </c>
      <c r="AQ561" s="560">
        <f>IFERROR(LN(INDEX(Data!$G$2:$G$497,MATCH(N561,Data!$A$2:$A$497,1))/INDEX(Data!$G$2:$G$497,MATCH(N549,Data!$A$2:$A$497,1))),"")</f>
        <v>0.114233273692144</v>
      </c>
      <c r="AR561" s="560">
        <f>IFERROR(LN(INDEX(Data!$H$2:$H$497,MATCH(N561,Data!$A$2:$A$497,1))/INDEX(Data!$H$2:$H$497,MATCH(N549,Data!$A$2:$A$497,1))),"")</f>
        <v>0.0699198429880486</v>
      </c>
      <c r="AS561" s="560">
        <f>IFERROR(LN(INDEX(Data!$I$2:$I$497,MATCH(N561,Data!$A$2:$A$497,1))/INDEX(Data!$I$2:$I$497,MATCH(N549,Data!$A$2:$A$497,1))),"")</f>
        <v>0.212849291475685</v>
      </c>
      <c r="AT561" s="560">
        <f>IFERROR(LN(INDEX(Data!$J$2:$J$497,MATCH(N561,Data!$A$2:$A$497,1))/INDEX(Data!$J$2:$J$497,MATCH(N549,Data!$A$2:$A$497,1))),"")</f>
        <v>0.04054672400819</v>
      </c>
      <c r="AU561" s="560">
        <f>IFERROR(LN(INDEX(Data!$K$2:$K$497,MATCH(N561,Data!$A$2:$A$497,1))/INDEX(Data!$K$2:$K$497,MATCH(N549,Data!$A$2:$A$497,1))),"")</f>
        <v>0.0568046636529135</v>
      </c>
      <c r="AV561" s="561">
        <f>IFERROR(LN(INDEX(Data!$L$2:$L$497,MATCH(N561,Data!$A$2:$A$497,1))/INDEX(Data!$L$2:$L$497,MATCH(N549,Data!$A$2:$A$497,1))),"")</f>
        <v>0.0265640639338692</v>
      </c>
    </row>
    <row r="562">
      <c r="N562" s="337" t="n">
        <v>41820</v>
      </c>
      <c r="O562" s="116">
        <f>INDEX('Additional data'!$B$2:$B$965,MATCH(DATE(YEAR(N562),MONTH(N562),1),'Additional data'!$A$2:$A$965,0))</f>
        <v>105.79</v>
      </c>
      <c r="P562" s="489">
        <f>LN(O562)</f>
        <v>4.66145599699868</v>
      </c>
      <c r="Q562" s="489">
        <f>Q561+LN(1+INDEX('Additional data'!$H$2:$H$1196,MATCH(N562,'Additional data'!$G$2:$G$1196,1))+INDEX('Additional data'!$I$2:$I$1196,MATCH(N562,'Additional data'!$G$2:$G$1196,1)))</f>
        <v>4.45853758366766</v>
      </c>
      <c r="R562" s="489">
        <f>LN(INDEX(Data!$B$2:$B$497,MATCH(N562,Data!$A$2:$A$497,1)))</f>
        <v>10.7148949140126</v>
      </c>
      <c r="S562" s="116">
        <f>IF(INDEX('Additional data'!$E$2:$E$699,MATCH(DATE(YEAR(N562),MONTH(N562),1),'Additional data'!$D$2:$D$699,0))=0,(INDEX('Additional data'!$E$2:$E$699,MATCH(DATE(YEAR(N562),MONTH(N562),1),'Additional data'!$D$2:$D$699,0)-1)+INDEX('Additional data'!$E$2:$E$699,MATCH(DATE(YEAR(N562),MONTH(N562),1),'Additional data'!$D$2:$D$699,0)+1))/2,INDEX('Additional data'!$E$2:$E$699,MATCH(DATE(YEAR(N562),MONTH(N562),1),'Additional data'!$D$2:$D$699,0)))</f>
        <v>2.7</v>
      </c>
      <c r="T562" s="425">
        <f>P562-P561</f>
        <v>0.0347200330960309</v>
      </c>
      <c r="U562" s="425">
        <f>Q562-Q561</f>
        <v>0.025667746748578</v>
      </c>
      <c r="V562" s="425">
        <f>R562-R561</f>
        <v>-0.0142450754921732</v>
      </c>
      <c r="W562" s="116">
        <f>S562-S561</f>
        <v>0.0100000000000002</v>
      </c>
      <c r="X562" s="425">
        <f>P562-P550</f>
        <v>0.0991933120218684</v>
      </c>
      <c r="Y562" s="425">
        <f>Q562-Q550</f>
        <v>0.223919727108907</v>
      </c>
      <c r="Z562" s="425">
        <f>R562-R550</f>
        <v>0.162464931893975</v>
      </c>
      <c r="AA562" s="116">
        <f>S562-S550</f>
        <v>-0.0999999999999996</v>
      </c>
      <c r="AB562" s="425">
        <f>P562-P502</f>
        <v>0.417542664454436</v>
      </c>
      <c r="AC562" s="425">
        <f>Q562-Q502</f>
        <v>0.882840177992904</v>
      </c>
      <c r="AD562" s="425">
        <f>R562-R502</f>
        <v>0.521267437019114</v>
      </c>
      <c r="AE562" s="235">
        <f>S562-S502</f>
        <v>-0.55</v>
      </c>
      <c r="AG562" s="554">
        <f>N562</f>
        <v>41820.0</v>
      </c>
      <c r="AH562" s="435">
        <f>IFERROR(INDEX('RBA 5Y yield'!$B$5:$B$661,MATCH(N562,'RBA 5Y yield'!$A$5:$A$661,1))*100,"")</f>
        <v>3.118</v>
      </c>
      <c r="AI562" s="435">
        <f>IF(AND(ISNUMBER(AH562),ISNUMBER(AH561)),AH562-AH561,"")</f>
        <v>-0.0820000000000003</v>
      </c>
      <c r="AJ562" s="435">
        <f>IF(AND(ISNUMBER(AH562),ISNUMBER(AH550)),AH562-AH550,"")</f>
        <v>0.194625</v>
      </c>
      <c r="AK562" s="435">
        <f>IF(AND(ISNUMBER(AH562),ISNUMBER(AH502)),AH562-AH502,"")</f>
        <v>-1.9841</v>
      </c>
      <c r="AL562" s="560">
        <f>IFERROR(LN(INDEX(Data!$B$2:$B$497,MATCH(N562,Data!$A$2:$A$497,1))/INDEX(Data!$B$2:$B$497,MATCH(N550,Data!$A$2:$A$497,1))),"")</f>
        <v>0.162464931893976</v>
      </c>
      <c r="AM562" s="560">
        <f>IFERROR(LN(INDEX(Data!$C$2:$C$497,MATCH(N562,Data!$A$2:$A$497,1))/INDEX(Data!$C$2:$C$497,MATCH(N550,Data!$A$2:$A$497,1))),"")</f>
        <v>0.171070897007651</v>
      </c>
      <c r="AN562" s="560">
        <f>IFERROR(LN(INDEX(Data!$D$2:$D$497,MATCH(N562,Data!$A$2:$A$497,1))/INDEX(Data!$D$2:$D$497,MATCH(N550,Data!$A$2:$A$497,1))),"")</f>
        <v>0.101274424670393</v>
      </c>
      <c r="AO562" s="560">
        <f>IFERROR(LN(INDEX(Data!$E$2:$E$497,MATCH(N562,Data!$A$2:$A$497,1))/INDEX(Data!$E$2:$E$497,MATCH(N550,Data!$A$2:$A$497,1))),"")</f>
        <v>0.102252657586948</v>
      </c>
      <c r="AP562" s="560">
        <f>IFERROR(LN(INDEX(Data!$F$2:$F$497,MATCH(N562,Data!$A$2:$A$497,1))/INDEX(Data!$F$2:$F$497,MATCH(N550,Data!$A$2:$A$497,1))),"")</f>
        <v>0.0683063373573676</v>
      </c>
      <c r="AQ562" s="560">
        <f>IFERROR(LN(INDEX(Data!$G$2:$G$497,MATCH(N562,Data!$A$2:$A$497,1))/INDEX(Data!$G$2:$G$497,MATCH(N550,Data!$A$2:$A$497,1))),"")</f>
        <v>0.108409175636586</v>
      </c>
      <c r="AR562" s="560">
        <f>IFERROR(LN(INDEX(Data!$H$2:$H$497,MATCH(N562,Data!$A$2:$A$497,1))/INDEX(Data!$H$2:$H$497,MATCH(N550,Data!$A$2:$A$497,1))),"")</f>
        <v>0.0798376075107537</v>
      </c>
      <c r="AS562" s="560">
        <f>IFERROR(LN(INDEX(Data!$I$2:$I$497,MATCH(N562,Data!$A$2:$A$497,1))/INDEX(Data!$I$2:$I$497,MATCH(N550,Data!$A$2:$A$497,1))),"")</f>
        <v>0.202144162492673</v>
      </c>
      <c r="AT562" s="560">
        <f>IFERROR(LN(INDEX(Data!$J$2:$J$497,MATCH(N562,Data!$A$2:$A$497,1))/INDEX(Data!$J$2:$J$497,MATCH(N550,Data!$A$2:$A$497,1))),"")</f>
        <v>0.0590781098378214</v>
      </c>
      <c r="AU562" s="560">
        <f>IFERROR(LN(INDEX(Data!$K$2:$K$497,MATCH(N562,Data!$A$2:$A$497,1))/INDEX(Data!$K$2:$K$497,MATCH(N550,Data!$A$2:$A$497,1))),"")</f>
        <v>0.074728262980536</v>
      </c>
      <c r="AV562" s="561">
        <f>IFERROR(LN(INDEX(Data!$L$2:$L$497,MATCH(N562,Data!$A$2:$A$497,1))/INDEX(Data!$L$2:$L$497,MATCH(N550,Data!$A$2:$A$497,1))),"")</f>
        <v>0.0264667157179006</v>
      </c>
    </row>
    <row r="563">
      <c r="N563" s="337" t="n">
        <v>41851</v>
      </c>
      <c r="O563" s="116">
        <f>INDEX('Additional data'!$B$2:$B$965,MATCH(DATE(YEAR(N563),MONTH(N563),1),'Additional data'!$A$2:$A$965,0))</f>
        <v>103.59</v>
      </c>
      <c r="P563" s="489">
        <f>LN(O563)</f>
        <v>4.64044080007001</v>
      </c>
      <c r="Q563" s="489">
        <f>Q562+LN(1+INDEX('Additional data'!$H$2:$H$1196,MATCH(N563,'Additional data'!$G$2:$G$1196,1))+INDEX('Additional data'!$I$2:$I$1196,MATCH(N563,'Additional data'!$G$2:$G$1196,1)))</f>
        <v>4.43802870703612</v>
      </c>
      <c r="R563" s="489">
        <f>LN(INDEX(Data!$B$2:$B$497,MATCH(N563,Data!$A$2:$A$497,1)))</f>
        <v>10.7588314071973</v>
      </c>
      <c r="S563" s="116">
        <f>IF(INDEX('Additional data'!$E$2:$E$699,MATCH(DATE(YEAR(N563),MONTH(N563),1),'Additional data'!$D$2:$D$699,0))=0,(INDEX('Additional data'!$E$2:$E$699,MATCH(DATE(YEAR(N563),MONTH(N563),1),'Additional data'!$D$2:$D$699,0)-1)+INDEX('Additional data'!$E$2:$E$699,MATCH(DATE(YEAR(N563),MONTH(N563),1),'Additional data'!$D$2:$D$699,0)+1))/2,INDEX('Additional data'!$E$2:$E$699,MATCH(DATE(YEAR(N563),MONTH(N563),1),'Additional data'!$D$2:$D$699,0)))</f>
        <v>2.65</v>
      </c>
      <c r="T563" s="425">
        <f>P563-P562</f>
        <v>-0.0210151969286718</v>
      </c>
      <c r="U563" s="425">
        <f>Q563-Q562</f>
        <v>-0.0205088766315402</v>
      </c>
      <c r="V563" s="425">
        <f>R563-R562</f>
        <v>0.0439364931846633</v>
      </c>
      <c r="W563" s="116">
        <f>S563-S562</f>
        <v>-0.0500000000000003</v>
      </c>
      <c r="X563" s="425">
        <f>P563-P551</f>
        <v>-0.00979834928565815</v>
      </c>
      <c r="Y563" s="425">
        <f>Q563-Q551</f>
        <v>0.148449292403392</v>
      </c>
      <c r="Z563" s="425">
        <f>R563-R551</f>
        <v>0.153228820523681</v>
      </c>
      <c r="AA563" s="116">
        <f>S563-S551</f>
        <v>-0.11</v>
      </c>
      <c r="AB563" s="425">
        <f>P563-P503</f>
        <v>0.480152454553876</v>
      </c>
      <c r="AC563" s="425">
        <f>Q563-Q503</f>
        <v>0.787687758365598</v>
      </c>
      <c r="AD563" s="425">
        <f>R563-R503</f>
        <v>0.491485215359399</v>
      </c>
      <c r="AE563" s="235">
        <f>S563-S503</f>
        <v>-0.49</v>
      </c>
      <c r="AG563" s="554">
        <f>N563</f>
        <v>41851.0</v>
      </c>
      <c r="AH563" s="435">
        <f>IFERROR(INDEX('RBA 5Y yield'!$B$5:$B$661,MATCH(N563,'RBA 5Y yield'!$A$5:$A$661,1))*100,"")</f>
        <v>2.937</v>
      </c>
      <c r="AI563" s="435">
        <f>IF(AND(ISNUMBER(AH563),ISNUMBER(AH562)),AH563-AH562,"")</f>
        <v>-0.181</v>
      </c>
      <c r="AJ563" s="435">
        <f>IF(AND(ISNUMBER(AH563),ISNUMBER(AH551)),AH563-AH551,"")</f>
        <v>-0.12225</v>
      </c>
      <c r="AK563" s="435">
        <f>IF(AND(ISNUMBER(AH563),ISNUMBER(AH503)),AH563-AH503,"")</f>
        <v>-2.271</v>
      </c>
      <c r="AL563" s="560">
        <f>IFERROR(LN(INDEX(Data!$B$2:$B$497,MATCH(N563,Data!$A$2:$A$497,1))/INDEX(Data!$B$2:$B$497,MATCH(N551,Data!$A$2:$A$497,1))),"")</f>
        <v>0.153228820523681</v>
      </c>
      <c r="AM563" s="560">
        <f>IFERROR(LN(INDEX(Data!$C$2:$C$497,MATCH(N563,Data!$A$2:$A$497,1))/INDEX(Data!$C$2:$C$497,MATCH(N551,Data!$A$2:$A$497,1))),"")</f>
        <v>0.112299551382731</v>
      </c>
      <c r="AN563" s="560">
        <f>IFERROR(LN(INDEX(Data!$D$2:$D$497,MATCH(N563,Data!$A$2:$A$497,1))/INDEX(Data!$D$2:$D$497,MATCH(N551,Data!$A$2:$A$497,1))),"")</f>
        <v>0.111742714924009</v>
      </c>
      <c r="AO563" s="560">
        <f>IFERROR(LN(INDEX(Data!$E$2:$E$497,MATCH(N563,Data!$A$2:$A$497,1))/INDEX(Data!$E$2:$E$497,MATCH(N551,Data!$A$2:$A$497,1))),"")</f>
        <v>0.0978519241457517</v>
      </c>
      <c r="AP563" s="560">
        <f>IFERROR(LN(INDEX(Data!$F$2:$F$497,MATCH(N563,Data!$A$2:$A$497,1))/INDEX(Data!$F$2:$F$497,MATCH(N551,Data!$A$2:$A$497,1))),"")</f>
        <v>-0.0387276098416004</v>
      </c>
      <c r="AQ563" s="560">
        <f>IFERROR(LN(INDEX(Data!$G$2:$G$497,MATCH(N563,Data!$A$2:$A$497,1))/INDEX(Data!$G$2:$G$497,MATCH(N551,Data!$A$2:$A$497,1))),"")</f>
        <v>0.108409175636586</v>
      </c>
      <c r="AR563" s="560">
        <f>IFERROR(LN(INDEX(Data!$H$2:$H$497,MATCH(N563,Data!$A$2:$A$497,1))/INDEX(Data!$H$2:$H$497,MATCH(N551,Data!$A$2:$A$497,1))),"")</f>
        <v>0.0651007083275672</v>
      </c>
      <c r="AS563" s="560">
        <f>IFERROR(LN(INDEX(Data!$I$2:$I$497,MATCH(N563,Data!$A$2:$A$497,1))/INDEX(Data!$I$2:$I$497,MATCH(N551,Data!$A$2:$A$497,1))),"")</f>
        <v>0.202144162492673</v>
      </c>
      <c r="AT563" s="560">
        <f>IFERROR(LN(INDEX(Data!$J$2:$J$497,MATCH(N563,Data!$A$2:$A$497,1))/INDEX(Data!$J$2:$J$497,MATCH(N551,Data!$A$2:$A$497,1))),"")</f>
        <v>0.0534673362139988</v>
      </c>
      <c r="AU563" s="560">
        <f>IFERROR(LN(INDEX(Data!$K$2:$K$497,MATCH(N563,Data!$A$2:$A$497,1))/INDEX(Data!$K$2:$K$497,MATCH(N551,Data!$A$2:$A$497,1))),"")</f>
        <v>0.0730564933334703</v>
      </c>
      <c r="AV563" s="561">
        <f>IFERROR(LN(INDEX(Data!$L$2:$L$497,MATCH(N563,Data!$A$2:$A$497,1))/INDEX(Data!$L$2:$L$497,MATCH(N551,Data!$A$2:$A$497,1))),"")</f>
        <v>0.0262349990321883</v>
      </c>
    </row>
    <row r="564">
      <c r="N564" s="337" t="n">
        <v>41882</v>
      </c>
      <c r="O564" s="116">
        <f>INDEX('Additional data'!$B$2:$B$965,MATCH(DATE(YEAR(N564),MONTH(N564),1),'Additional data'!$A$2:$A$965,0))</f>
        <v>96.54</v>
      </c>
      <c r="P564" s="489">
        <f>LN(O564)</f>
        <v>4.56995743023235</v>
      </c>
      <c r="Q564" s="489">
        <f>Q563+LN(1+INDEX('Additional data'!$H$2:$H$1196,MATCH(N564,'Additional data'!$G$2:$G$1196,1))+INDEX('Additional data'!$I$2:$I$1196,MATCH(N564,'Additional data'!$G$2:$G$1196,1)))</f>
        <v>4.47955445386462</v>
      </c>
      <c r="R564" s="489">
        <f>LN(INDEX(Data!$B$2:$B$497,MATCH(N564,Data!$A$2:$A$497,1)))</f>
        <v>10.7660216278317</v>
      </c>
      <c r="S564" s="116">
        <f>IF(INDEX('Additional data'!$E$2:$E$699,MATCH(DATE(YEAR(N564),MONTH(N564),1),'Additional data'!$D$2:$D$699,0))=0,(INDEX('Additional data'!$E$2:$E$699,MATCH(DATE(YEAR(N564),MONTH(N564),1),'Additional data'!$D$2:$D$699,0)-1)+INDEX('Additional data'!$E$2:$E$699,MATCH(DATE(YEAR(N564),MONTH(N564),1),'Additional data'!$D$2:$D$699,0)+1))/2,INDEX('Additional data'!$E$2:$E$699,MATCH(DATE(YEAR(N564),MONTH(N564),1),'Additional data'!$D$2:$D$699,0)))</f>
        <v>2.63</v>
      </c>
      <c r="T564" s="425">
        <f>P564-P563</f>
        <v>-0.0704833698376639</v>
      </c>
      <c r="U564" s="425">
        <f>Q564-Q563</f>
        <v>0.0415257468284986</v>
      </c>
      <c r="V564" s="425">
        <f>R564-R563</f>
        <v>0.00719022063441166</v>
      </c>
      <c r="W564" s="116">
        <f>S564-S563</f>
        <v>-0.02</v>
      </c>
      <c r="X564" s="425">
        <f>P564-P552</f>
        <v>-0.0988446160005179</v>
      </c>
      <c r="Y564" s="425">
        <f>Q564-Q552</f>
        <v>0.217449016232647</v>
      </c>
      <c r="Z564" s="425">
        <f>R564-R552</f>
        <v>0.1348263935775</v>
      </c>
      <c r="AA564" s="116">
        <f>S564-S552</f>
        <v>0.0299999999999998</v>
      </c>
      <c r="AB564" s="425">
        <f>P564-P504</f>
        <v>0.306432839639466</v>
      </c>
      <c r="AC564" s="425">
        <f>Q564-Q504</f>
        <v>0.79635916832315</v>
      </c>
      <c r="AD564" s="425">
        <f>R564-R504</f>
        <v>0.435954879969385</v>
      </c>
      <c r="AE564" s="235">
        <f>S564-S504</f>
        <v>-0.67</v>
      </c>
      <c r="AG564" s="554">
        <f>N564</f>
        <v>41882.0</v>
      </c>
      <c r="AH564" s="435">
        <f>IFERROR(INDEX('RBA 5Y yield'!$B$5:$B$661,MATCH(N564,'RBA 5Y yield'!$A$5:$A$661,1))*100,"")</f>
        <v>2.922</v>
      </c>
      <c r="AI564" s="435">
        <f>IF(AND(ISNUMBER(AH564),ISNUMBER(AH563)),AH564-AH563,"")</f>
        <v>-0.0149999999999997</v>
      </c>
      <c r="AJ564" s="435">
        <f>IF(AND(ISNUMBER(AH564),ISNUMBER(AH552)),AH564-AH552,"")</f>
        <v>-0.273125</v>
      </c>
      <c r="AK564" s="435">
        <f>IF(AND(ISNUMBER(AH564),ISNUMBER(AH504)),AH564-AH504,"")</f>
        <v>-2.4695</v>
      </c>
      <c r="AL564" s="560">
        <f>IFERROR(LN(INDEX(Data!$B$2:$B$497,MATCH(N564,Data!$A$2:$A$497,1))/INDEX(Data!$B$2:$B$497,MATCH(N552,Data!$A$2:$A$497,1))),"")</f>
        <v>0.134826393577499</v>
      </c>
      <c r="AM564" s="560">
        <f>IFERROR(LN(INDEX(Data!$C$2:$C$497,MATCH(N564,Data!$A$2:$A$497,1))/INDEX(Data!$C$2:$C$497,MATCH(N552,Data!$A$2:$A$497,1))),"")</f>
        <v>0.145562022692436</v>
      </c>
      <c r="AN564" s="560">
        <f>IFERROR(LN(INDEX(Data!$D$2:$D$497,MATCH(N564,Data!$A$2:$A$497,1))/INDEX(Data!$D$2:$D$497,MATCH(N552,Data!$A$2:$A$497,1))),"")</f>
        <v>0.118771097618662</v>
      </c>
      <c r="AO564" s="560">
        <f>IFERROR(LN(INDEX(Data!$E$2:$E$497,MATCH(N564,Data!$A$2:$A$497,1))/INDEX(Data!$E$2:$E$497,MATCH(N552,Data!$A$2:$A$497,1))),"")</f>
        <v>0.166820058262514</v>
      </c>
      <c r="AP564" s="560">
        <f>IFERROR(LN(INDEX(Data!$F$2:$F$497,MATCH(N564,Data!$A$2:$A$497,1))/INDEX(Data!$F$2:$F$497,MATCH(N552,Data!$A$2:$A$497,1))),"")</f>
        <v>-0.102073082156409</v>
      </c>
      <c r="AQ564" s="560">
        <f>IFERROR(LN(INDEX(Data!$G$2:$G$497,MATCH(N564,Data!$A$2:$A$497,1))/INDEX(Data!$G$2:$G$497,MATCH(N552,Data!$A$2:$A$497,1))),"")</f>
        <v>0.108409175636586</v>
      </c>
      <c r="AR564" s="560">
        <f>IFERROR(LN(INDEX(Data!$H$2:$H$497,MATCH(N564,Data!$A$2:$A$497,1))/INDEX(Data!$H$2:$H$497,MATCH(N552,Data!$A$2:$A$497,1))),"")</f>
        <v>0.0712332695846857</v>
      </c>
      <c r="AS564" s="560">
        <f>IFERROR(LN(INDEX(Data!$I$2:$I$497,MATCH(N564,Data!$A$2:$A$497,1))/INDEX(Data!$I$2:$I$497,MATCH(N552,Data!$A$2:$A$497,1))),"")</f>
        <v>0.202144162492673</v>
      </c>
      <c r="AT564" s="560">
        <f>IFERROR(LN(INDEX(Data!$J$2:$J$497,MATCH(N564,Data!$A$2:$A$497,1))/INDEX(Data!$J$2:$J$497,MATCH(N552,Data!$A$2:$A$497,1))),"")</f>
        <v>0.0667686997141813</v>
      </c>
      <c r="AU564" s="560">
        <f>IFERROR(LN(INDEX(Data!$K$2:$K$497,MATCH(N564,Data!$A$2:$A$497,1))/INDEX(Data!$K$2:$K$497,MATCH(N552,Data!$A$2:$A$497,1))),"")</f>
        <v>0.0888681215757752</v>
      </c>
      <c r="AV564" s="561">
        <f>IFERROR(LN(INDEX(Data!$L$2:$L$497,MATCH(N564,Data!$A$2:$A$497,1))/INDEX(Data!$L$2:$L$497,MATCH(N552,Data!$A$2:$A$497,1))),"")</f>
        <v>0.026187560102785</v>
      </c>
    </row>
    <row r="565">
      <c r="N565" s="337" t="n">
        <v>41912</v>
      </c>
      <c r="O565" s="116">
        <f>INDEX('Additional data'!$B$2:$B$965,MATCH(DATE(YEAR(N565),MONTH(N565),1),'Additional data'!$A$2:$A$965,0))</f>
        <v>93.21</v>
      </c>
      <c r="P565" s="489">
        <f>LN(O565)</f>
        <v>4.53485501207307</v>
      </c>
      <c r="Q565" s="489">
        <f>Q564+LN(1+INDEX('Additional data'!$H$2:$H$1196,MATCH(N565,'Additional data'!$G$2:$G$1196,1))+INDEX('Additional data'!$I$2:$I$1196,MATCH(N565,'Additional data'!$G$2:$G$1196,1)))</f>
        <v>4.45975982653644</v>
      </c>
      <c r="R565" s="489">
        <f>LN(INDEX(Data!$B$2:$B$497,MATCH(N565,Data!$A$2:$A$497,1)))</f>
        <v>10.7119849053059</v>
      </c>
      <c r="S565" s="116">
        <f>IF(INDEX('Additional data'!$E$2:$E$699,MATCH(DATE(YEAR(N565),MONTH(N565),1),'Additional data'!$D$2:$D$699,0))=0,(INDEX('Additional data'!$E$2:$E$699,MATCH(DATE(YEAR(N565),MONTH(N565),1),'Additional data'!$D$2:$D$699,0)-1)+INDEX('Additional data'!$E$2:$E$699,MATCH(DATE(YEAR(N565),MONTH(N565),1),'Additional data'!$D$2:$D$699,0)+1))/2,INDEX('Additional data'!$E$2:$E$699,MATCH(DATE(YEAR(N565),MONTH(N565),1),'Additional data'!$D$2:$D$699,0)))</f>
        <v>2.66</v>
      </c>
      <c r="T565" s="425">
        <f>P565-P564</f>
        <v>-0.0351024181592816</v>
      </c>
      <c r="U565" s="425">
        <f>Q565-Q564</f>
        <v>-0.0197946273281797</v>
      </c>
      <c r="V565" s="425">
        <f>R565-R564</f>
        <v>-0.0540367225257654</v>
      </c>
      <c r="W565" s="116">
        <f>S565-S564</f>
        <v>0.0300000000000003</v>
      </c>
      <c r="X565" s="425">
        <f>P565-P553</f>
        <v>-0.131316195472425</v>
      </c>
      <c r="Y565" s="425">
        <f>Q565-Q553</f>
        <v>0.160647663275372</v>
      </c>
      <c r="Z565" s="425">
        <f>R565-R553</f>
        <v>0.0572029528489235</v>
      </c>
      <c r="AA565" s="116">
        <f>S565-S553</f>
        <v>0.0800000000000001</v>
      </c>
      <c r="AB565" s="425">
        <f>P565-P505</f>
        <v>0.294103964757138</v>
      </c>
      <c r="AC565" s="425">
        <f>Q565-Q505</f>
        <v>0.736478817455684</v>
      </c>
      <c r="AD565" s="425">
        <f>R565-R505</f>
        <v>0.323205437215933</v>
      </c>
      <c r="AE565" s="235">
        <f>S565-S505</f>
        <v>-0.71</v>
      </c>
      <c r="AG565" s="554">
        <f>N565</f>
        <v>41912.0</v>
      </c>
      <c r="AH565" s="435">
        <f>IFERROR(INDEX('RBA 5Y yield'!$B$5:$B$661,MATCH(N565,'RBA 5Y yield'!$A$5:$A$661,1))*100,"")</f>
        <v>3.041</v>
      </c>
      <c r="AI565" s="435">
        <f>IF(AND(ISNUMBER(AH565),ISNUMBER(AH564)),AH565-AH564,"")</f>
        <v>0.119</v>
      </c>
      <c r="AJ565" s="435">
        <f>IF(AND(ISNUMBER(AH565),ISNUMBER(AH553)),AH565-AH553,"")</f>
        <v>-0.29</v>
      </c>
      <c r="AK565" s="435">
        <f>IF(AND(ISNUMBER(AH565),ISNUMBER(AH505)),AH565-AH505,"")</f>
        <v>-2.0985</v>
      </c>
      <c r="AL565" s="560">
        <f>IFERROR(LN(INDEX(Data!$B$2:$B$497,MATCH(N565,Data!$A$2:$A$497,1))/INDEX(Data!$B$2:$B$497,MATCH(N553,Data!$A$2:$A$497,1))),"")</f>
        <v>0.0572029528489231</v>
      </c>
      <c r="AM565" s="560">
        <f>IFERROR(LN(INDEX(Data!$C$2:$C$497,MATCH(N565,Data!$A$2:$A$497,1))/INDEX(Data!$C$2:$C$497,MATCH(N553,Data!$A$2:$A$497,1))),"")</f>
        <v>0.214188291193802</v>
      </c>
      <c r="AN565" s="560">
        <f>IFERROR(LN(INDEX(Data!$D$2:$D$497,MATCH(N565,Data!$A$2:$A$497,1))/INDEX(Data!$D$2:$D$497,MATCH(N553,Data!$A$2:$A$497,1))),"")</f>
        <v>0.149168831732248</v>
      </c>
      <c r="AO565" s="560">
        <f>IFERROR(LN(INDEX(Data!$E$2:$E$497,MATCH(N565,Data!$A$2:$A$497,1))/INDEX(Data!$E$2:$E$497,MATCH(N553,Data!$A$2:$A$497,1))),"")</f>
        <v>0.193410828039607</v>
      </c>
      <c r="AP565" s="560">
        <f>IFERROR(LN(INDEX(Data!$F$2:$F$497,MATCH(N565,Data!$A$2:$A$497,1))/INDEX(Data!$F$2:$F$497,MATCH(N553,Data!$A$2:$A$497,1))),"")</f>
        <v>-0.0144622820660055</v>
      </c>
      <c r="AQ565" s="560">
        <f>IFERROR(LN(INDEX(Data!$G$2:$G$497,MATCH(N565,Data!$A$2:$A$497,1))/INDEX(Data!$G$2:$G$497,MATCH(N553,Data!$A$2:$A$497,1))),"")</f>
        <v>0.0960654905937832</v>
      </c>
      <c r="AR565" s="560">
        <f>IFERROR(LN(INDEX(Data!$H$2:$H$497,MATCH(N565,Data!$A$2:$A$497,1))/INDEX(Data!$H$2:$H$497,MATCH(N553,Data!$A$2:$A$497,1))),"")</f>
        <v>0.0774496791638013</v>
      </c>
      <c r="AS565" s="560">
        <f>IFERROR(LN(INDEX(Data!$I$2:$I$497,MATCH(N565,Data!$A$2:$A$497,1))/INDEX(Data!$I$2:$I$497,MATCH(N553,Data!$A$2:$A$497,1))),"")</f>
        <v>0.239888731695823</v>
      </c>
      <c r="AT565" s="560">
        <f>IFERROR(LN(INDEX(Data!$J$2:$J$497,MATCH(N565,Data!$A$2:$A$497,1))/INDEX(Data!$J$2:$J$497,MATCH(N553,Data!$A$2:$A$497,1))),"")</f>
        <v>0.0584389185262166</v>
      </c>
      <c r="AU565" s="560">
        <f>IFERROR(LN(INDEX(Data!$K$2:$K$497,MATCH(N565,Data!$A$2:$A$497,1))/INDEX(Data!$K$2:$K$497,MATCH(N553,Data!$A$2:$A$497,1))),"")</f>
        <v>0.0780009336547595</v>
      </c>
      <c r="AV565" s="561">
        <f>IFERROR(LN(INDEX(Data!$L$2:$L$497,MATCH(N565,Data!$A$2:$A$497,1))/INDEX(Data!$L$2:$L$497,MATCH(N553,Data!$A$2:$A$497,1))),"")</f>
        <v>0.0260000618120122</v>
      </c>
    </row>
    <row r="566">
      <c r="N566" s="337" t="n">
        <v>41943</v>
      </c>
      <c r="O566" s="116">
        <f>INDEX('Additional data'!$B$2:$B$965,MATCH(DATE(YEAR(N566),MONTH(N566),1),'Additional data'!$A$2:$A$965,0))</f>
        <v>84.4</v>
      </c>
      <c r="P566" s="489">
        <f>LN(O566)</f>
        <v>4.43556740160191</v>
      </c>
      <c r="Q566" s="489">
        <f>Q565+LN(1+INDEX('Additional data'!$H$2:$H$1196,MATCH(N566,'Additional data'!$G$2:$G$1196,1))+INDEX('Additional data'!$I$2:$I$1196,MATCH(N566,'Additional data'!$G$2:$G$1196,1)))</f>
        <v>4.48454999534366</v>
      </c>
      <c r="R566" s="489">
        <f>LN(INDEX(Data!$B$2:$B$497,MATCH(N566,Data!$A$2:$A$497,1)))</f>
        <v>10.7508313313846</v>
      </c>
      <c r="S566" s="116">
        <f>IF(INDEX('Additional data'!$E$2:$E$699,MATCH(DATE(YEAR(N566),MONTH(N566),1),'Additional data'!$D$2:$D$699,0))=0,(INDEX('Additional data'!$E$2:$E$699,MATCH(DATE(YEAR(N566),MONTH(N566),1),'Additional data'!$D$2:$D$699,0)-1)+INDEX('Additional data'!$E$2:$E$699,MATCH(DATE(YEAR(N566),MONTH(N566),1),'Additional data'!$D$2:$D$699,0)+1))/2,INDEX('Additional data'!$E$2:$E$699,MATCH(DATE(YEAR(N566),MONTH(N566),1),'Additional data'!$D$2:$D$699,0)))</f>
        <v>2.72</v>
      </c>
      <c r="T566" s="425">
        <f>P566-P565</f>
        <v>-0.099287610471154</v>
      </c>
      <c r="U566" s="425">
        <f>Q566-Q565</f>
        <v>0.0247901688072183</v>
      </c>
      <c r="V566" s="425">
        <f>R566-R565</f>
        <v>0.0388464260786492</v>
      </c>
      <c r="W566" s="116">
        <f>S566-S565</f>
        <v>0.0600000000000001</v>
      </c>
      <c r="X566" s="425">
        <f>P566-P554</f>
        <v>-0.174988256662518</v>
      </c>
      <c r="Y566" s="425">
        <f>Q566-Q554</f>
        <v>0.144583838074324</v>
      </c>
      <c r="Z566" s="425">
        <f>R566-R554</f>
        <v>0.05765618316771</v>
      </c>
      <c r="AA566" s="116">
        <f>S566-S554</f>
        <v>0.14</v>
      </c>
      <c r="AB566" s="425">
        <f>P566-P506</f>
        <v>0.107205291513723</v>
      </c>
      <c r="AC566" s="425">
        <f>Q566-Q506</f>
        <v>0.786894533901875</v>
      </c>
      <c r="AD566" s="425">
        <f>R566-R506</f>
        <v>0.381132142629214</v>
      </c>
      <c r="AE566" s="235">
        <f>S566-S506</f>
        <v>-1.06</v>
      </c>
      <c r="AG566" s="554">
        <f>N566</f>
        <v>41943.0</v>
      </c>
      <c r="AH566" s="435">
        <f>IFERROR(INDEX('RBA 5Y yield'!$B$5:$B$661,MATCH(N566,'RBA 5Y yield'!$A$5:$A$661,1))*100,"")</f>
        <v>2.839</v>
      </c>
      <c r="AI566" s="435">
        <f>IF(AND(ISNUMBER(AH566),ISNUMBER(AH565)),AH566-AH565,"")</f>
        <v>-0.202</v>
      </c>
      <c r="AJ566" s="435">
        <f>IF(AND(ISNUMBER(AH566),ISNUMBER(AH554)),AH566-AH554,"")</f>
        <v>-0.512</v>
      </c>
      <c r="AK566" s="435">
        <f>IF(AND(ISNUMBER(AH566),ISNUMBER(AH506)),AH566-AH506,"")</f>
        <v>-2.5155</v>
      </c>
      <c r="AL566" s="560">
        <f>IFERROR(LN(INDEX(Data!$B$2:$B$497,MATCH(N566,Data!$A$2:$A$497,1))/INDEX(Data!$B$2:$B$497,MATCH(N554,Data!$A$2:$A$497,1))),"")</f>
        <v>0.0576561831677092</v>
      </c>
      <c r="AM566" s="560">
        <f>IFERROR(LN(INDEX(Data!$C$2:$C$497,MATCH(N566,Data!$A$2:$A$497,1))/INDEX(Data!$C$2:$C$497,MATCH(N554,Data!$A$2:$A$497,1))),"")</f>
        <v>0.194836337369053</v>
      </c>
      <c r="AN566" s="560">
        <f>IFERROR(LN(INDEX(Data!$D$2:$D$497,MATCH(N566,Data!$A$2:$A$497,1))/INDEX(Data!$D$2:$D$497,MATCH(N554,Data!$A$2:$A$497,1))),"")</f>
        <v>0.132013757517642</v>
      </c>
      <c r="AO566" s="560">
        <f>IFERROR(LN(INDEX(Data!$E$2:$E$497,MATCH(N566,Data!$A$2:$A$497,1))/INDEX(Data!$E$2:$E$497,MATCH(N554,Data!$A$2:$A$497,1))),"")</f>
        <v>0.237656828899866</v>
      </c>
      <c r="AP566" s="560">
        <f>IFERROR(LN(INDEX(Data!$F$2:$F$497,MATCH(N566,Data!$A$2:$A$497,1))/INDEX(Data!$F$2:$F$497,MATCH(N554,Data!$A$2:$A$497,1))),"")</f>
        <v>-0.0534883069561394</v>
      </c>
      <c r="AQ566" s="560">
        <f>IFERROR(LN(INDEX(Data!$G$2:$G$497,MATCH(N566,Data!$A$2:$A$497,1))/INDEX(Data!$G$2:$G$497,MATCH(N554,Data!$A$2:$A$497,1))),"")</f>
        <v>0.0960654905937832</v>
      </c>
      <c r="AR566" s="560">
        <f>IFERROR(LN(INDEX(Data!$H$2:$H$497,MATCH(N566,Data!$A$2:$A$497,1))/INDEX(Data!$H$2:$H$497,MATCH(N554,Data!$A$2:$A$497,1))),"")</f>
        <v>0.0872146033089785</v>
      </c>
      <c r="AS566" s="560">
        <f>IFERROR(LN(INDEX(Data!$I$2:$I$497,MATCH(N566,Data!$A$2:$A$497,1))/INDEX(Data!$I$2:$I$497,MATCH(N554,Data!$A$2:$A$497,1))),"")</f>
        <v>0.239888731695823</v>
      </c>
      <c r="AT566" s="560">
        <f>IFERROR(LN(INDEX(Data!$J$2:$J$497,MATCH(N566,Data!$A$2:$A$497,1))/INDEX(Data!$J$2:$J$497,MATCH(N554,Data!$A$2:$A$497,1))),"")</f>
        <v>0.0685210841240579</v>
      </c>
      <c r="AU566" s="560">
        <f>IFERROR(LN(INDEX(Data!$K$2:$K$497,MATCH(N566,Data!$A$2:$A$497,1))/INDEX(Data!$K$2:$K$497,MATCH(N554,Data!$A$2:$A$497,1))),"")</f>
        <v>0.0764930126985252</v>
      </c>
      <c r="AV566" s="561">
        <f>IFERROR(LN(INDEX(Data!$L$2:$L$497,MATCH(N566,Data!$A$2:$A$497,1))/INDEX(Data!$L$2:$L$497,MATCH(N554,Data!$A$2:$A$497,1))),"")</f>
        <v>0.0262822914135207</v>
      </c>
    </row>
    <row r="567">
      <c r="N567" s="337" t="n">
        <v>41973</v>
      </c>
      <c r="O567" s="116">
        <f>INDEX('Additional data'!$B$2:$B$965,MATCH(DATE(YEAR(N567),MONTH(N567),1),'Additional data'!$A$2:$A$965,0))</f>
        <v>75.79</v>
      </c>
      <c r="P567" s="489">
        <f>LN(O567)</f>
        <v>4.32796635782394</v>
      </c>
      <c r="Q567" s="489">
        <f>Q566+LN(1+INDEX('Additional data'!$H$2:$H$1196,MATCH(N567,'Additional data'!$G$2:$G$1196,1))+INDEX('Additional data'!$I$2:$I$1196,MATCH(N567,'Additional data'!$G$2:$G$1196,1)))</f>
        <v>4.50982780252793</v>
      </c>
      <c r="R567" s="489">
        <f>LN(INDEX(Data!$B$2:$B$497,MATCH(N567,Data!$A$2:$A$497,1)))</f>
        <v>10.7183169823974</v>
      </c>
      <c r="S567" s="116">
        <f>IF(INDEX('Additional data'!$E$2:$E$699,MATCH(DATE(YEAR(N567),MONTH(N567),1),'Additional data'!$D$2:$D$699,0))=0,(INDEX('Additional data'!$E$2:$E$699,MATCH(DATE(YEAR(N567),MONTH(N567),1),'Additional data'!$D$2:$D$699,0)-1)+INDEX('Additional data'!$E$2:$E$699,MATCH(DATE(YEAR(N567),MONTH(N567),1),'Additional data'!$D$2:$D$699,0)+1))/2,INDEX('Additional data'!$E$2:$E$699,MATCH(DATE(YEAR(N567),MONTH(N567),1),'Additional data'!$D$2:$D$699,0)))</f>
        <v>2.75</v>
      </c>
      <c r="T567" s="425">
        <f>P567-P566</f>
        <v>-0.107601043777974</v>
      </c>
      <c r="U567" s="425">
        <f>Q567-Q566</f>
        <v>0.0252778071842688</v>
      </c>
      <c r="V567" s="425">
        <f>R567-R566</f>
        <v>-0.0325143489871564</v>
      </c>
      <c r="W567" s="116">
        <f>S567-S566</f>
        <v>0.0299999999999998</v>
      </c>
      <c r="X567" s="425">
        <f>P567-P555</f>
        <v>-0.213837952542334</v>
      </c>
      <c r="Y567" s="425">
        <f>Q567-Q555</f>
        <v>0.139235451716831</v>
      </c>
      <c r="Z567" s="425">
        <f>R567-R555</f>
        <v>0.0390456296814552</v>
      </c>
      <c r="AA567" s="116">
        <f>S567-S555</f>
        <v>0.17</v>
      </c>
      <c r="AB567" s="425">
        <f>P567-P507</f>
        <v>-0.0297675842808998</v>
      </c>
      <c r="AC567" s="425">
        <f>Q567-Q507</f>
        <v>0.757400105239165</v>
      </c>
      <c r="AD567" s="425">
        <f>R567-R507</f>
        <v>0.329360937929668</v>
      </c>
      <c r="AE567" s="235">
        <f>S567-S507</f>
        <v>-1.2</v>
      </c>
      <c r="AG567" s="554">
        <f>N567</f>
        <v>41973.0</v>
      </c>
      <c r="AH567" s="435">
        <f>IFERROR(INDEX('RBA 5Y yield'!$B$5:$B$661,MATCH(N567,'RBA 5Y yield'!$A$5:$A$661,1))*100,"")</f>
        <v>2.767</v>
      </c>
      <c r="AI567" s="435">
        <f>IF(AND(ISNUMBER(AH567),ISNUMBER(AH566)),AH567-AH566,"")</f>
        <v>-0.0720000000000001</v>
      </c>
      <c r="AJ567" s="435">
        <f>IF(AND(ISNUMBER(AH567),ISNUMBER(AH555)),AH567-AH555,"")</f>
        <v>-0.695</v>
      </c>
      <c r="AK567" s="435">
        <f>IF(AND(ISNUMBER(AH567),ISNUMBER(AH507)),AH567-AH507,"")</f>
        <v>-2.4706</v>
      </c>
      <c r="AL567" s="560">
        <f>IFERROR(LN(INDEX(Data!$B$2:$B$497,MATCH(N567,Data!$A$2:$A$497,1))/INDEX(Data!$B$2:$B$497,MATCH(N555,Data!$A$2:$A$497,1))),"")</f>
        <v>0.0390456296814552</v>
      </c>
      <c r="AM567" s="560">
        <f>IFERROR(LN(INDEX(Data!$C$2:$C$497,MATCH(N567,Data!$A$2:$A$497,1))/INDEX(Data!$C$2:$C$497,MATCH(N555,Data!$A$2:$A$497,1))),"")</f>
        <v>0.195696271005723</v>
      </c>
      <c r="AN567" s="560">
        <f>IFERROR(LN(INDEX(Data!$D$2:$D$497,MATCH(N567,Data!$A$2:$A$497,1))/INDEX(Data!$D$2:$D$497,MATCH(N555,Data!$A$2:$A$497,1))),"")</f>
        <v>0.13743042013748</v>
      </c>
      <c r="AO567" s="560">
        <f>IFERROR(LN(INDEX(Data!$E$2:$E$497,MATCH(N567,Data!$A$2:$A$497,1))/INDEX(Data!$E$2:$E$497,MATCH(N555,Data!$A$2:$A$497,1))),"")</f>
        <v>0.294554323865555</v>
      </c>
      <c r="AP567" s="560">
        <f>IFERROR(LN(INDEX(Data!$F$2:$F$497,MATCH(N567,Data!$A$2:$A$497,1))/INDEX(Data!$F$2:$F$497,MATCH(N555,Data!$A$2:$A$497,1))),"")</f>
        <v>-0.167442785257073</v>
      </c>
      <c r="AQ567" s="560">
        <f>IFERROR(LN(INDEX(Data!$G$2:$G$497,MATCH(N567,Data!$A$2:$A$497,1))/INDEX(Data!$G$2:$G$497,MATCH(N555,Data!$A$2:$A$497,1))),"")</f>
        <v>0.0960654905937832</v>
      </c>
      <c r="AR567" s="560">
        <f>IFERROR(LN(INDEX(Data!$H$2:$H$497,MATCH(N567,Data!$A$2:$A$497,1))/INDEX(Data!$H$2:$H$497,MATCH(N555,Data!$A$2:$A$497,1))),"")</f>
        <v>0.078726011867688</v>
      </c>
      <c r="AS567" s="560">
        <f>IFERROR(LN(INDEX(Data!$I$2:$I$497,MATCH(N567,Data!$A$2:$A$497,1))/INDEX(Data!$I$2:$I$497,MATCH(N555,Data!$A$2:$A$497,1))),"")</f>
        <v>0.239888731695823</v>
      </c>
      <c r="AT567" s="560">
        <f>IFERROR(LN(INDEX(Data!$J$2:$J$497,MATCH(N567,Data!$A$2:$A$497,1))/INDEX(Data!$J$2:$J$497,MATCH(N555,Data!$A$2:$A$497,1))),"")</f>
        <v>0.0821054291216449</v>
      </c>
      <c r="AU567" s="560">
        <f>IFERROR(LN(INDEX(Data!$K$2:$K$497,MATCH(N567,Data!$A$2:$A$497,1))/INDEX(Data!$K$2:$K$497,MATCH(N555,Data!$A$2:$A$497,1))),"")</f>
        <v>0.0876410570648941</v>
      </c>
      <c r="AV567" s="561">
        <f>IFERROR(LN(INDEX(Data!$L$2:$L$497,MATCH(N567,Data!$A$2:$A$497,1))/INDEX(Data!$L$2:$L$497,MATCH(N555,Data!$A$2:$A$497,1))),"")</f>
        <v>0.0263987813278651</v>
      </c>
    </row>
    <row r="568">
      <c r="N568" s="337" t="n">
        <v>42004</v>
      </c>
      <c r="O568" s="116">
        <f>INDEX('Additional data'!$B$2:$B$965,MATCH(DATE(YEAR(N568),MONTH(N568),1),'Additional data'!$A$2:$A$965,0))</f>
        <v>59.29</v>
      </c>
      <c r="P568" s="489">
        <f>LN(O568)</f>
        <v>4.08244065771928</v>
      </c>
      <c r="Q568" s="489">
        <f>Q567+LN(1+INDEX('Additional data'!$H$2:$H$1196,MATCH(N568,'Additional data'!$G$2:$G$1196,1))+INDEX('Additional data'!$I$2:$I$1196,MATCH(N568,'Additional data'!$G$2:$G$1196,1)))</f>
        <v>4.50932767748625</v>
      </c>
      <c r="R568" s="489">
        <f>LN(INDEX(Data!$B$2:$B$497,MATCH(N568,Data!$A$2:$A$497,1)))</f>
        <v>10.737416314992</v>
      </c>
      <c r="S568" s="116">
        <f>IF(INDEX('Additional data'!$E$2:$E$699,MATCH(DATE(YEAR(N568),MONTH(N568),1),'Additional data'!$D$2:$D$699,0))=0,(INDEX('Additional data'!$E$2:$E$699,MATCH(DATE(YEAR(N568),MONTH(N568),1),'Additional data'!$D$2:$D$699,0)-1)+INDEX('Additional data'!$E$2:$E$699,MATCH(DATE(YEAR(N568),MONTH(N568),1),'Additional data'!$D$2:$D$699,0)+1))/2,INDEX('Additional data'!$E$2:$E$699,MATCH(DATE(YEAR(N568),MONTH(N568),1),'Additional data'!$D$2:$D$699,0)))</f>
        <v>2.75</v>
      </c>
      <c r="T568" s="425">
        <f>P568-P567</f>
        <v>-0.245525700104661</v>
      </c>
      <c r="U568" s="425">
        <f>Q568-Q567</f>
        <v>-0.000500125041682509</v>
      </c>
      <c r="V568" s="425">
        <f>R568-R567</f>
        <v>0.0190993325946174</v>
      </c>
      <c r="W568" s="116">
        <f>S568-S567</f>
        <v>0</v>
      </c>
      <c r="X568" s="425">
        <f>P568-P556</f>
        <v>-0.498744165518303</v>
      </c>
      <c r="Y568" s="425">
        <f>Q568-Q556</f>
        <v>0.111022888108613</v>
      </c>
      <c r="Z568" s="425">
        <f>R568-R556</f>
        <v>0.0490001871787236</v>
      </c>
      <c r="AA568" s="116">
        <f>S568-S556</f>
        <v>0.15</v>
      </c>
      <c r="AB568" s="425">
        <f>P568-P508</f>
        <v>-0.225670294004437</v>
      </c>
      <c r="AC568" s="425">
        <f>Q568-Q508</f>
        <v>0.729187541630946</v>
      </c>
      <c r="AD568" s="425">
        <f>R568-R508</f>
        <v>0.312204683191561</v>
      </c>
      <c r="AE568" s="235">
        <f>S568-S508</f>
        <v>-1.37904761904762</v>
      </c>
      <c r="AG568" s="554">
        <f>N568</f>
        <v>42004.0</v>
      </c>
      <c r="AH568" s="435">
        <f>IFERROR(INDEX('RBA 5Y yield'!$B$5:$B$661,MATCH(N568,'RBA 5Y yield'!$A$5:$A$661,1))*100,"")</f>
        <v>2.435</v>
      </c>
      <c r="AI568" s="435">
        <f>IF(AND(ISNUMBER(AH568),ISNUMBER(AH567)),AH568-AH567,"")</f>
        <v>-0.332</v>
      </c>
      <c r="AJ568" s="435">
        <f>IF(AND(ISNUMBER(AH568),ISNUMBER(AH556)),AH568-AH556,"")</f>
        <v>-1.026</v>
      </c>
      <c r="AK568" s="435">
        <f>IF(AND(ISNUMBER(AH568),ISNUMBER(AH508)),AH568-AH508,"")</f>
        <v>-2.715</v>
      </c>
      <c r="AL568" s="560">
        <f>IFERROR(LN(INDEX(Data!$B$2:$B$497,MATCH(N568,Data!$A$2:$A$497,1))/INDEX(Data!$B$2:$B$497,MATCH(N556,Data!$A$2:$A$497,1))),"")</f>
        <v>0.0490001871787225</v>
      </c>
      <c r="AM568" s="560">
        <f>IFERROR(LN(INDEX(Data!$C$2:$C$497,MATCH(N568,Data!$A$2:$A$497,1))/INDEX(Data!$C$2:$C$497,MATCH(N556,Data!$A$2:$A$497,1))),"")</f>
        <v>0.188105026696164</v>
      </c>
      <c r="AN568" s="560">
        <f>IFERROR(LN(INDEX(Data!$D$2:$D$497,MATCH(N568,Data!$A$2:$A$497,1))/INDEX(Data!$D$2:$D$497,MATCH(N556,Data!$A$2:$A$497,1))),"")</f>
        <v>0.143348003731157</v>
      </c>
      <c r="AO568" s="560">
        <f>IFERROR(LN(INDEX(Data!$E$2:$E$497,MATCH(N568,Data!$A$2:$A$497,1))/INDEX(Data!$E$2:$E$497,MATCH(N556,Data!$A$2:$A$497,1))),"")</f>
        <v>0.329644021564682</v>
      </c>
      <c r="AP568" s="560">
        <f>IFERROR(LN(INDEX(Data!$F$2:$F$497,MATCH(N568,Data!$A$2:$A$497,1))/INDEX(Data!$F$2:$F$497,MATCH(N556,Data!$A$2:$A$497,1))),"")</f>
        <v>-0.312245621324215</v>
      </c>
      <c r="AQ568" s="560">
        <f>IFERROR(LN(INDEX(Data!$G$2:$G$497,MATCH(N568,Data!$A$2:$A$497,1))/INDEX(Data!$G$2:$G$497,MATCH(N556,Data!$A$2:$A$497,1))),"")</f>
        <v>0.0772977714790234</v>
      </c>
      <c r="AR568" s="560">
        <f>IFERROR(LN(INDEX(Data!$H$2:$H$497,MATCH(N568,Data!$A$2:$A$497,1))/INDEX(Data!$H$2:$H$497,MATCH(N556,Data!$A$2:$A$497,1))),"")</f>
        <v>0.0747058074042571</v>
      </c>
      <c r="AS568" s="560">
        <f>IFERROR(LN(INDEX(Data!$I$2:$I$497,MATCH(N568,Data!$A$2:$A$497,1))/INDEX(Data!$I$2:$I$497,MATCH(N556,Data!$A$2:$A$497,1))),"")</f>
        <v>0.201940269414556</v>
      </c>
      <c r="AT568" s="560">
        <f>IFERROR(LN(INDEX(Data!$J$2:$J$497,MATCH(N568,Data!$A$2:$A$497,1))/INDEX(Data!$J$2:$J$497,MATCH(N556,Data!$A$2:$A$497,1))),"")</f>
        <v>0.0935792785907902</v>
      </c>
      <c r="AU568" s="560">
        <f>IFERROR(LN(INDEX(Data!$K$2:$K$497,MATCH(N568,Data!$A$2:$A$497,1))/INDEX(Data!$K$2:$K$497,MATCH(N556,Data!$A$2:$A$497,1))),"")</f>
        <v>0.0986778911315885</v>
      </c>
      <c r="AV568" s="561">
        <f>IFERROR(LN(INDEX(Data!$L$2:$L$497,MATCH(N568,Data!$A$2:$A$497,1))/INDEX(Data!$L$2:$L$497,MATCH(N556,Data!$A$2:$A$497,1))),"")</f>
        <v>0.0265680672576396</v>
      </c>
    </row>
    <row r="569">
      <c r="N569" s="337" t="n">
        <v>42035</v>
      </c>
      <c r="O569" s="116">
        <f>INDEX('Additional data'!$B$2:$B$965,MATCH(DATE(YEAR(N569),MONTH(N569),1),'Additional data'!$A$2:$A$965,0))</f>
        <v>47.22</v>
      </c>
      <c r="P569" s="489">
        <f>LN(O569)</f>
        <v>3.85481753165737</v>
      </c>
      <c r="Q569" s="489">
        <f>Q568+LN(1+INDEX('Additional data'!$H$2:$H$1196,MATCH(N569,'Additional data'!$G$2:$G$1196,1))+INDEX('Additional data'!$I$2:$I$1196,MATCH(N569,'Additional data'!$G$2:$G$1196,1)))</f>
        <v>4.47783701039487</v>
      </c>
      <c r="R569" s="489">
        <f>LN(INDEX(Data!$B$2:$B$497,MATCH(N569,Data!$A$2:$A$497,1)))</f>
        <v>10.7672557211129</v>
      </c>
      <c r="S569" s="116">
        <f>IF(INDEX('Additional data'!$E$2:$E$699,MATCH(DATE(YEAR(N569),MONTH(N569),1),'Additional data'!$D$2:$D$699,0))=0,(INDEX('Additional data'!$E$2:$E$699,MATCH(DATE(YEAR(N569),MONTH(N569),1),'Additional data'!$D$2:$D$699,0)-1)+INDEX('Additional data'!$E$2:$E$699,MATCH(DATE(YEAR(N569),MONTH(N569),1),'Additional data'!$D$2:$D$699,0)+1))/2,INDEX('Additional data'!$E$2:$E$699,MATCH(DATE(YEAR(N569),MONTH(N569),1),'Additional data'!$D$2:$D$699,0)))</f>
        <v>2.7</v>
      </c>
      <c r="T569" s="425">
        <f>P569-P568</f>
        <v>-0.22762312606191</v>
      </c>
      <c r="U569" s="425">
        <f>Q569-Q568</f>
        <v>-0.0314906670913713</v>
      </c>
      <c r="V569" s="425">
        <f>R569-R568</f>
        <v>0.0298394061208516</v>
      </c>
      <c r="W569" s="116">
        <f>S569-S568</f>
        <v>-0.0499999999999998</v>
      </c>
      <c r="X569" s="425">
        <f>P569-P557</f>
        <v>-0.695051338545635</v>
      </c>
      <c r="Y569" s="425">
        <f>Q569-Q557</f>
        <v>0.113295851170051</v>
      </c>
      <c r="Z569" s="425">
        <f>R569-R557</f>
        <v>0.106836739693955</v>
      </c>
      <c r="AA569" s="116">
        <f>S569-S557</f>
        <v>0.0800000000000001</v>
      </c>
      <c r="AB569" s="425">
        <f>P569-P509</f>
        <v>-0.504707837670002</v>
      </c>
      <c r="AC569" s="425">
        <f>Q569-Q509</f>
        <v>0.731770854873326</v>
      </c>
      <c r="AD569" s="425">
        <f>R569-R509</f>
        <v>0.402321309539884</v>
      </c>
      <c r="AE569" s="235">
        <f>S569-S509</f>
        <v>-1.5025</v>
      </c>
      <c r="AG569" s="554">
        <f>N569</f>
        <v>42035.0</v>
      </c>
      <c r="AH569" s="435">
        <f>IFERROR(INDEX('RBA 5Y yield'!$B$5:$B$661,MATCH(N569,'RBA 5Y yield'!$A$5:$A$661,1))*100,"")</f>
        <v>2.208</v>
      </c>
      <c r="AI569" s="435">
        <f>IF(AND(ISNUMBER(AH569),ISNUMBER(AH568)),AH569-AH568,"")</f>
        <v>-0.227</v>
      </c>
      <c r="AJ569" s="435">
        <f>IF(AND(ISNUMBER(AH569),ISNUMBER(AH557)),AH569-AH557,"")</f>
        <v>-1.201</v>
      </c>
      <c r="AK569" s="435">
        <f>IF(AND(ISNUMBER(AH569),ISNUMBER(AH509)),AH569-AH509,"")</f>
        <v>-3.0645</v>
      </c>
      <c r="AL569" s="560">
        <f>IFERROR(LN(INDEX(Data!$B$2:$B$497,MATCH(N569,Data!$A$2:$A$497,1))/INDEX(Data!$B$2:$B$497,MATCH(N557,Data!$A$2:$A$497,1))),"")</f>
        <v>0.106836739693956</v>
      </c>
      <c r="AM569" s="560">
        <f>IFERROR(LN(INDEX(Data!$C$2:$C$497,MATCH(N569,Data!$A$2:$A$497,1))/INDEX(Data!$C$2:$C$497,MATCH(N557,Data!$A$2:$A$497,1))),"")</f>
        <v>0.240113775736681</v>
      </c>
      <c r="AN569" s="560">
        <f>IFERROR(LN(INDEX(Data!$D$2:$D$497,MATCH(N569,Data!$A$2:$A$497,1))/INDEX(Data!$D$2:$D$497,MATCH(N557,Data!$A$2:$A$497,1))),"")</f>
        <v>0.227341282550854</v>
      </c>
      <c r="AO569" s="560">
        <f>IFERROR(LN(INDEX(Data!$E$2:$E$497,MATCH(N569,Data!$A$2:$A$497,1))/INDEX(Data!$E$2:$E$497,MATCH(N557,Data!$A$2:$A$497,1))),"")</f>
        <v>0.396780461659782</v>
      </c>
      <c r="AP569" s="560">
        <f>IFERROR(LN(INDEX(Data!$F$2:$F$497,MATCH(N569,Data!$A$2:$A$497,1))/INDEX(Data!$F$2:$F$497,MATCH(N557,Data!$A$2:$A$497,1))),"")</f>
        <v>-0.349139096154866</v>
      </c>
      <c r="AQ569" s="560">
        <f>IFERROR(LN(INDEX(Data!$G$2:$G$497,MATCH(N569,Data!$A$2:$A$497,1))/INDEX(Data!$G$2:$G$497,MATCH(N557,Data!$A$2:$A$497,1))),"")</f>
        <v>0.0772977714790234</v>
      </c>
      <c r="AR569" s="560">
        <f>IFERROR(LN(INDEX(Data!$H$2:$H$497,MATCH(N569,Data!$A$2:$A$497,1))/INDEX(Data!$H$2:$H$497,MATCH(N557,Data!$A$2:$A$497,1))),"")</f>
        <v>0.0710082066291511</v>
      </c>
      <c r="AS569" s="560">
        <f>IFERROR(LN(INDEX(Data!$I$2:$I$497,MATCH(N569,Data!$A$2:$A$497,1))/INDEX(Data!$I$2:$I$497,MATCH(N557,Data!$A$2:$A$497,1))),"")</f>
        <v>0.201940269414556</v>
      </c>
      <c r="AT569" s="560">
        <f>IFERROR(LN(INDEX(Data!$J$2:$J$497,MATCH(N569,Data!$A$2:$A$497,1))/INDEX(Data!$J$2:$J$497,MATCH(N557,Data!$A$2:$A$497,1))),"")</f>
        <v>0.0987383230286829</v>
      </c>
      <c r="AU569" s="560">
        <f>IFERROR(LN(INDEX(Data!$K$2:$K$497,MATCH(N569,Data!$A$2:$A$497,1))/INDEX(Data!$K$2:$K$497,MATCH(N557,Data!$A$2:$A$497,1))),"")</f>
        <v>0.103616083867916</v>
      </c>
      <c r="AV569" s="561">
        <f>IFERROR(LN(INDEX(Data!$L$2:$L$497,MATCH(N569,Data!$A$2:$A$497,1))/INDEX(Data!$L$2:$L$497,MATCH(N557,Data!$A$2:$A$497,1))),"")</f>
        <v>0.0268401606421251</v>
      </c>
    </row>
    <row r="570">
      <c r="N570" s="337" t="n">
        <v>42063</v>
      </c>
      <c r="O570" s="116">
        <f>INDEX('Additional data'!$B$2:$B$965,MATCH(DATE(YEAR(N570),MONTH(N570),1),'Additional data'!$A$2:$A$965,0))</f>
        <v>50.58</v>
      </c>
      <c r="P570" s="489">
        <f>LN(O570)</f>
        <v>3.92355624124182</v>
      </c>
      <c r="Q570" s="489">
        <f>Q569+LN(1+INDEX('Additional data'!$H$2:$H$1196,MATCH(N570,'Additional data'!$G$2:$G$1196,1))+INDEX('Additional data'!$I$2:$I$1196,MATCH(N570,'Additional data'!$G$2:$G$1196,1)))</f>
        <v>4.53733158218051</v>
      </c>
      <c r="R570" s="489">
        <f>LN(INDEX(Data!$B$2:$B$497,MATCH(N570,Data!$A$2:$A$497,1)))</f>
        <v>10.834867773836</v>
      </c>
      <c r="S570" s="116">
        <f>IF(INDEX('Additional data'!$E$2:$E$699,MATCH(DATE(YEAR(N570),MONTH(N570),1),'Additional data'!$D$2:$D$699,0))=0,(INDEX('Additional data'!$E$2:$E$699,MATCH(DATE(YEAR(N570),MONTH(N570),1),'Additional data'!$D$2:$D$699,0)-1)+INDEX('Additional data'!$E$2:$E$699,MATCH(DATE(YEAR(N570),MONTH(N570),1),'Additional data'!$D$2:$D$699,0)+1))/2,INDEX('Additional data'!$E$2:$E$699,MATCH(DATE(YEAR(N570),MONTH(N570),1),'Additional data'!$D$2:$D$699,0)))</f>
        <v>2.36</v>
      </c>
      <c r="T570" s="425">
        <f>P570-P569</f>
        <v>0.0687387095844523</v>
      </c>
      <c r="U570" s="425">
        <f>Q570-Q569</f>
        <v>0.0594945717856401</v>
      </c>
      <c r="V570" s="425">
        <f>R570-R569</f>
        <v>0.0676120527230939</v>
      </c>
      <c r="W570" s="116">
        <f>S570-S569</f>
        <v>-0.34</v>
      </c>
      <c r="X570" s="425">
        <f>P570-P558</f>
        <v>-0.689780507412666</v>
      </c>
      <c r="Y570" s="425">
        <f>Q570-Q558</f>
        <v>0.127243607999721</v>
      </c>
      <c r="Z570" s="425">
        <f>R570-R558</f>
        <v>0.127205635289615</v>
      </c>
      <c r="AA570" s="116">
        <f>S570-S558</f>
        <v>-0.27</v>
      </c>
      <c r="AB570" s="425">
        <f>P570-P510</f>
        <v>-0.412688200776935</v>
      </c>
      <c r="AC570" s="425">
        <f>Q570-Q510</f>
        <v>0.757927367048456</v>
      </c>
      <c r="AD570" s="425">
        <f>R570-R510</f>
        <v>0.451907522912792</v>
      </c>
      <c r="AE570" s="235">
        <f>S570-S510</f>
        <v>-1.8</v>
      </c>
      <c r="AG570" s="554">
        <f>N570</f>
        <v>42063.0</v>
      </c>
      <c r="AH570" s="435">
        <f>IFERROR(INDEX('RBA 5Y yield'!$B$5:$B$661,MATCH(N570,'RBA 5Y yield'!$A$5:$A$661,1))*100,"")</f>
        <v>2.012</v>
      </c>
      <c r="AI570" s="435">
        <f>IF(AND(ISNUMBER(AH570),ISNUMBER(AH569)),AH570-AH569,"")</f>
        <v>-0.196</v>
      </c>
      <c r="AJ570" s="435">
        <f>IF(AND(ISNUMBER(AH570),ISNUMBER(AH558)),AH570-AH558,"")</f>
        <v>-1.396</v>
      </c>
      <c r="AK570" s="435">
        <f>IF(AND(ISNUMBER(AH570),ISNUMBER(AH510)),AH570-AH510,"")</f>
        <v>-3.108</v>
      </c>
      <c r="AL570" s="560">
        <f>IFERROR(LN(INDEX(Data!$B$2:$B$497,MATCH(N570,Data!$A$2:$A$497,1))/INDEX(Data!$B$2:$B$497,MATCH(N558,Data!$A$2:$A$497,1))),"")</f>
        <v>0.127205635289615</v>
      </c>
      <c r="AM570" s="560">
        <f>IFERROR(LN(INDEX(Data!$C$2:$C$497,MATCH(N570,Data!$A$2:$A$497,1))/INDEX(Data!$C$2:$C$497,MATCH(N558,Data!$A$2:$A$497,1))),"")</f>
        <v>0.276257911124866</v>
      </c>
      <c r="AN570" s="560">
        <f>IFERROR(LN(INDEX(Data!$D$2:$D$497,MATCH(N570,Data!$A$2:$A$497,1))/INDEX(Data!$D$2:$D$497,MATCH(N558,Data!$A$2:$A$497,1))),"")</f>
        <v>0.258368965640547</v>
      </c>
      <c r="AO570" s="560">
        <f>IFERROR(LN(INDEX(Data!$E$2:$E$497,MATCH(N570,Data!$A$2:$A$497,1))/INDEX(Data!$E$2:$E$497,MATCH(N558,Data!$A$2:$A$497,1))),"")</f>
        <v>0.355655850085158</v>
      </c>
      <c r="AP570" s="560">
        <f>IFERROR(LN(INDEX(Data!$F$2:$F$497,MATCH(N570,Data!$A$2:$A$497,1))/INDEX(Data!$F$2:$F$497,MATCH(N558,Data!$A$2:$A$497,1))),"")</f>
        <v>-0.310416222247346</v>
      </c>
      <c r="AQ570" s="560">
        <f>IFERROR(LN(INDEX(Data!$G$2:$G$497,MATCH(N570,Data!$A$2:$A$497,1))/INDEX(Data!$G$2:$G$497,MATCH(N558,Data!$A$2:$A$497,1))),"")</f>
        <v>0.0772977714790234</v>
      </c>
      <c r="AR570" s="560">
        <f>IFERROR(LN(INDEX(Data!$H$2:$H$497,MATCH(N570,Data!$A$2:$A$497,1))/INDEX(Data!$H$2:$H$497,MATCH(N558,Data!$A$2:$A$497,1))),"")</f>
        <v>0.0626449559713296</v>
      </c>
      <c r="AS570" s="560">
        <f>IFERROR(LN(INDEX(Data!$I$2:$I$497,MATCH(N570,Data!$A$2:$A$497,1))/INDEX(Data!$I$2:$I$497,MATCH(N558,Data!$A$2:$A$497,1))),"")</f>
        <v>0.201940269414556</v>
      </c>
      <c r="AT570" s="560">
        <f>IFERROR(LN(INDEX(Data!$J$2:$J$497,MATCH(N570,Data!$A$2:$A$497,1))/INDEX(Data!$J$2:$J$497,MATCH(N558,Data!$A$2:$A$497,1))),"")</f>
        <v>0.098125675986484</v>
      </c>
      <c r="AU570" s="560">
        <f>IFERROR(LN(INDEX(Data!$K$2:$K$497,MATCH(N570,Data!$A$2:$A$497,1))/INDEX(Data!$K$2:$K$497,MATCH(N558,Data!$A$2:$A$497,1))),"")</f>
        <v>0.0928569989261975</v>
      </c>
      <c r="AV570" s="561">
        <f>IFERROR(LN(INDEX(Data!$L$2:$L$497,MATCH(N570,Data!$A$2:$A$497,1))/INDEX(Data!$L$2:$L$497,MATCH(N558,Data!$A$2:$A$497,1))),"")</f>
        <v>0.0269360597534076</v>
      </c>
    </row>
    <row r="571">
      <c r="N571" s="337" t="n">
        <v>42094</v>
      </c>
      <c r="O571" s="116">
        <f>INDEX('Additional data'!$B$2:$B$965,MATCH(DATE(YEAR(N571),MONTH(N571),1),'Additional data'!$A$2:$A$965,0))</f>
        <v>47.82</v>
      </c>
      <c r="P571" s="489">
        <f>LN(O571)</f>
        <v>3.86744396203018</v>
      </c>
      <c r="Q571" s="489">
        <f>Q570+LN(1+INDEX('Additional data'!$H$2:$H$1196,MATCH(N571,'Additional data'!$G$2:$G$1196,1))+INDEX('Additional data'!$I$2:$I$1196,MATCH(N571,'Additional data'!$G$2:$G$1196,1)))</f>
        <v>4.52616951747432</v>
      </c>
      <c r="R571" s="489">
        <f>LN(INDEX(Data!$B$2:$B$497,MATCH(N571,Data!$A$2:$A$497,1)))</f>
        <v>10.8345974921109</v>
      </c>
      <c r="S571" s="116">
        <f>IF(INDEX('Additional data'!$E$2:$E$699,MATCH(DATE(YEAR(N571),MONTH(N571),1),'Additional data'!$D$2:$D$699,0))=0,(INDEX('Additional data'!$E$2:$E$699,MATCH(DATE(YEAR(N571),MONTH(N571),1),'Additional data'!$D$2:$D$699,0)-1)+INDEX('Additional data'!$E$2:$E$699,MATCH(DATE(YEAR(N571),MONTH(N571),1),'Additional data'!$D$2:$D$699,0)+1))/2,INDEX('Additional data'!$E$2:$E$699,MATCH(DATE(YEAR(N571),MONTH(N571),1),'Additional data'!$D$2:$D$699,0)))</f>
        <v>2.3</v>
      </c>
      <c r="T571" s="425">
        <f>P571-P570</f>
        <v>-0.0561122792116402</v>
      </c>
      <c r="U571" s="425">
        <f>Q571-Q570</f>
        <v>-0.0111620647061921</v>
      </c>
      <c r="V571" s="425">
        <f>R571-R570</f>
        <v>-0.000270281725072152</v>
      </c>
      <c r="W571" s="116">
        <f>S571-S570</f>
        <v>-0.0600000000000001</v>
      </c>
      <c r="X571" s="425">
        <f>P571-P559</f>
        <v>-0.745694393607089</v>
      </c>
      <c r="Y571" s="425">
        <f>Q571-Q559</f>
        <v>0.111790761876373</v>
      </c>
      <c r="Z571" s="425">
        <f>R571-R559</f>
        <v>0.124392891453224</v>
      </c>
      <c r="AA571" s="116">
        <f>S571-S559</f>
        <v>-0.35</v>
      </c>
      <c r="AB571" s="425">
        <f>P571-P511</f>
        <v>-0.529963774682005</v>
      </c>
      <c r="AC571" s="425">
        <f>Q571-Q511</f>
        <v>0.685576134029842</v>
      </c>
      <c r="AD571" s="425">
        <f>R571-R511</f>
        <v>0.394964812372695</v>
      </c>
      <c r="AE571" s="235">
        <f>S571-S511</f>
        <v>-2.0275</v>
      </c>
      <c r="AG571" s="554">
        <f>N571</f>
        <v>42094.0</v>
      </c>
      <c r="AH571" s="435">
        <f>IFERROR(INDEX('RBA 5Y yield'!$B$5:$B$661,MATCH(N571,'RBA 5Y yield'!$A$5:$A$661,1))*100,"")</f>
        <v>1.978</v>
      </c>
      <c r="AI571" s="435">
        <f>IF(AND(ISNUMBER(AH571),ISNUMBER(AH570)),AH571-AH570,"")</f>
        <v>-0.034</v>
      </c>
      <c r="AJ571" s="435">
        <f>IF(AND(ISNUMBER(AH571),ISNUMBER(AH559)),AH571-AH559,"")</f>
        <v>-1.433</v>
      </c>
      <c r="AK571" s="435">
        <f>IF(AND(ISNUMBER(AH571),ISNUMBER(AH511)),AH571-AH511,"")</f>
        <v>-3.362</v>
      </c>
      <c r="AL571" s="560">
        <f>IFERROR(LN(INDEX(Data!$B$2:$B$497,MATCH(N571,Data!$A$2:$A$497,1))/INDEX(Data!$B$2:$B$497,MATCH(N559,Data!$A$2:$A$497,1))),"")</f>
        <v>0.124392891453225</v>
      </c>
      <c r="AM571" s="560">
        <f>IFERROR(LN(INDEX(Data!$C$2:$C$497,MATCH(N571,Data!$A$2:$A$497,1))/INDEX(Data!$C$2:$C$497,MATCH(N559,Data!$A$2:$A$497,1))),"")</f>
        <v>0.329617233811577</v>
      </c>
      <c r="AN571" s="560">
        <f>IFERROR(LN(INDEX(Data!$D$2:$D$497,MATCH(N571,Data!$A$2:$A$497,1))/INDEX(Data!$D$2:$D$497,MATCH(N559,Data!$A$2:$A$497,1))),"")</f>
        <v>0.300428845054654</v>
      </c>
      <c r="AO571" s="560">
        <f>IFERROR(LN(INDEX(Data!$E$2:$E$497,MATCH(N571,Data!$A$2:$A$497,1))/INDEX(Data!$E$2:$E$497,MATCH(N559,Data!$A$2:$A$497,1))),"")</f>
        <v>0.4250445757989</v>
      </c>
      <c r="AP571" s="560">
        <f>IFERROR(LN(INDEX(Data!$F$2:$F$497,MATCH(N571,Data!$A$2:$A$497,1))/INDEX(Data!$F$2:$F$497,MATCH(N559,Data!$A$2:$A$497,1))),"")</f>
        <v>-0.32284708538383</v>
      </c>
      <c r="AQ571" s="560">
        <f>IFERROR(LN(INDEX(Data!$G$2:$G$497,MATCH(N571,Data!$A$2:$A$497,1))/INDEX(Data!$G$2:$G$497,MATCH(N559,Data!$A$2:$A$497,1))),"")</f>
        <v>0.078870929433683</v>
      </c>
      <c r="AR571" s="560">
        <f>IFERROR(LN(INDEX(Data!$H$2:$H$497,MATCH(N571,Data!$A$2:$A$497,1))/INDEX(Data!$H$2:$H$497,MATCH(N559,Data!$A$2:$A$497,1))),"")</f>
        <v>0.0656179043506827</v>
      </c>
      <c r="AS571" s="560">
        <f>IFERROR(LN(INDEX(Data!$I$2:$I$497,MATCH(N571,Data!$A$2:$A$497,1))/INDEX(Data!$I$2:$I$497,MATCH(N559,Data!$A$2:$A$497,1))),"")</f>
        <v>0.235429356644628</v>
      </c>
      <c r="AT571" s="560">
        <f>IFERROR(LN(INDEX(Data!$J$2:$J$497,MATCH(N571,Data!$A$2:$A$497,1))/INDEX(Data!$J$2:$J$497,MATCH(N559,Data!$A$2:$A$497,1))),"")</f>
        <v>0.105503438555835</v>
      </c>
      <c r="AU571" s="560">
        <f>IFERROR(LN(INDEX(Data!$K$2:$K$497,MATCH(N571,Data!$A$2:$A$497,1))/INDEX(Data!$K$2:$K$497,MATCH(N559,Data!$A$2:$A$497,1))),"")</f>
        <v>0.0975891293012644</v>
      </c>
      <c r="AV571" s="561">
        <f>IFERROR(LN(INDEX(Data!$L$2:$L$497,MATCH(N571,Data!$A$2:$A$497,1))/INDEX(Data!$L$2:$L$497,MATCH(N559,Data!$A$2:$A$497,1))),"")</f>
        <v>0.0268089656114366</v>
      </c>
    </row>
    <row r="572">
      <c r="N572" s="337" t="n">
        <v>42124</v>
      </c>
      <c r="O572" s="116">
        <f>INDEX('Additional data'!$B$2:$B$965,MATCH(DATE(YEAR(N572),MONTH(N572),1),'Additional data'!$A$2:$A$965,0))</f>
        <v>54.45</v>
      </c>
      <c r="P572" s="489">
        <f>LN(O572)</f>
        <v>3.99728284937897</v>
      </c>
      <c r="Q572" s="489">
        <f>Q571+LN(1+INDEX('Additional data'!$H$2:$H$1196,MATCH(N572,'Additional data'!$G$2:$G$1196,1))+INDEX('Additional data'!$I$2:$I$1196,MATCH(N572,'Additional data'!$G$2:$G$1196,1)))</f>
        <v>4.53205218063248</v>
      </c>
      <c r="R572" s="489">
        <f>LN(INDEX(Data!$B$2:$B$497,MATCH(N572,Data!$A$2:$A$497,1)))</f>
        <v>10.819764572584</v>
      </c>
      <c r="S572" s="116">
        <f>IF(INDEX('Additional data'!$E$2:$E$699,MATCH(DATE(YEAR(N572),MONTH(N572),1),'Additional data'!$D$2:$D$699,0))=0,(INDEX('Additional data'!$E$2:$E$699,MATCH(DATE(YEAR(N572),MONTH(N572),1),'Additional data'!$D$2:$D$699,0)-1)+INDEX('Additional data'!$E$2:$E$699,MATCH(DATE(YEAR(N572),MONTH(N572),1),'Additional data'!$D$2:$D$699,0)+1))/2,INDEX('Additional data'!$E$2:$E$699,MATCH(DATE(YEAR(N572),MONTH(N572),1),'Additional data'!$D$2:$D$699,0)))</f>
        <v>2.25</v>
      </c>
      <c r="T572" s="425">
        <f>P572-P571</f>
        <v>0.129838887348791</v>
      </c>
      <c r="U572" s="425">
        <f>Q572-Q571</f>
        <v>0.00588266315815567</v>
      </c>
      <c r="V572" s="425">
        <f>R572-R571</f>
        <v>-0.0148329195268655</v>
      </c>
      <c r="W572" s="116">
        <f>S572-S571</f>
        <v>-0.0499999999999998</v>
      </c>
      <c r="X572" s="425">
        <f>P572-P560</f>
        <v>-0.628376003036438</v>
      </c>
      <c r="Y572" s="425">
        <f>Q572-Q560</f>
        <v>0.119475046981156</v>
      </c>
      <c r="Z572" s="425">
        <f>R572-R560</f>
        <v>0.0967289218013203</v>
      </c>
      <c r="AA572" s="116">
        <f>S572-S560</f>
        <v>-0.43</v>
      </c>
      <c r="AB572" s="425">
        <f>P572-P512</f>
        <v>-0.439231970578982</v>
      </c>
      <c r="AC572" s="425">
        <f>Q572-Q512</f>
        <v>0.671656169891818</v>
      </c>
      <c r="AD572" s="425">
        <f>R572-R512</f>
        <v>0.391979197736802</v>
      </c>
      <c r="AE572" s="235">
        <f>S572-S512</f>
        <v>-2.295</v>
      </c>
      <c r="AG572" s="554">
        <f>N572</f>
        <v>42124.0</v>
      </c>
      <c r="AH572" s="435">
        <f>IFERROR(INDEX('RBA 5Y yield'!$B$5:$B$661,MATCH(N572,'RBA 5Y yield'!$A$5:$A$661,1))*100,"")</f>
        <v>1.947</v>
      </c>
      <c r="AI572" s="435">
        <f>IF(AND(ISNUMBER(AH572),ISNUMBER(AH571)),AH572-AH571,"")</f>
        <v>-0.0309999999999999</v>
      </c>
      <c r="AJ572" s="435">
        <f>IF(AND(ISNUMBER(AH572),ISNUMBER(AH560)),AH572-AH560,"")</f>
        <v>-1.451</v>
      </c>
      <c r="AK572" s="435">
        <f>IF(AND(ISNUMBER(AH572),ISNUMBER(AH512)),AH572-AH512,"")</f>
        <v>-3.583</v>
      </c>
      <c r="AL572" s="560">
        <f>IFERROR(LN(INDEX(Data!$B$2:$B$497,MATCH(N572,Data!$A$2:$A$497,1))/INDEX(Data!$B$2:$B$497,MATCH(N560,Data!$A$2:$A$497,1))),"")</f>
        <v>0.0967289218013207</v>
      </c>
      <c r="AM572" s="560">
        <f>IFERROR(LN(INDEX(Data!$C$2:$C$497,MATCH(N572,Data!$A$2:$A$497,1))/INDEX(Data!$C$2:$C$497,MATCH(N560,Data!$A$2:$A$497,1))),"")</f>
        <v>0.300403707591002</v>
      </c>
      <c r="AN572" s="560">
        <f>IFERROR(LN(INDEX(Data!$D$2:$D$497,MATCH(N572,Data!$A$2:$A$497,1))/INDEX(Data!$D$2:$D$497,MATCH(N560,Data!$A$2:$A$497,1))),"")</f>
        <v>0.324981369764084</v>
      </c>
      <c r="AO572" s="560">
        <f>IFERROR(LN(INDEX(Data!$E$2:$E$497,MATCH(N572,Data!$A$2:$A$497,1))/INDEX(Data!$E$2:$E$497,MATCH(N560,Data!$A$2:$A$497,1))),"")</f>
        <v>0.320213918560442</v>
      </c>
      <c r="AP572" s="560">
        <f>IFERROR(LN(INDEX(Data!$F$2:$F$497,MATCH(N572,Data!$A$2:$A$497,1))/INDEX(Data!$F$2:$F$497,MATCH(N560,Data!$A$2:$A$497,1))),"")</f>
        <v>-0.257626335624657</v>
      </c>
      <c r="AQ572" s="560">
        <f>IFERROR(LN(INDEX(Data!$G$2:$G$497,MATCH(N572,Data!$A$2:$A$497,1))/INDEX(Data!$G$2:$G$497,MATCH(N560,Data!$A$2:$A$497,1))),"")</f>
        <v>0.078870929433683</v>
      </c>
      <c r="AR572" s="560">
        <f>IFERROR(LN(INDEX(Data!$H$2:$H$497,MATCH(N572,Data!$A$2:$A$497,1))/INDEX(Data!$H$2:$H$497,MATCH(N560,Data!$A$2:$A$497,1))),"")</f>
        <v>0.0711718212353295</v>
      </c>
      <c r="AS572" s="560">
        <f>IFERROR(LN(INDEX(Data!$I$2:$I$497,MATCH(N572,Data!$A$2:$A$497,1))/INDEX(Data!$I$2:$I$497,MATCH(N560,Data!$A$2:$A$497,1))),"")</f>
        <v>0.235429356644628</v>
      </c>
      <c r="AT572" s="560">
        <f>IFERROR(LN(INDEX(Data!$J$2:$J$497,MATCH(N572,Data!$A$2:$A$497,1))/INDEX(Data!$J$2:$J$497,MATCH(N560,Data!$A$2:$A$497,1))),"")</f>
        <v>0.0853363028478122</v>
      </c>
      <c r="AU572" s="560">
        <f>IFERROR(LN(INDEX(Data!$K$2:$K$497,MATCH(N572,Data!$A$2:$A$497,1))/INDEX(Data!$K$2:$K$497,MATCH(N560,Data!$A$2:$A$497,1))),"")</f>
        <v>0.0850944481099873</v>
      </c>
      <c r="AV572" s="561">
        <f>IFERROR(LN(INDEX(Data!$L$2:$L$497,MATCH(N572,Data!$A$2:$A$497,1))/INDEX(Data!$L$2:$L$497,MATCH(N560,Data!$A$2:$A$497,1))),"")</f>
        <v>0.0263927168482195</v>
      </c>
    </row>
    <row r="573">
      <c r="N573" s="337" t="n">
        <v>42155</v>
      </c>
      <c r="O573" s="116">
        <f>INDEX('Additional data'!$B$2:$B$965,MATCH(DATE(YEAR(N573),MONTH(N573),1),'Additional data'!$A$2:$A$965,0))</f>
        <v>59.27</v>
      </c>
      <c r="P573" s="489">
        <f>LN(O573)</f>
        <v>4.08210327579975</v>
      </c>
      <c r="Q573" s="489">
        <f>Q572+LN(1+INDEX('Additional data'!$H$2:$H$1196,MATCH(N573,'Additional data'!$G$2:$G$1196,1))+INDEX('Additional data'!$I$2:$I$1196,MATCH(N573,'Additional data'!$G$2:$G$1196,1)))</f>
        <v>4.54565918403869</v>
      </c>
      <c r="R573" s="489">
        <f>LN(INDEX(Data!$B$2:$B$497,MATCH(N573,Data!$A$2:$A$497,1)))</f>
        <v>10.8255562485689</v>
      </c>
      <c r="S573" s="116">
        <f>IF(INDEX('Additional data'!$E$2:$E$699,MATCH(DATE(YEAR(N573),MONTH(N573),1),'Additional data'!$D$2:$D$699,0))=0,(INDEX('Additional data'!$E$2:$E$699,MATCH(DATE(YEAR(N573),MONTH(N573),1),'Additional data'!$D$2:$D$699,0)-1)+INDEX('Additional data'!$E$2:$E$699,MATCH(DATE(YEAR(N573),MONTH(N573),1),'Additional data'!$D$2:$D$699,0)+1))/2,INDEX('Additional data'!$E$2:$E$699,MATCH(DATE(YEAR(N573),MONTH(N573),1),'Additional data'!$D$2:$D$699,0)))</f>
        <v>2.15</v>
      </c>
      <c r="T573" s="425">
        <f>P573-P572</f>
        <v>0.084820426420777</v>
      </c>
      <c r="U573" s="425">
        <f>Q573-Q572</f>
        <v>0.013607003406217</v>
      </c>
      <c r="V573" s="425">
        <f>R573-R572</f>
        <v>0.00579167598484887</v>
      </c>
      <c r="W573" s="116">
        <f>S573-S572</f>
        <v>-0.1</v>
      </c>
      <c r="X573" s="425">
        <f>P573-P561</f>
        <v>-0.544632688102905</v>
      </c>
      <c r="Y573" s="425">
        <f>Q573-Q561</f>
        <v>0.112789347119611</v>
      </c>
      <c r="Z573" s="425">
        <f>R573-R561</f>
        <v>0.0964162590641031</v>
      </c>
      <c r="AA573" s="116">
        <f>S573-S561</f>
        <v>-0.54</v>
      </c>
      <c r="AB573" s="425">
        <f>P573-P513</f>
        <v>-0.21979731439485</v>
      </c>
      <c r="AC573" s="425">
        <f>Q573-Q513</f>
        <v>0.767449844285982</v>
      </c>
      <c r="AD573" s="425">
        <f>R573-R513</f>
        <v>0.476466160667718</v>
      </c>
      <c r="AE573" s="235">
        <f>S573-S513</f>
        <v>-2.655</v>
      </c>
      <c r="AG573" s="554">
        <f>N573</f>
        <v>42155.0</v>
      </c>
      <c r="AH573" s="435">
        <f>IFERROR(INDEX('RBA 5Y yield'!$B$5:$B$661,MATCH(N573,'RBA 5Y yield'!$A$5:$A$661,1))*100,"")</f>
        <v>2.271</v>
      </c>
      <c r="AI573" s="435">
        <f>IF(AND(ISNUMBER(AH573),ISNUMBER(AH572)),AH573-AH572,"")</f>
        <v>0.324</v>
      </c>
      <c r="AJ573" s="435">
        <f>IF(AND(ISNUMBER(AH573),ISNUMBER(AH561)),AH573-AH561,"")</f>
        <v>-0.929</v>
      </c>
      <c r="AK573" s="435">
        <f>IF(AND(ISNUMBER(AH573),ISNUMBER(AH513)),AH573-AH513,"")</f>
        <v>-2.934</v>
      </c>
      <c r="AL573" s="560">
        <f>IFERROR(LN(INDEX(Data!$B$2:$B$497,MATCH(N573,Data!$A$2:$A$497,1))/INDEX(Data!$B$2:$B$497,MATCH(N561,Data!$A$2:$A$497,1))),"")</f>
        <v>0.0964162590641032</v>
      </c>
      <c r="AM573" s="560">
        <f>IFERROR(LN(INDEX(Data!$C$2:$C$497,MATCH(N573,Data!$A$2:$A$497,1))/INDEX(Data!$C$2:$C$497,MATCH(N561,Data!$A$2:$A$497,1))),"")</f>
        <v>0.325135783298412</v>
      </c>
      <c r="AN573" s="560">
        <f>IFERROR(LN(INDEX(Data!$D$2:$D$497,MATCH(N573,Data!$A$2:$A$497,1))/INDEX(Data!$D$2:$D$497,MATCH(N561,Data!$A$2:$A$497,1))),"")</f>
        <v>0.305799771822409</v>
      </c>
      <c r="AO573" s="560">
        <f>IFERROR(LN(INDEX(Data!$E$2:$E$497,MATCH(N573,Data!$A$2:$A$497,1))/INDEX(Data!$E$2:$E$497,MATCH(N561,Data!$A$2:$A$497,1))),"")</f>
        <v>0.32413950648138</v>
      </c>
      <c r="AP573" s="560">
        <f>IFERROR(LN(INDEX(Data!$F$2:$F$497,MATCH(N573,Data!$A$2:$A$497,1))/INDEX(Data!$F$2:$F$497,MATCH(N561,Data!$A$2:$A$497,1))),"")</f>
        <v>-0.241485814546384</v>
      </c>
      <c r="AQ573" s="560">
        <f>IFERROR(LN(INDEX(Data!$G$2:$G$497,MATCH(N573,Data!$A$2:$A$497,1))/INDEX(Data!$G$2:$G$497,MATCH(N561,Data!$A$2:$A$497,1))),"")</f>
        <v>0.078870929433683</v>
      </c>
      <c r="AR573" s="560">
        <f>IFERROR(LN(INDEX(Data!$H$2:$H$497,MATCH(N573,Data!$A$2:$A$497,1))/INDEX(Data!$H$2:$H$497,MATCH(N561,Data!$A$2:$A$497,1))),"")</f>
        <v>0.0832577775954722</v>
      </c>
      <c r="AS573" s="560">
        <f>IFERROR(LN(INDEX(Data!$I$2:$I$497,MATCH(N573,Data!$A$2:$A$497,1))/INDEX(Data!$I$2:$I$497,MATCH(N561,Data!$A$2:$A$497,1))),"")</f>
        <v>0.235429356644628</v>
      </c>
      <c r="AT573" s="560">
        <f>IFERROR(LN(INDEX(Data!$J$2:$J$497,MATCH(N573,Data!$A$2:$A$497,1))/INDEX(Data!$J$2:$J$497,MATCH(N561,Data!$A$2:$A$497,1))),"")</f>
        <v>0.0720628172134153</v>
      </c>
      <c r="AU573" s="560">
        <f>IFERROR(LN(INDEX(Data!$K$2:$K$497,MATCH(N573,Data!$A$2:$A$497,1))/INDEX(Data!$K$2:$K$497,MATCH(N561,Data!$A$2:$A$497,1))),"")</f>
        <v>0.0708200966658033</v>
      </c>
      <c r="AV573" s="561">
        <f>IFERROR(LN(INDEX(Data!$L$2:$L$497,MATCH(N573,Data!$A$2:$A$497,1))/INDEX(Data!$L$2:$L$497,MATCH(N561,Data!$A$2:$A$497,1))),"")</f>
        <v>0.0261478617916556</v>
      </c>
    </row>
    <row r="574">
      <c r="N574" s="337" t="n">
        <v>42185</v>
      </c>
      <c r="O574" s="116">
        <f>INDEX('Additional data'!$B$2:$B$965,MATCH(DATE(YEAR(N574),MONTH(N574),1),'Additional data'!$A$2:$A$965,0))</f>
        <v>59.82</v>
      </c>
      <c r="P574" s="489">
        <f>LN(O574)</f>
        <v>4.0913400532018</v>
      </c>
      <c r="Q574" s="489">
        <f>Q573+LN(1+INDEX('Additional data'!$H$2:$H$1196,MATCH(N574,'Additional data'!$G$2:$G$1196,1))+INDEX('Additional data'!$I$2:$I$1196,MATCH(N574,'Additional data'!$G$2:$G$1196,1)))</f>
        <v>4.5303424799268</v>
      </c>
      <c r="R574" s="489">
        <f>LN(INDEX(Data!$B$2:$B$497,MATCH(N574,Data!$A$2:$A$497,1)))</f>
        <v>10.7700610295938</v>
      </c>
      <c r="S574" s="116">
        <f>IF(INDEX('Additional data'!$E$2:$E$699,MATCH(DATE(YEAR(N574),MONTH(N574),1),'Additional data'!$D$2:$D$699,0))=0,(INDEX('Additional data'!$E$2:$E$699,MATCH(DATE(YEAR(N574),MONTH(N574),1),'Additional data'!$D$2:$D$699,0)-1)+INDEX('Additional data'!$E$2:$E$699,MATCH(DATE(YEAR(N574),MONTH(N574),1),'Additional data'!$D$2:$D$699,0)+1))/2,INDEX('Additional data'!$E$2:$E$699,MATCH(DATE(YEAR(N574),MONTH(N574),1),'Additional data'!$D$2:$D$699,0)))</f>
        <v>2.15</v>
      </c>
      <c r="T574" s="425">
        <f>P574-P573</f>
        <v>0.0092367774020552</v>
      </c>
      <c r="U574" s="425">
        <f>Q574-Q573</f>
        <v>-0.0153167041118936</v>
      </c>
      <c r="V574" s="425">
        <f>R574-R573</f>
        <v>-0.0554952189750377</v>
      </c>
      <c r="W574" s="116">
        <f>S574-S573</f>
        <v>0</v>
      </c>
      <c r="X574" s="425">
        <f>P574-P562</f>
        <v>-0.570115943796881</v>
      </c>
      <c r="Y574" s="425">
        <f>Q574-Q562</f>
        <v>0.0718048962591391</v>
      </c>
      <c r="Z574" s="425">
        <f>R574-R562</f>
        <v>0.0551661155812386</v>
      </c>
      <c r="AA574" s="116">
        <f>S574-S562</f>
        <v>-0.55</v>
      </c>
      <c r="AB574" s="425">
        <f>P574-P514</f>
        <v>-0.230803871870703</v>
      </c>
      <c r="AC574" s="425">
        <f>Q574-Q514</f>
        <v>0.809232732214661</v>
      </c>
      <c r="AD574" s="425">
        <f>R574-R514</f>
        <v>0.447364726392317</v>
      </c>
      <c r="AE574" s="235">
        <f>S574-S514</f>
        <v>-2.7375</v>
      </c>
      <c r="AG574" s="554">
        <f>N574</f>
        <v>42185.0</v>
      </c>
      <c r="AH574" s="435">
        <f>IFERROR(INDEX('RBA 5Y yield'!$B$5:$B$661,MATCH(N574,'RBA 5Y yield'!$A$5:$A$661,1))*100,"")</f>
        <v>2.288</v>
      </c>
      <c r="AI574" s="435">
        <f>IF(AND(ISNUMBER(AH574),ISNUMBER(AH573)),AH574-AH573,"")</f>
        <v>0.0170000000000003</v>
      </c>
      <c r="AJ574" s="435">
        <f>IF(AND(ISNUMBER(AH574),ISNUMBER(AH562)),AH574-AH562,"")</f>
        <v>-0.83</v>
      </c>
      <c r="AK574" s="435">
        <f>IF(AND(ISNUMBER(AH574),ISNUMBER(AH514)),AH574-AH514,"")</f>
        <v>-2.6845</v>
      </c>
      <c r="AL574" s="560">
        <f>IFERROR(LN(INDEX(Data!$B$2:$B$497,MATCH(N574,Data!$A$2:$A$497,1))/INDEX(Data!$B$2:$B$497,MATCH(N562,Data!$A$2:$A$497,1))),"")</f>
        <v>0.0551661155812385</v>
      </c>
      <c r="AM574" s="560">
        <f>IFERROR(LN(INDEX(Data!$C$2:$C$497,MATCH(N574,Data!$A$2:$A$497,1))/INDEX(Data!$C$2:$C$497,MATCH(N562,Data!$A$2:$A$497,1))),"")</f>
        <v>0.291478259296058</v>
      </c>
      <c r="AN574" s="560">
        <f>IFERROR(LN(INDEX(Data!$D$2:$D$497,MATCH(N574,Data!$A$2:$A$497,1))/INDEX(Data!$D$2:$D$497,MATCH(N562,Data!$A$2:$A$497,1))),"")</f>
        <v>0.269567800442791</v>
      </c>
      <c r="AO574" s="560">
        <f>IFERROR(LN(INDEX(Data!$E$2:$E$497,MATCH(N574,Data!$A$2:$A$497,1))/INDEX(Data!$E$2:$E$497,MATCH(N562,Data!$A$2:$A$497,1))),"")</f>
        <v>0.278180306462427</v>
      </c>
      <c r="AP574" s="560">
        <f>IFERROR(LN(INDEX(Data!$F$2:$F$497,MATCH(N574,Data!$A$2:$A$497,1))/INDEX(Data!$F$2:$F$497,MATCH(N562,Data!$A$2:$A$497,1))),"")</f>
        <v>-0.253635509516037</v>
      </c>
      <c r="AQ574" s="560">
        <f>IFERROR(LN(INDEX(Data!$G$2:$G$497,MATCH(N574,Data!$A$2:$A$497,1))/INDEX(Data!$G$2:$G$497,MATCH(N562,Data!$A$2:$A$497,1))),"")</f>
        <v>0.105416179729189</v>
      </c>
      <c r="AR574" s="560">
        <f>IFERROR(LN(INDEX(Data!$H$2:$H$497,MATCH(N574,Data!$A$2:$A$497,1))/INDEX(Data!$H$2:$H$497,MATCH(N562,Data!$A$2:$A$497,1))),"")</f>
        <v>0.0818751978769144</v>
      </c>
      <c r="AS574" s="560">
        <f>IFERROR(LN(INDEX(Data!$I$2:$I$497,MATCH(N574,Data!$A$2:$A$497,1))/INDEX(Data!$I$2:$I$497,MATCH(N562,Data!$A$2:$A$497,1))),"")</f>
        <v>0.207526132912872</v>
      </c>
      <c r="AT574" s="560">
        <f>IFERROR(LN(INDEX(Data!$J$2:$J$497,MATCH(N574,Data!$A$2:$A$497,1))/INDEX(Data!$J$2:$J$497,MATCH(N562,Data!$A$2:$A$497,1))),"")</f>
        <v>0.054749803362976</v>
      </c>
      <c r="AU574" s="560">
        <f>IFERROR(LN(INDEX(Data!$K$2:$K$497,MATCH(N574,Data!$A$2:$A$497,1))/INDEX(Data!$K$2:$K$497,MATCH(N562,Data!$A$2:$A$497,1))),"")</f>
        <v>0.0546410796389735</v>
      </c>
      <c r="AV574" s="561">
        <f>IFERROR(LN(INDEX(Data!$L$2:$L$497,MATCH(N574,Data!$A$2:$A$497,1))/INDEX(Data!$L$2:$L$497,MATCH(N562,Data!$A$2:$A$497,1))),"")</f>
        <v>0.0257057004445368</v>
      </c>
    </row>
    <row r="575">
      <c r="N575" s="337" t="n">
        <v>42216</v>
      </c>
      <c r="O575" s="116">
        <f>INDEX('Additional data'!$B$2:$B$965,MATCH(DATE(YEAR(N575),MONTH(N575),1),'Additional data'!$A$2:$A$965,0))</f>
        <v>50.9</v>
      </c>
      <c r="P575" s="489">
        <f>LN(O575)</f>
        <v>3.92986292355648</v>
      </c>
      <c r="Q575" s="489">
        <f>Q574+LN(1+INDEX('Additional data'!$H$2:$H$1196,MATCH(N575,'Additional data'!$G$2:$G$1196,1))+INDEX('Additional data'!$I$2:$I$1196,MATCH(N575,'Additional data'!$G$2:$G$1196,1)))</f>
        <v>4.54592050989012</v>
      </c>
      <c r="R575" s="489">
        <f>LN(INDEX(Data!$B$2:$B$497,MATCH(N575,Data!$A$2:$A$497,1)))</f>
        <v>10.8115321509002</v>
      </c>
      <c r="S575" s="116">
        <f>IF(INDEX('Additional data'!$E$2:$E$699,MATCH(DATE(YEAR(N575),MONTH(N575),1),'Additional data'!$D$2:$D$699,0))=0,(INDEX('Additional data'!$E$2:$E$699,MATCH(DATE(YEAR(N575),MONTH(N575),1),'Additional data'!$D$2:$D$699,0)-1)+INDEX('Additional data'!$E$2:$E$699,MATCH(DATE(YEAR(N575),MONTH(N575),1),'Additional data'!$D$2:$D$699,0)+1))/2,INDEX('Additional data'!$E$2:$E$699,MATCH(DATE(YEAR(N575),MONTH(N575),1),'Additional data'!$D$2:$D$699,0)))</f>
        <v>2.14</v>
      </c>
      <c r="T575" s="425">
        <f>P575-P574</f>
        <v>-0.161477129645325</v>
      </c>
      <c r="U575" s="425">
        <f>Q575-Q574</f>
        <v>0.0155780299633186</v>
      </c>
      <c r="V575" s="425">
        <f>R575-R574</f>
        <v>0.0414711213063566</v>
      </c>
      <c r="W575" s="116">
        <f>S575-S574</f>
        <v>-0.00999999999999979</v>
      </c>
      <c r="X575" s="425">
        <f>P575-P563</f>
        <v>-0.710577876513534</v>
      </c>
      <c r="Y575" s="425">
        <f>Q575-Q563</f>
        <v>0.107891802853998</v>
      </c>
      <c r="Z575" s="425">
        <f>R575-R563</f>
        <v>0.0527007437029319</v>
      </c>
      <c r="AA575" s="116">
        <f>S575-S563</f>
        <v>-0.51</v>
      </c>
      <c r="AB575" s="425">
        <f>P575-P515</f>
        <v>-0.405727025343816</v>
      </c>
      <c r="AC575" s="425">
        <f>Q575-Q515</f>
        <v>0.757806533397506</v>
      </c>
      <c r="AD575" s="425">
        <f>R575-R515</f>
        <v>0.447409466812907</v>
      </c>
      <c r="AE575" s="235">
        <f>S575-S515</f>
        <v>-2.7</v>
      </c>
      <c r="AG575" s="554">
        <f>N575</f>
        <v>42216.0</v>
      </c>
      <c r="AH575" s="435">
        <f>IFERROR(INDEX('RBA 5Y yield'!$B$5:$B$661,MATCH(N575,'RBA 5Y yield'!$A$5:$A$661,1))*100,"")</f>
        <v>2.204</v>
      </c>
      <c r="AI575" s="435">
        <f>IF(AND(ISNUMBER(AH575),ISNUMBER(AH574)),AH575-AH574,"")</f>
        <v>-0.0840000000000001</v>
      </c>
      <c r="AJ575" s="435">
        <f>IF(AND(ISNUMBER(AH575),ISNUMBER(AH563)),AH575-AH563,"")</f>
        <v>-0.733</v>
      </c>
      <c r="AK575" s="435">
        <f>IF(AND(ISNUMBER(AH575),ISNUMBER(AH515)),AH575-AH515,"")</f>
        <v>-2.5885</v>
      </c>
      <c r="AL575" s="560">
        <f>IFERROR(LN(INDEX(Data!$B$2:$B$497,MATCH(N575,Data!$A$2:$A$497,1))/INDEX(Data!$B$2:$B$497,MATCH(N563,Data!$A$2:$A$497,1))),"")</f>
        <v>0.0527007437029321</v>
      </c>
      <c r="AM575" s="560">
        <f>IFERROR(LN(INDEX(Data!$C$2:$C$497,MATCH(N575,Data!$A$2:$A$497,1))/INDEX(Data!$C$2:$C$497,MATCH(N563,Data!$A$2:$A$497,1))),"")</f>
        <v>0.354525770986781</v>
      </c>
      <c r="AN575" s="560">
        <f>IFERROR(LN(INDEX(Data!$D$2:$D$497,MATCH(N575,Data!$A$2:$A$497,1))/INDEX(Data!$D$2:$D$497,MATCH(N563,Data!$A$2:$A$497,1))),"")</f>
        <v>0.226045101466486</v>
      </c>
      <c r="AO575" s="560">
        <f>IFERROR(LN(INDEX(Data!$E$2:$E$497,MATCH(N575,Data!$A$2:$A$497,1))/INDEX(Data!$E$2:$E$497,MATCH(N563,Data!$A$2:$A$497,1))),"")</f>
        <v>0.347915881584142</v>
      </c>
      <c r="AP575" s="560">
        <f>IFERROR(LN(INDEX(Data!$F$2:$F$497,MATCH(N575,Data!$A$2:$A$497,1))/INDEX(Data!$F$2:$F$497,MATCH(N563,Data!$A$2:$A$497,1))),"")</f>
        <v>-0.32073991283463</v>
      </c>
      <c r="AQ575" s="560">
        <f>IFERROR(LN(INDEX(Data!$G$2:$G$497,MATCH(N575,Data!$A$2:$A$497,1))/INDEX(Data!$G$2:$G$497,MATCH(N563,Data!$A$2:$A$497,1))),"")</f>
        <v>0.105416179729189</v>
      </c>
      <c r="AR575" s="560">
        <f>IFERROR(LN(INDEX(Data!$H$2:$H$497,MATCH(N575,Data!$A$2:$A$497,1))/INDEX(Data!$H$2:$H$497,MATCH(N563,Data!$A$2:$A$497,1))),"")</f>
        <v>0.0823766269602778</v>
      </c>
      <c r="AS575" s="560">
        <f>IFERROR(LN(INDEX(Data!$I$2:$I$497,MATCH(N575,Data!$A$2:$A$497,1))/INDEX(Data!$I$2:$I$497,MATCH(N563,Data!$A$2:$A$497,1))),"")</f>
        <v>0.207526132912872</v>
      </c>
      <c r="AT575" s="560">
        <f>IFERROR(LN(INDEX(Data!$J$2:$J$497,MATCH(N575,Data!$A$2:$A$497,1))/INDEX(Data!$J$2:$J$497,MATCH(N563,Data!$A$2:$A$497,1))),"")</f>
        <v>0.0647586873870997</v>
      </c>
      <c r="AU575" s="560">
        <f>IFERROR(LN(INDEX(Data!$K$2:$K$497,MATCH(N575,Data!$A$2:$A$497,1))/INDEX(Data!$K$2:$K$497,MATCH(N563,Data!$A$2:$A$497,1))),"")</f>
        <v>0.0620816179308498</v>
      </c>
      <c r="AV575" s="561">
        <f>IFERROR(LN(INDEX(Data!$L$2:$L$497,MATCH(N575,Data!$A$2:$A$497,1))/INDEX(Data!$L$2:$L$497,MATCH(N563,Data!$A$2:$A$497,1))),"")</f>
        <v>0.025210880332807</v>
      </c>
    </row>
    <row r="576">
      <c r="N576" s="337" t="n">
        <v>42247</v>
      </c>
      <c r="O576" s="116">
        <f>INDEX('Additional data'!$B$2:$B$965,MATCH(DATE(YEAR(N576),MONTH(N576),1),'Additional data'!$A$2:$A$965,0))</f>
        <v>42.87</v>
      </c>
      <c r="P576" s="489">
        <f>LN(O576)</f>
        <v>3.75817228060989</v>
      </c>
      <c r="Q576" s="489">
        <f>Q575+LN(1+INDEX('Additional data'!$H$2:$H$1196,MATCH(N576,'Additional data'!$G$2:$G$1196,1))+INDEX('Additional data'!$I$2:$I$1196,MATCH(N576,'Additional data'!$G$2:$G$1196,1)))</f>
        <v>4.4838323175767</v>
      </c>
      <c r="R576" s="489">
        <f>LN(INDEX(Data!$B$2:$B$497,MATCH(N576,Data!$A$2:$A$497,1)))</f>
        <v>10.7357493126064</v>
      </c>
      <c r="S576" s="116">
        <f>IF(INDEX('Additional data'!$E$2:$E$699,MATCH(DATE(YEAR(N576),MONTH(N576),1),'Additional data'!$D$2:$D$699,0))=0,(INDEX('Additional data'!$E$2:$E$699,MATCH(DATE(YEAR(N576),MONTH(N576),1),'Additional data'!$D$2:$D$699,0)-1)+INDEX('Additional data'!$E$2:$E$699,MATCH(DATE(YEAR(N576),MONTH(N576),1),'Additional data'!$D$2:$D$699,0)+1))/2,INDEX('Additional data'!$E$2:$E$699,MATCH(DATE(YEAR(N576),MONTH(N576),1),'Additional data'!$D$2:$D$699,0)))</f>
        <v>2.14</v>
      </c>
      <c r="T576" s="425">
        <f>P576-P575</f>
        <v>-0.171690642946591</v>
      </c>
      <c r="U576" s="425">
        <f>Q576-Q575</f>
        <v>-0.0620881923134213</v>
      </c>
      <c r="V576" s="425">
        <f>R576-R575</f>
        <v>-0.0757828382937618</v>
      </c>
      <c r="W576" s="116">
        <f>S576-S575</f>
        <v>0</v>
      </c>
      <c r="X576" s="425">
        <f>P576-P564</f>
        <v>-0.811785149622462</v>
      </c>
      <c r="Y576" s="425">
        <f>Q576-Q564</f>
        <v>0.00427786371207795</v>
      </c>
      <c r="Z576" s="425">
        <f>R576-R564</f>
        <v>-0.0302723152252415</v>
      </c>
      <c r="AA576" s="116">
        <f>S576-S564</f>
        <v>-0.49</v>
      </c>
      <c r="AB576" s="425">
        <f>P576-P516</f>
        <v>-0.583292742307873</v>
      </c>
      <c r="AC576" s="425">
        <f>Q576-Q516</f>
        <v>0.744593508866221</v>
      </c>
      <c r="AD576" s="425">
        <f>R576-R516</f>
        <v>0.378770236805863</v>
      </c>
      <c r="AE576" s="235">
        <f>S576-S516</f>
        <v>-2.6025</v>
      </c>
      <c r="AG576" s="554">
        <f>N576</f>
        <v>42247.0</v>
      </c>
      <c r="AH576" s="435">
        <f>IFERROR(INDEX('RBA 5Y yield'!$B$5:$B$661,MATCH(N576,'RBA 5Y yield'!$A$5:$A$661,1))*100,"")</f>
        <v>2.1</v>
      </c>
      <c r="AI576" s="435">
        <f>IF(AND(ISNUMBER(AH576),ISNUMBER(AH575)),AH576-AH575,"")</f>
        <v>-0.104</v>
      </c>
      <c r="AJ576" s="435">
        <f>IF(AND(ISNUMBER(AH576),ISNUMBER(AH564)),AH576-AH564,"")</f>
        <v>-0.822</v>
      </c>
      <c r="AK576" s="435">
        <f>IF(AND(ISNUMBER(AH576),ISNUMBER(AH516)),AH576-AH516,"")</f>
        <v>-2.5625</v>
      </c>
      <c r="AL576" s="560">
        <f>IFERROR(LN(INDEX(Data!$B$2:$B$497,MATCH(N576,Data!$A$2:$A$497,1))/INDEX(Data!$B$2:$B$497,MATCH(N564,Data!$A$2:$A$497,1))),"")</f>
        <v>-0.0302723152252409</v>
      </c>
      <c r="AM576" s="560">
        <f>IFERROR(LN(INDEX(Data!$C$2:$C$497,MATCH(N576,Data!$A$2:$A$497,1))/INDEX(Data!$C$2:$C$497,MATCH(N564,Data!$A$2:$A$497,1))),"")</f>
        <v>0.300844247829098</v>
      </c>
      <c r="AN576" s="560">
        <f>IFERROR(LN(INDEX(Data!$D$2:$D$497,MATCH(N576,Data!$A$2:$A$497,1))/INDEX(Data!$D$2:$D$497,MATCH(N564,Data!$A$2:$A$497,1))),"")</f>
        <v>0.180474655647964</v>
      </c>
      <c r="AO576" s="560">
        <f>IFERROR(LN(INDEX(Data!$E$2:$E$497,MATCH(N576,Data!$A$2:$A$497,1))/INDEX(Data!$E$2:$E$497,MATCH(N564,Data!$A$2:$A$497,1))),"")</f>
        <v>0.305314375305673</v>
      </c>
      <c r="AP576" s="560">
        <f>IFERROR(LN(INDEX(Data!$F$2:$F$497,MATCH(N576,Data!$A$2:$A$497,1))/INDEX(Data!$F$2:$F$497,MATCH(N564,Data!$A$2:$A$497,1))),"")</f>
        <v>-0.260011455016655</v>
      </c>
      <c r="AQ576" s="560">
        <f>IFERROR(LN(INDEX(Data!$G$2:$G$497,MATCH(N576,Data!$A$2:$A$497,1))/INDEX(Data!$G$2:$G$497,MATCH(N564,Data!$A$2:$A$497,1))),"")</f>
        <v>0.105416179729189</v>
      </c>
      <c r="AR576" s="560">
        <f>IFERROR(LN(INDEX(Data!$H$2:$H$497,MATCH(N576,Data!$A$2:$A$497,1))/INDEX(Data!$H$2:$H$497,MATCH(N564,Data!$A$2:$A$497,1))),"")</f>
        <v>0.0669741264088364</v>
      </c>
      <c r="AS576" s="560">
        <f>IFERROR(LN(INDEX(Data!$I$2:$I$497,MATCH(N576,Data!$A$2:$A$497,1))/INDEX(Data!$I$2:$I$497,MATCH(N564,Data!$A$2:$A$497,1))),"")</f>
        <v>0.207526132912872</v>
      </c>
      <c r="AT576" s="560">
        <f>IFERROR(LN(INDEX(Data!$J$2:$J$497,MATCH(N576,Data!$A$2:$A$497,1))/INDEX(Data!$J$2:$J$497,MATCH(N564,Data!$A$2:$A$497,1))),"")</f>
        <v>0.0610184262331919</v>
      </c>
      <c r="AU576" s="560">
        <f>IFERROR(LN(INDEX(Data!$K$2:$K$497,MATCH(N576,Data!$A$2:$A$497,1))/INDEX(Data!$K$2:$K$497,MATCH(N564,Data!$A$2:$A$497,1))),"")</f>
        <v>0.0469348686811867</v>
      </c>
      <c r="AV576" s="561">
        <f>IFERROR(LN(INDEX(Data!$L$2:$L$497,MATCH(N576,Data!$A$2:$A$497,1))/INDEX(Data!$L$2:$L$497,MATCH(N564,Data!$A$2:$A$497,1))),"")</f>
        <v>0.0247548709066485</v>
      </c>
    </row>
    <row r="577">
      <c r="N577" s="337" t="n">
        <v>42277</v>
      </c>
      <c r="O577" s="116">
        <f>INDEX('Additional data'!$B$2:$B$965,MATCH(DATE(YEAR(N577),MONTH(N577),1),'Additional data'!$A$2:$A$965,0))</f>
        <v>45.48</v>
      </c>
      <c r="P577" s="489">
        <f>LN(O577)</f>
        <v>3.81727266888234</v>
      </c>
      <c r="Q577" s="489">
        <f>Q576+LN(1+INDEX('Additional data'!$H$2:$H$1196,MATCH(N577,'Additional data'!$G$2:$G$1196,1))+INDEX('Additional data'!$I$2:$I$1196,MATCH(N577,'Additional data'!$G$2:$G$1196,1)))</f>
        <v>4.45275436200584</v>
      </c>
      <c r="R577" s="489">
        <f>LN(INDEX(Data!$B$2:$B$497,MATCH(N577,Data!$A$2:$A$497,1)))</f>
        <v>10.7104180697836</v>
      </c>
      <c r="S577" s="116">
        <f>IF(INDEX('Additional data'!$E$2:$E$699,MATCH(DATE(YEAR(N577),MONTH(N577),1),'Additional data'!$D$2:$D$699,0))=0,(INDEX('Additional data'!$E$2:$E$699,MATCH(DATE(YEAR(N577),MONTH(N577),1),'Additional data'!$D$2:$D$699,0)-1)+INDEX('Additional data'!$E$2:$E$699,MATCH(DATE(YEAR(N577),MONTH(N577),1),'Additional data'!$D$2:$D$699,0)+1))/2,INDEX('Additional data'!$E$2:$E$699,MATCH(DATE(YEAR(N577),MONTH(N577),1),'Additional data'!$D$2:$D$699,0)))</f>
        <v>2.17</v>
      </c>
      <c r="T577" s="425">
        <f>P577-P576</f>
        <v>0.0591003882724497</v>
      </c>
      <c r="U577" s="425">
        <f>Q577-Q576</f>
        <v>-0.0310779555708614</v>
      </c>
      <c r="V577" s="425">
        <f>R577-R576</f>
        <v>-0.025331242822789</v>
      </c>
      <c r="W577" s="116">
        <f>S577-S576</f>
        <v>0.0299999999999998</v>
      </c>
      <c r="X577" s="425">
        <f>P577-P565</f>
        <v>-0.71758234319073</v>
      </c>
      <c r="Y577" s="425">
        <f>Q577-Q565</f>
        <v>-0.00700546453060369</v>
      </c>
      <c r="Z577" s="425">
        <f>R577-R565</f>
        <v>-0.00156683552226511</v>
      </c>
      <c r="AA577" s="116">
        <f>S577-S565</f>
        <v>-0.49</v>
      </c>
      <c r="AB577" s="425">
        <f>P577-P517</f>
        <v>-0.504340259230925</v>
      </c>
      <c r="AC577" s="425">
        <f>Q577-Q517</f>
        <v>0.622213394888574</v>
      </c>
      <c r="AD577" s="425">
        <f>R577-R517</f>
        <v>0.304461920566663</v>
      </c>
      <c r="AE577" s="235">
        <f>S577-S517</f>
        <v>-2.645</v>
      </c>
      <c r="AG577" s="554">
        <f>N577</f>
        <v>42277.0</v>
      </c>
      <c r="AH577" s="435">
        <f>IFERROR(INDEX('RBA 5Y yield'!$B$5:$B$661,MATCH(N577,'RBA 5Y yield'!$A$5:$A$661,1))*100,"")</f>
        <v>2.101</v>
      </c>
      <c r="AI577" s="435">
        <f>IF(AND(ISNUMBER(AH577),ISNUMBER(AH576)),AH577-AH576,"")</f>
        <v>0.00099999999999989</v>
      </c>
      <c r="AJ577" s="435">
        <f>IF(AND(ISNUMBER(AH577),ISNUMBER(AH565)),AH577-AH565,"")</f>
        <v>-0.94</v>
      </c>
      <c r="AK577" s="435">
        <f>IF(AND(ISNUMBER(AH577),ISNUMBER(AH517)),AH577-AH517,"")</f>
        <v>-2.7065</v>
      </c>
      <c r="AL577" s="560">
        <f>IFERROR(LN(INDEX(Data!$B$2:$B$497,MATCH(N577,Data!$A$2:$A$497,1))/INDEX(Data!$B$2:$B$497,MATCH(N565,Data!$A$2:$A$497,1))),"")</f>
        <v>-0.00156683552226515</v>
      </c>
      <c r="AM577" s="560">
        <f>IFERROR(LN(INDEX(Data!$C$2:$C$497,MATCH(N577,Data!$A$2:$A$497,1))/INDEX(Data!$C$2:$C$497,MATCH(N565,Data!$A$2:$A$497,1))),"")</f>
        <v>0.217670954028733</v>
      </c>
      <c r="AN577" s="560">
        <f>IFERROR(LN(INDEX(Data!$D$2:$D$497,MATCH(N577,Data!$A$2:$A$497,1))/INDEX(Data!$D$2:$D$497,MATCH(N565,Data!$A$2:$A$497,1))),"")</f>
        <v>0.149698969181388</v>
      </c>
      <c r="AO577" s="560">
        <f>IFERROR(LN(INDEX(Data!$E$2:$E$497,MATCH(N577,Data!$A$2:$A$497,1))/INDEX(Data!$E$2:$E$497,MATCH(N565,Data!$A$2:$A$497,1))),"")</f>
        <v>0.318554070409025</v>
      </c>
      <c r="AP577" s="560">
        <f>IFERROR(LN(INDEX(Data!$F$2:$F$497,MATCH(N577,Data!$A$2:$A$497,1))/INDEX(Data!$F$2:$F$497,MATCH(N565,Data!$A$2:$A$497,1))),"")</f>
        <v>-0.320329353879139</v>
      </c>
      <c r="AQ577" s="560">
        <f>IFERROR(LN(INDEX(Data!$G$2:$G$497,MATCH(N577,Data!$A$2:$A$497,1))/INDEX(Data!$G$2:$G$497,MATCH(N565,Data!$A$2:$A$497,1))),"")</f>
        <v>0.113600315275047</v>
      </c>
      <c r="AR577" s="560">
        <f>IFERROR(LN(INDEX(Data!$H$2:$H$497,MATCH(N577,Data!$A$2:$A$497,1))/INDEX(Data!$H$2:$H$497,MATCH(N565,Data!$A$2:$A$497,1))),"")</f>
        <v>0.0613514235560459</v>
      </c>
      <c r="AS577" s="560">
        <f>IFERROR(LN(INDEX(Data!$I$2:$I$497,MATCH(N577,Data!$A$2:$A$497,1))/INDEX(Data!$I$2:$I$497,MATCH(N565,Data!$A$2:$A$497,1))),"")</f>
        <v>0.177544716191557</v>
      </c>
      <c r="AT577" s="560">
        <f>IFERROR(LN(INDEX(Data!$J$2:$J$497,MATCH(N577,Data!$A$2:$A$497,1))/INDEX(Data!$J$2:$J$497,MATCH(N565,Data!$A$2:$A$497,1))),"")</f>
        <v>0.0668506177404076</v>
      </c>
      <c r="AU577" s="560">
        <f>IFERROR(LN(INDEX(Data!$K$2:$K$497,MATCH(N577,Data!$A$2:$A$497,1))/INDEX(Data!$K$2:$K$497,MATCH(N565,Data!$A$2:$A$497,1))),"")</f>
        <v>0.055590192413325</v>
      </c>
      <c r="AV577" s="561">
        <f>IFERROR(LN(INDEX(Data!$L$2:$L$497,MATCH(N577,Data!$A$2:$A$497,1))/INDEX(Data!$L$2:$L$497,MATCH(N565,Data!$A$2:$A$497,1))),"")</f>
        <v>0.0245937474211962</v>
      </c>
    </row>
    <row r="578">
      <c r="N578" s="337" t="n">
        <v>42308</v>
      </c>
      <c r="O578" s="116">
        <f>INDEX('Additional data'!$B$2:$B$965,MATCH(DATE(YEAR(N578),MONTH(N578),1),'Additional data'!$A$2:$A$965,0))</f>
        <v>46.22</v>
      </c>
      <c r="P578" s="489">
        <f>LN(O578)</f>
        <v>3.83341260484623</v>
      </c>
      <c r="Q578" s="489">
        <f>Q577+LN(1+INDEX('Additional data'!$H$2:$H$1196,MATCH(N578,'Additional data'!$G$2:$G$1196,1))+INDEX('Additional data'!$I$2:$I$1196,MATCH(N578,'Additional data'!$G$2:$G$1196,1)))</f>
        <v>4.5273979050016</v>
      </c>
      <c r="R578" s="489">
        <f>LN(INDEX(Data!$B$2:$B$497,MATCH(N578,Data!$A$2:$A$497,1)))</f>
        <v>10.755301113846</v>
      </c>
      <c r="S578" s="116">
        <f>IF(INDEX('Additional data'!$E$2:$E$699,MATCH(DATE(YEAR(N578),MONTH(N578),1),'Additional data'!$D$2:$D$699,0))=0,(INDEX('Additional data'!$E$2:$E$699,MATCH(DATE(YEAR(N578),MONTH(N578),1),'Additional data'!$D$2:$D$699,0)-1)+INDEX('Additional data'!$E$2:$E$699,MATCH(DATE(YEAR(N578),MONTH(N578),1),'Additional data'!$D$2:$D$699,0)+1))/2,INDEX('Additional data'!$E$2:$E$699,MATCH(DATE(YEAR(N578),MONTH(N578),1),'Additional data'!$D$2:$D$699,0)))</f>
        <v>2.15</v>
      </c>
      <c r="T578" s="425">
        <f>P578-P577</f>
        <v>0.0161399359638992</v>
      </c>
      <c r="U578" s="425">
        <f>Q578-Q577</f>
        <v>0.0746435429957657</v>
      </c>
      <c r="V578" s="425">
        <f>R578-R577</f>
        <v>0.0448830440623418</v>
      </c>
      <c r="W578" s="116">
        <f>S578-S577</f>
        <v>-0.02</v>
      </c>
      <c r="X578" s="425">
        <f>P578-P566</f>
        <v>-0.602154796755677</v>
      </c>
      <c r="Y578" s="425">
        <f>Q578-Q566</f>
        <v>0.0428479096579437</v>
      </c>
      <c r="Z578" s="425">
        <f>R578-R566</f>
        <v>0.00446978246142749</v>
      </c>
      <c r="AA578" s="116">
        <f>S578-S566</f>
        <v>-0.57</v>
      </c>
      <c r="AB578" s="425">
        <f>P578-P518</f>
        <v>-0.572086386012789</v>
      </c>
      <c r="AC578" s="425">
        <f>Q578-Q518</f>
        <v>0.658790737077883</v>
      </c>
      <c r="AD578" s="425">
        <f>R578-R518</f>
        <v>0.327868804303638</v>
      </c>
      <c r="AE578" s="235">
        <f>S578-S518</f>
        <v>-2.66</v>
      </c>
      <c r="AG578" s="554">
        <f>N578</f>
        <v>42308.0</v>
      </c>
      <c r="AH578" s="435">
        <f>IFERROR(INDEX('RBA 5Y yield'!$B$5:$B$661,MATCH(N578,'RBA 5Y yield'!$A$5:$A$661,1))*100,"")</f>
        <v>2.072</v>
      </c>
      <c r="AI578" s="435">
        <f>IF(AND(ISNUMBER(AH578),ISNUMBER(AH577)),AH578-AH577,"")</f>
        <v>-0.0289999999999999</v>
      </c>
      <c r="AJ578" s="435">
        <f>IF(AND(ISNUMBER(AH578),ISNUMBER(AH566)),AH578-AH566,"")</f>
        <v>-0.767</v>
      </c>
      <c r="AK578" s="435">
        <f>IF(AND(ISNUMBER(AH578),ISNUMBER(AH518)),AH578-AH518,"")</f>
        <v>-2.8955</v>
      </c>
      <c r="AL578" s="560">
        <f>IFERROR(LN(INDEX(Data!$B$2:$B$497,MATCH(N578,Data!$A$2:$A$497,1))/INDEX(Data!$B$2:$B$497,MATCH(N566,Data!$A$2:$A$497,1))),"")</f>
        <v>0.00446978246142803</v>
      </c>
      <c r="AM578" s="560">
        <f>IFERROR(LN(INDEX(Data!$C$2:$C$497,MATCH(N578,Data!$A$2:$A$497,1))/INDEX(Data!$C$2:$C$497,MATCH(N566,Data!$A$2:$A$497,1))),"")</f>
        <v>0.270865494713904</v>
      </c>
      <c r="AN578" s="560">
        <f>IFERROR(LN(INDEX(Data!$D$2:$D$497,MATCH(N578,Data!$A$2:$A$497,1))/INDEX(Data!$D$2:$D$497,MATCH(N566,Data!$A$2:$A$497,1))),"")</f>
        <v>0.177048947279794</v>
      </c>
      <c r="AO578" s="560">
        <f>IFERROR(LN(INDEX(Data!$E$2:$E$497,MATCH(N578,Data!$A$2:$A$497,1))/INDEX(Data!$E$2:$E$497,MATCH(N566,Data!$A$2:$A$497,1))),"")</f>
        <v>0.287325888938394</v>
      </c>
      <c r="AP578" s="560">
        <f>IFERROR(LN(INDEX(Data!$F$2:$F$497,MATCH(N578,Data!$A$2:$A$497,1))/INDEX(Data!$F$2:$F$497,MATCH(N566,Data!$A$2:$A$497,1))),"")</f>
        <v>-0.267654165064583</v>
      </c>
      <c r="AQ578" s="560">
        <f>IFERROR(LN(INDEX(Data!$G$2:$G$497,MATCH(N578,Data!$A$2:$A$497,1))/INDEX(Data!$G$2:$G$497,MATCH(N566,Data!$A$2:$A$497,1))),"")</f>
        <v>0.113600315275047</v>
      </c>
      <c r="AR578" s="560">
        <f>IFERROR(LN(INDEX(Data!$H$2:$H$497,MATCH(N578,Data!$A$2:$A$497,1))/INDEX(Data!$H$2:$H$497,MATCH(N566,Data!$A$2:$A$497,1))),"")</f>
        <v>0.0615497182225692</v>
      </c>
      <c r="AS578" s="560">
        <f>IFERROR(LN(INDEX(Data!$I$2:$I$497,MATCH(N578,Data!$A$2:$A$497,1))/INDEX(Data!$I$2:$I$497,MATCH(N566,Data!$A$2:$A$497,1))),"")</f>
        <v>0.177544716191557</v>
      </c>
      <c r="AT578" s="560">
        <f>IFERROR(LN(INDEX(Data!$J$2:$J$497,MATCH(N578,Data!$A$2:$A$497,1))/INDEX(Data!$J$2:$J$497,MATCH(N566,Data!$A$2:$A$497,1))),"")</f>
        <v>0.0602514630493131</v>
      </c>
      <c r="AU578" s="560">
        <f>IFERROR(LN(INDEX(Data!$K$2:$K$497,MATCH(N578,Data!$A$2:$A$497,1))/INDEX(Data!$K$2:$K$497,MATCH(N566,Data!$A$2:$A$497,1))),"")</f>
        <v>0.0509826136243274</v>
      </c>
      <c r="AV578" s="561">
        <f>IFERROR(LN(INDEX(Data!$L$2:$L$497,MATCH(N578,Data!$A$2:$A$497,1))/INDEX(Data!$L$2:$L$497,MATCH(N566,Data!$A$2:$A$497,1))),"")</f>
        <v>0.0239679158619738</v>
      </c>
    </row>
    <row r="579">
      <c r="N579" s="337" t="n">
        <v>42338</v>
      </c>
      <c r="O579" s="116">
        <f>INDEX('Additional data'!$B$2:$B$965,MATCH(DATE(YEAR(N579),MONTH(N579),1),'Additional data'!$A$2:$A$965,0))</f>
        <v>42.44</v>
      </c>
      <c r="P579" s="489">
        <f>LN(O579)</f>
        <v>3.74809131374578</v>
      </c>
      <c r="Q579" s="489">
        <f>Q578+LN(1+INDEX('Additional data'!$H$2:$H$1196,MATCH(N579,'Additional data'!$G$2:$G$1196,1))+INDEX('Additional data'!$I$2:$I$1196,MATCH(N579,'Additional data'!$G$2:$G$1196,1)))</f>
        <v>4.5330817214699</v>
      </c>
      <c r="R579" s="489">
        <f>LN(INDEX(Data!$B$2:$B$497,MATCH(N579,Data!$A$2:$A$497,1)))</f>
        <v>10.7483941265809</v>
      </c>
      <c r="S579" s="116">
        <f>IF(INDEX('Additional data'!$E$2:$E$699,MATCH(DATE(YEAR(N579),MONTH(N579),1),'Additional data'!$D$2:$D$699,0))=0,(INDEX('Additional data'!$E$2:$E$699,MATCH(DATE(YEAR(N579),MONTH(N579),1),'Additional data'!$D$2:$D$699,0)-1)+INDEX('Additional data'!$E$2:$E$699,MATCH(DATE(YEAR(N579),MONTH(N579),1),'Additional data'!$D$2:$D$699,0)+1))/2,INDEX('Additional data'!$E$2:$E$699,MATCH(DATE(YEAR(N579),MONTH(N579),1),'Additional data'!$D$2:$D$699,0)))</f>
        <v>2.22</v>
      </c>
      <c r="T579" s="425">
        <f>P579-P578</f>
        <v>-0.0853212911004522</v>
      </c>
      <c r="U579" s="425">
        <f>Q579-Q578</f>
        <v>0.00568381646829774</v>
      </c>
      <c r="V579" s="425">
        <f>R579-R578</f>
        <v>-0.00690698726509886</v>
      </c>
      <c r="W579" s="116">
        <f>S579-S578</f>
        <v>0.0700000000000003</v>
      </c>
      <c r="X579" s="425">
        <f>P579-P567</f>
        <v>-0.579875044078155</v>
      </c>
      <c r="Y579" s="425">
        <f>Q579-Q567</f>
        <v>0.0232539189419727</v>
      </c>
      <c r="Z579" s="425">
        <f>R579-R567</f>
        <v>0.0300771441834851</v>
      </c>
      <c r="AA579" s="116">
        <f>S579-S567</f>
        <v>-0.53</v>
      </c>
      <c r="AB579" s="425">
        <f>P579-P519</f>
        <v>-0.684390764416592</v>
      </c>
      <c r="AC579" s="425">
        <f>Q579-Q519</f>
        <v>0.658492481868634</v>
      </c>
      <c r="AD579" s="425">
        <f>R579-R519</f>
        <v>0.327957200339531</v>
      </c>
      <c r="AE579" s="235">
        <f>S579-S519</f>
        <v>-2.795</v>
      </c>
      <c r="AG579" s="554">
        <f>N579</f>
        <v>42338.0</v>
      </c>
      <c r="AH579" s="435">
        <f>IFERROR(INDEX('RBA 5Y yield'!$B$5:$B$661,MATCH(N579,'RBA 5Y yield'!$A$5:$A$661,1))*100,"")</f>
        <v>2.279</v>
      </c>
      <c r="AI579" s="435">
        <f>IF(AND(ISNUMBER(AH579),ISNUMBER(AH578)),AH579-AH578,"")</f>
        <v>0.207</v>
      </c>
      <c r="AJ579" s="435">
        <f>IF(AND(ISNUMBER(AH579),ISNUMBER(AH567)),AH579-AH567,"")</f>
        <v>-0.488</v>
      </c>
      <c r="AK579" s="435">
        <f>IF(AND(ISNUMBER(AH579),ISNUMBER(AH519)),AH579-AH519,"")</f>
        <v>-2.931</v>
      </c>
      <c r="AL579" s="560">
        <f>IFERROR(LN(INDEX(Data!$B$2:$B$497,MATCH(N579,Data!$A$2:$A$497,1))/INDEX(Data!$B$2:$B$497,MATCH(N567,Data!$A$2:$A$497,1))),"")</f>
        <v>0.0300771441834841</v>
      </c>
      <c r="AM579" s="560">
        <f>IFERROR(LN(INDEX(Data!$C$2:$C$497,MATCH(N579,Data!$A$2:$A$497,1))/INDEX(Data!$C$2:$C$497,MATCH(N567,Data!$A$2:$A$497,1))),"")</f>
        <v>0.20385549433278</v>
      </c>
      <c r="AN579" s="560">
        <f>IFERROR(LN(INDEX(Data!$D$2:$D$497,MATCH(N579,Data!$A$2:$A$497,1))/INDEX(Data!$D$2:$D$497,MATCH(N567,Data!$A$2:$A$497,1))),"")</f>
        <v>0.0936670221941514</v>
      </c>
      <c r="AO579" s="560">
        <f>IFERROR(LN(INDEX(Data!$E$2:$E$497,MATCH(N579,Data!$A$2:$A$497,1))/INDEX(Data!$E$2:$E$497,MATCH(N567,Data!$A$2:$A$497,1))),"")</f>
        <v>0.208113803088618</v>
      </c>
      <c r="AP579" s="560">
        <f>IFERROR(LN(INDEX(Data!$F$2:$F$497,MATCH(N579,Data!$A$2:$A$497,1))/INDEX(Data!$F$2:$F$497,MATCH(N567,Data!$A$2:$A$497,1))),"")</f>
        <v>-0.29089736490446</v>
      </c>
      <c r="AQ579" s="560">
        <f>IFERROR(LN(INDEX(Data!$G$2:$G$497,MATCH(N579,Data!$A$2:$A$497,1))/INDEX(Data!$G$2:$G$497,MATCH(N567,Data!$A$2:$A$497,1))),"")</f>
        <v>0.113600315275047</v>
      </c>
      <c r="AR579" s="560">
        <f>IFERROR(LN(INDEX(Data!$H$2:$H$497,MATCH(N579,Data!$A$2:$A$497,1))/INDEX(Data!$H$2:$H$497,MATCH(N567,Data!$A$2:$A$497,1))),"")</f>
        <v>0.081802569704572</v>
      </c>
      <c r="AS579" s="560">
        <f>IFERROR(LN(INDEX(Data!$I$2:$I$497,MATCH(N579,Data!$A$2:$A$497,1))/INDEX(Data!$I$2:$I$497,MATCH(N567,Data!$A$2:$A$497,1))),"")</f>
        <v>0.177544716191557</v>
      </c>
      <c r="AT579" s="560">
        <f>IFERROR(LN(INDEX(Data!$J$2:$J$497,MATCH(N579,Data!$A$2:$A$497,1))/INDEX(Data!$J$2:$J$497,MATCH(N567,Data!$A$2:$A$497,1))),"")</f>
        <v>0.0389229784006836</v>
      </c>
      <c r="AU579" s="560">
        <f>IFERROR(LN(INDEX(Data!$K$2:$K$497,MATCH(N579,Data!$A$2:$A$497,1))/INDEX(Data!$K$2:$K$497,MATCH(N567,Data!$A$2:$A$497,1))),"")</f>
        <v>0.0413570810542676</v>
      </c>
      <c r="AV579" s="561">
        <f>IFERROR(LN(INDEX(Data!$L$2:$L$497,MATCH(N579,Data!$A$2:$A$497,1))/INDEX(Data!$L$2:$L$497,MATCH(N567,Data!$A$2:$A$497,1))),"")</f>
        <v>0.0234441453675781</v>
      </c>
    </row>
    <row r="580">
      <c r="N580" s="337" t="n">
        <v>42369</v>
      </c>
      <c r="O580" s="116">
        <f>INDEX('Additional data'!$B$2:$B$965,MATCH(DATE(YEAR(N580),MONTH(N580),1),'Additional data'!$A$2:$A$965,0))</f>
        <v>37.19</v>
      </c>
      <c r="P580" s="489">
        <f>LN(O580)</f>
        <v>3.61603990793698</v>
      </c>
      <c r="Q580" s="489">
        <f>Q579+LN(1+INDEX('Additional data'!$H$2:$H$1196,MATCH(N580,'Additional data'!$G$2:$G$1196,1))+INDEX('Additional data'!$I$2:$I$1196,MATCH(N580,'Additional data'!$G$2:$G$1196,1)))</f>
        <v>4.51144942134279</v>
      </c>
      <c r="R580" s="489">
        <f>LN(INDEX(Data!$B$2:$B$497,MATCH(N580,Data!$A$2:$A$497,1)))</f>
        <v>10.7745343094742</v>
      </c>
      <c r="S580" s="116">
        <f>IF(INDEX('Additional data'!$E$2:$E$699,MATCH(DATE(YEAR(N580),MONTH(N580),1),'Additional data'!$D$2:$D$699,0))=0,(INDEX('Additional data'!$E$2:$E$699,MATCH(DATE(YEAR(N580),MONTH(N580),1),'Additional data'!$D$2:$D$699,0)-1)+INDEX('Additional data'!$E$2:$E$699,MATCH(DATE(YEAR(N580),MONTH(N580),1),'Additional data'!$D$2:$D$699,0)+1))/2,INDEX('Additional data'!$E$2:$E$699,MATCH(DATE(YEAR(N580),MONTH(N580),1),'Additional data'!$D$2:$D$699,0)))</f>
        <v>2.34</v>
      </c>
      <c r="T580" s="425">
        <f>P580-P579</f>
        <v>-0.132051405808804</v>
      </c>
      <c r="U580" s="425">
        <f>Q580-Q579</f>
        <v>-0.0216323001271137</v>
      </c>
      <c r="V580" s="425">
        <f>R580-R579</f>
        <v>0.0261401828932701</v>
      </c>
      <c r="W580" s="116">
        <f>S580-S579</f>
        <v>0.12</v>
      </c>
      <c r="X580" s="425">
        <f>P580-P568</f>
        <v>-0.466400749782298</v>
      </c>
      <c r="Y580" s="425">
        <f>Q580-Q568</f>
        <v>0.00212174385654151</v>
      </c>
      <c r="Z580" s="425">
        <f>R580-R568</f>
        <v>0.0371179944821378</v>
      </c>
      <c r="AA580" s="116">
        <f>S580-S568</f>
        <v>-0.41</v>
      </c>
      <c r="AB580" s="425">
        <f>P580-P520</f>
        <v>-0.873045799030311</v>
      </c>
      <c r="AC580" s="425">
        <f>Q580-Q520</f>
        <v>0.570791581771815</v>
      </c>
      <c r="AD580" s="425">
        <f>R580-R520</f>
        <v>0.31679496007807</v>
      </c>
      <c r="AE580" s="235">
        <f>S580-S520</f>
        <v>-2.685</v>
      </c>
      <c r="AG580" s="554">
        <f>N580</f>
        <v>42369.0</v>
      </c>
      <c r="AH580" s="435">
        <f>IFERROR(INDEX('RBA 5Y yield'!$B$5:$B$661,MATCH(N580,'RBA 5Y yield'!$A$5:$A$661,1))*100,"")</f>
        <v>2.284</v>
      </c>
      <c r="AI580" s="435">
        <f>IF(AND(ISNUMBER(AH580),ISNUMBER(AH579)),AH580-AH579,"")</f>
        <v>0.00499999999999989</v>
      </c>
      <c r="AJ580" s="435">
        <f>IF(AND(ISNUMBER(AH580),ISNUMBER(AH568)),AH580-AH568,"")</f>
        <v>-0.151</v>
      </c>
      <c r="AK580" s="435">
        <f>IF(AND(ISNUMBER(AH580),ISNUMBER(AH520)),AH580-AH520,"")</f>
        <v>-3.046</v>
      </c>
      <c r="AL580" s="560">
        <f>IFERROR(LN(INDEX(Data!$B$2:$B$497,MATCH(N580,Data!$A$2:$A$497,1))/INDEX(Data!$B$2:$B$497,MATCH(N568,Data!$A$2:$A$497,1))),"")</f>
        <v>0.0371179944821376</v>
      </c>
      <c r="AM580" s="560">
        <f>IFERROR(LN(INDEX(Data!$C$2:$C$497,MATCH(N580,Data!$A$2:$A$497,1))/INDEX(Data!$C$2:$C$497,MATCH(N568,Data!$A$2:$A$497,1))),"")</f>
        <v>0.143717282250982</v>
      </c>
      <c r="AN580" s="560">
        <f>IFERROR(LN(INDEX(Data!$D$2:$D$497,MATCH(N580,Data!$A$2:$A$497,1))/INDEX(Data!$D$2:$D$497,MATCH(N568,Data!$A$2:$A$497,1))),"")</f>
        <v>0.0620493702155688</v>
      </c>
      <c r="AO580" s="560">
        <f>IFERROR(LN(INDEX(Data!$E$2:$E$497,MATCH(N580,Data!$A$2:$A$497,1))/INDEX(Data!$E$2:$E$497,MATCH(N568,Data!$A$2:$A$497,1))),"")</f>
        <v>0.154745467696883</v>
      </c>
      <c r="AP580" s="560">
        <f>IFERROR(LN(INDEX(Data!$F$2:$F$497,MATCH(N580,Data!$A$2:$A$497,1))/INDEX(Data!$F$2:$F$497,MATCH(N568,Data!$A$2:$A$497,1))),"")</f>
        <v>-0.280730039890032</v>
      </c>
      <c r="AQ580" s="560">
        <f>IFERROR(LN(INDEX(Data!$G$2:$G$497,MATCH(N580,Data!$A$2:$A$497,1))/INDEX(Data!$G$2:$G$497,MATCH(N568,Data!$A$2:$A$497,1))),"")</f>
        <v>0.0949639601969193</v>
      </c>
      <c r="AR580" s="560">
        <f>IFERROR(LN(INDEX(Data!$H$2:$H$497,MATCH(N580,Data!$A$2:$A$497,1))/INDEX(Data!$H$2:$H$497,MATCH(N568,Data!$A$2:$A$497,1))),"")</f>
        <v>0.071631149370678</v>
      </c>
      <c r="AS580" s="560">
        <f>IFERROR(LN(INDEX(Data!$I$2:$I$497,MATCH(N580,Data!$A$2:$A$497,1))/INDEX(Data!$I$2:$I$497,MATCH(N568,Data!$A$2:$A$497,1))),"")</f>
        <v>0.174796987853571</v>
      </c>
      <c r="AT580" s="560">
        <f>IFERROR(LN(INDEX(Data!$J$2:$J$497,MATCH(N580,Data!$A$2:$A$497,1))/INDEX(Data!$J$2:$J$497,MATCH(N568,Data!$A$2:$A$497,1))),"")</f>
        <v>0.0255343794786664</v>
      </c>
      <c r="AU580" s="560">
        <f>IFERROR(LN(INDEX(Data!$K$2:$K$497,MATCH(N580,Data!$A$2:$A$497,1))/INDEX(Data!$K$2:$K$497,MATCH(N568,Data!$A$2:$A$497,1))),"")</f>
        <v>0.0329216356160625</v>
      </c>
      <c r="AV580" s="561">
        <f>IFERROR(LN(INDEX(Data!$L$2:$L$497,MATCH(N580,Data!$A$2:$A$497,1))/INDEX(Data!$L$2:$L$497,MATCH(N568,Data!$A$2:$A$497,1))),"")</f>
        <v>0.0230427338068455</v>
      </c>
    </row>
    <row r="581">
      <c r="N581" s="337" t="n">
        <v>42400</v>
      </c>
      <c r="O581" s="116">
        <f>INDEX('Additional data'!$B$2:$B$965,MATCH(DATE(YEAR(N581),MONTH(N581),1),'Additional data'!$A$2:$A$965,0))</f>
        <v>31.68</v>
      </c>
      <c r="P581" s="489">
        <f>LN(O581)</f>
        <v>3.45568556694623</v>
      </c>
      <c r="Q581" s="489">
        <f>Q580+LN(1+INDEX('Additional data'!$H$2:$H$1196,MATCH(N581,'Additional data'!$G$2:$G$1196,1))+INDEX('Additional data'!$I$2:$I$1196,MATCH(N581,'Additional data'!$G$2:$G$1196,1)))</f>
        <v>4.45244224076275</v>
      </c>
      <c r="R581" s="489">
        <f>LN(INDEX(Data!$B$2:$B$497,MATCH(N581,Data!$A$2:$A$497,1)))</f>
        <v>10.7192141676336</v>
      </c>
      <c r="S581" s="116">
        <f>IF(INDEX('Additional data'!$E$2:$E$699,MATCH(DATE(YEAR(N581),MONTH(N581),1),'Additional data'!$D$2:$D$699,0))=0,(INDEX('Additional data'!$E$2:$E$699,MATCH(DATE(YEAR(N581),MONTH(N581),1),'Additional data'!$D$2:$D$699,0)-1)+INDEX('Additional data'!$E$2:$E$699,MATCH(DATE(YEAR(N581),MONTH(N581),1),'Additional data'!$D$2:$D$699,0)+1))/2,INDEX('Additional data'!$E$2:$E$699,MATCH(DATE(YEAR(N581),MONTH(N581),1),'Additional data'!$D$2:$D$699,0)))</f>
        <v>2.3</v>
      </c>
      <c r="T581" s="425">
        <f>P581-P580</f>
        <v>-0.160354340990754</v>
      </c>
      <c r="U581" s="425">
        <f>Q581-Q580</f>
        <v>-0.0590071805800321</v>
      </c>
      <c r="V581" s="425">
        <f>R581-R580</f>
        <v>-0.0553201418405589</v>
      </c>
      <c r="W581" s="116">
        <f>S581-S580</f>
        <v>-0.04</v>
      </c>
      <c r="X581" s="425">
        <f>P581-P569</f>
        <v>-0.399131964711142</v>
      </c>
      <c r="Y581" s="425">
        <f>Q581-Q569</f>
        <v>-0.0253947696321193</v>
      </c>
      <c r="Z581" s="425">
        <f>R581-R569</f>
        <v>-0.0480415534792726</v>
      </c>
      <c r="AA581" s="116">
        <f>S581-S569</f>
        <v>-0.4</v>
      </c>
      <c r="AB581" s="425">
        <f>P581-P521</f>
        <v>-1.03765880385961</v>
      </c>
      <c r="AC581" s="425">
        <f>Q581-Q521</f>
        <v>0.492079817917448</v>
      </c>
      <c r="AD581" s="425">
        <f>R581-R521</f>
        <v>0.260804477193778</v>
      </c>
      <c r="AE581" s="235">
        <f>S581-S521</f>
        <v>-2.655</v>
      </c>
      <c r="AG581" s="554">
        <f>N581</f>
        <v>42400.0</v>
      </c>
      <c r="AH581" s="435">
        <f>IFERROR(INDEX('RBA 5Y yield'!$B$5:$B$661,MATCH(N581,'RBA 5Y yield'!$A$5:$A$661,1))*100,"")</f>
        <v>2.147</v>
      </c>
      <c r="AI581" s="435">
        <f>IF(AND(ISNUMBER(AH581),ISNUMBER(AH580)),AH581-AH580,"")</f>
        <v>-0.137</v>
      </c>
      <c r="AJ581" s="435">
        <f>IF(AND(ISNUMBER(AH581),ISNUMBER(AH569)),AH581-AH569,"")</f>
        <v>-0.0609999999999999</v>
      </c>
      <c r="AK581" s="435">
        <f>IF(AND(ISNUMBER(AH581),ISNUMBER(AH521)),AH581-AH521,"")</f>
        <v>-3.128</v>
      </c>
      <c r="AL581" s="560">
        <f>IFERROR(LN(INDEX(Data!$B$2:$B$497,MATCH(N581,Data!$A$2:$A$497,1))/INDEX(Data!$B$2:$B$497,MATCH(N569,Data!$A$2:$A$497,1))),"")</f>
        <v>-0.0480415534792731</v>
      </c>
      <c r="AM581" s="560">
        <f>IFERROR(LN(INDEX(Data!$C$2:$C$497,MATCH(N581,Data!$A$2:$A$497,1))/INDEX(Data!$C$2:$C$497,MATCH(N569,Data!$A$2:$A$497,1))),"")</f>
        <v>0.0721212350420313</v>
      </c>
      <c r="AN581" s="560">
        <f>IFERROR(LN(INDEX(Data!$D$2:$D$497,MATCH(N581,Data!$A$2:$A$497,1))/INDEX(Data!$D$2:$D$497,MATCH(N569,Data!$A$2:$A$497,1))),"")</f>
        <v>-0.0271705890987624</v>
      </c>
      <c r="AO581" s="560">
        <f>IFERROR(LN(INDEX(Data!$E$2:$E$497,MATCH(N581,Data!$A$2:$A$497,1))/INDEX(Data!$E$2:$E$497,MATCH(N569,Data!$A$2:$A$497,1))),"")</f>
        <v>0.0427857500101911</v>
      </c>
      <c r="AP581" s="560">
        <f>IFERROR(LN(INDEX(Data!$F$2:$F$497,MATCH(N581,Data!$A$2:$A$497,1))/INDEX(Data!$F$2:$F$497,MATCH(N569,Data!$A$2:$A$497,1))),"")</f>
        <v>-0.277341731303979</v>
      </c>
      <c r="AQ581" s="560">
        <f>IFERROR(LN(INDEX(Data!$G$2:$G$497,MATCH(N581,Data!$A$2:$A$497,1))/INDEX(Data!$G$2:$G$497,MATCH(N569,Data!$A$2:$A$497,1))),"")</f>
        <v>0.0949639601969193</v>
      </c>
      <c r="AR581" s="560">
        <f>IFERROR(LN(INDEX(Data!$H$2:$H$497,MATCH(N581,Data!$A$2:$A$497,1))/INDEX(Data!$H$2:$H$497,MATCH(N569,Data!$A$2:$A$497,1))),"")</f>
        <v>0.0820888912098736</v>
      </c>
      <c r="AS581" s="560">
        <f>IFERROR(LN(INDEX(Data!$I$2:$I$497,MATCH(N581,Data!$A$2:$A$497,1))/INDEX(Data!$I$2:$I$497,MATCH(N569,Data!$A$2:$A$497,1))),"")</f>
        <v>0.174796987853571</v>
      </c>
      <c r="AT581" s="560">
        <f>IFERROR(LN(INDEX(Data!$J$2:$J$497,MATCH(N581,Data!$A$2:$A$497,1))/INDEX(Data!$J$2:$J$497,MATCH(N569,Data!$A$2:$A$497,1))),"")</f>
        <v>0.0216859154017222</v>
      </c>
      <c r="AU581" s="560">
        <f>IFERROR(LN(INDEX(Data!$K$2:$K$497,MATCH(N581,Data!$A$2:$A$497,1))/INDEX(Data!$K$2:$K$497,MATCH(N569,Data!$A$2:$A$497,1))),"")</f>
        <v>0.0277658674065018</v>
      </c>
      <c r="AV581" s="561">
        <f>IFERROR(LN(INDEX(Data!$L$2:$L$497,MATCH(N581,Data!$A$2:$A$497,1))/INDEX(Data!$L$2:$L$497,MATCH(N569,Data!$A$2:$A$497,1))),"")</f>
        <v>0.0225286266878953</v>
      </c>
    </row>
    <row r="582">
      <c r="N582" s="337" t="n">
        <v>42429</v>
      </c>
      <c r="O582" s="116">
        <f>INDEX('Additional data'!$B$2:$B$965,MATCH(DATE(YEAR(N582),MONTH(N582),1),'Additional data'!$A$2:$A$965,0))</f>
        <v>30.32</v>
      </c>
      <c r="P582" s="489">
        <f>LN(O582)</f>
        <v>3.41180756077417</v>
      </c>
      <c r="Q582" s="489">
        <f>Q581+LN(1+INDEX('Additional data'!$H$2:$H$1196,MATCH(N582,'Additional data'!$G$2:$G$1196,1))+INDEX('Additional data'!$I$2:$I$1196,MATCH(N582,'Additional data'!$G$2:$G$1196,1)))</f>
        <v>4.45204216074141</v>
      </c>
      <c r="R582" s="489">
        <f>LN(INDEX(Data!$B$2:$B$497,MATCH(N582,Data!$A$2:$A$497,1)))</f>
        <v>10.7043720652068</v>
      </c>
      <c r="S582" s="116">
        <f>IF(INDEX('Additional data'!$E$2:$E$699,MATCH(DATE(YEAR(N582),MONTH(N582),1),'Additional data'!$D$2:$D$699,0))=0,(INDEX('Additional data'!$E$2:$E$699,MATCH(DATE(YEAR(N582),MONTH(N582),1),'Additional data'!$D$2:$D$699,0)-1)+INDEX('Additional data'!$E$2:$E$699,MATCH(DATE(YEAR(N582),MONTH(N582),1),'Additional data'!$D$2:$D$699,0)+1))/2,INDEX('Additional data'!$E$2:$E$699,MATCH(DATE(YEAR(N582),MONTH(N582),1),'Additional data'!$D$2:$D$699,0)))</f>
        <v>2.28</v>
      </c>
      <c r="T582" s="425">
        <f>P582-P581</f>
        <v>-0.0438780061720538</v>
      </c>
      <c r="U582" s="425">
        <f>Q582-Q581</f>
        <v>-0.000400080021339733</v>
      </c>
      <c r="V582" s="425">
        <f>R582-R581</f>
        <v>-0.0148421024268046</v>
      </c>
      <c r="W582" s="116">
        <f>S582-S581</f>
        <v>-0.02</v>
      </c>
      <c r="X582" s="425">
        <f>P582-P570</f>
        <v>-0.511748680467648</v>
      </c>
      <c r="Y582" s="425">
        <f>Q582-Q570</f>
        <v>-0.0852894214390991</v>
      </c>
      <c r="Z582" s="425">
        <f>R582-R570</f>
        <v>-0.130495708629171</v>
      </c>
      <c r="AA582" s="116">
        <f>S582-S570</f>
        <v>-0.0800000000000001</v>
      </c>
      <c r="AB582" s="425">
        <f>P582-P522</f>
        <v>-1.08332452000498</v>
      </c>
      <c r="AC582" s="425">
        <f>Q582-Q522</f>
        <v>0.457374934204118</v>
      </c>
      <c r="AD582" s="425">
        <f>R582-R522</f>
        <v>0.22426601665188</v>
      </c>
      <c r="AE582" s="235">
        <f>S582-S522</f>
        <v>-2.6375</v>
      </c>
      <c r="AG582" s="554">
        <f>N582</f>
        <v>42429.0</v>
      </c>
      <c r="AH582" s="435">
        <f>IFERROR(INDEX('RBA 5Y yield'!$B$5:$B$661,MATCH(N582,'RBA 5Y yield'!$A$5:$A$661,1))*100,"")</f>
        <v>1.991</v>
      </c>
      <c r="AI582" s="435">
        <f>IF(AND(ISNUMBER(AH582),ISNUMBER(AH581)),AH582-AH581,"")</f>
        <v>-0.156</v>
      </c>
      <c r="AJ582" s="435">
        <f>IF(AND(ISNUMBER(AH582),ISNUMBER(AH570)),AH582-AH570,"")</f>
        <v>-0.0209999999999999</v>
      </c>
      <c r="AK582" s="435">
        <f>IF(AND(ISNUMBER(AH582),ISNUMBER(AH522)),AH582-AH522,"")</f>
        <v>-3.399</v>
      </c>
      <c r="AL582" s="560">
        <f>IFERROR(LN(INDEX(Data!$B$2:$B$497,MATCH(N582,Data!$A$2:$A$497,1))/INDEX(Data!$B$2:$B$497,MATCH(N570,Data!$A$2:$A$497,1))),"")</f>
        <v>-0.130495708629172</v>
      </c>
      <c r="AM582" s="560">
        <f>IFERROR(LN(INDEX(Data!$C$2:$C$497,MATCH(N582,Data!$A$2:$A$497,1))/INDEX(Data!$C$2:$C$497,MATCH(N570,Data!$A$2:$A$497,1))),"")</f>
        <v>-0.00504014800048785</v>
      </c>
      <c r="AN582" s="560">
        <f>IFERROR(LN(INDEX(Data!$D$2:$D$497,MATCH(N582,Data!$A$2:$A$497,1))/INDEX(Data!$D$2:$D$497,MATCH(N570,Data!$A$2:$A$497,1))),"")</f>
        <v>-0.0634460253277938</v>
      </c>
      <c r="AO582" s="560">
        <f>IFERROR(LN(INDEX(Data!$E$2:$E$497,MATCH(N582,Data!$A$2:$A$497,1))/INDEX(Data!$E$2:$E$497,MATCH(N570,Data!$A$2:$A$497,1))),"")</f>
        <v>0.0574795583083389</v>
      </c>
      <c r="AP582" s="560">
        <f>IFERROR(LN(INDEX(Data!$F$2:$F$497,MATCH(N582,Data!$A$2:$A$497,1))/INDEX(Data!$F$2:$F$497,MATCH(N570,Data!$A$2:$A$497,1))),"")</f>
        <v>-0.364886809831283</v>
      </c>
      <c r="AQ582" s="560">
        <f>IFERROR(LN(INDEX(Data!$G$2:$G$497,MATCH(N582,Data!$A$2:$A$497,1))/INDEX(Data!$G$2:$G$497,MATCH(N570,Data!$A$2:$A$497,1))),"")</f>
        <v>0.0949639601969193</v>
      </c>
      <c r="AR582" s="560">
        <f>IFERROR(LN(INDEX(Data!$H$2:$H$497,MATCH(N582,Data!$A$2:$A$497,1))/INDEX(Data!$H$2:$H$497,MATCH(N570,Data!$A$2:$A$497,1))),"")</f>
        <v>0.0893609260459083</v>
      </c>
      <c r="AS582" s="560">
        <f>IFERROR(LN(INDEX(Data!$I$2:$I$497,MATCH(N582,Data!$A$2:$A$497,1))/INDEX(Data!$I$2:$I$497,MATCH(N570,Data!$A$2:$A$497,1))),"")</f>
        <v>0.174796987853571</v>
      </c>
      <c r="AT582" s="560">
        <f>IFERROR(LN(INDEX(Data!$J$2:$J$497,MATCH(N582,Data!$A$2:$A$497,1))/INDEX(Data!$J$2:$J$497,MATCH(N570,Data!$A$2:$A$497,1))),"")</f>
        <v>0.0291386098843424</v>
      </c>
      <c r="AU582" s="560">
        <f>IFERROR(LN(INDEX(Data!$K$2:$K$497,MATCH(N582,Data!$A$2:$A$497,1))/INDEX(Data!$K$2:$K$497,MATCH(N570,Data!$A$2:$A$497,1))),"")</f>
        <v>0.0426893746406256</v>
      </c>
      <c r="AV582" s="561">
        <f>IFERROR(LN(INDEX(Data!$L$2:$L$497,MATCH(N582,Data!$A$2:$A$497,1))/INDEX(Data!$L$2:$L$497,MATCH(N570,Data!$A$2:$A$497,1))),"")</f>
        <v>0.0222400174290249</v>
      </c>
    </row>
    <row r="583">
      <c r="N583" s="337" t="n">
        <v>42460</v>
      </c>
      <c r="O583" s="116">
        <f>INDEX('Additional data'!$B$2:$B$965,MATCH(DATE(YEAR(N583),MONTH(N583),1),'Additional data'!$A$2:$A$965,0))</f>
        <v>37.55</v>
      </c>
      <c r="P583" s="489">
        <f>LN(O583)</f>
        <v>3.62567337821014</v>
      </c>
      <c r="Q583" s="489">
        <f>Q582+LN(1+INDEX('Additional data'!$H$2:$H$1196,MATCH(N583,'Additional data'!$G$2:$G$1196,1))+INDEX('Additional data'!$I$2:$I$1196,MATCH(N583,'Additional data'!$G$2:$G$1196,1)))</f>
        <v>4.51942039607136</v>
      </c>
      <c r="R583" s="489">
        <f>LN(INDEX(Data!$B$2:$B$497,MATCH(N583,Data!$A$2:$A$497,1)))</f>
        <v>10.7507232734106</v>
      </c>
      <c r="S583" s="116">
        <f>IF(INDEX('Additional data'!$E$2:$E$699,MATCH(DATE(YEAR(N583),MONTH(N583),1),'Additional data'!$D$2:$D$699,0))=0,(INDEX('Additional data'!$E$2:$E$699,MATCH(DATE(YEAR(N583),MONTH(N583),1),'Additional data'!$D$2:$D$699,0)-1)+INDEX('Additional data'!$E$2:$E$699,MATCH(DATE(YEAR(N583),MONTH(N583),1),'Additional data'!$D$2:$D$699,0)+1))/2,INDEX('Additional data'!$E$2:$E$699,MATCH(DATE(YEAR(N583),MONTH(N583),1),'Additional data'!$D$2:$D$699,0)))</f>
        <v>2.31</v>
      </c>
      <c r="T583" s="425">
        <f>P583-P582</f>
        <v>0.213865817435972</v>
      </c>
      <c r="U583" s="425">
        <f>Q583-Q582</f>
        <v>0.0673782353299481</v>
      </c>
      <c r="V583" s="425">
        <f>R583-R582</f>
        <v>0.0463512082037649</v>
      </c>
      <c r="W583" s="116">
        <f>S583-S582</f>
        <v>0.0300000000000003</v>
      </c>
      <c r="X583" s="425">
        <f>P583-P571</f>
        <v>-0.241770583820035</v>
      </c>
      <c r="Y583" s="425">
        <f>Q583-Q571</f>
        <v>-0.00674912140295891</v>
      </c>
      <c r="Z583" s="425">
        <f>R583-R571</f>
        <v>-0.0838742187003341</v>
      </c>
      <c r="AA583" s="116">
        <f>S583-S571</f>
        <v>0.0100000000000002</v>
      </c>
      <c r="AB583" s="425">
        <f>P583-P523</f>
        <v>-1.00847291601447</v>
      </c>
      <c r="AC583" s="425">
        <f>Q583-Q523</f>
        <v>0.520163717200259</v>
      </c>
      <c r="AD583" s="425">
        <f>R583-R523</f>
        <v>0.264193370625073</v>
      </c>
      <c r="AE583" s="235">
        <f>S583-S523</f>
        <v>-2.61</v>
      </c>
      <c r="AG583" s="554">
        <f>N583</f>
        <v>42460.0</v>
      </c>
      <c r="AH583" s="435">
        <f>IFERROR(INDEX('RBA 5Y yield'!$B$5:$B$661,MATCH(N583,'RBA 5Y yield'!$A$5:$A$661,1))*100,"")</f>
        <v>2.134</v>
      </c>
      <c r="AI583" s="435">
        <f>IF(AND(ISNUMBER(AH583),ISNUMBER(AH582)),AH583-AH582,"")</f>
        <v>0.143</v>
      </c>
      <c r="AJ583" s="435">
        <f>IF(AND(ISNUMBER(AH583),ISNUMBER(AH571)),AH583-AH571,"")</f>
        <v>0.156</v>
      </c>
      <c r="AK583" s="435">
        <f>IF(AND(ISNUMBER(AH583),ISNUMBER(AH523)),AH583-AH523,"")</f>
        <v>-3.0735</v>
      </c>
      <c r="AL583" s="560">
        <f>IFERROR(LN(INDEX(Data!$B$2:$B$497,MATCH(N583,Data!$A$2:$A$497,1))/INDEX(Data!$B$2:$B$497,MATCH(N571,Data!$A$2:$A$497,1))),"")</f>
        <v>-0.0838742187003334</v>
      </c>
      <c r="AM583" s="560">
        <f>IFERROR(LN(INDEX(Data!$C$2:$C$497,MATCH(N583,Data!$A$2:$A$497,1))/INDEX(Data!$C$2:$C$497,MATCH(N571,Data!$A$2:$A$497,1))),"")</f>
        <v>-0.0478720074874255</v>
      </c>
      <c r="AN583" s="560">
        <f>IFERROR(LN(INDEX(Data!$D$2:$D$497,MATCH(N583,Data!$A$2:$A$497,1))/INDEX(Data!$D$2:$D$497,MATCH(N571,Data!$A$2:$A$497,1))),"")</f>
        <v>-0.0833565929841463</v>
      </c>
      <c r="AO583" s="560">
        <f>IFERROR(LN(INDEX(Data!$E$2:$E$497,MATCH(N583,Data!$A$2:$A$497,1))/INDEX(Data!$E$2:$E$497,MATCH(N571,Data!$A$2:$A$497,1))),"")</f>
        <v>0.0277087756755515</v>
      </c>
      <c r="AP583" s="560">
        <f>IFERROR(LN(INDEX(Data!$F$2:$F$497,MATCH(N583,Data!$A$2:$A$497,1))/INDEX(Data!$F$2:$F$497,MATCH(N571,Data!$A$2:$A$497,1))),"")</f>
        <v>-0.344772260809985</v>
      </c>
      <c r="AQ583" s="560">
        <f>IFERROR(LN(INDEX(Data!$G$2:$G$497,MATCH(N583,Data!$A$2:$A$497,1))/INDEX(Data!$G$2:$G$497,MATCH(N571,Data!$A$2:$A$497,1))),"")</f>
        <v>0.0777487237457844</v>
      </c>
      <c r="AR583" s="560">
        <f>IFERROR(LN(INDEX(Data!$H$2:$H$497,MATCH(N583,Data!$A$2:$A$497,1))/INDEX(Data!$H$2:$H$497,MATCH(N571,Data!$A$2:$A$497,1))),"")</f>
        <v>0.067148907302555</v>
      </c>
      <c r="AS583" s="560">
        <f>IFERROR(LN(INDEX(Data!$I$2:$I$497,MATCH(N583,Data!$A$2:$A$497,1))/INDEX(Data!$I$2:$I$497,MATCH(N571,Data!$A$2:$A$497,1))),"")</f>
        <v>0.0834438955027814</v>
      </c>
      <c r="AT583" s="560">
        <f>IFERROR(LN(INDEX(Data!$J$2:$J$497,MATCH(N583,Data!$A$2:$A$497,1))/INDEX(Data!$J$2:$J$497,MATCH(N571,Data!$A$2:$A$497,1))),"")</f>
        <v>0.0194679570928964</v>
      </c>
      <c r="AU583" s="560">
        <f>IFERROR(LN(INDEX(Data!$K$2:$K$497,MATCH(N583,Data!$A$2:$A$497,1))/INDEX(Data!$K$2:$K$497,MATCH(N571,Data!$A$2:$A$497,1))),"")</f>
        <v>0.0440879954457097</v>
      </c>
      <c r="AV583" s="561">
        <f>IFERROR(LN(INDEX(Data!$L$2:$L$497,MATCH(N583,Data!$A$2:$A$497,1))/INDEX(Data!$L$2:$L$497,MATCH(N571,Data!$A$2:$A$497,1))),"")</f>
        <v>0.0221869718907984</v>
      </c>
    </row>
    <row r="584">
      <c r="N584" s="337" t="n">
        <v>42490</v>
      </c>
      <c r="O584" s="116">
        <f>INDEX('Additional data'!$B$2:$B$965,MATCH(DATE(YEAR(N584),MONTH(N584),1),'Additional data'!$A$2:$A$965,0))</f>
        <v>40.75</v>
      </c>
      <c r="P584" s="489">
        <f>LN(O584)</f>
        <v>3.70745583968687</v>
      </c>
      <c r="Q584" s="489">
        <f>Q583+LN(1+INDEX('Additional data'!$H$2:$H$1196,MATCH(N584,'Additional data'!$G$2:$G$1196,1))+INDEX('Additional data'!$I$2:$I$1196,MATCH(N584,'Additional data'!$G$2:$G$1196,1)))</f>
        <v>4.52867741733404</v>
      </c>
      <c r="R584" s="489">
        <f>LN(INDEX(Data!$B$2:$B$497,MATCH(N584,Data!$A$2:$A$497,1)))</f>
        <v>10.7825620015973</v>
      </c>
      <c r="S584" s="116">
        <f>IF(INDEX('Additional data'!$E$2:$E$699,MATCH(DATE(YEAR(N584),MONTH(N584),1),'Additional data'!$D$2:$D$699,0))=0,(INDEX('Additional data'!$E$2:$E$699,MATCH(DATE(YEAR(N584),MONTH(N584),1),'Additional data'!$D$2:$D$699,0)-1)+INDEX('Additional data'!$E$2:$E$699,MATCH(DATE(YEAR(N584),MONTH(N584),1),'Additional data'!$D$2:$D$699,0)+1))/2,INDEX('Additional data'!$E$2:$E$699,MATCH(DATE(YEAR(N584),MONTH(N584),1),'Additional data'!$D$2:$D$699,0)))</f>
        <v>2.26</v>
      </c>
      <c r="T584" s="425">
        <f>P584-P583</f>
        <v>0.081782461476728</v>
      </c>
      <c r="U584" s="425">
        <f>Q584-Q583</f>
        <v>0.0092570212626768</v>
      </c>
      <c r="V584" s="425">
        <f>R584-R583</f>
        <v>0.0318387281867896</v>
      </c>
      <c r="W584" s="116">
        <f>S584-S583</f>
        <v>-0.0500000000000003</v>
      </c>
      <c r="X584" s="425">
        <f>P584-P572</f>
        <v>-0.289827009692098</v>
      </c>
      <c r="Y584" s="425">
        <f>Q584-Q572</f>
        <v>-0.00337476329843778</v>
      </c>
      <c r="Z584" s="425">
        <f>R584-R572</f>
        <v>-0.037202570986679</v>
      </c>
      <c r="AA584" s="116">
        <f>S584-S572</f>
        <v>0.00999999999999979</v>
      </c>
      <c r="AB584" s="425">
        <f>P584-P524</f>
        <v>-0.993388096369502</v>
      </c>
      <c r="AC584" s="425">
        <f>Q584-Q524</f>
        <v>0.500833281611024</v>
      </c>
      <c r="AD584" s="425">
        <f>R584-R524</f>
        <v>0.301804949470883</v>
      </c>
      <c r="AE584" s="235">
        <f>S584-S524</f>
        <v>-2.64</v>
      </c>
      <c r="AG584" s="554">
        <f>N584</f>
        <v>42490.0</v>
      </c>
      <c r="AH584" s="435">
        <f>IFERROR(INDEX('RBA 5Y yield'!$B$5:$B$661,MATCH(N584,'RBA 5Y yield'!$A$5:$A$661,1))*100,"")</f>
        <v>2.091</v>
      </c>
      <c r="AI584" s="435">
        <f>IF(AND(ISNUMBER(AH584),ISNUMBER(AH583)),AH584-AH583,"")</f>
        <v>-0.0430000000000002</v>
      </c>
      <c r="AJ584" s="435">
        <f>IF(AND(ISNUMBER(AH584),ISNUMBER(AH572)),AH584-AH572,"")</f>
        <v>0.144</v>
      </c>
      <c r="AK584" s="435">
        <f>IF(AND(ISNUMBER(AH584),ISNUMBER(AH524)),AH584-AH524,"")</f>
        <v>-3.2015</v>
      </c>
      <c r="AL584" s="560">
        <f>IFERROR(LN(INDEX(Data!$B$2:$B$497,MATCH(N584,Data!$A$2:$A$497,1))/INDEX(Data!$B$2:$B$497,MATCH(N572,Data!$A$2:$A$497,1))),"")</f>
        <v>-0.0372025709866795</v>
      </c>
      <c r="AM584" s="560">
        <f>IFERROR(LN(INDEX(Data!$C$2:$C$497,MATCH(N584,Data!$A$2:$A$497,1))/INDEX(Data!$C$2:$C$497,MATCH(N572,Data!$A$2:$A$497,1))),"")</f>
        <v>-0.00964971216181978</v>
      </c>
      <c r="AN584" s="560">
        <f>IFERROR(LN(INDEX(Data!$D$2:$D$497,MATCH(N584,Data!$A$2:$A$497,1))/INDEX(Data!$D$2:$D$497,MATCH(N572,Data!$A$2:$A$497,1))),"")</f>
        <v>-0.0994848278756654</v>
      </c>
      <c r="AO584" s="560">
        <f>IFERROR(LN(INDEX(Data!$E$2:$E$497,MATCH(N584,Data!$A$2:$A$497,1))/INDEX(Data!$E$2:$E$497,MATCH(N572,Data!$A$2:$A$497,1))),"")</f>
        <v>0.0969894638463965</v>
      </c>
      <c r="AP584" s="560">
        <f>IFERROR(LN(INDEX(Data!$F$2:$F$497,MATCH(N584,Data!$A$2:$A$497,1))/INDEX(Data!$F$2:$F$497,MATCH(N572,Data!$A$2:$A$497,1))),"")</f>
        <v>-0.313161108744845</v>
      </c>
      <c r="AQ584" s="560">
        <f>IFERROR(LN(INDEX(Data!$G$2:$G$497,MATCH(N584,Data!$A$2:$A$497,1))/INDEX(Data!$G$2:$G$497,MATCH(N572,Data!$A$2:$A$497,1))),"")</f>
        <v>0.0777487237457844</v>
      </c>
      <c r="AR584" s="560">
        <f>IFERROR(LN(INDEX(Data!$H$2:$H$497,MATCH(N584,Data!$A$2:$A$497,1))/INDEX(Data!$H$2:$H$497,MATCH(N572,Data!$A$2:$A$497,1))),"")</f>
        <v>0.0570096554301743</v>
      </c>
      <c r="AS584" s="560">
        <f>IFERROR(LN(INDEX(Data!$I$2:$I$497,MATCH(N584,Data!$A$2:$A$497,1))/INDEX(Data!$I$2:$I$497,MATCH(N572,Data!$A$2:$A$497,1))),"")</f>
        <v>0.0834438955027814</v>
      </c>
      <c r="AT584" s="560">
        <f>IFERROR(LN(INDEX(Data!$J$2:$J$497,MATCH(N584,Data!$A$2:$A$497,1))/INDEX(Data!$J$2:$J$497,MATCH(N572,Data!$A$2:$A$497,1))),"")</f>
        <v>0.0332063050517005</v>
      </c>
      <c r="AU584" s="560">
        <f>IFERROR(LN(INDEX(Data!$K$2:$K$497,MATCH(N584,Data!$A$2:$A$497,1))/INDEX(Data!$K$2:$K$497,MATCH(N572,Data!$A$2:$A$497,1))),"")</f>
        <v>0.0507194617093632</v>
      </c>
      <c r="AV584" s="561">
        <f>IFERROR(LN(INDEX(Data!$L$2:$L$497,MATCH(N584,Data!$A$2:$A$497,1))/INDEX(Data!$L$2:$L$497,MATCH(N572,Data!$A$2:$A$497,1))),"")</f>
        <v>0.0223892026935902</v>
      </c>
    </row>
    <row r="585">
      <c r="N585" s="337" t="n">
        <v>42521</v>
      </c>
      <c r="O585" s="116">
        <f>INDEX('Additional data'!$B$2:$B$965,MATCH(DATE(YEAR(N585),MONTH(N585),1),'Additional data'!$A$2:$A$965,0))</f>
        <v>46.71</v>
      </c>
      <c r="P585" s="489">
        <f>LN(O585)</f>
        <v>3.84395827451402</v>
      </c>
      <c r="Q585" s="489">
        <f>Q584+LN(1+INDEX('Additional data'!$H$2:$H$1196,MATCH(N585,'Additional data'!$G$2:$G$1196,1))+INDEX('Additional data'!$I$2:$I$1196,MATCH(N585,'Additional data'!$G$2:$G$1196,1)))</f>
        <v>4.5464190988102</v>
      </c>
      <c r="R585" s="489">
        <f>LN(INDEX(Data!$B$2:$B$497,MATCH(N585,Data!$A$2:$A$497,1)))</f>
        <v>10.8129936223752</v>
      </c>
      <c r="S585" s="116">
        <f>IF(INDEX('Additional data'!$E$2:$E$699,MATCH(DATE(YEAR(N585),MONTH(N585),1),'Additional data'!$D$2:$D$699,0))=0,(INDEX('Additional data'!$E$2:$E$699,MATCH(DATE(YEAR(N585),MONTH(N585),1),'Additional data'!$D$2:$D$699,0)-1)+INDEX('Additional data'!$E$2:$E$699,MATCH(DATE(YEAR(N585),MONTH(N585),1),'Additional data'!$D$2:$D$699,0)+1))/2,INDEX('Additional data'!$E$2:$E$699,MATCH(DATE(YEAR(N585),MONTH(N585),1),'Additional data'!$D$2:$D$699,0)))</f>
        <v>2</v>
      </c>
      <c r="T585" s="425">
        <f>P585-P584</f>
        <v>0.136502434827145</v>
      </c>
      <c r="U585" s="425">
        <f>Q585-Q584</f>
        <v>0.0177416814761573</v>
      </c>
      <c r="V585" s="425">
        <f>R585-R584</f>
        <v>0.0304316207778843</v>
      </c>
      <c r="W585" s="116">
        <f>S585-S584</f>
        <v>-0.26</v>
      </c>
      <c r="X585" s="425">
        <f>P585-P573</f>
        <v>-0.23814500128573</v>
      </c>
      <c r="Y585" s="425">
        <f>Q585-Q573</f>
        <v>0.000759914771502501</v>
      </c>
      <c r="Z585" s="425">
        <f>R585-R573</f>
        <v>-0.0125626261936436</v>
      </c>
      <c r="AA585" s="116">
        <f>S585-S573</f>
        <v>-0.15</v>
      </c>
      <c r="AB585" s="425">
        <f>P585-P525</f>
        <v>-0.77442424294621</v>
      </c>
      <c r="AC585" s="425">
        <f>Q585-Q525</f>
        <v>0.531356297451914</v>
      </c>
      <c r="AD585" s="425">
        <f>R585-R525</f>
        <v>0.351267759013156</v>
      </c>
      <c r="AE585" s="235">
        <f>S585-S525</f>
        <v>-3.0025</v>
      </c>
      <c r="AG585" s="554">
        <f>N585</f>
        <v>42521.0</v>
      </c>
      <c r="AH585" s="435">
        <f>IFERROR(INDEX('RBA 5Y yield'!$B$5:$B$661,MATCH(N585,'RBA 5Y yield'!$A$5:$A$661,1))*100,"")</f>
        <v>1.832</v>
      </c>
      <c r="AI585" s="435">
        <f>IF(AND(ISNUMBER(AH585),ISNUMBER(AH584)),AH585-AH584,"")</f>
        <v>-0.259</v>
      </c>
      <c r="AJ585" s="435">
        <f>IF(AND(ISNUMBER(AH585),ISNUMBER(AH573)),AH585-AH573,"")</f>
        <v>-0.439</v>
      </c>
      <c r="AK585" s="435">
        <f>IF(AND(ISNUMBER(AH585),ISNUMBER(AH525)),AH585-AH525,"")</f>
        <v>-3.3205</v>
      </c>
      <c r="AL585" s="560">
        <f>IFERROR(LN(INDEX(Data!$B$2:$B$497,MATCH(N585,Data!$A$2:$A$497,1))/INDEX(Data!$B$2:$B$497,MATCH(N573,Data!$A$2:$A$497,1))),"")</f>
        <v>-0.0125626261936439</v>
      </c>
      <c r="AM585" s="560">
        <f>IFERROR(LN(INDEX(Data!$C$2:$C$497,MATCH(N585,Data!$A$2:$A$497,1))/INDEX(Data!$C$2:$C$497,MATCH(N573,Data!$A$2:$A$497,1))),"")</f>
        <v>0.0173348345591948</v>
      </c>
      <c r="AN585" s="560">
        <f>IFERROR(LN(INDEX(Data!$D$2:$D$497,MATCH(N585,Data!$A$2:$A$497,1))/INDEX(Data!$D$2:$D$497,MATCH(N573,Data!$A$2:$A$497,1))),"")</f>
        <v>-0.0600570865122097</v>
      </c>
      <c r="AO585" s="560">
        <f>IFERROR(LN(INDEX(Data!$E$2:$E$497,MATCH(N585,Data!$A$2:$A$497,1))/INDEX(Data!$E$2:$E$497,MATCH(N573,Data!$A$2:$A$497,1))),"")</f>
        <v>0.138218174575789</v>
      </c>
      <c r="AP585" s="560">
        <f>IFERROR(LN(INDEX(Data!$F$2:$F$497,MATCH(N585,Data!$A$2:$A$497,1))/INDEX(Data!$F$2:$F$497,MATCH(N573,Data!$A$2:$A$497,1))),"")</f>
        <v>-0.249095678650502</v>
      </c>
      <c r="AQ585" s="560">
        <f>IFERROR(LN(INDEX(Data!$G$2:$G$497,MATCH(N585,Data!$A$2:$A$497,1))/INDEX(Data!$G$2:$G$497,MATCH(N573,Data!$A$2:$A$497,1))),"")</f>
        <v>0.0777487237457844</v>
      </c>
      <c r="AR585" s="560">
        <f>IFERROR(LN(INDEX(Data!$H$2:$H$497,MATCH(N585,Data!$A$2:$A$497,1))/INDEX(Data!$H$2:$H$497,MATCH(N573,Data!$A$2:$A$497,1))),"")</f>
        <v>0.038621584290345</v>
      </c>
      <c r="AS585" s="560">
        <f>IFERROR(LN(INDEX(Data!$I$2:$I$497,MATCH(N585,Data!$A$2:$A$497,1))/INDEX(Data!$I$2:$I$497,MATCH(N573,Data!$A$2:$A$497,1))),"")</f>
        <v>0.0834438955027814</v>
      </c>
      <c r="AT585" s="560">
        <f>IFERROR(LN(INDEX(Data!$J$2:$J$497,MATCH(N585,Data!$A$2:$A$497,1))/INDEX(Data!$J$2:$J$497,MATCH(N573,Data!$A$2:$A$497,1))),"")</f>
        <v>0.0453653174250176</v>
      </c>
      <c r="AU585" s="560">
        <f>IFERROR(LN(INDEX(Data!$K$2:$K$497,MATCH(N585,Data!$A$2:$A$497,1))/INDEX(Data!$K$2:$K$497,MATCH(N573,Data!$A$2:$A$497,1))),"")</f>
        <v>0.0589664262274156</v>
      </c>
      <c r="AV585" s="561">
        <f>IFERROR(LN(INDEX(Data!$L$2:$L$497,MATCH(N585,Data!$A$2:$A$497,1))/INDEX(Data!$L$2:$L$497,MATCH(N573,Data!$A$2:$A$497,1))),"")</f>
        <v>0.0222865909874803</v>
      </c>
    </row>
    <row r="586">
      <c r="N586" s="337" t="n">
        <v>42551</v>
      </c>
      <c r="O586" s="116">
        <f>INDEX('Additional data'!$B$2:$B$965,MATCH(DATE(YEAR(N586),MONTH(N586),1),'Additional data'!$A$2:$A$965,0))</f>
        <v>48.76</v>
      </c>
      <c r="P586" s="489">
        <f>LN(O586)</f>
        <v>3.88691030461307</v>
      </c>
      <c r="Q586" s="489">
        <f>Q585+LN(1+INDEX('Additional data'!$H$2:$H$1196,MATCH(N586,'Additional data'!$G$2:$G$1196,1))+INDEX('Additional data'!$I$2:$I$1196,MATCH(N586,'Additional data'!$G$2:$G$1196,1)))</f>
        <v>4.54631909380986</v>
      </c>
      <c r="R586" s="489">
        <f>LN(INDEX(Data!$B$2:$B$497,MATCH(N586,Data!$A$2:$A$497,1)))</f>
        <v>10.7899448805695</v>
      </c>
      <c r="S586" s="116">
        <f>IF(INDEX('Additional data'!$E$2:$E$699,MATCH(DATE(YEAR(N586),MONTH(N586),1),'Additional data'!$D$2:$D$699,0))=0,(INDEX('Additional data'!$E$2:$E$699,MATCH(DATE(YEAR(N586),MONTH(N586),1),'Additional data'!$D$2:$D$699,0)-1)+INDEX('Additional data'!$E$2:$E$699,MATCH(DATE(YEAR(N586),MONTH(N586),1),'Additional data'!$D$2:$D$699,0)+1))/2,INDEX('Additional data'!$E$2:$E$699,MATCH(DATE(YEAR(N586),MONTH(N586),1),'Additional data'!$D$2:$D$699,0)))</f>
        <v>1.99</v>
      </c>
      <c r="T586" s="425">
        <f>P586-P585</f>
        <v>0.042952030099054</v>
      </c>
      <c r="U586" s="425">
        <f>Q586-Q585</f>
        <v>-0.000100005000333248</v>
      </c>
      <c r="V586" s="425">
        <f>R586-R585</f>
        <v>-0.0230487418057503</v>
      </c>
      <c r="W586" s="116">
        <f>S586-S585</f>
        <v>-0.01</v>
      </c>
      <c r="X586" s="425">
        <f>P586-P574</f>
        <v>-0.204429748588731</v>
      </c>
      <c r="Y586" s="425">
        <f>Q586-Q574</f>
        <v>0.0159766138830628</v>
      </c>
      <c r="Z586" s="425">
        <f>R586-R574</f>
        <v>0.0198838509756438</v>
      </c>
      <c r="AA586" s="116">
        <f>S586-S574</f>
        <v>-0.16</v>
      </c>
      <c r="AB586" s="425">
        <f>P586-P526</f>
        <v>-0.680454166639122</v>
      </c>
      <c r="AC586" s="425">
        <f>Q586-Q526</f>
        <v>0.54880945169917</v>
      </c>
      <c r="AD586" s="425">
        <f>R586-R526</f>
        <v>0.352378454597623</v>
      </c>
      <c r="AE586" s="235">
        <f>S586-S526</f>
        <v>-3.0025</v>
      </c>
      <c r="AG586" s="554">
        <f>N586</f>
        <v>42551.0</v>
      </c>
      <c r="AH586" s="435">
        <f>IFERROR(INDEX('RBA 5Y yield'!$B$5:$B$661,MATCH(N586,'RBA 5Y yield'!$A$5:$A$661,1))*100,"")</f>
        <v>1.721</v>
      </c>
      <c r="AI586" s="435">
        <f>IF(AND(ISNUMBER(AH586),ISNUMBER(AH585)),AH586-AH585,"")</f>
        <v>-0.111</v>
      </c>
      <c r="AJ586" s="435">
        <f>IF(AND(ISNUMBER(AH586),ISNUMBER(AH574)),AH586-AH574,"")</f>
        <v>-0.567</v>
      </c>
      <c r="AK586" s="435">
        <f>IF(AND(ISNUMBER(AH586),ISNUMBER(AH526)),AH586-AH526,"")</f>
        <v>-3.164</v>
      </c>
      <c r="AL586" s="560">
        <f>IFERROR(LN(INDEX(Data!$B$2:$B$497,MATCH(N586,Data!$A$2:$A$497,1))/INDEX(Data!$B$2:$B$497,MATCH(N574,Data!$A$2:$A$497,1))),"")</f>
        <v>0.019883850975643</v>
      </c>
      <c r="AM586" s="560">
        <f>IFERROR(LN(INDEX(Data!$C$2:$C$497,MATCH(N586,Data!$A$2:$A$497,1))/INDEX(Data!$C$2:$C$497,MATCH(N574,Data!$A$2:$A$497,1))),"")</f>
        <v>0.0106870684348672</v>
      </c>
      <c r="AN586" s="560">
        <f>IFERROR(LN(INDEX(Data!$D$2:$D$497,MATCH(N586,Data!$A$2:$A$497,1))/INDEX(Data!$D$2:$D$497,MATCH(N574,Data!$A$2:$A$497,1))),"")</f>
        <v>-0.0445905768573988</v>
      </c>
      <c r="AO586" s="560">
        <f>IFERROR(LN(INDEX(Data!$E$2:$E$497,MATCH(N586,Data!$A$2:$A$497,1))/INDEX(Data!$E$2:$E$497,MATCH(N574,Data!$A$2:$A$497,1))),"")</f>
        <v>0.19694736375841</v>
      </c>
      <c r="AP586" s="560">
        <f>IFERROR(LN(INDEX(Data!$F$2:$F$497,MATCH(N586,Data!$A$2:$A$497,1))/INDEX(Data!$F$2:$F$497,MATCH(N574,Data!$A$2:$A$497,1))),"")</f>
        <v>-0.27049881430425</v>
      </c>
      <c r="AQ586" s="560">
        <f>IFERROR(LN(INDEX(Data!$G$2:$G$497,MATCH(N586,Data!$A$2:$A$497,1))/INDEX(Data!$G$2:$G$497,MATCH(N574,Data!$A$2:$A$497,1))),"")</f>
        <v>0.0518651347570014</v>
      </c>
      <c r="AR586" s="560">
        <f>IFERROR(LN(INDEX(Data!$H$2:$H$497,MATCH(N586,Data!$A$2:$A$497,1))/INDEX(Data!$H$2:$H$497,MATCH(N574,Data!$A$2:$A$497,1))),"")</f>
        <v>0.0190620344748262</v>
      </c>
      <c r="AS586" s="560">
        <f>IFERROR(LN(INDEX(Data!$I$2:$I$497,MATCH(N586,Data!$A$2:$A$497,1))/INDEX(Data!$I$2:$I$497,MATCH(N574,Data!$A$2:$A$497,1))),"")</f>
        <v>0.106194161216819</v>
      </c>
      <c r="AT586" s="560">
        <f>IFERROR(LN(INDEX(Data!$J$2:$J$497,MATCH(N586,Data!$A$2:$A$497,1))/INDEX(Data!$J$2:$J$497,MATCH(N574,Data!$A$2:$A$497,1))),"")</f>
        <v>0.067877571673768</v>
      </c>
      <c r="AU586" s="560">
        <f>IFERROR(LN(INDEX(Data!$K$2:$K$497,MATCH(N586,Data!$A$2:$A$497,1))/INDEX(Data!$K$2:$K$497,MATCH(N574,Data!$A$2:$A$497,1))),"")</f>
        <v>0.0892615986058371</v>
      </c>
      <c r="AV586" s="561">
        <f>IFERROR(LN(INDEX(Data!$L$2:$L$497,MATCH(N586,Data!$A$2:$A$497,1))/INDEX(Data!$L$2:$L$497,MATCH(N574,Data!$A$2:$A$497,1))),"")</f>
        <v>0.0221277608097217</v>
      </c>
    </row>
    <row r="587">
      <c r="N587" s="337" t="n">
        <v>42582</v>
      </c>
      <c r="O587" s="116">
        <f>INDEX('Additional data'!$B$2:$B$965,MATCH(DATE(YEAR(N587),MONTH(N587),1),'Additional data'!$A$2:$A$965,0))</f>
        <v>44.65</v>
      </c>
      <c r="P587" s="489">
        <f>LN(O587)</f>
        <v>3.79885430732251</v>
      </c>
      <c r="Q587" s="489">
        <f>Q586+LN(1+INDEX('Additional data'!$H$2:$H$1196,MATCH(N587,'Additional data'!$G$2:$G$1196,1))+INDEX('Additional data'!$I$2:$I$1196,MATCH(N587,'Additional data'!$G$2:$G$1196,1)))</f>
        <v>4.58515511759506</v>
      </c>
      <c r="R587" s="489">
        <f>LN(INDEX(Data!$B$2:$B$497,MATCH(N587,Data!$A$2:$A$497,1)))</f>
        <v>10.8509077798673</v>
      </c>
      <c r="S587" s="116">
        <f>IF(INDEX('Additional data'!$E$2:$E$699,MATCH(DATE(YEAR(N587),MONTH(N587),1),'Additional data'!$D$2:$D$699,0))=0,(INDEX('Additional data'!$E$2:$E$699,MATCH(DATE(YEAR(N587),MONTH(N587),1),'Additional data'!$D$2:$D$699,0)-1)+INDEX('Additional data'!$E$2:$E$699,MATCH(DATE(YEAR(N587),MONTH(N587),1),'Additional data'!$D$2:$D$699,0)+1))/2,INDEX('Additional data'!$E$2:$E$699,MATCH(DATE(YEAR(N587),MONTH(N587),1),'Additional data'!$D$2:$D$699,0)))</f>
        <v>1.93</v>
      </c>
      <c r="T587" s="425">
        <f>P587-P586</f>
        <v>-0.0880559972905628</v>
      </c>
      <c r="U587" s="425">
        <f>Q587-Q586</f>
        <v>0.0388360237851986</v>
      </c>
      <c r="V587" s="425">
        <f>R587-R586</f>
        <v>0.0609628992977758</v>
      </c>
      <c r="W587" s="116">
        <f>S587-S586</f>
        <v>-0.0600000000000001</v>
      </c>
      <c r="X587" s="425">
        <f>P587-P575</f>
        <v>-0.131008616233969</v>
      </c>
      <c r="Y587" s="425">
        <f>Q587-Q575</f>
        <v>0.0392346077049428</v>
      </c>
      <c r="Z587" s="425">
        <f>R587-R575</f>
        <v>0.039375628967063</v>
      </c>
      <c r="AA587" s="116">
        <f>S587-S575</f>
        <v>-0.21</v>
      </c>
      <c r="AB587" s="425">
        <f>P587-P527</f>
        <v>-0.777813518192871</v>
      </c>
      <c r="AC587" s="425">
        <f>Q587-Q527</f>
        <v>0.611426004149771</v>
      </c>
      <c r="AD587" s="425">
        <f>R587-R527</f>
        <v>0.447938813375599</v>
      </c>
      <c r="AE587" s="235">
        <f>S587-S527</f>
        <v>-3.025</v>
      </c>
      <c r="AG587" s="554">
        <f>N587</f>
        <v>42582.0</v>
      </c>
      <c r="AH587" s="435">
        <f>IFERROR(INDEX('RBA 5Y yield'!$B$5:$B$661,MATCH(N587,'RBA 5Y yield'!$A$5:$A$661,1))*100,"")</f>
        <v>1.615</v>
      </c>
      <c r="AI587" s="435">
        <f>IF(AND(ISNUMBER(AH587),ISNUMBER(AH586)),AH587-AH586,"")</f>
        <v>-0.106</v>
      </c>
      <c r="AJ587" s="435">
        <f>IF(AND(ISNUMBER(AH587),ISNUMBER(AH575)),AH587-AH575,"")</f>
        <v>-0.589</v>
      </c>
      <c r="AK587" s="435">
        <f>IF(AND(ISNUMBER(AH587),ISNUMBER(AH527)),AH587-AH527,"")</f>
        <v>-3.0425</v>
      </c>
      <c r="AL587" s="560">
        <f>IFERROR(LN(INDEX(Data!$B$2:$B$497,MATCH(N587,Data!$A$2:$A$497,1))/INDEX(Data!$B$2:$B$497,MATCH(N575,Data!$A$2:$A$497,1))),"")</f>
        <v>0.0393756289670636</v>
      </c>
      <c r="AM587" s="560">
        <f>IFERROR(LN(INDEX(Data!$C$2:$C$497,MATCH(N587,Data!$A$2:$A$497,1))/INDEX(Data!$C$2:$C$497,MATCH(N575,Data!$A$2:$A$497,1))),"")</f>
        <v>-0.0397653038795177</v>
      </c>
      <c r="AN587" s="560">
        <f>IFERROR(LN(INDEX(Data!$D$2:$D$497,MATCH(N587,Data!$A$2:$A$497,1))/INDEX(Data!$D$2:$D$497,MATCH(N575,Data!$A$2:$A$497,1))),"")</f>
        <v>-0.0247792026466503</v>
      </c>
      <c r="AO587" s="560">
        <f>IFERROR(LN(INDEX(Data!$E$2:$E$497,MATCH(N587,Data!$A$2:$A$497,1))/INDEX(Data!$E$2:$E$497,MATCH(N575,Data!$A$2:$A$497,1))),"")</f>
        <v>0.127567964748973</v>
      </c>
      <c r="AP587" s="560">
        <f>IFERROR(LN(INDEX(Data!$F$2:$F$497,MATCH(N587,Data!$A$2:$A$497,1))/INDEX(Data!$F$2:$F$497,MATCH(N575,Data!$A$2:$A$497,1))),"")</f>
        <v>-0.285181409659992</v>
      </c>
      <c r="AQ587" s="560">
        <f>IFERROR(LN(INDEX(Data!$G$2:$G$497,MATCH(N587,Data!$A$2:$A$497,1))/INDEX(Data!$G$2:$G$497,MATCH(N575,Data!$A$2:$A$497,1))),"")</f>
        <v>0.0518651347570014</v>
      </c>
      <c r="AR587" s="560">
        <f>IFERROR(LN(INDEX(Data!$H$2:$H$497,MATCH(N587,Data!$A$2:$A$497,1))/INDEX(Data!$H$2:$H$497,MATCH(N575,Data!$A$2:$A$497,1))),"")</f>
        <v>0.0371449911933278</v>
      </c>
      <c r="AS587" s="560">
        <f>IFERROR(LN(INDEX(Data!$I$2:$I$497,MATCH(N587,Data!$A$2:$A$497,1))/INDEX(Data!$I$2:$I$497,MATCH(N575,Data!$A$2:$A$497,1))),"")</f>
        <v>0.106194161216819</v>
      </c>
      <c r="AT587" s="560">
        <f>IFERROR(LN(INDEX(Data!$J$2:$J$497,MATCH(N587,Data!$A$2:$A$497,1))/INDEX(Data!$J$2:$J$497,MATCH(N575,Data!$A$2:$A$497,1))),"")</f>
        <v>0.0623337457193675</v>
      </c>
      <c r="AU587" s="560">
        <f>IFERROR(LN(INDEX(Data!$K$2:$K$497,MATCH(N587,Data!$A$2:$A$497,1))/INDEX(Data!$K$2:$K$497,MATCH(N575,Data!$A$2:$A$497,1))),"")</f>
        <v>0.0842197852566371</v>
      </c>
      <c r="AV587" s="561">
        <f>IFERROR(LN(INDEX(Data!$L$2:$L$497,MATCH(N587,Data!$A$2:$A$497,1))/INDEX(Data!$L$2:$L$497,MATCH(N575,Data!$A$2:$A$497,1))),"")</f>
        <v>0.0220248001582048</v>
      </c>
    </row>
    <row r="588">
      <c r="N588" s="337" t="n">
        <v>42613</v>
      </c>
      <c r="O588" s="116">
        <f>INDEX('Additional data'!$B$2:$B$965,MATCH(DATE(YEAR(N588),MONTH(N588),1),'Additional data'!$A$2:$A$965,0))</f>
        <v>44.72</v>
      </c>
      <c r="P588" s="489">
        <f>LN(O588)</f>
        <v>3.80042082884684</v>
      </c>
      <c r="Q588" s="489">
        <f>Q587+LN(1+INDEX('Additional data'!$H$2:$H$1196,MATCH(N588,'Additional data'!$G$2:$G$1196,1))+INDEX('Additional data'!$I$2:$I$1196,MATCH(N588,'Additional data'!$G$2:$G$1196,1)))</f>
        <v>4.59024215664362</v>
      </c>
      <c r="R588" s="489">
        <f>LN(INDEX(Data!$B$2:$B$497,MATCH(N588,Data!$A$2:$A$497,1)))</f>
        <v>10.8375508068317</v>
      </c>
      <c r="S588" s="116">
        <f>IF(INDEX('Additional data'!$E$2:$E$699,MATCH(DATE(YEAR(N588),MONTH(N588),1),'Additional data'!$D$2:$D$699,0))=0,(INDEX('Additional data'!$E$2:$E$699,MATCH(DATE(YEAR(N588),MONTH(N588),1),'Additional data'!$D$2:$D$699,0)-1)+INDEX('Additional data'!$E$2:$E$699,MATCH(DATE(YEAR(N588),MONTH(N588),1),'Additional data'!$D$2:$D$699,0)+1))/2,INDEX('Additional data'!$E$2:$E$699,MATCH(DATE(YEAR(N588),MONTH(N588),1),'Additional data'!$D$2:$D$699,0)))</f>
        <v>1.76</v>
      </c>
      <c r="T588" s="425">
        <f>P588-P587</f>
        <v>0.00156652152433567</v>
      </c>
      <c r="U588" s="425">
        <f>Q588-Q587</f>
        <v>0.0050870390485569</v>
      </c>
      <c r="V588" s="425">
        <f>R588-R587</f>
        <v>-0.0133569730355401</v>
      </c>
      <c r="W588" s="116">
        <f>S588-S587</f>
        <v>-0.17</v>
      </c>
      <c r="X588" s="425">
        <f>P588-P576</f>
        <v>0.0422485482369579</v>
      </c>
      <c r="Y588" s="425">
        <f>Q588-Q576</f>
        <v>0.106409839066921</v>
      </c>
      <c r="Z588" s="425">
        <f>R588-R576</f>
        <v>0.101801494225285</v>
      </c>
      <c r="AA588" s="116">
        <f>S588-S576</f>
        <v>-0.38</v>
      </c>
      <c r="AB588" s="425">
        <f>P588-P528</f>
        <v>-0.657756333400588</v>
      </c>
      <c r="AC588" s="425">
        <f>Q588-Q528</f>
        <v>0.677856673439381</v>
      </c>
      <c r="AD588" s="425">
        <f>R588-R528</f>
        <v>0.454833078891006</v>
      </c>
      <c r="AE588" s="235">
        <f>S588-S528</f>
        <v>-3.0975</v>
      </c>
      <c r="AG588" s="554">
        <f>N588</f>
        <v>42613.0</v>
      </c>
      <c r="AH588" s="435">
        <f>IFERROR(INDEX('RBA 5Y yield'!$B$5:$B$661,MATCH(N588,'RBA 5Y yield'!$A$5:$A$661,1))*100,"")</f>
        <v>1.537</v>
      </c>
      <c r="AI588" s="435">
        <f>IF(AND(ISNUMBER(AH588),ISNUMBER(AH587)),AH588-AH587,"")</f>
        <v>-0.0780000000000003</v>
      </c>
      <c r="AJ588" s="435">
        <f>IF(AND(ISNUMBER(AH588),ISNUMBER(AH576)),AH588-AH576,"")</f>
        <v>-0.563</v>
      </c>
      <c r="AK588" s="435">
        <f>IF(AND(ISNUMBER(AH588),ISNUMBER(AH528)),AH588-AH528,"")</f>
        <v>-2.4805</v>
      </c>
      <c r="AL588" s="560">
        <f>IFERROR(LN(INDEX(Data!$B$2:$B$497,MATCH(N588,Data!$A$2:$A$497,1))/INDEX(Data!$B$2:$B$497,MATCH(N576,Data!$A$2:$A$497,1))),"")</f>
        <v>0.101801494225284</v>
      </c>
      <c r="AM588" s="560">
        <f>IFERROR(LN(INDEX(Data!$C$2:$C$497,MATCH(N588,Data!$A$2:$A$497,1))/INDEX(Data!$C$2:$C$497,MATCH(N576,Data!$A$2:$A$497,1))),"")</f>
        <v>0.00939925703504595</v>
      </c>
      <c r="AN588" s="560">
        <f>IFERROR(LN(INDEX(Data!$D$2:$D$497,MATCH(N588,Data!$A$2:$A$497,1))/INDEX(Data!$D$2:$D$497,MATCH(N576,Data!$A$2:$A$497,1))),"")</f>
        <v>0.0455326320901744</v>
      </c>
      <c r="AO588" s="560">
        <f>IFERROR(LN(INDEX(Data!$E$2:$E$497,MATCH(N588,Data!$A$2:$A$497,1))/INDEX(Data!$E$2:$E$497,MATCH(N576,Data!$A$2:$A$497,1))),"")</f>
        <v>0.132203286714559</v>
      </c>
      <c r="AP588" s="560">
        <f>IFERROR(LN(INDEX(Data!$F$2:$F$497,MATCH(N588,Data!$A$2:$A$497,1))/INDEX(Data!$F$2:$F$497,MATCH(N576,Data!$A$2:$A$497,1))),"")</f>
        <v>-0.294590646611068</v>
      </c>
      <c r="AQ588" s="560">
        <f>IFERROR(LN(INDEX(Data!$G$2:$G$497,MATCH(N588,Data!$A$2:$A$497,1))/INDEX(Data!$G$2:$G$497,MATCH(N576,Data!$A$2:$A$497,1))),"")</f>
        <v>0.0518651347570014</v>
      </c>
      <c r="AR588" s="560">
        <f>IFERROR(LN(INDEX(Data!$H$2:$H$497,MATCH(N588,Data!$A$2:$A$497,1))/INDEX(Data!$H$2:$H$497,MATCH(N576,Data!$A$2:$A$497,1))),"")</f>
        <v>0.0434340061817316</v>
      </c>
      <c r="AS588" s="560">
        <f>IFERROR(LN(INDEX(Data!$I$2:$I$497,MATCH(N588,Data!$A$2:$A$497,1))/INDEX(Data!$I$2:$I$497,MATCH(N576,Data!$A$2:$A$497,1))),"")</f>
        <v>0.106194161216819</v>
      </c>
      <c r="AT588" s="560">
        <f>IFERROR(LN(INDEX(Data!$J$2:$J$497,MATCH(N588,Data!$A$2:$A$497,1))/INDEX(Data!$J$2:$J$497,MATCH(N576,Data!$A$2:$A$497,1))),"")</f>
        <v>0.0601748298340137</v>
      </c>
      <c r="AU588" s="560">
        <f>IFERROR(LN(INDEX(Data!$K$2:$K$497,MATCH(N588,Data!$A$2:$A$497,1))/INDEX(Data!$K$2:$K$497,MATCH(N576,Data!$A$2:$A$497,1))),"")</f>
        <v>0.0857523632961671</v>
      </c>
      <c r="AV588" s="561">
        <f>IFERROR(LN(INDEX(Data!$L$2:$L$497,MATCH(N588,Data!$A$2:$A$497,1))/INDEX(Data!$L$2:$L$497,MATCH(N576,Data!$A$2:$A$497,1))),"")</f>
        <v>0.0219154456073175</v>
      </c>
    </row>
    <row r="589">
      <c r="N589" s="337" t="n">
        <v>42643</v>
      </c>
      <c r="O589" s="116">
        <f>INDEX('Additional data'!$B$2:$B$965,MATCH(DATE(YEAR(N589),MONTH(N589),1),'Additional data'!$A$2:$A$965,0))</f>
        <v>45.18</v>
      </c>
      <c r="P589" s="489">
        <f>LN(O589)</f>
        <v>3.81065451103986</v>
      </c>
      <c r="Q589" s="489">
        <f>Q588+LN(1+INDEX('Additional data'!$H$2:$H$1196,MATCH(N589,'Additional data'!$G$2:$G$1196,1))+INDEX('Additional data'!$I$2:$I$1196,MATCH(N589,'Additional data'!$G$2:$G$1196,1)))</f>
        <v>4.59313795975564</v>
      </c>
      <c r="R589" s="489">
        <f>LN(INDEX(Data!$B$2:$B$497,MATCH(N589,Data!$A$2:$A$497,1)))</f>
        <v>10.8415464869948</v>
      </c>
      <c r="S589" s="116">
        <f>IF(INDEX('Additional data'!$E$2:$E$699,MATCH(DATE(YEAR(N589),MONTH(N589),1),'Additional data'!$D$2:$D$699,0))=0,(INDEX('Additional data'!$E$2:$E$699,MATCH(DATE(YEAR(N589),MONTH(N589),1),'Additional data'!$D$2:$D$699,0)-1)+INDEX('Additional data'!$E$2:$E$699,MATCH(DATE(YEAR(N589),MONTH(N589),1),'Additional data'!$D$2:$D$699,0)+1))/2,INDEX('Additional data'!$E$2:$E$699,MATCH(DATE(YEAR(N589),MONTH(N589),1),'Additional data'!$D$2:$D$699,0)))</f>
        <v>1.73</v>
      </c>
      <c r="T589" s="425">
        <f>P589-P588</f>
        <v>0.0102336821930136</v>
      </c>
      <c r="U589" s="425">
        <f>Q589-Q588</f>
        <v>0.00289580311202542</v>
      </c>
      <c r="V589" s="425">
        <f>R589-R588</f>
        <v>0.00399568016311314</v>
      </c>
      <c r="W589" s="116">
        <f>S589-S588</f>
        <v>-0.03</v>
      </c>
      <c r="X589" s="425">
        <f>P589-P577</f>
        <v>-0.00661815784247821</v>
      </c>
      <c r="Y589" s="425">
        <f>Q589-Q577</f>
        <v>0.140383597749808</v>
      </c>
      <c r="Z589" s="425">
        <f>R589-R577</f>
        <v>0.131128417211187</v>
      </c>
      <c r="AA589" s="116">
        <f>S589-S577</f>
        <v>-0.44</v>
      </c>
      <c r="AB589" s="425">
        <f>P589-P529</f>
        <v>-0.639147587714537</v>
      </c>
      <c r="AC589" s="425">
        <f>Q589-Q529</f>
        <v>0.759579257097377</v>
      </c>
      <c r="AD589" s="425">
        <f>R589-R529</f>
        <v>0.52363054519491</v>
      </c>
      <c r="AE589" s="235">
        <f>S589-S529</f>
        <v>-3.08</v>
      </c>
      <c r="AG589" s="554">
        <f>N589</f>
        <v>42643.0</v>
      </c>
      <c r="AH589" s="435">
        <f>IFERROR(INDEX('RBA 5Y yield'!$B$5:$B$661,MATCH(N589,'RBA 5Y yield'!$A$5:$A$661,1))*100,"")</f>
        <v>1.695</v>
      </c>
      <c r="AI589" s="435">
        <f>IF(AND(ISNUMBER(AH589),ISNUMBER(AH588)),AH589-AH588,"")</f>
        <v>0.158</v>
      </c>
      <c r="AJ589" s="435">
        <f>IF(AND(ISNUMBER(AH589),ISNUMBER(AH577)),AH589-AH577,"")</f>
        <v>-0.406</v>
      </c>
      <c r="AK589" s="435">
        <f>IF(AND(ISNUMBER(AH589),ISNUMBER(AH529)),AH589-AH529,"")</f>
        <v>-2.0925</v>
      </c>
      <c r="AL589" s="560">
        <f>IFERROR(LN(INDEX(Data!$B$2:$B$497,MATCH(N589,Data!$A$2:$A$497,1))/INDEX(Data!$B$2:$B$497,MATCH(N577,Data!$A$2:$A$497,1))),"")</f>
        <v>0.131128417211188</v>
      </c>
      <c r="AM589" s="560">
        <f>IFERROR(LN(INDEX(Data!$C$2:$C$497,MATCH(N589,Data!$A$2:$A$497,1))/INDEX(Data!$C$2:$C$497,MATCH(N577,Data!$A$2:$A$497,1))),"")</f>
        <v>0.0199062195687312</v>
      </c>
      <c r="AN589" s="560">
        <f>IFERROR(LN(INDEX(Data!$D$2:$D$497,MATCH(N589,Data!$A$2:$A$497,1))/INDEX(Data!$D$2:$D$497,MATCH(N577,Data!$A$2:$A$497,1))),"")</f>
        <v>0.0395716811303502</v>
      </c>
      <c r="AO589" s="560">
        <f>IFERROR(LN(INDEX(Data!$E$2:$E$497,MATCH(N589,Data!$A$2:$A$497,1))/INDEX(Data!$E$2:$E$497,MATCH(N577,Data!$A$2:$A$497,1))),"")</f>
        <v>0.0662597326217458</v>
      </c>
      <c r="AP589" s="560">
        <f>IFERROR(LN(INDEX(Data!$F$2:$F$497,MATCH(N589,Data!$A$2:$A$497,1))/INDEX(Data!$F$2:$F$497,MATCH(N577,Data!$A$2:$A$497,1))),"")</f>
        <v>-0.21618458630694</v>
      </c>
      <c r="AQ589" s="560">
        <f>IFERROR(LN(INDEX(Data!$G$2:$G$497,MATCH(N589,Data!$A$2:$A$497,1))/INDEX(Data!$G$2:$G$497,MATCH(N577,Data!$A$2:$A$497,1))),"")</f>
        <v>0.0466506109442397</v>
      </c>
      <c r="AR589" s="560">
        <f>IFERROR(LN(INDEX(Data!$H$2:$H$497,MATCH(N589,Data!$A$2:$A$497,1))/INDEX(Data!$H$2:$H$497,MATCH(N577,Data!$A$2:$A$497,1))),"")</f>
        <v>0.0141234667201958</v>
      </c>
      <c r="AS589" s="560">
        <f>IFERROR(LN(INDEX(Data!$I$2:$I$497,MATCH(N589,Data!$A$2:$A$497,1))/INDEX(Data!$I$2:$I$497,MATCH(N577,Data!$A$2:$A$497,1))),"")</f>
        <v>0.0999906301203275</v>
      </c>
      <c r="AT589" s="560">
        <f>IFERROR(LN(INDEX(Data!$J$2:$J$497,MATCH(N589,Data!$A$2:$A$497,1))/INDEX(Data!$J$2:$J$497,MATCH(N577,Data!$A$2:$A$497,1))),"")</f>
        <v>0.0554757649461326</v>
      </c>
      <c r="AU589" s="560">
        <f>IFERROR(LN(INDEX(Data!$K$2:$K$497,MATCH(N589,Data!$A$2:$A$497,1))/INDEX(Data!$K$2:$K$497,MATCH(N577,Data!$A$2:$A$497,1))),"")</f>
        <v>0.0789473421495401</v>
      </c>
      <c r="AV589" s="561">
        <f>IFERROR(LN(INDEX(Data!$L$2:$L$497,MATCH(N589,Data!$A$2:$A$497,1))/INDEX(Data!$L$2:$L$497,MATCH(N577,Data!$A$2:$A$497,1))),"")</f>
        <v>0.0215542934902574</v>
      </c>
    </row>
    <row r="590">
      <c r="N590" s="337" t="n">
        <v>42674</v>
      </c>
      <c r="O590" s="116">
        <f>INDEX('Additional data'!$B$2:$B$965,MATCH(DATE(YEAR(N590),MONTH(N590),1),'Additional data'!$A$2:$A$965,0))</f>
        <v>49.78</v>
      </c>
      <c r="P590" s="489">
        <f>LN(O590)</f>
        <v>3.90761329693945</v>
      </c>
      <c r="Q590" s="489">
        <f>Q589+LN(1+INDEX('Additional data'!$H$2:$H$1196,MATCH(N590,'Additional data'!$G$2:$G$1196,1))+INDEX('Additional data'!$I$2:$I$1196,MATCH(N590,'Additional data'!$G$2:$G$1196,1)))</f>
        <v>4.57303728804864</v>
      </c>
      <c r="R590" s="489">
        <f>LN(INDEX(Data!$B$2:$B$497,MATCH(N590,Data!$A$2:$A$497,1)))</f>
        <v>10.8195406831891</v>
      </c>
      <c r="S590" s="116">
        <f>IF(INDEX('Additional data'!$E$2:$E$699,MATCH(DATE(YEAR(N590),MONTH(N590),1),'Additional data'!$D$2:$D$699,0))=0,(INDEX('Additional data'!$E$2:$E$699,MATCH(DATE(YEAR(N590),MONTH(N590),1),'Additional data'!$D$2:$D$699,0)-1)+INDEX('Additional data'!$E$2:$E$699,MATCH(DATE(YEAR(N590),MONTH(N590),1),'Additional data'!$D$2:$D$699,0)+1))/2,INDEX('Additional data'!$E$2:$E$699,MATCH(DATE(YEAR(N590),MONTH(N590),1),'Additional data'!$D$2:$D$699,0)))</f>
        <v>1.74</v>
      </c>
      <c r="T590" s="425">
        <f>P590-P589</f>
        <v>0.0969587858995888</v>
      </c>
      <c r="U590" s="425">
        <f>Q590-Q589</f>
        <v>-0.0201006717070031</v>
      </c>
      <c r="V590" s="425">
        <f>R590-R589</f>
        <v>-0.0220058038056852</v>
      </c>
      <c r="W590" s="116">
        <f>S590-S589</f>
        <v>0.01</v>
      </c>
      <c r="X590" s="425">
        <f>P590-P578</f>
        <v>0.0742006920932115</v>
      </c>
      <c r="Y590" s="425">
        <f>Q590-Q578</f>
        <v>0.045639383047039</v>
      </c>
      <c r="Z590" s="425">
        <f>R590-R578</f>
        <v>0.0642395693431599</v>
      </c>
      <c r="AA590" s="116">
        <f>S590-S578</f>
        <v>-0.41</v>
      </c>
      <c r="AB590" s="425">
        <f>P590-P530</f>
        <v>-0.551490112913862</v>
      </c>
      <c r="AC590" s="425">
        <f>Q590-Q530</f>
        <v>0.632150007637849</v>
      </c>
      <c r="AD590" s="425">
        <f>R590-R530</f>
        <v>0.432368510563128</v>
      </c>
      <c r="AE590" s="235">
        <f>S590-S530</f>
        <v>-2.985</v>
      </c>
      <c r="AG590" s="554">
        <f>N590</f>
        <v>42674.0</v>
      </c>
      <c r="AH590" s="435">
        <f>IFERROR(INDEX('RBA 5Y yield'!$B$5:$B$661,MATCH(N590,'RBA 5Y yield'!$A$5:$A$661,1))*100,"")</f>
        <v>1.842</v>
      </c>
      <c r="AI590" s="435">
        <f>IF(AND(ISNUMBER(AH590),ISNUMBER(AH589)),AH590-AH589,"")</f>
        <v>0.147</v>
      </c>
      <c r="AJ590" s="435">
        <f>IF(AND(ISNUMBER(AH590),ISNUMBER(AH578)),AH590-AH578,"")</f>
        <v>-0.23</v>
      </c>
      <c r="AK590" s="435">
        <f>IF(AND(ISNUMBER(AH590),ISNUMBER(AH530)),AH590-AH530,"")</f>
        <v>-2.103</v>
      </c>
      <c r="AL590" s="560">
        <f>IFERROR(LN(INDEX(Data!$B$2:$B$497,MATCH(N590,Data!$A$2:$A$497,1))/INDEX(Data!$B$2:$B$497,MATCH(N578,Data!$A$2:$A$497,1))),"")</f>
        <v>0.0642395693431599</v>
      </c>
      <c r="AM590" s="560">
        <f>IFERROR(LN(INDEX(Data!$C$2:$C$497,MATCH(N590,Data!$A$2:$A$497,1))/INDEX(Data!$C$2:$C$497,MATCH(N578,Data!$A$2:$A$497,1))),"")</f>
        <v>-0.0411514623221267</v>
      </c>
      <c r="AN590" s="560">
        <f>IFERROR(LN(INDEX(Data!$D$2:$D$497,MATCH(N590,Data!$A$2:$A$497,1))/INDEX(Data!$D$2:$D$497,MATCH(N578,Data!$A$2:$A$497,1))),"")</f>
        <v>0.0143461926751983</v>
      </c>
      <c r="AO590" s="560">
        <f>IFERROR(LN(INDEX(Data!$E$2:$E$497,MATCH(N590,Data!$A$2:$A$497,1))/INDEX(Data!$E$2:$E$497,MATCH(N578,Data!$A$2:$A$497,1))),"")</f>
        <v>-0.0191617952233586</v>
      </c>
      <c r="AP590" s="560">
        <f>IFERROR(LN(INDEX(Data!$F$2:$F$497,MATCH(N590,Data!$A$2:$A$497,1))/INDEX(Data!$F$2:$F$497,MATCH(N578,Data!$A$2:$A$497,1))),"")</f>
        <v>-0.212103779673216</v>
      </c>
      <c r="AQ590" s="560">
        <f>IFERROR(LN(INDEX(Data!$G$2:$G$497,MATCH(N590,Data!$A$2:$A$497,1))/INDEX(Data!$G$2:$G$497,MATCH(N578,Data!$A$2:$A$497,1))),"")</f>
        <v>0.0466506109442397</v>
      </c>
      <c r="AR590" s="560">
        <f>IFERROR(LN(INDEX(Data!$H$2:$H$497,MATCH(N590,Data!$A$2:$A$497,1))/INDEX(Data!$H$2:$H$497,MATCH(N578,Data!$A$2:$A$497,1))),"")</f>
        <v>0.00656048908484407</v>
      </c>
      <c r="AS590" s="560">
        <f>IFERROR(LN(INDEX(Data!$I$2:$I$497,MATCH(N590,Data!$A$2:$A$497,1))/INDEX(Data!$I$2:$I$497,MATCH(N578,Data!$A$2:$A$497,1))),"")</f>
        <v>0.0999906301203275</v>
      </c>
      <c r="AT590" s="560">
        <f>IFERROR(LN(INDEX(Data!$J$2:$J$497,MATCH(N590,Data!$A$2:$A$497,1))/INDEX(Data!$J$2:$J$497,MATCH(N578,Data!$A$2:$A$497,1))),"")</f>
        <v>0.0396715945883138</v>
      </c>
      <c r="AU590" s="560">
        <f>IFERROR(LN(INDEX(Data!$K$2:$K$497,MATCH(N590,Data!$A$2:$A$497,1))/INDEX(Data!$K$2:$K$497,MATCH(N578,Data!$A$2:$A$497,1))),"")</f>
        <v>0.0649745379604636</v>
      </c>
      <c r="AV590" s="561">
        <f>IFERROR(LN(INDEX(Data!$L$2:$L$497,MATCH(N590,Data!$A$2:$A$497,1))/INDEX(Data!$L$2:$L$497,MATCH(N578,Data!$A$2:$A$497,1))),"")</f>
        <v>0.0212204948979146</v>
      </c>
    </row>
    <row r="591">
      <c r="N591" s="337" t="n">
        <v>42704</v>
      </c>
      <c r="O591" s="116">
        <f>INDEX('Additional data'!$B$2:$B$965,MATCH(DATE(YEAR(N591),MONTH(N591),1),'Additional data'!$A$2:$A$965,0))</f>
        <v>45.66</v>
      </c>
      <c r="P591" s="489">
        <f>LN(O591)</f>
        <v>3.82122264110165</v>
      </c>
      <c r="Q591" s="489">
        <f>Q590+LN(1+INDEX('Additional data'!$H$2:$H$1196,MATCH(N591,'Additional data'!$G$2:$G$1196,1))+INDEX('Additional data'!$I$2:$I$1196,MATCH(N591,'Additional data'!$G$2:$G$1196,1)))</f>
        <v>4.62058858990686</v>
      </c>
      <c r="R591" s="489">
        <f>LN(INDEX(Data!$B$2:$B$497,MATCH(N591,Data!$A$2:$A$497,1)))</f>
        <v>10.8438268455059</v>
      </c>
      <c r="S591" s="116">
        <f>IF(INDEX('Additional data'!$E$2:$E$699,MATCH(DATE(YEAR(N591),MONTH(N591),1),'Additional data'!$D$2:$D$699,0))=0,(INDEX('Additional data'!$E$2:$E$699,MATCH(DATE(YEAR(N591),MONTH(N591),1),'Additional data'!$D$2:$D$699,0)-1)+INDEX('Additional data'!$E$2:$E$699,MATCH(DATE(YEAR(N591),MONTH(N591),1),'Additional data'!$D$2:$D$699,0)+1))/2,INDEX('Additional data'!$E$2:$E$699,MATCH(DATE(YEAR(N591),MONTH(N591),1),'Additional data'!$D$2:$D$699,0)))</f>
        <v>1.76</v>
      </c>
      <c r="T591" s="425">
        <f>P591-P590</f>
        <v>-0.0863906558377967</v>
      </c>
      <c r="U591" s="425">
        <f>Q591-Q590</f>
        <v>0.0475513018582223</v>
      </c>
      <c r="V591" s="425">
        <f>R591-R590</f>
        <v>0.0242861623167343</v>
      </c>
      <c r="W591" s="116">
        <f>S591-S590</f>
        <v>0.02</v>
      </c>
      <c r="X591" s="425">
        <f>P591-P579</f>
        <v>0.0731313273558669</v>
      </c>
      <c r="Y591" s="425">
        <f>Q591-Q579</f>
        <v>0.0875068684369635</v>
      </c>
      <c r="Z591" s="425">
        <f>R591-R579</f>
        <v>0.0954327189249931</v>
      </c>
      <c r="AA591" s="116">
        <f>S591-S579</f>
        <v>-0.46</v>
      </c>
      <c r="AB591" s="425">
        <f>P591-P531</f>
        <v>-0.755650945731329</v>
      </c>
      <c r="AC591" s="425">
        <f>Q591-Q531</f>
        <v>0.682404961070386</v>
      </c>
      <c r="AD591" s="425">
        <f>R591-R531</f>
        <v>0.491601529704578</v>
      </c>
      <c r="AE591" s="235">
        <f>S591-S531</f>
        <v>-2.8625</v>
      </c>
      <c r="AG591" s="554">
        <f>N591</f>
        <v>42704.0</v>
      </c>
      <c r="AH591" s="435">
        <f>IFERROR(INDEX('RBA 5Y yield'!$B$5:$B$661,MATCH(N591,'RBA 5Y yield'!$A$5:$A$661,1))*100,"")</f>
        <v>2.016</v>
      </c>
      <c r="AI591" s="435">
        <f>IF(AND(ISNUMBER(AH591),ISNUMBER(AH590)),AH591-AH590,"")</f>
        <v>0.174</v>
      </c>
      <c r="AJ591" s="435">
        <f>IF(AND(ISNUMBER(AH591),ISNUMBER(AH579)),AH591-AH579,"")</f>
        <v>-0.263</v>
      </c>
      <c r="AK591" s="435">
        <f>IF(AND(ISNUMBER(AH591),ISNUMBER(AH531)),AH591-AH531,"")</f>
        <v>-1.5565</v>
      </c>
      <c r="AL591" s="560">
        <f>IFERROR(LN(INDEX(Data!$B$2:$B$497,MATCH(N591,Data!$A$2:$A$497,1))/INDEX(Data!$B$2:$B$497,MATCH(N579,Data!$A$2:$A$497,1))),"")</f>
        <v>0.095432718924993</v>
      </c>
      <c r="AM591" s="560">
        <f>IFERROR(LN(INDEX(Data!$C$2:$C$497,MATCH(N591,Data!$A$2:$A$497,1))/INDEX(Data!$C$2:$C$497,MATCH(N579,Data!$A$2:$A$497,1))),"")</f>
        <v>0.0234923230482729</v>
      </c>
      <c r="AN591" s="560">
        <f>IFERROR(LN(INDEX(Data!$D$2:$D$497,MATCH(N591,Data!$A$2:$A$497,1))/INDEX(Data!$D$2:$D$497,MATCH(N579,Data!$A$2:$A$497,1))),"")</f>
        <v>0.0645283595316199</v>
      </c>
      <c r="AO591" s="560">
        <f>IFERROR(LN(INDEX(Data!$E$2:$E$497,MATCH(N591,Data!$A$2:$A$497,1))/INDEX(Data!$E$2:$E$497,MATCH(N579,Data!$A$2:$A$497,1))),"")</f>
        <v>0.0198387263959181</v>
      </c>
      <c r="AP591" s="560">
        <f>IFERROR(LN(INDEX(Data!$F$2:$F$497,MATCH(N591,Data!$A$2:$A$497,1))/INDEX(Data!$F$2:$F$497,MATCH(N579,Data!$A$2:$A$497,1))),"")</f>
        <v>-0.0481534075201962</v>
      </c>
      <c r="AQ591" s="560">
        <f>IFERROR(LN(INDEX(Data!$G$2:$G$497,MATCH(N591,Data!$A$2:$A$497,1))/INDEX(Data!$G$2:$G$497,MATCH(N579,Data!$A$2:$A$497,1))),"")</f>
        <v>0.0466506109442397</v>
      </c>
      <c r="AR591" s="560">
        <f>IFERROR(LN(INDEX(Data!$H$2:$H$497,MATCH(N591,Data!$A$2:$A$497,1))/INDEX(Data!$H$2:$H$497,MATCH(N579,Data!$A$2:$A$497,1))),"")</f>
        <v>0.00636390956779705</v>
      </c>
      <c r="AS591" s="560">
        <f>IFERROR(LN(INDEX(Data!$I$2:$I$497,MATCH(N591,Data!$A$2:$A$497,1))/INDEX(Data!$I$2:$I$497,MATCH(N579,Data!$A$2:$A$497,1))),"")</f>
        <v>0.0999906301203275</v>
      </c>
      <c r="AT591" s="560">
        <f>IFERROR(LN(INDEX(Data!$J$2:$J$497,MATCH(N591,Data!$A$2:$A$497,1))/INDEX(Data!$J$2:$J$497,MATCH(N579,Data!$A$2:$A$497,1))),"")</f>
        <v>0.0338986724043772</v>
      </c>
      <c r="AU591" s="560">
        <f>IFERROR(LN(INDEX(Data!$K$2:$K$497,MATCH(N591,Data!$A$2:$A$497,1))/INDEX(Data!$K$2:$K$497,MATCH(N579,Data!$A$2:$A$497,1))),"")</f>
        <v>0.0465495510120409</v>
      </c>
      <c r="AV591" s="561">
        <f>IFERROR(LN(INDEX(Data!$L$2:$L$497,MATCH(N591,Data!$A$2:$A$497,1))/INDEX(Data!$L$2:$L$497,MATCH(N579,Data!$A$2:$A$497,1))),"")</f>
        <v>0.0208967922842341</v>
      </c>
    </row>
    <row r="592">
      <c r="N592" s="337" t="n">
        <v>42735</v>
      </c>
      <c r="O592" s="116">
        <f>INDEX('Additional data'!$B$2:$B$965,MATCH(DATE(YEAR(N592),MONTH(N592),1),'Additional data'!$A$2:$A$965,0))</f>
        <v>51.97</v>
      </c>
      <c r="P592" s="489">
        <f>LN(O592)</f>
        <v>3.95066662902035</v>
      </c>
      <c r="Q592" s="489">
        <f>Q591+LN(1+INDEX('Additional data'!$H$2:$H$1196,MATCH(N592,'Additional data'!$G$2:$G$1196,1))+INDEX('Additional data'!$I$2:$I$1196,MATCH(N592,'Additional data'!$G$2:$G$1196,1)))</f>
        <v>4.63882135816792</v>
      </c>
      <c r="R592" s="489">
        <f>LN(INDEX(Data!$B$2:$B$497,MATCH(N592,Data!$A$2:$A$497,1)))</f>
        <v>10.8847037538754</v>
      </c>
      <c r="S592" s="116">
        <f>IF(INDEX('Additional data'!$E$2:$E$699,MATCH(DATE(YEAR(N592),MONTH(N592),1),'Additional data'!$D$2:$D$699,0))=0,(INDEX('Additional data'!$E$2:$E$699,MATCH(DATE(YEAR(N592),MONTH(N592),1),'Additional data'!$D$2:$D$699,0)-1)+INDEX('Additional data'!$E$2:$E$699,MATCH(DATE(YEAR(N592),MONTH(N592),1),'Additional data'!$D$2:$D$699,0)+1))/2,INDEX('Additional data'!$E$2:$E$699,MATCH(DATE(YEAR(N592),MONTH(N592),1),'Additional data'!$D$2:$D$699,0)))</f>
        <v>1.78</v>
      </c>
      <c r="T592" s="425">
        <f>P592-P591</f>
        <v>0.129443987918701</v>
      </c>
      <c r="U592" s="425">
        <f>Q592-Q591</f>
        <v>0.0182327682610595</v>
      </c>
      <c r="V592" s="425">
        <f>R592-R591</f>
        <v>0.0408769083695137</v>
      </c>
      <c r="W592" s="116">
        <f>S592-S591</f>
        <v>0.02</v>
      </c>
      <c r="X592" s="425">
        <f>P592-P580</f>
        <v>0.334626721083372</v>
      </c>
      <c r="Y592" s="425">
        <f>Q592-Q580</f>
        <v>0.127371936825137</v>
      </c>
      <c r="Z592" s="425">
        <f>R592-R580</f>
        <v>0.110169444401237</v>
      </c>
      <c r="AA592" s="116">
        <f>S592-S580</f>
        <v>-0.56</v>
      </c>
      <c r="AB592" s="425">
        <f>P592-P532</f>
        <v>-0.640100326656997</v>
      </c>
      <c r="AC592" s="425">
        <f>Q592-Q532</f>
        <v>0.693165714492745</v>
      </c>
      <c r="AD592" s="425">
        <f>R592-R532</f>
        <v>0.548350954292721</v>
      </c>
      <c r="AE592" s="235">
        <f>S592-S532</f>
        <v>-2.7275</v>
      </c>
      <c r="AG592" s="554">
        <f>N592</f>
        <v>42735.0</v>
      </c>
      <c r="AH592" s="435">
        <f>IFERROR(INDEX('RBA 5Y yield'!$B$5:$B$661,MATCH(N592,'RBA 5Y yield'!$A$5:$A$661,1))*100,"")</f>
        <v>2.242</v>
      </c>
      <c r="AI592" s="435">
        <f>IF(AND(ISNUMBER(AH592),ISNUMBER(AH591)),AH592-AH591,"")</f>
        <v>0.226</v>
      </c>
      <c r="AJ592" s="435">
        <f>IF(AND(ISNUMBER(AH592),ISNUMBER(AH580)),AH592-AH580,"")</f>
        <v>-0.0419999999999998</v>
      </c>
      <c r="AK592" s="435">
        <f>IF(AND(ISNUMBER(AH592),ISNUMBER(AH532)),AH592-AH532,"")</f>
        <v>-1.093</v>
      </c>
      <c r="AL592" s="560">
        <f>IFERROR(LN(INDEX(Data!$B$2:$B$497,MATCH(N592,Data!$A$2:$A$497,1))/INDEX(Data!$B$2:$B$497,MATCH(N580,Data!$A$2:$A$497,1))),"")</f>
        <v>0.110169444401238</v>
      </c>
      <c r="AM592" s="560">
        <f>IFERROR(LN(INDEX(Data!$C$2:$C$497,MATCH(N592,Data!$A$2:$A$497,1))/INDEX(Data!$C$2:$C$497,MATCH(N580,Data!$A$2:$A$497,1))),"")</f>
        <v>0.0968580590096844</v>
      </c>
      <c r="AN592" s="560">
        <f>IFERROR(LN(INDEX(Data!$D$2:$D$497,MATCH(N592,Data!$A$2:$A$497,1))/INDEX(Data!$D$2:$D$497,MATCH(N580,Data!$A$2:$A$497,1))),"")</f>
        <v>0.101030291112631</v>
      </c>
      <c r="AO592" s="560">
        <f>IFERROR(LN(INDEX(Data!$E$2:$E$497,MATCH(N592,Data!$A$2:$A$497,1))/INDEX(Data!$E$2:$E$497,MATCH(N580,Data!$A$2:$A$497,1))),"")</f>
        <v>0.0791660636695171</v>
      </c>
      <c r="AP592" s="560">
        <f>IFERROR(LN(INDEX(Data!$F$2:$F$497,MATCH(N592,Data!$A$2:$A$497,1))/INDEX(Data!$F$2:$F$497,MATCH(N580,Data!$A$2:$A$497,1))),"")</f>
        <v>0.112398420095112</v>
      </c>
      <c r="AQ592" s="560">
        <f>IFERROR(LN(INDEX(Data!$G$2:$G$497,MATCH(N592,Data!$A$2:$A$497,1))/INDEX(Data!$G$2:$G$497,MATCH(N580,Data!$A$2:$A$497,1))),"")</f>
        <v>0.0857619074584912</v>
      </c>
      <c r="AR592" s="560">
        <f>IFERROR(LN(INDEX(Data!$H$2:$H$497,MATCH(N592,Data!$A$2:$A$497,1))/INDEX(Data!$H$2:$H$497,MATCH(N580,Data!$A$2:$A$497,1))),"")</f>
        <v>0.00785163610056732</v>
      </c>
      <c r="AS592" s="560">
        <f>IFERROR(LN(INDEX(Data!$I$2:$I$497,MATCH(N592,Data!$A$2:$A$497,1))/INDEX(Data!$I$2:$I$497,MATCH(N580,Data!$A$2:$A$497,1))),"")</f>
        <v>0.0757020808876009</v>
      </c>
      <c r="AT592" s="560">
        <f>IFERROR(LN(INDEX(Data!$J$2:$J$497,MATCH(N592,Data!$A$2:$A$497,1))/INDEX(Data!$J$2:$J$497,MATCH(N580,Data!$A$2:$A$497,1))),"")</f>
        <v>0.0288743027496203</v>
      </c>
      <c r="AU592" s="560">
        <f>IFERROR(LN(INDEX(Data!$K$2:$K$497,MATCH(N592,Data!$A$2:$A$497,1))/INDEX(Data!$K$2:$K$497,MATCH(N580,Data!$A$2:$A$497,1))),"")</f>
        <v>0.0510508502892196</v>
      </c>
      <c r="AV592" s="561">
        <f>IFERROR(LN(INDEX(Data!$L$2:$L$497,MATCH(N592,Data!$A$2:$A$497,1))/INDEX(Data!$L$2:$L$497,MATCH(N580,Data!$A$2:$A$497,1))),"")</f>
        <v>0.0204822159222259</v>
      </c>
    </row>
    <row r="593">
      <c r="N593" s="337" t="n">
        <v>42766</v>
      </c>
      <c r="O593" s="116">
        <f>INDEX('Additional data'!$B$2:$B$965,MATCH(DATE(YEAR(N593),MONTH(N593),1),'Additional data'!$A$2:$A$965,0))</f>
        <v>52.5</v>
      </c>
      <c r="P593" s="489">
        <f>LN(O593)</f>
        <v>3.96081316959758</v>
      </c>
      <c r="Q593" s="489">
        <f>Q592+LN(1+INDEX('Additional data'!$H$2:$H$1196,MATCH(N593,'Additional data'!$G$2:$G$1196,1))+INDEX('Additional data'!$I$2:$I$1196,MATCH(N593,'Additional data'!$G$2:$G$1196,1)))</f>
        <v>4.65842788780684</v>
      </c>
      <c r="R593" s="489">
        <f>LN(INDEX(Data!$B$2:$B$497,MATCH(N593,Data!$A$2:$A$497,1)))</f>
        <v>10.8770191202713</v>
      </c>
      <c r="S593" s="116">
        <f>IF(INDEX('Additional data'!$E$2:$E$699,MATCH(DATE(YEAR(N593),MONTH(N593),1),'Additional data'!$D$2:$D$699,0))=0,(INDEX('Additional data'!$E$2:$E$699,MATCH(DATE(YEAR(N593),MONTH(N593),1),'Additional data'!$D$2:$D$699,0)-1)+INDEX('Additional data'!$E$2:$E$699,MATCH(DATE(YEAR(N593),MONTH(N593),1),'Additional data'!$D$2:$D$699,0)+1))/2,INDEX('Additional data'!$E$2:$E$699,MATCH(DATE(YEAR(N593),MONTH(N593),1),'Additional data'!$D$2:$D$699,0)))</f>
        <v>1.78</v>
      </c>
      <c r="T593" s="425">
        <f>P593-P592</f>
        <v>0.0101465405772276</v>
      </c>
      <c r="U593" s="425">
        <f>Q593-Q592</f>
        <v>0.0196065296389181</v>
      </c>
      <c r="V593" s="425">
        <f>R593-R592</f>
        <v>-0.00768463360404326</v>
      </c>
      <c r="W593" s="116">
        <f>S593-S592</f>
        <v>0</v>
      </c>
      <c r="X593" s="425">
        <f>P593-P581</f>
        <v>0.505127602651353</v>
      </c>
      <c r="Y593" s="425">
        <f>Q593-Q581</f>
        <v>0.205985647044087</v>
      </c>
      <c r="Z593" s="425">
        <f>R593-R581</f>
        <v>0.157804952637752</v>
      </c>
      <c r="AA593" s="116">
        <f>S593-S581</f>
        <v>-0.52</v>
      </c>
      <c r="AB593" s="425">
        <f>P593-P533</f>
        <v>-0.646754140990235</v>
      </c>
      <c r="AC593" s="425">
        <f>Q593-Q533</f>
        <v>0.663506002828745</v>
      </c>
      <c r="AD593" s="425">
        <f>R593-R533</f>
        <v>0.489724252789184</v>
      </c>
      <c r="AE593" s="235">
        <f>S593-S533</f>
        <v>-2.63</v>
      </c>
      <c r="AG593" s="554">
        <f>N593</f>
        <v>42766.0</v>
      </c>
      <c r="AH593" s="435">
        <f>IFERROR(INDEX('RBA 5Y yield'!$B$5:$B$661,MATCH(N593,'RBA 5Y yield'!$A$5:$A$661,1))*100,"")</f>
        <v>2.211</v>
      </c>
      <c r="AI593" s="435">
        <f>IF(AND(ISNUMBER(AH593),ISNUMBER(AH592)),AH593-AH592,"")</f>
        <v>-0.0309999999999997</v>
      </c>
      <c r="AJ593" s="435">
        <f>IF(AND(ISNUMBER(AH593),ISNUMBER(AH581)),AH593-AH581,"")</f>
        <v>0.0640000000000005</v>
      </c>
      <c r="AK593" s="435">
        <f>IF(AND(ISNUMBER(AH593),ISNUMBER(AH533)),AH593-AH533,"")</f>
        <v>-1.1765</v>
      </c>
      <c r="AL593" s="560">
        <f>IFERROR(LN(INDEX(Data!$B$2:$B$497,MATCH(N593,Data!$A$2:$A$497,1))/INDEX(Data!$B$2:$B$497,MATCH(N581,Data!$A$2:$A$497,1))),"")</f>
        <v>0.157804952637752</v>
      </c>
      <c r="AM593" s="560">
        <f>IFERROR(LN(INDEX(Data!$C$2:$C$497,MATCH(N593,Data!$A$2:$A$497,1))/INDEX(Data!$C$2:$C$497,MATCH(N581,Data!$A$2:$A$497,1))),"")</f>
        <v>0.0898459578871273</v>
      </c>
      <c r="AN593" s="560">
        <f>IFERROR(LN(INDEX(Data!$D$2:$D$497,MATCH(N593,Data!$A$2:$A$497,1))/INDEX(Data!$D$2:$D$497,MATCH(N581,Data!$A$2:$A$497,1))),"")</f>
        <v>0.118191049393554</v>
      </c>
      <c r="AO593" s="560">
        <f>IFERROR(LN(INDEX(Data!$E$2:$E$497,MATCH(N593,Data!$A$2:$A$497,1))/INDEX(Data!$E$2:$E$497,MATCH(N581,Data!$A$2:$A$497,1))),"")</f>
        <v>0.0210189497763087</v>
      </c>
      <c r="AP593" s="560">
        <f>IFERROR(LN(INDEX(Data!$F$2:$F$497,MATCH(N593,Data!$A$2:$A$497,1))/INDEX(Data!$F$2:$F$497,MATCH(N581,Data!$A$2:$A$497,1))),"")</f>
        <v>0.0758340408131264</v>
      </c>
      <c r="AQ593" s="560">
        <f>IFERROR(LN(INDEX(Data!$G$2:$G$497,MATCH(N593,Data!$A$2:$A$497,1))/INDEX(Data!$G$2:$G$497,MATCH(N581,Data!$A$2:$A$497,1))),"")</f>
        <v>0.0857619074584912</v>
      </c>
      <c r="AR593" s="560">
        <f>IFERROR(LN(INDEX(Data!$H$2:$H$497,MATCH(N593,Data!$A$2:$A$497,1))/INDEX(Data!$H$2:$H$497,MATCH(N581,Data!$A$2:$A$497,1))),"")</f>
        <v>0.00318406717169786</v>
      </c>
      <c r="AS593" s="560">
        <f>IFERROR(LN(INDEX(Data!$I$2:$I$497,MATCH(N593,Data!$A$2:$A$497,1))/INDEX(Data!$I$2:$I$497,MATCH(N581,Data!$A$2:$A$497,1))),"")</f>
        <v>0.0757020808876009</v>
      </c>
      <c r="AT593" s="560">
        <f>IFERROR(LN(INDEX(Data!$J$2:$J$497,MATCH(N593,Data!$A$2:$A$497,1))/INDEX(Data!$J$2:$J$497,MATCH(N581,Data!$A$2:$A$497,1))),"")</f>
        <v>0.0228295932676477</v>
      </c>
      <c r="AU593" s="560">
        <f>IFERROR(LN(INDEX(Data!$K$2:$K$497,MATCH(N593,Data!$A$2:$A$497,1))/INDEX(Data!$K$2:$K$497,MATCH(N581,Data!$A$2:$A$497,1))),"")</f>
        <v>0.0320990861375409</v>
      </c>
      <c r="AV593" s="561">
        <f>IFERROR(LN(INDEX(Data!$L$2:$L$497,MATCH(N593,Data!$A$2:$A$497,1))/INDEX(Data!$L$2:$L$497,MATCH(N581,Data!$A$2:$A$497,1))),"")</f>
        <v>0.0200829346232502</v>
      </c>
    </row>
    <row r="594">
      <c r="N594" s="337" t="n">
        <v>42794</v>
      </c>
      <c r="O594" s="116">
        <f>INDEX('Additional data'!$B$2:$B$965,MATCH(DATE(YEAR(N594),MONTH(N594),1),'Additional data'!$A$2:$A$965,0))</f>
        <v>53.47</v>
      </c>
      <c r="P594" s="489">
        <f>LN(O594)</f>
        <v>3.97912074896064</v>
      </c>
      <c r="Q594" s="489">
        <f>Q593+LN(1+INDEX('Additional data'!$H$2:$H$1196,MATCH(N594,'Additional data'!$G$2:$G$1196,1))+INDEX('Additional data'!$I$2:$I$1196,MATCH(N594,'Additional data'!$G$2:$G$1196,1)))</f>
        <v>4.69369850188876</v>
      </c>
      <c r="R594" s="489">
        <f>LN(INDEX(Data!$B$2:$B$497,MATCH(N594,Data!$A$2:$A$497,1)))</f>
        <v>10.8976915605066</v>
      </c>
      <c r="S594" s="116">
        <f>IF(INDEX('Additional data'!$E$2:$E$699,MATCH(DATE(YEAR(N594),MONTH(N594),1),'Additional data'!$D$2:$D$699,0))=0,(INDEX('Additional data'!$E$2:$E$699,MATCH(DATE(YEAR(N594),MONTH(N594),1),'Additional data'!$D$2:$D$699,0)-1)+INDEX('Additional data'!$E$2:$E$699,MATCH(DATE(YEAR(N594),MONTH(N594),1),'Additional data'!$D$2:$D$699,0)+1))/2,INDEX('Additional data'!$E$2:$E$699,MATCH(DATE(YEAR(N594),MONTH(N594),1),'Additional data'!$D$2:$D$699,0)))</f>
        <v>1.78</v>
      </c>
      <c r="T594" s="425">
        <f>P594-P593</f>
        <v>0.018307579363062</v>
      </c>
      <c r="U594" s="425">
        <f>Q594-Q593</f>
        <v>0.0352706140819192</v>
      </c>
      <c r="V594" s="425">
        <f>R594-R593</f>
        <v>0.0206724402352538</v>
      </c>
      <c r="W594" s="116">
        <f>S594-S593</f>
        <v>0</v>
      </c>
      <c r="X594" s="425">
        <f>P594-P582</f>
        <v>0.567313188186469</v>
      </c>
      <c r="Y594" s="425">
        <f>Q594-Q582</f>
        <v>0.241656341147346</v>
      </c>
      <c r="Z594" s="425">
        <f>R594-R582</f>
        <v>0.193319495299811</v>
      </c>
      <c r="AA594" s="116">
        <f>S594-S582</f>
        <v>-0.5</v>
      </c>
      <c r="AB594" s="425">
        <f>P594-P534</f>
        <v>-0.648300045962271</v>
      </c>
      <c r="AC594" s="425">
        <f>Q594-Q534</f>
        <v>0.655525574916349</v>
      </c>
      <c r="AD594" s="425">
        <f>R594-R534</f>
        <v>0.486566148753244</v>
      </c>
      <c r="AE594" s="235">
        <f>S594-S534</f>
        <v>-2.59</v>
      </c>
      <c r="AG594" s="554">
        <f>N594</f>
        <v>42794.0</v>
      </c>
      <c r="AH594" s="435">
        <f>IFERROR(INDEX('RBA 5Y yield'!$B$5:$B$661,MATCH(N594,'RBA 5Y yield'!$A$5:$A$661,1))*100,"")</f>
        <v>2.217</v>
      </c>
      <c r="AI594" s="435">
        <f>IF(AND(ISNUMBER(AH594),ISNUMBER(AH593)),AH594-AH593,"")</f>
        <v>0.00599999999999978</v>
      </c>
      <c r="AJ594" s="435">
        <f>IF(AND(ISNUMBER(AH594),ISNUMBER(AH582)),AH594-AH582,"")</f>
        <v>0.226</v>
      </c>
      <c r="AK594" s="435">
        <f>IF(AND(ISNUMBER(AH594),ISNUMBER(AH534)),AH594-AH534,"")</f>
        <v>-1.403</v>
      </c>
      <c r="AL594" s="560">
        <f>IFERROR(LN(INDEX(Data!$B$2:$B$497,MATCH(N594,Data!$A$2:$A$497,1))/INDEX(Data!$B$2:$B$497,MATCH(N582,Data!$A$2:$A$497,1))),"")</f>
        <v>0.193319495299811</v>
      </c>
      <c r="AM594" s="560">
        <f>IFERROR(LN(INDEX(Data!$C$2:$C$497,MATCH(N594,Data!$A$2:$A$497,1))/INDEX(Data!$C$2:$C$497,MATCH(N582,Data!$A$2:$A$497,1))),"")</f>
        <v>0.132670567548204</v>
      </c>
      <c r="AN594" s="560">
        <f>IFERROR(LN(INDEX(Data!$D$2:$D$497,MATCH(N594,Data!$A$2:$A$497,1))/INDEX(Data!$D$2:$D$497,MATCH(N582,Data!$A$2:$A$497,1))),"")</f>
        <v>0.131202978076608</v>
      </c>
      <c r="AO594" s="560">
        <f>IFERROR(LN(INDEX(Data!$E$2:$E$497,MATCH(N594,Data!$A$2:$A$497,1))/INDEX(Data!$E$2:$E$497,MATCH(N582,Data!$A$2:$A$497,1))),"")</f>
        <v>0.045982968567396</v>
      </c>
      <c r="AP594" s="560">
        <f>IFERROR(LN(INDEX(Data!$F$2:$F$497,MATCH(N594,Data!$A$2:$A$497,1))/INDEX(Data!$F$2:$F$497,MATCH(N582,Data!$A$2:$A$497,1))),"")</f>
        <v>0.0954785236788252</v>
      </c>
      <c r="AQ594" s="560">
        <f>IFERROR(LN(INDEX(Data!$G$2:$G$497,MATCH(N594,Data!$A$2:$A$497,1))/INDEX(Data!$G$2:$G$497,MATCH(N582,Data!$A$2:$A$497,1))),"")</f>
        <v>0.0857619074584912</v>
      </c>
      <c r="AR594" s="560">
        <f>IFERROR(LN(INDEX(Data!$H$2:$H$497,MATCH(N594,Data!$A$2:$A$497,1))/INDEX(Data!$H$2:$H$497,MATCH(N582,Data!$A$2:$A$497,1))),"")</f>
        <v>-0.00159158611926065</v>
      </c>
      <c r="AS594" s="560">
        <f>IFERROR(LN(INDEX(Data!$I$2:$I$497,MATCH(N594,Data!$A$2:$A$497,1))/INDEX(Data!$I$2:$I$497,MATCH(N582,Data!$A$2:$A$497,1))),"")</f>
        <v>0.0757020808876009</v>
      </c>
      <c r="AT594" s="560">
        <f>IFERROR(LN(INDEX(Data!$J$2:$J$497,MATCH(N594,Data!$A$2:$A$497,1))/INDEX(Data!$J$2:$J$497,MATCH(N582,Data!$A$2:$A$497,1))),"")</f>
        <v>0.0142808334516798</v>
      </c>
      <c r="AU594" s="560">
        <f>IFERROR(LN(INDEX(Data!$K$2:$K$497,MATCH(N594,Data!$A$2:$A$497,1))/INDEX(Data!$K$2:$K$497,MATCH(N582,Data!$A$2:$A$497,1))),"")</f>
        <v>0.0303463008825304</v>
      </c>
      <c r="AV594" s="561">
        <f>IFERROR(LN(INDEX(Data!$L$2:$L$497,MATCH(N594,Data!$A$2:$A$497,1))/INDEX(Data!$L$2:$L$497,MATCH(N582,Data!$A$2:$A$497,1))),"")</f>
        <v>0.0195837084134909</v>
      </c>
    </row>
    <row r="595">
      <c r="N595" s="337" t="n">
        <v>42825</v>
      </c>
      <c r="O595" s="116">
        <f>INDEX('Additional data'!$B$2:$B$965,MATCH(DATE(YEAR(N595),MONTH(N595),1),'Additional data'!$A$2:$A$965,0))</f>
        <v>49.33</v>
      </c>
      <c r="P595" s="489">
        <f>LN(O595)</f>
        <v>3.89853241524565</v>
      </c>
      <c r="Q595" s="489">
        <f>Q594+LN(1+INDEX('Additional data'!$H$2:$H$1196,MATCH(N595,'Additional data'!$G$2:$G$1196,1))+INDEX('Additional data'!$I$2:$I$1196,MATCH(N595,'Additional data'!$G$2:$G$1196,1)))</f>
        <v>4.69569650455143</v>
      </c>
      <c r="R595" s="489">
        <f>LN(INDEX(Data!$B$2:$B$497,MATCH(N595,Data!$A$2:$A$497,1)))</f>
        <v>10.928766910242</v>
      </c>
      <c r="S595" s="116">
        <f>IF(INDEX('Additional data'!$E$2:$E$699,MATCH(DATE(YEAR(N595),MONTH(N595),1),'Additional data'!$D$2:$D$699,0))=0,(INDEX('Additional data'!$E$2:$E$699,MATCH(DATE(YEAR(N595),MONTH(N595),1),'Additional data'!$D$2:$D$699,0)-1)+INDEX('Additional data'!$E$2:$E$699,MATCH(DATE(YEAR(N595),MONTH(N595),1),'Additional data'!$D$2:$D$699,0)+1))/2,INDEX('Additional data'!$E$2:$E$699,MATCH(DATE(YEAR(N595),MONTH(N595),1),'Additional data'!$D$2:$D$699,0)))</f>
        <v>1.79</v>
      </c>
      <c r="T595" s="425">
        <f>P595-P594</f>
        <v>-0.0805883337149935</v>
      </c>
      <c r="U595" s="425">
        <f>Q595-Q594</f>
        <v>0.00199800266267314</v>
      </c>
      <c r="V595" s="425">
        <f>R595-R594</f>
        <v>0.031075349735401</v>
      </c>
      <c r="W595" s="116">
        <f>S595-S594</f>
        <v>0.01</v>
      </c>
      <c r="X595" s="425">
        <f>P595-P583</f>
        <v>0.272859037035503</v>
      </c>
      <c r="Y595" s="425">
        <f>Q595-Q583</f>
        <v>0.176276108480071</v>
      </c>
      <c r="Z595" s="425">
        <f>R595-R583</f>
        <v>0.178043636831447</v>
      </c>
      <c r="AA595" s="116">
        <f>S595-S583</f>
        <v>-0.52</v>
      </c>
      <c r="AB595" s="425">
        <f>P595-P535</f>
        <v>-0.766697527170108</v>
      </c>
      <c r="AC595" s="425">
        <f>Q595-Q535</f>
        <v>0.626800404936182</v>
      </c>
      <c r="AD595" s="425">
        <f>R595-R535</f>
        <v>0.506241194221751</v>
      </c>
      <c r="AE595" s="235">
        <f>S595-S535</f>
        <v>-2.6525</v>
      </c>
      <c r="AG595" s="554">
        <f>N595</f>
        <v>42825.0</v>
      </c>
      <c r="AH595" s="435">
        <f>IFERROR(INDEX('RBA 5Y yield'!$B$5:$B$661,MATCH(N595,'RBA 5Y yield'!$A$5:$A$661,1))*100,"")</f>
        <v>2.294</v>
      </c>
      <c r="AI595" s="435">
        <f>IF(AND(ISNUMBER(AH595),ISNUMBER(AH594)),AH595-AH594,"")</f>
        <v>0.077</v>
      </c>
      <c r="AJ595" s="435">
        <f>IF(AND(ISNUMBER(AH595),ISNUMBER(AH583)),AH595-AH583,"")</f>
        <v>0.16</v>
      </c>
      <c r="AK595" s="435">
        <f>IF(AND(ISNUMBER(AH595),ISNUMBER(AH535)),AH595-AH535,"")</f>
        <v>-1.456</v>
      </c>
      <c r="AL595" s="560">
        <f>IFERROR(LN(INDEX(Data!$B$2:$B$497,MATCH(N595,Data!$A$2:$A$497,1))/INDEX(Data!$B$2:$B$497,MATCH(N583,Data!$A$2:$A$497,1))),"")</f>
        <v>0.178043636831447</v>
      </c>
      <c r="AM595" s="560">
        <f>IFERROR(LN(INDEX(Data!$C$2:$C$497,MATCH(N595,Data!$A$2:$A$497,1))/INDEX(Data!$C$2:$C$497,MATCH(N583,Data!$A$2:$A$497,1))),"")</f>
        <v>0.172987859687037</v>
      </c>
      <c r="AN595" s="560">
        <f>IFERROR(LN(INDEX(Data!$D$2:$D$497,MATCH(N595,Data!$A$2:$A$497,1))/INDEX(Data!$D$2:$D$497,MATCH(N583,Data!$A$2:$A$497,1))),"")</f>
        <v>0.152400744553529</v>
      </c>
      <c r="AO595" s="560">
        <f>IFERROR(LN(INDEX(Data!$E$2:$E$497,MATCH(N595,Data!$A$2:$A$497,1))/INDEX(Data!$E$2:$E$497,MATCH(N583,Data!$A$2:$A$497,1))),"")</f>
        <v>0.0340999983195102</v>
      </c>
      <c r="AP595" s="560">
        <f>IFERROR(LN(INDEX(Data!$F$2:$F$497,MATCH(N595,Data!$A$2:$A$497,1))/INDEX(Data!$F$2:$F$497,MATCH(N583,Data!$A$2:$A$497,1))),"")</f>
        <v>0.0894353770673134</v>
      </c>
      <c r="AQ595" s="560">
        <f>IFERROR(LN(INDEX(Data!$G$2:$G$497,MATCH(N595,Data!$A$2:$A$497,1))/INDEX(Data!$G$2:$G$497,MATCH(N583,Data!$A$2:$A$497,1))),"")</f>
        <v>0.109103097004379</v>
      </c>
      <c r="AR595" s="560">
        <f>IFERROR(LN(INDEX(Data!$H$2:$H$497,MATCH(N595,Data!$A$2:$A$497,1))/INDEX(Data!$H$2:$H$497,MATCH(N583,Data!$A$2:$A$497,1))),"")</f>
        <v>0.02762139796417</v>
      </c>
      <c r="AS595" s="560">
        <f>IFERROR(LN(INDEX(Data!$I$2:$I$497,MATCH(N595,Data!$A$2:$A$497,1))/INDEX(Data!$I$2:$I$497,MATCH(N583,Data!$A$2:$A$497,1))),"")</f>
        <v>0.118356501932913</v>
      </c>
      <c r="AT595" s="560">
        <f>IFERROR(LN(INDEX(Data!$J$2:$J$497,MATCH(N595,Data!$A$2:$A$497,1))/INDEX(Data!$J$2:$J$497,MATCH(N583,Data!$A$2:$A$497,1))),"")</f>
        <v>0.0207733898448429</v>
      </c>
      <c r="AU595" s="560">
        <f>IFERROR(LN(INDEX(Data!$K$2:$K$497,MATCH(N595,Data!$A$2:$A$497,1))/INDEX(Data!$K$2:$K$497,MATCH(N583,Data!$A$2:$A$497,1))),"")</f>
        <v>0.0213931384676935</v>
      </c>
      <c r="AV595" s="561">
        <f>IFERROR(LN(INDEX(Data!$L$2:$L$497,MATCH(N595,Data!$A$2:$A$497,1))/INDEX(Data!$L$2:$L$497,MATCH(N583,Data!$A$2:$A$497,1))),"")</f>
        <v>0.0190845818745537</v>
      </c>
    </row>
    <row r="596">
      <c r="N596" s="337" t="n">
        <v>42855</v>
      </c>
      <c r="O596" s="116">
        <f>INDEX('Additional data'!$B$2:$B$965,MATCH(DATE(YEAR(N596),MONTH(N596),1),'Additional data'!$A$2:$A$965,0))</f>
        <v>51.06</v>
      </c>
      <c r="P596" s="489">
        <f>LN(O596)</f>
        <v>3.93300141181334</v>
      </c>
      <c r="Q596" s="489">
        <f>Q595+LN(1+INDEX('Additional data'!$H$2:$H$1196,MATCH(N596,'Additional data'!$G$2:$G$1196,1))+INDEX('Additional data'!$I$2:$I$1196,MATCH(N596,'Additional data'!$G$2:$G$1196,1)))</f>
        <v>4.70693313647742</v>
      </c>
      <c r="R596" s="489">
        <f>LN(INDEX(Data!$B$2:$B$497,MATCH(N596,Data!$A$2:$A$497,1)))</f>
        <v>10.9365296652829</v>
      </c>
      <c r="S596" s="116">
        <f>IF(INDEX('Additional data'!$E$2:$E$699,MATCH(DATE(YEAR(N596),MONTH(N596),1),'Additional data'!$D$2:$D$699,0))=0,(INDEX('Additional data'!$E$2:$E$699,MATCH(DATE(YEAR(N596),MONTH(N596),1),'Additional data'!$D$2:$D$699,0)-1)+INDEX('Additional data'!$E$2:$E$699,MATCH(DATE(YEAR(N596),MONTH(N596),1),'Additional data'!$D$2:$D$699,0)+1))/2,INDEX('Additional data'!$E$2:$E$699,MATCH(DATE(YEAR(N596),MONTH(N596),1),'Additional data'!$D$2:$D$699,0)))</f>
        <v>1.77</v>
      </c>
      <c r="T596" s="425">
        <f>P596-P595</f>
        <v>0.034468996567691</v>
      </c>
      <c r="U596" s="425">
        <f>Q596-Q595</f>
        <v>0.0112366319259873</v>
      </c>
      <c r="V596" s="425">
        <f>R596-R595</f>
        <v>0.00776275504084545</v>
      </c>
      <c r="W596" s="116">
        <f>S596-S595</f>
        <v>-0.02</v>
      </c>
      <c r="X596" s="425">
        <f>P596-P584</f>
        <v>0.225545572126466</v>
      </c>
      <c r="Y596" s="425">
        <f>Q596-Q584</f>
        <v>0.178255719143381</v>
      </c>
      <c r="Z596" s="425">
        <f>R596-R584</f>
        <v>0.153967663685503</v>
      </c>
      <c r="AA596" s="116">
        <f>S596-S584</f>
        <v>-0.49</v>
      </c>
      <c r="AB596" s="425">
        <f>P596-P536</f>
        <v>-0.704926338412926</v>
      </c>
      <c r="AC596" s="425">
        <f>Q596-Q536</f>
        <v>0.646573367884455</v>
      </c>
      <c r="AD596" s="425">
        <f>R596-R536</f>
        <v>0.503037983359423</v>
      </c>
      <c r="AE596" s="235">
        <f>S596-S536</f>
        <v>-2.4325</v>
      </c>
      <c r="AG596" s="554">
        <f>N596</f>
        <v>42855.0</v>
      </c>
      <c r="AH596" s="435">
        <f>IFERROR(INDEX('RBA 5Y yield'!$B$5:$B$661,MATCH(N596,'RBA 5Y yield'!$A$5:$A$661,1))*100,"")</f>
        <v>2.088</v>
      </c>
      <c r="AI596" s="435">
        <f>IF(AND(ISNUMBER(AH596),ISNUMBER(AH595)),AH596-AH595,"")</f>
        <v>-0.206</v>
      </c>
      <c r="AJ596" s="435">
        <f>IF(AND(ISNUMBER(AH596),ISNUMBER(AH584)),AH596-AH584,"")</f>
        <v>-0.00300000000000011</v>
      </c>
      <c r="AK596" s="435">
        <f>IF(AND(ISNUMBER(AH596),ISNUMBER(AH536)),AH596-AH536,"")</f>
        <v>-1.2745</v>
      </c>
      <c r="AL596" s="560">
        <f>IFERROR(LN(INDEX(Data!$B$2:$B$497,MATCH(N596,Data!$A$2:$A$497,1))/INDEX(Data!$B$2:$B$497,MATCH(N584,Data!$A$2:$A$497,1))),"")</f>
        <v>0.153967663685502</v>
      </c>
      <c r="AM596" s="560">
        <f>IFERROR(LN(INDEX(Data!$C$2:$C$497,MATCH(N596,Data!$A$2:$A$497,1))/INDEX(Data!$C$2:$C$497,MATCH(N584,Data!$A$2:$A$497,1))),"")</f>
        <v>0.187654245342195</v>
      </c>
      <c r="AN596" s="560">
        <f>IFERROR(LN(INDEX(Data!$D$2:$D$497,MATCH(N596,Data!$A$2:$A$497,1))/INDEX(Data!$D$2:$D$497,MATCH(N584,Data!$A$2:$A$497,1))),"")</f>
        <v>0.188065405287866</v>
      </c>
      <c r="AO596" s="560">
        <f>IFERROR(LN(INDEX(Data!$E$2:$E$497,MATCH(N596,Data!$A$2:$A$497,1))/INDEX(Data!$E$2:$E$497,MATCH(N584,Data!$A$2:$A$497,1))),"")</f>
        <v>0.0613184781769667</v>
      </c>
      <c r="AP596" s="560">
        <f>IFERROR(LN(INDEX(Data!$F$2:$F$497,MATCH(N596,Data!$A$2:$A$497,1))/INDEX(Data!$F$2:$F$497,MATCH(N584,Data!$A$2:$A$497,1))),"")</f>
        <v>-0.0165370745368307</v>
      </c>
      <c r="AQ596" s="560">
        <f>IFERROR(LN(INDEX(Data!$G$2:$G$497,MATCH(N596,Data!$A$2:$A$497,1))/INDEX(Data!$G$2:$G$497,MATCH(N584,Data!$A$2:$A$497,1))),"")</f>
        <v>0.109103097004379</v>
      </c>
      <c r="AR596" s="560">
        <f>IFERROR(LN(INDEX(Data!$H$2:$H$497,MATCH(N596,Data!$A$2:$A$497,1))/INDEX(Data!$H$2:$H$497,MATCH(N584,Data!$A$2:$A$497,1))),"")</f>
        <v>0.0310125841384905</v>
      </c>
      <c r="AS596" s="560">
        <f>IFERROR(LN(INDEX(Data!$I$2:$I$497,MATCH(N596,Data!$A$2:$A$497,1))/INDEX(Data!$I$2:$I$497,MATCH(N584,Data!$A$2:$A$497,1))),"")</f>
        <v>0.118356501932913</v>
      </c>
      <c r="AT596" s="560">
        <f>IFERROR(LN(INDEX(Data!$J$2:$J$497,MATCH(N596,Data!$A$2:$A$497,1))/INDEX(Data!$J$2:$J$497,MATCH(N584,Data!$A$2:$A$497,1))),"")</f>
        <v>0.025648778836278</v>
      </c>
      <c r="AU596" s="560">
        <f>IFERROR(LN(INDEX(Data!$K$2:$K$497,MATCH(N596,Data!$A$2:$A$497,1))/INDEX(Data!$K$2:$K$497,MATCH(N584,Data!$A$2:$A$497,1))),"")</f>
        <v>0.0256902685765976</v>
      </c>
      <c r="AV596" s="561">
        <f>IFERROR(LN(INDEX(Data!$L$2:$L$497,MATCH(N596,Data!$A$2:$A$497,1))/INDEX(Data!$L$2:$L$497,MATCH(N584,Data!$A$2:$A$497,1))),"")</f>
        <v>0.0185854553356166</v>
      </c>
    </row>
    <row r="597">
      <c r="N597" s="337" t="n">
        <v>42886</v>
      </c>
      <c r="O597" s="116">
        <f>INDEX('Additional data'!$B$2:$B$965,MATCH(DATE(YEAR(N597),MONTH(N597),1),'Additional data'!$A$2:$A$965,0))</f>
        <v>48.48</v>
      </c>
      <c r="P597" s="489">
        <f>LN(O597)</f>
        <v>3.88115134176106</v>
      </c>
      <c r="Q597" s="489">
        <f>Q596+LN(1+INDEX('Additional data'!$H$2:$H$1196,MATCH(N597,'Additional data'!$G$2:$G$1196,1))+INDEX('Additional data'!$I$2:$I$1196,MATCH(N597,'Additional data'!$G$2:$G$1196,1)))</f>
        <v>4.71816976840341</v>
      </c>
      <c r="R597" s="489">
        <f>LN(INDEX(Data!$B$2:$B$497,MATCH(N597,Data!$A$2:$A$497,1)))</f>
        <v>10.9103945193409</v>
      </c>
      <c r="S597" s="116">
        <f>IF(INDEX('Additional data'!$E$2:$E$699,MATCH(DATE(YEAR(N597),MONTH(N597),1),'Additional data'!$D$2:$D$699,0))=0,(INDEX('Additional data'!$E$2:$E$699,MATCH(DATE(YEAR(N597),MONTH(N597),1),'Additional data'!$D$2:$D$699,0)-1)+INDEX('Additional data'!$E$2:$E$699,MATCH(DATE(YEAR(N597),MONTH(N597),1),'Additional data'!$D$2:$D$699,0)+1))/2,INDEX('Additional data'!$E$2:$E$699,MATCH(DATE(YEAR(N597),MONTH(N597),1),'Additional data'!$D$2:$D$699,0)))</f>
        <v>1.73</v>
      </c>
      <c r="T597" s="425">
        <f>P597-P596</f>
        <v>-0.0518500700522786</v>
      </c>
      <c r="U597" s="425">
        <f>Q597-Q596</f>
        <v>0.0112366319259873</v>
      </c>
      <c r="V597" s="425">
        <f>R597-R596</f>
        <v>-0.0261351459419625</v>
      </c>
      <c r="W597" s="116">
        <f>S597-S596</f>
        <v>-0.04</v>
      </c>
      <c r="X597" s="425">
        <f>P597-P585</f>
        <v>0.0371930672470424</v>
      </c>
      <c r="Y597" s="425">
        <f>Q597-Q585</f>
        <v>0.171750669593211</v>
      </c>
      <c r="Z597" s="425">
        <f>R597-R585</f>
        <v>0.0974008969656559</v>
      </c>
      <c r="AA597" s="116">
        <f>S597-S585</f>
        <v>-0.27</v>
      </c>
      <c r="AB597" s="425">
        <f>P597-P537</f>
        <v>-0.669562658430973</v>
      </c>
      <c r="AC597" s="425">
        <f>Q597-Q537</f>
        <v>0.721388981453314</v>
      </c>
      <c r="AD597" s="425">
        <f>R597-R537</f>
        <v>0.548391005370815</v>
      </c>
      <c r="AE597" s="235">
        <f>S597-S537</f>
        <v>-1.925</v>
      </c>
      <c r="AG597" s="554">
        <f>N597</f>
        <v>42886.0</v>
      </c>
      <c r="AH597" s="435">
        <f>IFERROR(INDEX('RBA 5Y yield'!$B$5:$B$661,MATCH(N597,'RBA 5Y yield'!$A$5:$A$661,1))*100,"")</f>
        <v>2.05</v>
      </c>
      <c r="AI597" s="435">
        <f>IF(AND(ISNUMBER(AH597),ISNUMBER(AH596)),AH597-AH596,"")</f>
        <v>-0.0379999999999998</v>
      </c>
      <c r="AJ597" s="435">
        <f>IF(AND(ISNUMBER(AH597),ISNUMBER(AH585)),AH597-AH585,"")</f>
        <v>0.218</v>
      </c>
      <c r="AK597" s="435">
        <f>IF(AND(ISNUMBER(AH597),ISNUMBER(AH537)),AH597-AH537,"")</f>
        <v>-0.7</v>
      </c>
      <c r="AL597" s="560">
        <f>IFERROR(LN(INDEX(Data!$B$2:$B$497,MATCH(N597,Data!$A$2:$A$497,1))/INDEX(Data!$B$2:$B$497,MATCH(N585,Data!$A$2:$A$497,1))),"")</f>
        <v>0.0974008969656561</v>
      </c>
      <c r="AM597" s="560">
        <f>IFERROR(LN(INDEX(Data!$C$2:$C$497,MATCH(N597,Data!$A$2:$A$497,1))/INDEX(Data!$C$2:$C$497,MATCH(N585,Data!$A$2:$A$497,1))),"")</f>
        <v>0.137456471097035</v>
      </c>
      <c r="AN597" s="560">
        <f>IFERROR(LN(INDEX(Data!$D$2:$D$497,MATCH(N597,Data!$A$2:$A$497,1))/INDEX(Data!$D$2:$D$497,MATCH(N585,Data!$A$2:$A$497,1))),"")</f>
        <v>0.172984512819924</v>
      </c>
      <c r="AO597" s="560">
        <f>IFERROR(LN(INDEX(Data!$E$2:$E$497,MATCH(N597,Data!$A$2:$A$497,1))/INDEX(Data!$E$2:$E$497,MATCH(N585,Data!$A$2:$A$497,1))),"")</f>
        <v>-0.00313862002694677</v>
      </c>
      <c r="AP597" s="560">
        <f>IFERROR(LN(INDEX(Data!$F$2:$F$497,MATCH(N597,Data!$A$2:$A$497,1))/INDEX(Data!$F$2:$F$497,MATCH(N585,Data!$A$2:$A$497,1))),"")</f>
        <v>-0.101443325988445</v>
      </c>
      <c r="AQ597" s="560">
        <f>IFERROR(LN(INDEX(Data!$G$2:$G$497,MATCH(N597,Data!$A$2:$A$497,1))/INDEX(Data!$G$2:$G$497,MATCH(N585,Data!$A$2:$A$497,1))),"")</f>
        <v>0.109103097004379</v>
      </c>
      <c r="AR597" s="560">
        <f>IFERROR(LN(INDEX(Data!$H$2:$H$497,MATCH(N597,Data!$A$2:$A$497,1))/INDEX(Data!$H$2:$H$497,MATCH(N585,Data!$A$2:$A$497,1))),"")</f>
        <v>0.0562845054780804</v>
      </c>
      <c r="AS597" s="560">
        <f>IFERROR(LN(INDEX(Data!$I$2:$I$497,MATCH(N597,Data!$A$2:$A$497,1))/INDEX(Data!$I$2:$I$497,MATCH(N585,Data!$A$2:$A$497,1))),"")</f>
        <v>0.118356501932913</v>
      </c>
      <c r="AT597" s="560">
        <f>IFERROR(LN(INDEX(Data!$J$2:$J$497,MATCH(N597,Data!$A$2:$A$497,1))/INDEX(Data!$J$2:$J$497,MATCH(N585,Data!$A$2:$A$497,1))),"")</f>
        <v>0.0247595825123141</v>
      </c>
      <c r="AU597" s="560">
        <f>IFERROR(LN(INDEX(Data!$K$2:$K$497,MATCH(N597,Data!$A$2:$A$497,1))/INDEX(Data!$K$2:$K$497,MATCH(N585,Data!$A$2:$A$497,1))),"")</f>
        <v>0.0264462163386811</v>
      </c>
      <c r="AV597" s="561">
        <f>IFERROR(LN(INDEX(Data!$L$2:$L$497,MATCH(N597,Data!$A$2:$A$497,1))/INDEX(Data!$L$2:$L$497,MATCH(N585,Data!$A$2:$A$497,1))),"")</f>
        <v>0.0181861341762718</v>
      </c>
    </row>
    <row r="598">
      <c r="N598" s="337" t="n">
        <v>42916</v>
      </c>
      <c r="O598" s="116">
        <f>INDEX('Additional data'!$B$2:$B$965,MATCH(DATE(YEAR(N598),MONTH(N598),1),'Additional data'!$A$2:$A$965,0))</f>
        <v>45.18</v>
      </c>
      <c r="P598" s="489">
        <f>LN(O598)</f>
        <v>3.81065451103986</v>
      </c>
      <c r="Q598" s="489">
        <f>Q597+LN(1+INDEX('Additional data'!$H$2:$H$1196,MATCH(N598,'Additional data'!$G$2:$G$1196,1))+INDEX('Additional data'!$I$2:$I$1196,MATCH(N598,'Additional data'!$G$2:$G$1196,1)))</f>
        <v>4.72663384681554</v>
      </c>
      <c r="R598" s="489">
        <f>LN(INDEX(Data!$B$2:$B$497,MATCH(N598,Data!$A$2:$A$497,1)))</f>
        <v>10.9132160247196</v>
      </c>
      <c r="S598" s="116">
        <f>IF(INDEX('Additional data'!$E$2:$E$699,MATCH(DATE(YEAR(N598),MONTH(N598),1),'Additional data'!$D$2:$D$699,0))=0,(INDEX('Additional data'!$E$2:$E$699,MATCH(DATE(YEAR(N598),MONTH(N598),1),'Additional data'!$D$2:$D$699,0)-1)+INDEX('Additional data'!$E$2:$E$699,MATCH(DATE(YEAR(N598),MONTH(N598),1),'Additional data'!$D$2:$D$699,0)+1))/2,INDEX('Additional data'!$E$2:$E$699,MATCH(DATE(YEAR(N598),MONTH(N598),1),'Additional data'!$D$2:$D$699,0)))</f>
        <v>1.72</v>
      </c>
      <c r="T598" s="425">
        <f>P598-P597</f>
        <v>-0.0704968307212019</v>
      </c>
      <c r="U598" s="425">
        <f>Q598-Q597</f>
        <v>0.00846407841212926</v>
      </c>
      <c r="V598" s="425">
        <f>R598-R597</f>
        <v>0.0028215053787477</v>
      </c>
      <c r="W598" s="116">
        <f>S598-S597</f>
        <v>-0.01</v>
      </c>
      <c r="X598" s="425">
        <f>P598-P586</f>
        <v>-0.0762557935732136</v>
      </c>
      <c r="Y598" s="425">
        <f>Q598-Q586</f>
        <v>0.180314753005674</v>
      </c>
      <c r="Z598" s="425">
        <f>R598-R586</f>
        <v>0.123271144150154</v>
      </c>
      <c r="AA598" s="116">
        <f>S598-S586</f>
        <v>-0.27</v>
      </c>
      <c r="AB598" s="425">
        <f>P598-P538</f>
        <v>-0.601052277735435</v>
      </c>
      <c r="AC598" s="425">
        <f>Q598-Q538</f>
        <v>0.691690598771094</v>
      </c>
      <c r="AD598" s="425">
        <f>R598-R538</f>
        <v>0.548693869236532</v>
      </c>
      <c r="AE598" s="235">
        <f>S598-S538</f>
        <v>-1.7725</v>
      </c>
      <c r="AG598" s="554">
        <f>N598</f>
        <v>42916.0</v>
      </c>
      <c r="AH598" s="435">
        <f>IFERROR(INDEX('RBA 5Y yield'!$B$5:$B$661,MATCH(N598,'RBA 5Y yield'!$A$5:$A$661,1))*100,"")</f>
        <v>1.987</v>
      </c>
      <c r="AI598" s="435">
        <f>IF(AND(ISNUMBER(AH598),ISNUMBER(AH597)),AH598-AH597,"")</f>
        <v>-0.0630000000000004</v>
      </c>
      <c r="AJ598" s="435">
        <f>IF(AND(ISNUMBER(AH598),ISNUMBER(AH586)),AH598-AH586,"")</f>
        <v>0.266</v>
      </c>
      <c r="AK598" s="435">
        <f>IF(AND(ISNUMBER(AH598),ISNUMBER(AH538)),AH598-AH538,"")</f>
        <v>-0.5055</v>
      </c>
      <c r="AL598" s="560">
        <f>IFERROR(LN(INDEX(Data!$B$2:$B$497,MATCH(N598,Data!$A$2:$A$497,1))/INDEX(Data!$B$2:$B$497,MATCH(N586,Data!$A$2:$A$497,1))),"")</f>
        <v>0.123271144150153</v>
      </c>
      <c r="AM598" s="560">
        <f>IFERROR(LN(INDEX(Data!$C$2:$C$497,MATCH(N598,Data!$A$2:$A$497,1))/INDEX(Data!$C$2:$C$497,MATCH(N586,Data!$A$2:$A$497,1))),"")</f>
        <v>0.148350984629459</v>
      </c>
      <c r="AN598" s="560">
        <f>IFERROR(LN(INDEX(Data!$D$2:$D$497,MATCH(N598,Data!$A$2:$A$497,1))/INDEX(Data!$D$2:$D$497,MATCH(N586,Data!$A$2:$A$497,1))),"")</f>
        <v>0.17069494782456</v>
      </c>
      <c r="AO598" s="560">
        <f>IFERROR(LN(INDEX(Data!$E$2:$E$497,MATCH(N598,Data!$A$2:$A$497,1))/INDEX(Data!$E$2:$E$497,MATCH(N586,Data!$A$2:$A$497,1))),"")</f>
        <v>-0.038211196092058</v>
      </c>
      <c r="AP598" s="560">
        <f>IFERROR(LN(INDEX(Data!$F$2:$F$497,MATCH(N598,Data!$A$2:$A$497,1))/INDEX(Data!$F$2:$F$497,MATCH(N586,Data!$A$2:$A$497,1))),"")</f>
        <v>-0.124120756541203</v>
      </c>
      <c r="AQ598" s="560">
        <f>IFERROR(LN(INDEX(Data!$G$2:$G$497,MATCH(N598,Data!$A$2:$A$497,1))/INDEX(Data!$G$2:$G$497,MATCH(N586,Data!$A$2:$A$497,1))),"")</f>
        <v>0.108658195773945</v>
      </c>
      <c r="AR598" s="560">
        <f>IFERROR(LN(INDEX(Data!$H$2:$H$497,MATCH(N598,Data!$A$2:$A$497,1))/INDEX(Data!$H$2:$H$497,MATCH(N586,Data!$A$2:$A$497,1))),"")</f>
        <v>0.0619120954481517</v>
      </c>
      <c r="AS598" s="560">
        <f>IFERROR(LN(INDEX(Data!$I$2:$I$497,MATCH(N598,Data!$A$2:$A$497,1))/INDEX(Data!$I$2:$I$497,MATCH(N586,Data!$A$2:$A$497,1))),"")</f>
        <v>0.109606583063021</v>
      </c>
      <c r="AT598" s="560">
        <f>IFERROR(LN(INDEX(Data!$J$2:$J$497,MATCH(N598,Data!$A$2:$A$497,1))/INDEX(Data!$J$2:$J$497,MATCH(N586,Data!$A$2:$A$497,1))),"")</f>
        <v>0.00260740947070495</v>
      </c>
      <c r="AU598" s="560">
        <f>IFERROR(LN(INDEX(Data!$K$2:$K$497,MATCH(N598,Data!$A$2:$A$497,1))/INDEX(Data!$K$2:$K$497,MATCH(N586,Data!$A$2:$A$497,1))),"")</f>
        <v>0.00471436377450048</v>
      </c>
      <c r="AV598" s="561">
        <f>IFERROR(LN(INDEX(Data!$L$2:$L$497,MATCH(N598,Data!$A$2:$A$497,1))/INDEX(Data!$L$2:$L$497,MATCH(N586,Data!$A$2:$A$497,1))),"")</f>
        <v>0.0179864337262823</v>
      </c>
    </row>
    <row r="599">
      <c r="N599" s="337" t="n">
        <v>42947</v>
      </c>
      <c r="O599" s="116">
        <f>INDEX('Additional data'!$B$2:$B$965,MATCH(DATE(YEAR(N599),MONTH(N599),1),'Additional data'!$A$2:$A$965,0))</f>
        <v>46.63</v>
      </c>
      <c r="P599" s="489">
        <f>LN(O599)</f>
        <v>3.84224411082023</v>
      </c>
      <c r="Q599" s="489">
        <f>Q598+LN(1+INDEX('Additional data'!$H$2:$H$1196,MATCH(N599,'Additional data'!$G$2:$G$1196,1))+INDEX('Additional data'!$I$2:$I$1196,MATCH(N599,'Additional data'!$G$2:$G$1196,1)))</f>
        <v>4.74594615784791</v>
      </c>
      <c r="R599" s="489">
        <f>LN(INDEX(Data!$B$2:$B$497,MATCH(N599,Data!$A$2:$A$497,1)))</f>
        <v>10.9150274983622</v>
      </c>
      <c r="S599" s="116">
        <f>IF(INDEX('Additional data'!$E$2:$E$699,MATCH(DATE(YEAR(N599),MONTH(N599),1),'Additional data'!$D$2:$D$699,0))=0,(INDEX('Additional data'!$E$2:$E$699,MATCH(DATE(YEAR(N599),MONTH(N599),1),'Additional data'!$D$2:$D$699,0)-1)+INDEX('Additional data'!$E$2:$E$699,MATCH(DATE(YEAR(N599),MONTH(N599),1),'Additional data'!$D$2:$D$699,0)+1))/2,INDEX('Additional data'!$E$2:$E$699,MATCH(DATE(YEAR(N599),MONTH(N599),1),'Additional data'!$D$2:$D$699,0)))</f>
        <v>1.7</v>
      </c>
      <c r="T599" s="425">
        <f>P599-P598</f>
        <v>0.0315895997803723</v>
      </c>
      <c r="U599" s="425">
        <f>Q599-Q598</f>
        <v>0.0193123110323725</v>
      </c>
      <c r="V599" s="425">
        <f>R599-R598</f>
        <v>0.00181147364254208</v>
      </c>
      <c r="W599" s="116">
        <f>S599-S598</f>
        <v>-0.02</v>
      </c>
      <c r="X599" s="425">
        <f>P599-P587</f>
        <v>0.0433898034977216</v>
      </c>
      <c r="Y599" s="425">
        <f>Q599-Q587</f>
        <v>0.160791040252848</v>
      </c>
      <c r="Z599" s="425">
        <f>R599-R587</f>
        <v>0.0641197184949203</v>
      </c>
      <c r="AA599" s="116">
        <f>S599-S587</f>
        <v>-0.23</v>
      </c>
      <c r="AB599" s="425">
        <f>P599-P539</f>
        <v>-0.634296932570681</v>
      </c>
      <c r="AC599" s="425">
        <f>Q599-Q539</f>
        <v>0.703133951424772</v>
      </c>
      <c r="AD599" s="425">
        <f>R599-R539</f>
        <v>0.513757041457872</v>
      </c>
      <c r="AE599" s="235">
        <f>S599-S539</f>
        <v>-1.845</v>
      </c>
      <c r="AG599" s="554">
        <f>N599</f>
        <v>42947.0</v>
      </c>
      <c r="AH599" s="435">
        <f>IFERROR(INDEX('RBA 5Y yield'!$B$5:$B$661,MATCH(N599,'RBA 5Y yield'!$A$5:$A$661,1))*100,"")</f>
        <v>2.212</v>
      </c>
      <c r="AI599" s="435">
        <f>IF(AND(ISNUMBER(AH599),ISNUMBER(AH598)),AH599-AH598,"")</f>
        <v>0.225</v>
      </c>
      <c r="AJ599" s="435">
        <f>IF(AND(ISNUMBER(AH599),ISNUMBER(AH587)),AH599-AH587,"")</f>
        <v>0.597</v>
      </c>
      <c r="AK599" s="435">
        <f>IF(AND(ISNUMBER(AH599),ISNUMBER(AH539)),AH599-AH539,"")</f>
        <v>-0.2555</v>
      </c>
      <c r="AL599" s="560">
        <f>IFERROR(LN(INDEX(Data!$B$2:$B$497,MATCH(N599,Data!$A$2:$A$497,1))/INDEX(Data!$B$2:$B$497,MATCH(N587,Data!$A$2:$A$497,1))),"")</f>
        <v>0.06411971849492</v>
      </c>
      <c r="AM599" s="560">
        <f>IFERROR(LN(INDEX(Data!$C$2:$C$497,MATCH(N599,Data!$A$2:$A$497,1))/INDEX(Data!$C$2:$C$497,MATCH(N587,Data!$A$2:$A$497,1))),"")</f>
        <v>0.102779570779742</v>
      </c>
      <c r="AN599" s="560">
        <f>IFERROR(LN(INDEX(Data!$D$2:$D$497,MATCH(N599,Data!$A$2:$A$497,1))/INDEX(Data!$D$2:$D$497,MATCH(N587,Data!$A$2:$A$497,1))),"")</f>
        <v>0.157686682335935</v>
      </c>
      <c r="AO599" s="560">
        <f>IFERROR(LN(INDEX(Data!$E$2:$E$497,MATCH(N599,Data!$A$2:$A$497,1))/INDEX(Data!$E$2:$E$497,MATCH(N587,Data!$A$2:$A$497,1))),"")</f>
        <v>-0.0899330820632389</v>
      </c>
      <c r="AP599" s="560">
        <f>IFERROR(LN(INDEX(Data!$F$2:$F$497,MATCH(N599,Data!$A$2:$A$497,1))/INDEX(Data!$F$2:$F$497,MATCH(N587,Data!$A$2:$A$497,1))),"")</f>
        <v>0.0018203311105025</v>
      </c>
      <c r="AQ599" s="560">
        <f>IFERROR(LN(INDEX(Data!$G$2:$G$497,MATCH(N599,Data!$A$2:$A$497,1))/INDEX(Data!$G$2:$G$497,MATCH(N587,Data!$A$2:$A$497,1))),"")</f>
        <v>0.108658195773945</v>
      </c>
      <c r="AR599" s="560">
        <f>IFERROR(LN(INDEX(Data!$H$2:$H$497,MATCH(N599,Data!$A$2:$A$497,1))/INDEX(Data!$H$2:$H$497,MATCH(N587,Data!$A$2:$A$497,1))),"")</f>
        <v>0.0504245458693026</v>
      </c>
      <c r="AS599" s="560">
        <f>IFERROR(LN(INDEX(Data!$I$2:$I$497,MATCH(N599,Data!$A$2:$A$497,1))/INDEX(Data!$I$2:$I$497,MATCH(N587,Data!$A$2:$A$497,1))),"")</f>
        <v>0.109606583063021</v>
      </c>
      <c r="AT599" s="560">
        <f>IFERROR(LN(INDEX(Data!$J$2:$J$497,MATCH(N599,Data!$A$2:$A$497,1))/INDEX(Data!$J$2:$J$497,MATCH(N587,Data!$A$2:$A$497,1))),"")</f>
        <v>-0.00226846466012114</v>
      </c>
      <c r="AU599" s="560">
        <f>IFERROR(LN(INDEX(Data!$K$2:$K$497,MATCH(N599,Data!$A$2:$A$497,1))/INDEX(Data!$K$2:$K$497,MATCH(N587,Data!$A$2:$A$497,1))),"")</f>
        <v>0.00136354752400688</v>
      </c>
      <c r="AV599" s="561">
        <f>IFERROR(LN(INDEX(Data!$L$2:$L$497,MATCH(N599,Data!$A$2:$A$497,1))/INDEX(Data!$L$2:$L$497,MATCH(N587,Data!$A$2:$A$497,1))),"")</f>
        <v>0.0177867532144368</v>
      </c>
    </row>
    <row r="600">
      <c r="N600" s="337" t="n">
        <v>42978</v>
      </c>
      <c r="O600" s="116">
        <f>INDEX('Additional data'!$B$2:$B$965,MATCH(DATE(YEAR(N600),MONTH(N600),1),'Additional data'!$A$2:$A$965,0))</f>
        <v>48.04</v>
      </c>
      <c r="P600" s="489">
        <f>LN(O600)</f>
        <v>3.87203399721178</v>
      </c>
      <c r="Q600" s="489">
        <f>Q599+LN(1+INDEX('Additional data'!$H$2:$H$1196,MATCH(N600,'Additional data'!$G$2:$G$1196,1))+INDEX('Additional data'!$I$2:$I$1196,MATCH(N600,'Additional data'!$G$2:$G$1196,1)))</f>
        <v>4.74864251939565</v>
      </c>
      <c r="R600" s="489">
        <f>LN(INDEX(Data!$B$2:$B$497,MATCH(N600,Data!$A$2:$A$497,1)))</f>
        <v>10.9228972485304</v>
      </c>
      <c r="S600" s="116">
        <f>IF(INDEX('Additional data'!$E$2:$E$699,MATCH(DATE(YEAR(N600),MONTH(N600),1),'Additional data'!$D$2:$D$699,0))=0,(INDEX('Additional data'!$E$2:$E$699,MATCH(DATE(YEAR(N600),MONTH(N600),1),'Additional data'!$D$2:$D$699,0)-1)+INDEX('Additional data'!$E$2:$E$699,MATCH(DATE(YEAR(N600),MONTH(N600),1),'Additional data'!$D$2:$D$699,0)+1))/2,INDEX('Additional data'!$E$2:$E$699,MATCH(DATE(YEAR(N600),MONTH(N600),1),'Additional data'!$D$2:$D$699,0)))</f>
        <v>1.7</v>
      </c>
      <c r="T600" s="425">
        <f>P600-P599</f>
        <v>0.0297898863915536</v>
      </c>
      <c r="U600" s="425">
        <f>Q600-Q599</f>
        <v>0.00269636154774222</v>
      </c>
      <c r="V600" s="425">
        <f>R600-R599</f>
        <v>0.00786975016824165</v>
      </c>
      <c r="W600" s="116">
        <f>S600-S599</f>
        <v>0</v>
      </c>
      <c r="X600" s="425">
        <f>P600-P588</f>
        <v>0.0716131683649395</v>
      </c>
      <c r="Y600" s="425">
        <f>Q600-Q588</f>
        <v>0.158400362752033</v>
      </c>
      <c r="Z600" s="425">
        <f>R600-R588</f>
        <v>0.085346441698702</v>
      </c>
      <c r="AA600" s="116">
        <f>S600-S588</f>
        <v>-0.0600000000000001</v>
      </c>
      <c r="AB600" s="425">
        <f>P600-P540</f>
        <v>-0.672961465740238</v>
      </c>
      <c r="AC600" s="425">
        <f>Q600-Q540</f>
        <v>0.680650014442216</v>
      </c>
      <c r="AD600" s="425">
        <f>R600-R540</f>
        <v>0.500613053238965</v>
      </c>
      <c r="AE600" s="235">
        <f>S600-S540</f>
        <v>-1.9175</v>
      </c>
      <c r="AG600" s="554">
        <f>N600</f>
        <v>42978.0</v>
      </c>
      <c r="AH600" s="435">
        <f>IFERROR(INDEX('RBA 5Y yield'!$B$5:$B$661,MATCH(N600,'RBA 5Y yield'!$A$5:$A$661,1))*100,"")</f>
        <v>2.186</v>
      </c>
      <c r="AI600" s="435">
        <f>IF(AND(ISNUMBER(AH600),ISNUMBER(AH599)),AH600-AH599,"")</f>
        <v>-0.0260000000000002</v>
      </c>
      <c r="AJ600" s="435">
        <f>IF(AND(ISNUMBER(AH600),ISNUMBER(AH588)),AH600-AH588,"")</f>
        <v>0.649</v>
      </c>
      <c r="AK600" s="435">
        <f>IF(AND(ISNUMBER(AH600),ISNUMBER(AH540)),AH600-AH540,"")</f>
        <v>-0.6315</v>
      </c>
      <c r="AL600" s="560">
        <f>IFERROR(LN(INDEX(Data!$B$2:$B$497,MATCH(N600,Data!$A$2:$A$497,1))/INDEX(Data!$B$2:$B$497,MATCH(N588,Data!$A$2:$A$497,1))),"")</f>
        <v>0.0853464416987027</v>
      </c>
      <c r="AM600" s="560">
        <f>IFERROR(LN(INDEX(Data!$C$2:$C$497,MATCH(N600,Data!$A$2:$A$497,1))/INDEX(Data!$C$2:$C$497,MATCH(N588,Data!$A$2:$A$497,1))),"")</f>
        <v>0.095346996758341</v>
      </c>
      <c r="AN600" s="560">
        <f>IFERROR(LN(INDEX(Data!$D$2:$D$497,MATCH(N600,Data!$A$2:$A$497,1))/INDEX(Data!$D$2:$D$497,MATCH(N588,Data!$A$2:$A$497,1))),"")</f>
        <v>0.146660593465796</v>
      </c>
      <c r="AO600" s="560">
        <f>IFERROR(LN(INDEX(Data!$E$2:$E$497,MATCH(N600,Data!$A$2:$A$497,1))/INDEX(Data!$E$2:$E$497,MATCH(N588,Data!$A$2:$A$497,1))),"")</f>
        <v>-0.0665193638333871</v>
      </c>
      <c r="AP600" s="560">
        <f>IFERROR(LN(INDEX(Data!$F$2:$F$497,MATCH(N600,Data!$A$2:$A$497,1))/INDEX(Data!$F$2:$F$497,MATCH(N588,Data!$A$2:$A$497,1))),"")</f>
        <v>-0.0282263442115873</v>
      </c>
      <c r="AQ600" s="560">
        <f>IFERROR(LN(INDEX(Data!$G$2:$G$497,MATCH(N600,Data!$A$2:$A$497,1))/INDEX(Data!$G$2:$G$497,MATCH(N588,Data!$A$2:$A$497,1))),"")</f>
        <v>0.108658195773945</v>
      </c>
      <c r="AR600" s="560">
        <f>IFERROR(LN(INDEX(Data!$H$2:$H$497,MATCH(N600,Data!$A$2:$A$497,1))/INDEX(Data!$H$2:$H$497,MATCH(N588,Data!$A$2:$A$497,1))),"")</f>
        <v>0.0563775349744016</v>
      </c>
      <c r="AS600" s="560">
        <f>IFERROR(LN(INDEX(Data!$I$2:$I$497,MATCH(N600,Data!$A$2:$A$497,1))/INDEX(Data!$I$2:$I$497,MATCH(N588,Data!$A$2:$A$497,1))),"")</f>
        <v>0.109606583063021</v>
      </c>
      <c r="AT600" s="560">
        <f>IFERROR(LN(INDEX(Data!$J$2:$J$497,MATCH(N600,Data!$A$2:$A$497,1))/INDEX(Data!$J$2:$J$497,MATCH(N588,Data!$A$2:$A$497,1))),"")</f>
        <v>-0.00651857553339874</v>
      </c>
      <c r="AU600" s="560">
        <f>IFERROR(LN(INDEX(Data!$K$2:$K$497,MATCH(N600,Data!$A$2:$A$497,1))/INDEX(Data!$K$2:$K$497,MATCH(N588,Data!$A$2:$A$497,1))),"")</f>
        <v>0.0103462283441344</v>
      </c>
      <c r="AV600" s="561">
        <f>IFERROR(LN(INDEX(Data!$L$2:$L$497,MATCH(N600,Data!$A$2:$A$497,1))/INDEX(Data!$L$2:$L$497,MATCH(N588,Data!$A$2:$A$497,1))),"")</f>
        <v>0.0175080050384169</v>
      </c>
    </row>
    <row r="601">
      <c r="N601" s="337" t="n">
        <v>43008</v>
      </c>
      <c r="O601" s="116">
        <f>INDEX('Additional data'!$B$2:$B$965,MATCH(DATE(YEAR(N601),MONTH(N601),1),'Additional data'!$A$2:$A$965,0))</f>
        <v>49.82</v>
      </c>
      <c r="P601" s="489">
        <f>LN(O601)</f>
        <v>3.90841650983403</v>
      </c>
      <c r="Q601" s="489">
        <f>Q600+LN(1+INDEX('Additional data'!$H$2:$H$1196,MATCH(N601,'Additional data'!$G$2:$G$1196,1))+INDEX('Additional data'!$I$2:$I$1196,MATCH(N601,'Additional data'!$G$2:$G$1196,1)))</f>
        <v>4.77411531536868</v>
      </c>
      <c r="R601" s="489">
        <f>LN(INDEX(Data!$B$2:$B$497,MATCH(N601,Data!$A$2:$A$497,1)))</f>
        <v>10.9234127593848</v>
      </c>
      <c r="S601" s="116">
        <f>IF(INDEX('Additional data'!$E$2:$E$699,MATCH(DATE(YEAR(N601),MONTH(N601),1),'Additional data'!$D$2:$D$699,0))=0,(INDEX('Additional data'!$E$2:$E$699,MATCH(DATE(YEAR(N601),MONTH(N601),1),'Additional data'!$D$2:$D$699,0)-1)+INDEX('Additional data'!$E$2:$E$699,MATCH(DATE(YEAR(N601),MONTH(N601),1),'Additional data'!$D$2:$D$699,0)+1))/2,INDEX('Additional data'!$E$2:$E$699,MATCH(DATE(YEAR(N601),MONTH(N601),1),'Additional data'!$D$2:$D$699,0)))</f>
        <v>1.72</v>
      </c>
      <c r="T601" s="425">
        <f>P601-P600</f>
        <v>0.0363825126222515</v>
      </c>
      <c r="U601" s="425">
        <f>Q601-Q600</f>
        <v>0.0254727959730312</v>
      </c>
      <c r="V601" s="425">
        <f>R601-R600</f>
        <v>0.000515510854411261</v>
      </c>
      <c r="W601" s="116">
        <f>S601-S600</f>
        <v>0.02</v>
      </c>
      <c r="X601" s="425">
        <f>P601-P589</f>
        <v>0.0977619987941774</v>
      </c>
      <c r="Y601" s="425">
        <f>Q601-Q589</f>
        <v>0.180977355613039</v>
      </c>
      <c r="Z601" s="425">
        <f>R601-R589</f>
        <v>0.0818662723900001</v>
      </c>
      <c r="AA601" s="116">
        <f>S601-S589</f>
        <v>-0.01</v>
      </c>
      <c r="AB601" s="425">
        <f>P601-P541</f>
        <v>-0.642508661301661</v>
      </c>
      <c r="AC601" s="425">
        <f>Q601-Q541</f>
        <v>0.679091471364217</v>
      </c>
      <c r="AD601" s="425">
        <f>R601-R541</f>
        <v>0.480068161050829</v>
      </c>
      <c r="AE601" s="235">
        <f>S601-S541</f>
        <v>-1.77</v>
      </c>
      <c r="AG601" s="554">
        <f>N601</f>
        <v>43008.0</v>
      </c>
      <c r="AH601" s="435">
        <f>IFERROR(INDEX('RBA 5Y yield'!$B$5:$B$661,MATCH(N601,'RBA 5Y yield'!$A$5:$A$661,1))*100,"")</f>
        <v>2.297</v>
      </c>
      <c r="AI601" s="435">
        <f>IF(AND(ISNUMBER(AH601),ISNUMBER(AH600)),AH601-AH600,"")</f>
        <v>0.111</v>
      </c>
      <c r="AJ601" s="435">
        <f>IF(AND(ISNUMBER(AH601),ISNUMBER(AH589)),AH601-AH589,"")</f>
        <v>0.602</v>
      </c>
      <c r="AK601" s="435">
        <f>IF(AND(ISNUMBER(AH601),ISNUMBER(AH541)),AH601-AH541,"")</f>
        <v>-0.3655</v>
      </c>
      <c r="AL601" s="560">
        <f>IFERROR(LN(INDEX(Data!$B$2:$B$497,MATCH(N601,Data!$A$2:$A$497,1))/INDEX(Data!$B$2:$B$497,MATCH(N589,Data!$A$2:$A$497,1))),"")</f>
        <v>0.0818662723899993</v>
      </c>
      <c r="AM601" s="560">
        <f>IFERROR(LN(INDEX(Data!$C$2:$C$497,MATCH(N601,Data!$A$2:$A$497,1))/INDEX(Data!$C$2:$C$497,MATCH(N589,Data!$A$2:$A$497,1))),"")</f>
        <v>0.145115130766015</v>
      </c>
      <c r="AN601" s="560">
        <f>IFERROR(LN(INDEX(Data!$D$2:$D$497,MATCH(N601,Data!$A$2:$A$497,1))/INDEX(Data!$D$2:$D$497,MATCH(N589,Data!$A$2:$A$497,1))),"")</f>
        <v>0.175449131798167</v>
      </c>
      <c r="AO601" s="560">
        <f>IFERROR(LN(INDEX(Data!$E$2:$E$497,MATCH(N601,Data!$A$2:$A$497,1))/INDEX(Data!$E$2:$E$497,MATCH(N589,Data!$A$2:$A$497,1))),"")</f>
        <v>-0.0233178793863399</v>
      </c>
      <c r="AP601" s="560">
        <f>IFERROR(LN(INDEX(Data!$F$2:$F$497,MATCH(N601,Data!$A$2:$A$497,1))/INDEX(Data!$F$2:$F$497,MATCH(N589,Data!$A$2:$A$497,1))),"")</f>
        <v>-0.00732123751834801</v>
      </c>
      <c r="AQ601" s="560">
        <f>IFERROR(LN(INDEX(Data!$G$2:$G$497,MATCH(N601,Data!$A$2:$A$497,1))/INDEX(Data!$G$2:$G$497,MATCH(N589,Data!$A$2:$A$497,1))),"")</f>
        <v>0.0916821605991536</v>
      </c>
      <c r="AR601" s="560">
        <f>IFERROR(LN(INDEX(Data!$H$2:$H$497,MATCH(N601,Data!$A$2:$A$497,1))/INDEX(Data!$H$2:$H$497,MATCH(N589,Data!$A$2:$A$497,1))),"")</f>
        <v>0.0857869912963972</v>
      </c>
      <c r="AS601" s="560">
        <f>IFERROR(LN(INDEX(Data!$I$2:$I$497,MATCH(N601,Data!$A$2:$A$497,1))/INDEX(Data!$I$2:$I$497,MATCH(N589,Data!$A$2:$A$497,1))),"")</f>
        <v>0.106489954358773</v>
      </c>
      <c r="AT601" s="560">
        <f>IFERROR(LN(INDEX(Data!$J$2:$J$497,MATCH(N601,Data!$A$2:$A$497,1))/INDEX(Data!$J$2:$J$497,MATCH(N589,Data!$A$2:$A$497,1))),"")</f>
        <v>-0.00743493983678816</v>
      </c>
      <c r="AU601" s="560">
        <f>IFERROR(LN(INDEX(Data!$K$2:$K$497,MATCH(N601,Data!$A$2:$A$497,1))/INDEX(Data!$K$2:$K$497,MATCH(N589,Data!$A$2:$A$497,1))),"")</f>
        <v>0.00530231722238776</v>
      </c>
      <c r="AV601" s="561">
        <f>IFERROR(LN(INDEX(Data!$L$2:$L$497,MATCH(N601,Data!$A$2:$A$497,1))/INDEX(Data!$L$2:$L$497,MATCH(N589,Data!$A$2:$A$497,1))),"")</f>
        <v>0.017524097711291</v>
      </c>
    </row>
    <row r="602">
      <c r="N602" s="337" t="n">
        <v>43039</v>
      </c>
      <c r="O602" s="116">
        <f>INDEX('Additional data'!$B$2:$B$965,MATCH(DATE(YEAR(N602),MONTH(N602),1),'Additional data'!$A$2:$A$965,0))</f>
        <v>51.58</v>
      </c>
      <c r="P602" s="489">
        <f>LN(O602)</f>
        <v>3.9431340004532</v>
      </c>
      <c r="Q602" s="489">
        <f>Q601+LN(1+INDEX('Additional data'!$H$2:$H$1196,MATCH(N602,'Additional data'!$G$2:$G$1196,1))+INDEX('Additional data'!$I$2:$I$1196,MATCH(N602,'Additional data'!$G$2:$G$1196,1)))</f>
        <v>4.79734344148789</v>
      </c>
      <c r="R602" s="489">
        <f>LN(INDEX(Data!$B$2:$B$497,MATCH(N602,Data!$A$2:$A$497,1)))</f>
        <v>10.9632352848415</v>
      </c>
      <c r="S602" s="116">
        <f>IF(INDEX('Additional data'!$E$2:$E$699,MATCH(DATE(YEAR(N602),MONTH(N602),1),'Additional data'!$D$2:$D$699,0))=0,(INDEX('Additional data'!$E$2:$E$699,MATCH(DATE(YEAR(N602),MONTH(N602),1),'Additional data'!$D$2:$D$699,0)-1)+INDEX('Additional data'!$E$2:$E$699,MATCH(DATE(YEAR(N602),MONTH(N602),1),'Additional data'!$D$2:$D$699,0)+1))/2,INDEX('Additional data'!$E$2:$E$699,MATCH(DATE(YEAR(N602),MONTH(N602),1),'Additional data'!$D$2:$D$699,0)))</f>
        <v>1.7</v>
      </c>
      <c r="T602" s="425">
        <f>P602-P601</f>
        <v>0.0347174906191641</v>
      </c>
      <c r="U602" s="425">
        <f>Q602-Q601</f>
        <v>0.0232281261192071</v>
      </c>
      <c r="V602" s="425">
        <f>R602-R601</f>
        <v>0.0398225254566444</v>
      </c>
      <c r="W602" s="116">
        <f>S602-S601</f>
        <v>-0.02</v>
      </c>
      <c r="X602" s="425">
        <f>P602-P590</f>
        <v>0.0355207035137526</v>
      </c>
      <c r="Y602" s="425">
        <f>Q602-Q590</f>
        <v>0.224306153439249</v>
      </c>
      <c r="Z602" s="425">
        <f>R602-R590</f>
        <v>0.14369460165233</v>
      </c>
      <c r="AA602" s="116">
        <f>S602-S590</f>
        <v>-0.04</v>
      </c>
      <c r="AB602" s="425">
        <f>P602-P542</f>
        <v>-0.551886442033906</v>
      </c>
      <c r="AC602" s="425">
        <f>Q602-Q542</f>
        <v>0.719974532722144</v>
      </c>
      <c r="AD602" s="425">
        <f>R602-R542</f>
        <v>0.490666278464872</v>
      </c>
      <c r="AE602" s="235">
        <f>S602-S542</f>
        <v>-1.4625</v>
      </c>
      <c r="AG602" s="554">
        <f>N602</f>
        <v>43039.0</v>
      </c>
      <c r="AH602" s="435">
        <f>IFERROR(INDEX('RBA 5Y yield'!$B$5:$B$661,MATCH(N602,'RBA 5Y yield'!$A$5:$A$661,1))*100,"")</f>
        <v>2.338</v>
      </c>
      <c r="AI602" s="435">
        <f>IF(AND(ISNUMBER(AH602),ISNUMBER(AH601)),AH602-AH601,"")</f>
        <v>0.0409999999999999</v>
      </c>
      <c r="AJ602" s="435">
        <f>IF(AND(ISNUMBER(AH602),ISNUMBER(AH590)),AH602-AH590,"")</f>
        <v>0.496</v>
      </c>
      <c r="AK602" s="435">
        <f>IF(AND(ISNUMBER(AH602),ISNUMBER(AH542)),AH602-AH542,"")</f>
        <v>-0.277</v>
      </c>
      <c r="AL602" s="560">
        <f>IFERROR(LN(INDEX(Data!$B$2:$B$497,MATCH(N602,Data!$A$2:$A$497,1))/INDEX(Data!$B$2:$B$497,MATCH(N590,Data!$A$2:$A$497,1))),"")</f>
        <v>0.14369460165233</v>
      </c>
      <c r="AM602" s="560">
        <f>IFERROR(LN(INDEX(Data!$C$2:$C$497,MATCH(N602,Data!$A$2:$A$497,1))/INDEX(Data!$C$2:$C$497,MATCH(N590,Data!$A$2:$A$497,1))),"")</f>
        <v>0.194357340428428</v>
      </c>
      <c r="AN602" s="560">
        <f>IFERROR(LN(INDEX(Data!$D$2:$D$497,MATCH(N602,Data!$A$2:$A$497,1))/INDEX(Data!$D$2:$D$497,MATCH(N590,Data!$A$2:$A$497,1))),"")</f>
        <v>0.224925514023026</v>
      </c>
      <c r="AO602" s="560">
        <f>IFERROR(LN(INDEX(Data!$E$2:$E$497,MATCH(N602,Data!$A$2:$A$497,1))/INDEX(Data!$E$2:$E$497,MATCH(N590,Data!$A$2:$A$497,1))),"")</f>
        <v>0.0436988965138476</v>
      </c>
      <c r="AP602" s="560">
        <f>IFERROR(LN(INDEX(Data!$F$2:$F$497,MATCH(N602,Data!$A$2:$A$497,1))/INDEX(Data!$F$2:$F$497,MATCH(N590,Data!$A$2:$A$497,1))),"")</f>
        <v>0.0626759282927267</v>
      </c>
      <c r="AQ602" s="560">
        <f>IFERROR(LN(INDEX(Data!$G$2:$G$497,MATCH(N602,Data!$A$2:$A$497,1))/INDEX(Data!$G$2:$G$497,MATCH(N590,Data!$A$2:$A$497,1))),"")</f>
        <v>0.0916821605991536</v>
      </c>
      <c r="AR602" s="560">
        <f>IFERROR(LN(INDEX(Data!$H$2:$H$497,MATCH(N602,Data!$A$2:$A$497,1))/INDEX(Data!$H$2:$H$497,MATCH(N590,Data!$A$2:$A$497,1))),"")</f>
        <v>0.090172526083666</v>
      </c>
      <c r="AS602" s="560">
        <f>IFERROR(LN(INDEX(Data!$I$2:$I$497,MATCH(N602,Data!$A$2:$A$497,1))/INDEX(Data!$I$2:$I$497,MATCH(N590,Data!$A$2:$A$497,1))),"")</f>
        <v>0.106489954358773</v>
      </c>
      <c r="AT602" s="560">
        <f>IFERROR(LN(INDEX(Data!$J$2:$J$497,MATCH(N602,Data!$A$2:$A$497,1))/INDEX(Data!$J$2:$J$497,MATCH(N590,Data!$A$2:$A$497,1))),"")</f>
        <v>0.0163349962144652</v>
      </c>
      <c r="AU602" s="560">
        <f>IFERROR(LN(INDEX(Data!$K$2:$K$497,MATCH(N602,Data!$A$2:$A$497,1))/INDEX(Data!$K$2:$K$497,MATCH(N590,Data!$A$2:$A$497,1))),"")</f>
        <v>0.0190244344891518</v>
      </c>
      <c r="AV602" s="561">
        <f>IFERROR(LN(INDEX(Data!$L$2:$L$497,MATCH(N602,Data!$A$2:$A$497,1))/INDEX(Data!$L$2:$L$497,MATCH(N590,Data!$A$2:$A$497,1))),"")</f>
        <v>0.0174921844172193</v>
      </c>
    </row>
    <row r="603">
      <c r="N603" s="337" t="n">
        <v>43069</v>
      </c>
      <c r="O603" s="116">
        <f>INDEX('Additional data'!$B$2:$B$965,MATCH(DATE(YEAR(N603),MONTH(N603),1),'Additional data'!$A$2:$A$965,0))</f>
        <v>56.64</v>
      </c>
      <c r="P603" s="489">
        <f>LN(O603)</f>
        <v>4.03671544938546</v>
      </c>
      <c r="Q603" s="489">
        <f>Q602+LN(1+INDEX('Additional data'!$H$2:$H$1196,MATCH(N603,'Additional data'!$G$2:$G$1196,1))+INDEX('Additional data'!$I$2:$I$1196,MATCH(N603,'Additional data'!$G$2:$G$1196,1)))</f>
        <v>4.82884210854726</v>
      </c>
      <c r="R603" s="489">
        <f>LN(INDEX(Data!$B$2:$B$497,MATCH(N603,Data!$A$2:$A$497,1)))</f>
        <v>10.9821266625628</v>
      </c>
      <c r="S603" s="116">
        <f>IF(INDEX('Additional data'!$E$2:$E$699,MATCH(DATE(YEAR(N603),MONTH(N603),1),'Additional data'!$D$2:$D$699,0))=0,(INDEX('Additional data'!$E$2:$E$699,MATCH(DATE(YEAR(N603),MONTH(N603),1),'Additional data'!$D$2:$D$699,0)-1)+INDEX('Additional data'!$E$2:$E$699,MATCH(DATE(YEAR(N603),MONTH(N603),1),'Additional data'!$D$2:$D$699,0)+1))/2,INDEX('Additional data'!$E$2:$E$699,MATCH(DATE(YEAR(N603),MONTH(N603),1),'Additional data'!$D$2:$D$699,0)))</f>
        <v>1.72</v>
      </c>
      <c r="T603" s="425">
        <f>P603-P602</f>
        <v>0.0935814489322655</v>
      </c>
      <c r="U603" s="425">
        <f>Q603-Q602</f>
        <v>0.0314986670593704</v>
      </c>
      <c r="V603" s="425">
        <f>R603-R602</f>
        <v>0.0188913777212836</v>
      </c>
      <c r="W603" s="116">
        <f>S603-S602</f>
        <v>0.02</v>
      </c>
      <c r="X603" s="425">
        <f>P603-P591</f>
        <v>0.215492808283815</v>
      </c>
      <c r="Y603" s="425">
        <f>Q603-Q591</f>
        <v>0.208253518640397</v>
      </c>
      <c r="Z603" s="425">
        <f>R603-R591</f>
        <v>0.138299817056879</v>
      </c>
      <c r="AA603" s="116">
        <f>S603-S591</f>
        <v>-0.04</v>
      </c>
      <c r="AB603" s="425">
        <f>P603-P543</f>
        <v>-0.425276966926299</v>
      </c>
      <c r="AC603" s="425">
        <f>Q603-Q543</f>
        <v>0.74360424140282</v>
      </c>
      <c r="AD603" s="425">
        <f>R603-R543</f>
        <v>0.50690965534031</v>
      </c>
      <c r="AE603" s="235">
        <f>S603-S543</f>
        <v>-1.5225</v>
      </c>
      <c r="AG603" s="554">
        <f>N603</f>
        <v>43069.0</v>
      </c>
      <c r="AH603" s="435">
        <f>IFERROR(INDEX('RBA 5Y yield'!$B$5:$B$661,MATCH(N603,'RBA 5Y yield'!$A$5:$A$661,1))*100,"")</f>
        <v>2.172</v>
      </c>
      <c r="AI603" s="435">
        <f>IF(AND(ISNUMBER(AH603),ISNUMBER(AH602)),AH603-AH602,"")</f>
        <v>-0.166</v>
      </c>
      <c r="AJ603" s="435">
        <f>IF(AND(ISNUMBER(AH603),ISNUMBER(AH591)),AH603-AH591,"")</f>
        <v>0.156</v>
      </c>
      <c r="AK603" s="435">
        <f>IF(AND(ISNUMBER(AH603),ISNUMBER(AH543)),AH603-AH543,"")</f>
        <v>-0.563</v>
      </c>
      <c r="AL603" s="560">
        <f>IFERROR(LN(INDEX(Data!$B$2:$B$497,MATCH(N603,Data!$A$2:$A$497,1))/INDEX(Data!$B$2:$B$497,MATCH(N591,Data!$A$2:$A$497,1))),"")</f>
        <v>0.13829981705688</v>
      </c>
      <c r="AM603" s="560">
        <f>IFERROR(LN(INDEX(Data!$C$2:$C$497,MATCH(N603,Data!$A$2:$A$497,1))/INDEX(Data!$C$2:$C$497,MATCH(N591,Data!$A$2:$A$497,1))),"")</f>
        <v>0.164422433104278</v>
      </c>
      <c r="AN603" s="560">
        <f>IFERROR(LN(INDEX(Data!$D$2:$D$497,MATCH(N603,Data!$A$2:$A$497,1))/INDEX(Data!$D$2:$D$497,MATCH(N591,Data!$A$2:$A$497,1))),"")</f>
        <v>0.219177339109401</v>
      </c>
      <c r="AO603" s="560">
        <f>IFERROR(LN(INDEX(Data!$E$2:$E$497,MATCH(N603,Data!$A$2:$A$497,1))/INDEX(Data!$E$2:$E$497,MATCH(N591,Data!$A$2:$A$497,1))),"")</f>
        <v>0.0655991027391098</v>
      </c>
      <c r="AP603" s="560">
        <f>IFERROR(LN(INDEX(Data!$F$2:$F$497,MATCH(N603,Data!$A$2:$A$497,1))/INDEX(Data!$F$2:$F$497,MATCH(N591,Data!$A$2:$A$497,1))),"")</f>
        <v>0.0318571123151327</v>
      </c>
      <c r="AQ603" s="560">
        <f>IFERROR(LN(INDEX(Data!$G$2:$G$497,MATCH(N603,Data!$A$2:$A$497,1))/INDEX(Data!$G$2:$G$497,MATCH(N591,Data!$A$2:$A$497,1))),"")</f>
        <v>0.0916821605991536</v>
      </c>
      <c r="AR603" s="560">
        <f>IFERROR(LN(INDEX(Data!$H$2:$H$497,MATCH(N603,Data!$A$2:$A$497,1))/INDEX(Data!$H$2:$H$497,MATCH(N591,Data!$A$2:$A$497,1))),"")</f>
        <v>0.079400074230139</v>
      </c>
      <c r="AS603" s="560">
        <f>IFERROR(LN(INDEX(Data!$I$2:$I$497,MATCH(N603,Data!$A$2:$A$497,1))/INDEX(Data!$I$2:$I$497,MATCH(N591,Data!$A$2:$A$497,1))),"")</f>
        <v>0.106489954358773</v>
      </c>
      <c r="AT603" s="560">
        <f>IFERROR(LN(INDEX(Data!$J$2:$J$497,MATCH(N603,Data!$A$2:$A$497,1))/INDEX(Data!$J$2:$J$497,MATCH(N591,Data!$A$2:$A$497,1))),"")</f>
        <v>0.0394974003882824</v>
      </c>
      <c r="AU603" s="560">
        <f>IFERROR(LN(INDEX(Data!$K$2:$K$497,MATCH(N603,Data!$A$2:$A$497,1))/INDEX(Data!$K$2:$K$497,MATCH(N591,Data!$A$2:$A$497,1))),"")</f>
        <v>0.0373001996277917</v>
      </c>
      <c r="AV603" s="561">
        <f>IFERROR(LN(INDEX(Data!$L$2:$L$497,MATCH(N603,Data!$A$2:$A$497,1))/INDEX(Data!$L$2:$L$497,MATCH(N591,Data!$A$2:$A$497,1))),"")</f>
        <v>0.0143073184397898</v>
      </c>
    </row>
    <row r="604">
      <c r="N604" s="337" t="n">
        <v>43100</v>
      </c>
      <c r="O604" s="116">
        <f>INDEX('Additional data'!$B$2:$B$965,MATCH(DATE(YEAR(N604),MONTH(N604),1),'Additional data'!$A$2:$A$965,0))</f>
        <v>57.88</v>
      </c>
      <c r="P604" s="489">
        <f>LN(O604)</f>
        <v>4.05837190176328</v>
      </c>
      <c r="Q604" s="489">
        <f>Q603+LN(1+INDEX('Additional data'!$H$2:$H$1196,MATCH(N604,'Additional data'!$G$2:$G$1196,1))+INDEX('Additional data'!$I$2:$I$1196,MATCH(N604,'Additional data'!$G$2:$G$1196,1)))</f>
        <v>4.84027648617292</v>
      </c>
      <c r="R604" s="489">
        <f>LN(INDEX(Data!$B$2:$B$497,MATCH(N604,Data!$A$2:$A$497,1)))</f>
        <v>11.0022294053026</v>
      </c>
      <c r="S604" s="116">
        <f>IF(INDEX('Additional data'!$E$2:$E$699,MATCH(DATE(YEAR(N604),MONTH(N604),1),'Additional data'!$D$2:$D$699,0))=0,(INDEX('Additional data'!$E$2:$E$699,MATCH(DATE(YEAR(N604),MONTH(N604),1),'Additional data'!$D$2:$D$699,0)-1)+INDEX('Additional data'!$E$2:$E$699,MATCH(DATE(YEAR(N604),MONTH(N604),1),'Additional data'!$D$2:$D$699,0)+1))/2,INDEX('Additional data'!$E$2:$E$699,MATCH(DATE(YEAR(N604),MONTH(N604),1),'Additional data'!$D$2:$D$699,0)))</f>
        <v>1.77</v>
      </c>
      <c r="T604" s="425">
        <f>P604-P603</f>
        <v>0.0216564523778189</v>
      </c>
      <c r="U604" s="425">
        <f>Q604-Q603</f>
        <v>0.0114343776256627</v>
      </c>
      <c r="V604" s="425">
        <f>R604-R603</f>
        <v>0.0201027427397964</v>
      </c>
      <c r="W604" s="116">
        <f>S604-S603</f>
        <v>0.05</v>
      </c>
      <c r="X604" s="425">
        <f>P604-P592</f>
        <v>0.107705272742932</v>
      </c>
      <c r="Y604" s="425">
        <f>Q604-Q592</f>
        <v>0.201455128005001</v>
      </c>
      <c r="Z604" s="425">
        <f>R604-R592</f>
        <v>0.117525651427162</v>
      </c>
      <c r="AA604" s="116">
        <f>S604-S592</f>
        <v>-0.01</v>
      </c>
      <c r="AB604" s="425">
        <f>P604-P544</f>
        <v>-0.421801794050123</v>
      </c>
      <c r="AC604" s="425">
        <f>Q604-Q544</f>
        <v>0.743208867274905</v>
      </c>
      <c r="AD604" s="425">
        <f>R604-R544</f>
        <v>0.493261855803411</v>
      </c>
      <c r="AE604" s="235">
        <f>S604-S544</f>
        <v>-1.3425</v>
      </c>
      <c r="AG604" s="554">
        <f>N604</f>
        <v>43100.0</v>
      </c>
      <c r="AH604" s="435">
        <f>IFERROR(INDEX('RBA 5Y yield'!$B$5:$B$661,MATCH(N604,'RBA 5Y yield'!$A$5:$A$661,1))*100,"")</f>
        <v>2.272</v>
      </c>
      <c r="AI604" s="435">
        <f>IF(AND(ISNUMBER(AH604),ISNUMBER(AH603)),AH604-AH603,"")</f>
        <v>0.1</v>
      </c>
      <c r="AJ604" s="435">
        <f>IF(AND(ISNUMBER(AH604),ISNUMBER(AH592)),AH604-AH592,"")</f>
        <v>0.0300000000000003</v>
      </c>
      <c r="AK604" s="435">
        <f>IF(AND(ISNUMBER(AH604),ISNUMBER(AH544)),AH604-AH544,"")</f>
        <v>-0.553</v>
      </c>
      <c r="AL604" s="560">
        <f>IFERROR(LN(INDEX(Data!$B$2:$B$497,MATCH(N604,Data!$A$2:$A$497,1))/INDEX(Data!$B$2:$B$497,MATCH(N592,Data!$A$2:$A$497,1))),"")</f>
        <v>0.117525651427162</v>
      </c>
      <c r="AM604" s="560">
        <f>IFERROR(LN(INDEX(Data!$C$2:$C$497,MATCH(N604,Data!$A$2:$A$497,1))/INDEX(Data!$C$2:$C$497,MATCH(N592,Data!$A$2:$A$497,1))),"")</f>
        <v>0.0979521936449928</v>
      </c>
      <c r="AN604" s="560">
        <f>IFERROR(LN(INDEX(Data!$D$2:$D$497,MATCH(N604,Data!$A$2:$A$497,1))/INDEX(Data!$D$2:$D$497,MATCH(N592,Data!$A$2:$A$497,1))),"")</f>
        <v>0.19288605633359</v>
      </c>
      <c r="AO604" s="560">
        <f>IFERROR(LN(INDEX(Data!$E$2:$E$497,MATCH(N604,Data!$A$2:$A$497,1))/INDEX(Data!$E$2:$E$497,MATCH(N592,Data!$A$2:$A$497,1))),"")</f>
        <v>-0.0211670908672665</v>
      </c>
      <c r="AP604" s="560">
        <f>IFERROR(LN(INDEX(Data!$F$2:$F$497,MATCH(N604,Data!$A$2:$A$497,1))/INDEX(Data!$F$2:$F$497,MATCH(N592,Data!$A$2:$A$497,1))),"")</f>
        <v>-0.0210523195048178</v>
      </c>
      <c r="AQ604" s="560">
        <f>IFERROR(LN(INDEX(Data!$G$2:$G$497,MATCH(N604,Data!$A$2:$A$497,1))/INDEX(Data!$G$2:$G$497,MATCH(N592,Data!$A$2:$A$497,1))),"")</f>
        <v>0.0605687240890535</v>
      </c>
      <c r="AR604" s="560">
        <f>IFERROR(LN(INDEX(Data!$H$2:$H$497,MATCH(N604,Data!$A$2:$A$497,1))/INDEX(Data!$H$2:$H$497,MATCH(N592,Data!$A$2:$A$497,1))),"")</f>
        <v>0.0750297851924748</v>
      </c>
      <c r="AS604" s="560">
        <f>IFERROR(LN(INDEX(Data!$I$2:$I$497,MATCH(N604,Data!$A$2:$A$497,1))/INDEX(Data!$I$2:$I$497,MATCH(N592,Data!$A$2:$A$497,1))),"")</f>
        <v>0.137771764235114</v>
      </c>
      <c r="AT604" s="560">
        <f>IFERROR(LN(INDEX(Data!$J$2:$J$497,MATCH(N604,Data!$A$2:$A$497,1))/INDEX(Data!$J$2:$J$497,MATCH(N592,Data!$A$2:$A$497,1))),"")</f>
        <v>0.03598310549629</v>
      </c>
      <c r="AU604" s="560">
        <f>IFERROR(LN(INDEX(Data!$K$2:$K$497,MATCH(N604,Data!$A$2:$A$497,1))/INDEX(Data!$K$2:$K$497,MATCH(N592,Data!$A$2:$A$497,1))),"")</f>
        <v>0.0361405242045189</v>
      </c>
      <c r="AV604" s="561">
        <f>IFERROR(LN(INDEX(Data!$L$2:$L$497,MATCH(N604,Data!$A$2:$A$497,1))/INDEX(Data!$L$2:$L$497,MATCH(N592,Data!$A$2:$A$497,1))),"")</f>
        <v>0.0173577657640549</v>
      </c>
    </row>
    <row r="605">
      <c r="N605" s="337" t="n">
        <v>43131</v>
      </c>
      <c r="O605" s="116">
        <f>INDEX('Additional data'!$B$2:$B$965,MATCH(DATE(YEAR(N605),MONTH(N605),1),'Additional data'!$A$2:$A$965,0))</f>
        <v>63.7</v>
      </c>
      <c r="P605" s="489">
        <f>LN(O605)</f>
        <v>4.15418456257812</v>
      </c>
      <c r="Q605" s="489">
        <f>Q604+LN(1+INDEX('Additional data'!$H$2:$H$1196,MATCH(N605,'Additional data'!$G$2:$G$1196,1))+INDEX('Additional data'!$I$2:$I$1196,MATCH(N605,'Additional data'!$G$2:$G$1196,1)))</f>
        <v>4.89561658120609</v>
      </c>
      <c r="R605" s="489">
        <f>LN(INDEX(Data!$B$2:$B$497,MATCH(N605,Data!$A$2:$A$497,1)))</f>
        <v>10.9989146058814</v>
      </c>
      <c r="S605" s="116">
        <f>IF(INDEX('Additional data'!$E$2:$E$699,MATCH(DATE(YEAR(N605),MONTH(N605),1),'Additional data'!$D$2:$D$699,0))=0,(INDEX('Additional data'!$E$2:$E$699,MATCH(DATE(YEAR(N605),MONTH(N605),1),'Additional data'!$D$2:$D$699,0)-1)+INDEX('Additional data'!$E$2:$E$699,MATCH(DATE(YEAR(N605),MONTH(N605),1),'Additional data'!$D$2:$D$699,0)+1))/2,INDEX('Additional data'!$E$2:$E$699,MATCH(DATE(YEAR(N605),MONTH(N605),1),'Additional data'!$D$2:$D$699,0)))</f>
        <v>1.79</v>
      </c>
      <c r="T605" s="425">
        <f>P605-P604</f>
        <v>0.0958126608148344</v>
      </c>
      <c r="U605" s="425">
        <f>Q605-Q604</f>
        <v>0.0553400950331646</v>
      </c>
      <c r="V605" s="425">
        <f>R605-R604</f>
        <v>-0.00331479942117241</v>
      </c>
      <c r="W605" s="116">
        <f>S605-S604</f>
        <v>0.02</v>
      </c>
      <c r="X605" s="425">
        <f>P605-P593</f>
        <v>0.193371392980539</v>
      </c>
      <c r="Y605" s="425">
        <f>Q605-Q593</f>
        <v>0.237188693399247</v>
      </c>
      <c r="Z605" s="425">
        <f>R605-R593</f>
        <v>0.121895485610033</v>
      </c>
      <c r="AA605" s="116">
        <f>S605-S593</f>
        <v>0.01</v>
      </c>
      <c r="AB605" s="425">
        <f>P605-P545</f>
        <v>-0.396423835417291</v>
      </c>
      <c r="AC605" s="425">
        <f>Q605-Q545</f>
        <v>0.744344908294558</v>
      </c>
      <c r="AD605" s="425">
        <f>R605-R545</f>
        <v>0.440398445849731</v>
      </c>
      <c r="AE605" s="235">
        <f>S605-S545</f>
        <v>-1.21</v>
      </c>
      <c r="AG605" s="554">
        <f>N605</f>
        <v>43131.0</v>
      </c>
      <c r="AH605" s="435">
        <f>IFERROR(INDEX('RBA 5Y yield'!$B$5:$B$661,MATCH(N605,'RBA 5Y yield'!$A$5:$A$661,1))*100,"")</f>
        <v>2.408</v>
      </c>
      <c r="AI605" s="435">
        <f>IF(AND(ISNUMBER(AH605),ISNUMBER(AH604)),AH605-AH604,"")</f>
        <v>0.136</v>
      </c>
      <c r="AJ605" s="435">
        <f>IF(AND(ISNUMBER(AH605),ISNUMBER(AH593)),AH605-AH593,"")</f>
        <v>0.197</v>
      </c>
      <c r="AK605" s="435">
        <f>IF(AND(ISNUMBER(AH605),ISNUMBER(AH545)),AH605-AH545,"")</f>
        <v>-0.5295</v>
      </c>
      <c r="AL605" s="560">
        <f>IFERROR(LN(INDEX(Data!$B$2:$B$497,MATCH(N605,Data!$A$2:$A$497,1))/INDEX(Data!$B$2:$B$497,MATCH(N593,Data!$A$2:$A$497,1))),"")</f>
        <v>0.121895485610033</v>
      </c>
      <c r="AM605" s="560">
        <f>IFERROR(LN(INDEX(Data!$C$2:$C$497,MATCH(N605,Data!$A$2:$A$497,1))/INDEX(Data!$C$2:$C$497,MATCH(N593,Data!$A$2:$A$497,1))),"")</f>
        <v>0.134703306440417</v>
      </c>
      <c r="AN605" s="560">
        <f>IFERROR(LN(INDEX(Data!$D$2:$D$497,MATCH(N605,Data!$A$2:$A$497,1))/INDEX(Data!$D$2:$D$497,MATCH(N593,Data!$A$2:$A$497,1))),"")</f>
        <v>0.232040575156441</v>
      </c>
      <c r="AO605" s="560">
        <f>IFERROR(LN(INDEX(Data!$E$2:$E$497,MATCH(N605,Data!$A$2:$A$497,1))/INDEX(Data!$E$2:$E$497,MATCH(N593,Data!$A$2:$A$497,1))),"")</f>
        <v>-0.0283166908840618</v>
      </c>
      <c r="AP605" s="560">
        <f>IFERROR(LN(INDEX(Data!$F$2:$F$497,MATCH(N605,Data!$A$2:$A$497,1))/INDEX(Data!$F$2:$F$497,MATCH(N593,Data!$A$2:$A$497,1))),"")</f>
        <v>0.0393886822138219</v>
      </c>
      <c r="AQ605" s="560">
        <f>IFERROR(LN(INDEX(Data!$G$2:$G$497,MATCH(N605,Data!$A$2:$A$497,1))/INDEX(Data!$G$2:$G$497,MATCH(N593,Data!$A$2:$A$497,1))),"")</f>
        <v>0.0605687240890535</v>
      </c>
      <c r="AR605" s="560">
        <f>IFERROR(LN(INDEX(Data!$H$2:$H$497,MATCH(N605,Data!$A$2:$A$497,1))/INDEX(Data!$H$2:$H$497,MATCH(N593,Data!$A$2:$A$497,1))),"")</f>
        <v>0.0717394885902873</v>
      </c>
      <c r="AS605" s="560">
        <f>IFERROR(LN(INDEX(Data!$I$2:$I$497,MATCH(N605,Data!$A$2:$A$497,1))/INDEX(Data!$I$2:$I$497,MATCH(N593,Data!$A$2:$A$497,1))),"")</f>
        <v>0.137771764235114</v>
      </c>
      <c r="AT605" s="560">
        <f>IFERROR(LN(INDEX(Data!$J$2:$J$497,MATCH(N605,Data!$A$2:$A$497,1))/INDEX(Data!$J$2:$J$497,MATCH(N593,Data!$A$2:$A$497,1))),"")</f>
        <v>0.0272214437095838</v>
      </c>
      <c r="AU605" s="560">
        <f>IFERROR(LN(INDEX(Data!$K$2:$K$497,MATCH(N605,Data!$A$2:$A$497,1))/INDEX(Data!$K$2:$K$497,MATCH(N593,Data!$A$2:$A$497,1))),"")</f>
        <v>0.0318400936357753</v>
      </c>
      <c r="AV605" s="561">
        <f>IFERROR(LN(INDEX(Data!$L$2:$L$497,MATCH(N605,Data!$A$2:$A$497,1))/INDEX(Data!$L$2:$L$497,MATCH(N593,Data!$A$2:$A$497,1))),"")</f>
        <v>0.0173163312458962</v>
      </c>
    </row>
    <row r="606">
      <c r="N606" s="337" t="n">
        <v>43159</v>
      </c>
      <c r="O606" s="116">
        <f>INDEX('Additional data'!$B$2:$B$965,MATCH(DATE(YEAR(N606),MONTH(N606),1),'Additional data'!$A$2:$A$965,0))</f>
        <v>62.23</v>
      </c>
      <c r="P606" s="489">
        <f>LN(O606)</f>
        <v>4.13083719858113</v>
      </c>
      <c r="Q606" s="489">
        <f>Q605+LN(1+INDEX('Additional data'!$H$2:$H$1196,MATCH(N606,'Additional data'!$G$2:$G$1196,1))+INDEX('Additional data'!$I$2:$I$1196,MATCH(N606,'Additional data'!$G$2:$G$1196,1)))</f>
        <v>4.85967847440046</v>
      </c>
      <c r="R606" s="489">
        <f>LN(INDEX(Data!$B$2:$B$497,MATCH(N606,Data!$A$2:$A$497,1)))</f>
        <v>11.0006990563108</v>
      </c>
      <c r="S606" s="116">
        <f>IF(INDEX('Additional data'!$E$2:$E$699,MATCH(DATE(YEAR(N606),MONTH(N606),1),'Additional data'!$D$2:$D$699,0))=0,(INDEX('Additional data'!$E$2:$E$699,MATCH(DATE(YEAR(N606),MONTH(N606),1),'Additional data'!$D$2:$D$699,0)-1)+INDEX('Additional data'!$E$2:$E$699,MATCH(DATE(YEAR(N606),MONTH(N606),1),'Additional data'!$D$2:$D$699,0)+1))/2,INDEX('Additional data'!$E$2:$E$699,MATCH(DATE(YEAR(N606),MONTH(N606),1),'Additional data'!$D$2:$D$699,0)))</f>
        <v>1.77</v>
      </c>
      <c r="T606" s="425">
        <f>P606-P605</f>
        <v>-0.023347363996991</v>
      </c>
      <c r="U606" s="425">
        <f>Q606-Q605</f>
        <v>-0.035938106805629</v>
      </c>
      <c r="V606" s="425">
        <f>R606-R605</f>
        <v>0.00178445042941888</v>
      </c>
      <c r="W606" s="116">
        <f>S606-S605</f>
        <v>-0.02</v>
      </c>
      <c r="X606" s="425">
        <f>P606-P594</f>
        <v>0.151716449620486</v>
      </c>
      <c r="Y606" s="425">
        <f>Q606-Q594</f>
        <v>0.165979972511699</v>
      </c>
      <c r="Z606" s="425">
        <f>R606-R594</f>
        <v>0.103007495804198</v>
      </c>
      <c r="AA606" s="116">
        <f>S606-S594</f>
        <v>-0.01</v>
      </c>
      <c r="AB606" s="425">
        <f>P606-P546</f>
        <v>-0.426402453649415</v>
      </c>
      <c r="AC606" s="425">
        <f>Q606-Q546</f>
        <v>0.695688029081154</v>
      </c>
      <c r="AD606" s="425">
        <f>R606-R546</f>
        <v>0.391709449989977</v>
      </c>
      <c r="AE606" s="235">
        <f>S606-S546</f>
        <v>-1.17</v>
      </c>
      <c r="AG606" s="554">
        <f>N606</f>
        <v>43159.0</v>
      </c>
      <c r="AH606" s="435">
        <f>IFERROR(INDEX('RBA 5Y yield'!$B$5:$B$661,MATCH(N606,'RBA 5Y yield'!$A$5:$A$661,1))*100,"")</f>
        <v>2.415</v>
      </c>
      <c r="AI606" s="435">
        <f>IF(AND(ISNUMBER(AH606),ISNUMBER(AH605)),AH606-AH605,"")</f>
        <v>0.00700000000000012</v>
      </c>
      <c r="AJ606" s="435">
        <f>IF(AND(ISNUMBER(AH606),ISNUMBER(AH594)),AH606-AH594,"")</f>
        <v>0.198</v>
      </c>
      <c r="AK606" s="435">
        <f>IF(AND(ISNUMBER(AH606),ISNUMBER(AH546)),AH606-AH546,"")</f>
        <v>-0.605</v>
      </c>
      <c r="AL606" s="560">
        <f>IFERROR(LN(INDEX(Data!$B$2:$B$497,MATCH(N606,Data!$A$2:$A$497,1))/INDEX(Data!$B$2:$B$497,MATCH(N594,Data!$A$2:$A$497,1))),"")</f>
        <v>0.103007495804196</v>
      </c>
      <c r="AM606" s="560">
        <f>IFERROR(LN(INDEX(Data!$C$2:$C$497,MATCH(N606,Data!$A$2:$A$497,1))/INDEX(Data!$C$2:$C$497,MATCH(N594,Data!$A$2:$A$497,1))),"")</f>
        <v>0.119309594431279</v>
      </c>
      <c r="AN606" s="560">
        <f>IFERROR(LN(INDEX(Data!$D$2:$D$497,MATCH(N606,Data!$A$2:$A$497,1))/INDEX(Data!$D$2:$D$497,MATCH(N594,Data!$A$2:$A$497,1))),"")</f>
        <v>0.227057929404901</v>
      </c>
      <c r="AO606" s="560">
        <f>IFERROR(LN(INDEX(Data!$E$2:$E$497,MATCH(N606,Data!$A$2:$A$497,1))/INDEX(Data!$E$2:$E$497,MATCH(N594,Data!$A$2:$A$497,1))),"")</f>
        <v>-0.0709994159405682</v>
      </c>
      <c r="AP606" s="560">
        <f>IFERROR(LN(INDEX(Data!$F$2:$F$497,MATCH(N606,Data!$A$2:$A$497,1))/INDEX(Data!$F$2:$F$497,MATCH(N594,Data!$A$2:$A$497,1))),"")</f>
        <v>0.0541911512876171</v>
      </c>
      <c r="AQ606" s="560">
        <f>IFERROR(LN(INDEX(Data!$G$2:$G$497,MATCH(N606,Data!$A$2:$A$497,1))/INDEX(Data!$G$2:$G$497,MATCH(N594,Data!$A$2:$A$497,1))),"")</f>
        <v>0.0605687240890535</v>
      </c>
      <c r="AR606" s="560">
        <f>IFERROR(LN(INDEX(Data!$H$2:$H$497,MATCH(N606,Data!$A$2:$A$497,1))/INDEX(Data!$H$2:$H$497,MATCH(N594,Data!$A$2:$A$497,1))),"")</f>
        <v>0.0794883849040835</v>
      </c>
      <c r="AS606" s="560">
        <f>IFERROR(LN(INDEX(Data!$I$2:$I$497,MATCH(N606,Data!$A$2:$A$497,1))/INDEX(Data!$I$2:$I$497,MATCH(N594,Data!$A$2:$A$497,1))),"")</f>
        <v>0.137771764235114</v>
      </c>
      <c r="AT606" s="560">
        <f>IFERROR(LN(INDEX(Data!$J$2:$J$497,MATCH(N606,Data!$A$2:$A$497,1))/INDEX(Data!$J$2:$J$497,MATCH(N594,Data!$A$2:$A$497,1))),"")</f>
        <v>0.031787833753032</v>
      </c>
      <c r="AU606" s="560">
        <f>IFERROR(LN(INDEX(Data!$K$2:$K$497,MATCH(N606,Data!$A$2:$A$497,1))/INDEX(Data!$K$2:$K$497,MATCH(N594,Data!$A$2:$A$497,1))),"")</f>
        <v>0.0204236217291198</v>
      </c>
      <c r="AV606" s="561">
        <f>IFERROR(LN(INDEX(Data!$L$2:$L$497,MATCH(N606,Data!$A$2:$A$497,1))/INDEX(Data!$L$2:$L$497,MATCH(N594,Data!$A$2:$A$497,1))),"")</f>
        <v>0.0216294284048595</v>
      </c>
    </row>
    <row r="607">
      <c r="N607" s="337" t="n">
        <v>43190</v>
      </c>
      <c r="O607" s="116">
        <f>INDEX('Additional data'!$B$2:$B$965,MATCH(DATE(YEAR(N607),MONTH(N607),1),'Additional data'!$A$2:$A$965,0))</f>
        <v>62.73</v>
      </c>
      <c r="P607" s="489">
        <f>LN(O607)</f>
        <v>4.13883980210865</v>
      </c>
      <c r="Q607" s="489">
        <f>Q606+LN(1+INDEX('Additional data'!$H$2:$H$1196,MATCH(N607,'Additional data'!$G$2:$G$1196,1))+INDEX('Additional data'!$I$2:$I$1196,MATCH(N607,'Additional data'!$G$2:$G$1196,1)))</f>
        <v>4.83712606992995</v>
      </c>
      <c r="R607" s="489">
        <f>LN(INDEX(Data!$B$2:$B$497,MATCH(N607,Data!$A$2:$A$497,1)))</f>
        <v>10.964595398306</v>
      </c>
      <c r="S607" s="116">
        <f>IF(INDEX('Additional data'!$E$2:$E$699,MATCH(DATE(YEAR(N607),MONTH(N607),1),'Additional data'!$D$2:$D$699,0))=0,(INDEX('Additional data'!$E$2:$E$699,MATCH(DATE(YEAR(N607),MONTH(N607),1),'Additional data'!$D$2:$D$699,0)-1)+INDEX('Additional data'!$E$2:$E$699,MATCH(DATE(YEAR(N607),MONTH(N607),1),'Additional data'!$D$2:$D$699,0)+1))/2,INDEX('Additional data'!$E$2:$E$699,MATCH(DATE(YEAR(N607),MONTH(N607),1),'Additional data'!$D$2:$D$699,0)))</f>
        <v>1.93</v>
      </c>
      <c r="T607" s="425">
        <f>P607-P606</f>
        <v>0.00800260352752513</v>
      </c>
      <c r="U607" s="425">
        <f>Q607-Q606</f>
        <v>-0.0225524044705114</v>
      </c>
      <c r="V607" s="425">
        <f>R607-R606</f>
        <v>-0.0361036580047642</v>
      </c>
      <c r="W607" s="116">
        <f>S607-S606</f>
        <v>0.16</v>
      </c>
      <c r="X607" s="425">
        <f>P607-P595</f>
        <v>0.240307386863005</v>
      </c>
      <c r="Y607" s="425">
        <f>Q607-Q595</f>
        <v>0.141429565378514</v>
      </c>
      <c r="Z607" s="425">
        <f>R607-R595</f>
        <v>0.0358284880640323</v>
      </c>
      <c r="AA607" s="116">
        <f>S607-S595</f>
        <v>0.14</v>
      </c>
      <c r="AB607" s="425">
        <f>P607-P547</f>
        <v>-0.394297180979608</v>
      </c>
      <c r="AC607" s="425">
        <f>Q607-Q547</f>
        <v>0.633530370018283</v>
      </c>
      <c r="AD607" s="425">
        <f>R607-R547</f>
        <v>0.378256547693455</v>
      </c>
      <c r="AE607" s="235">
        <f>S607-S547</f>
        <v>-1.12</v>
      </c>
      <c r="AG607" s="554">
        <f>N607</f>
        <v>43190.0</v>
      </c>
      <c r="AH607" s="435">
        <f>IFERROR(INDEX('RBA 5Y yield'!$B$5:$B$661,MATCH(N607,'RBA 5Y yield'!$A$5:$A$661,1))*100,"")</f>
        <v>2.357</v>
      </c>
      <c r="AI607" s="435">
        <f>IF(AND(ISNUMBER(AH607),ISNUMBER(AH606)),AH607-AH606,"")</f>
        <v>-0.0579999999999998</v>
      </c>
      <c r="AJ607" s="435">
        <f>IF(AND(ISNUMBER(AH607),ISNUMBER(AH595)),AH607-AH595,"")</f>
        <v>0.0630000000000002</v>
      </c>
      <c r="AK607" s="435">
        <f>IF(AND(ISNUMBER(AH607),ISNUMBER(AH547)),AH607-AH547,"")</f>
        <v>-0.7605</v>
      </c>
      <c r="AL607" s="560">
        <f>IFERROR(LN(INDEX(Data!$B$2:$B$497,MATCH(N607,Data!$A$2:$A$497,1))/INDEX(Data!$B$2:$B$497,MATCH(N595,Data!$A$2:$A$497,1))),"")</f>
        <v>0.0358284880640314</v>
      </c>
      <c r="AM607" s="560">
        <f>IFERROR(LN(INDEX(Data!$C$2:$C$497,MATCH(N607,Data!$A$2:$A$497,1))/INDEX(Data!$C$2:$C$497,MATCH(N595,Data!$A$2:$A$497,1))),"")</f>
        <v>0.0942378607481702</v>
      </c>
      <c r="AN607" s="560">
        <f>IFERROR(LN(INDEX(Data!$D$2:$D$497,MATCH(N607,Data!$A$2:$A$497,1))/INDEX(Data!$D$2:$D$497,MATCH(N595,Data!$A$2:$A$497,1))),"")</f>
        <v>0.196974277937548</v>
      </c>
      <c r="AO607" s="560">
        <f>IFERROR(LN(INDEX(Data!$E$2:$E$497,MATCH(N607,Data!$A$2:$A$497,1))/INDEX(Data!$E$2:$E$497,MATCH(N595,Data!$A$2:$A$497,1))),"")</f>
        <v>-0.0207937394266682</v>
      </c>
      <c r="AP607" s="560">
        <f>IFERROR(LN(INDEX(Data!$F$2:$F$497,MATCH(N607,Data!$A$2:$A$497,1))/INDEX(Data!$F$2:$F$497,MATCH(N595,Data!$A$2:$A$497,1))),"")</f>
        <v>0.124028666529046</v>
      </c>
      <c r="AQ607" s="560">
        <f>IFERROR(LN(INDEX(Data!$G$2:$G$497,MATCH(N607,Data!$A$2:$A$497,1))/INDEX(Data!$G$2:$G$497,MATCH(N595,Data!$A$2:$A$497,1))),"")</f>
        <v>0.0319622903047153</v>
      </c>
      <c r="AR607" s="560">
        <f>IFERROR(LN(INDEX(Data!$H$2:$H$497,MATCH(N607,Data!$A$2:$A$497,1))/INDEX(Data!$H$2:$H$497,MATCH(N595,Data!$A$2:$A$497,1))),"")</f>
        <v>0.0694152205270361</v>
      </c>
      <c r="AS607" s="560">
        <f>IFERROR(LN(INDEX(Data!$I$2:$I$497,MATCH(N607,Data!$A$2:$A$497,1))/INDEX(Data!$I$2:$I$497,MATCH(N595,Data!$A$2:$A$497,1))),"")</f>
        <v>0.162515747881448</v>
      </c>
      <c r="AT607" s="560">
        <f>IFERROR(LN(INDEX(Data!$J$2:$J$497,MATCH(N607,Data!$A$2:$A$497,1))/INDEX(Data!$J$2:$J$497,MATCH(N595,Data!$A$2:$A$497,1))),"")</f>
        <v>0.0300938469994817</v>
      </c>
      <c r="AU607" s="560">
        <f>IFERROR(LN(INDEX(Data!$K$2:$K$497,MATCH(N607,Data!$A$2:$A$497,1))/INDEX(Data!$K$2:$K$497,MATCH(N595,Data!$A$2:$A$497,1))),"")</f>
        <v>0.0284924501593385</v>
      </c>
      <c r="AV607" s="561">
        <f>IFERROR(LN(INDEX(Data!$L$2:$L$497,MATCH(N607,Data!$A$2:$A$497,1))/INDEX(Data!$L$2:$L$497,MATCH(N595,Data!$A$2:$A$497,1))),"")</f>
        <v>0.0216294284048598</v>
      </c>
    </row>
    <row r="608">
      <c r="N608" s="337" t="n">
        <v>43220</v>
      </c>
      <c r="O608" s="116">
        <f>INDEX('Additional data'!$B$2:$B$965,MATCH(DATE(YEAR(N608),MONTH(N608),1),'Additional data'!$A$2:$A$965,0))</f>
        <v>66.25</v>
      </c>
      <c r="P608" s="489">
        <f>LN(O608)</f>
        <v>4.19343546486633</v>
      </c>
      <c r="Q608" s="489">
        <f>Q607+LN(1+INDEX('Additional data'!$H$2:$H$1196,MATCH(N608,'Additional data'!$G$2:$G$1196,1))+INDEX('Additional data'!$I$2:$I$1196,MATCH(N608,'Additional data'!$G$2:$G$1196,1)))</f>
        <v>4.8412176878332</v>
      </c>
      <c r="R608" s="489">
        <f>LN(INDEX(Data!$B$2:$B$497,MATCH(N608,Data!$A$2:$A$497,1)))</f>
        <v>10.998929079046</v>
      </c>
      <c r="S608" s="116">
        <f>IF(INDEX('Additional data'!$E$2:$E$699,MATCH(DATE(YEAR(N608),MONTH(N608),1),'Additional data'!$D$2:$D$699,0))=0,(INDEX('Additional data'!$E$2:$E$699,MATCH(DATE(YEAR(N608),MONTH(N608),1),'Additional data'!$D$2:$D$699,0)-1)+INDEX('Additional data'!$E$2:$E$699,MATCH(DATE(YEAR(N608),MONTH(N608),1),'Additional data'!$D$2:$D$699,0)+1))/2,INDEX('Additional data'!$E$2:$E$699,MATCH(DATE(YEAR(N608),MONTH(N608),1),'Additional data'!$D$2:$D$699,0)))</f>
        <v>2.06</v>
      </c>
      <c r="T608" s="425">
        <f>P608-P607</f>
        <v>0.0545956627576798</v>
      </c>
      <c r="U608" s="425">
        <f>Q608-Q607</f>
        <v>0.00409161790325374</v>
      </c>
      <c r="V608" s="425">
        <f>R608-R607</f>
        <v>0.0343336807399286</v>
      </c>
      <c r="W608" s="116">
        <f>S608-S607</f>
        <v>0.13</v>
      </c>
      <c r="X608" s="425">
        <f>P608-P596</f>
        <v>0.260434053052994</v>
      </c>
      <c r="Y608" s="425">
        <f>Q608-Q596</f>
        <v>0.134284551355781</v>
      </c>
      <c r="Z608" s="425">
        <f>R608-R596</f>
        <v>0.0623994137631154</v>
      </c>
      <c r="AA608" s="116">
        <f>S608-S596</f>
        <v>0.29</v>
      </c>
      <c r="AB608" s="425">
        <f>P608-P548</f>
        <v>-0.329113692433423</v>
      </c>
      <c r="AC608" s="425">
        <f>Q608-Q548</f>
        <v>0.62214241707315</v>
      </c>
      <c r="AD608" s="425">
        <f>R608-R548</f>
        <v>0.375096583230421</v>
      </c>
      <c r="AE608" s="235">
        <f>S608-S548</f>
        <v>-0.96</v>
      </c>
      <c r="AG608" s="554">
        <f>N608</f>
        <v>43220.0</v>
      </c>
      <c r="AH608" s="435">
        <f>IFERROR(INDEX('RBA 5Y yield'!$B$5:$B$661,MATCH(N608,'RBA 5Y yield'!$A$5:$A$661,1))*100,"")</f>
        <v>2.415</v>
      </c>
      <c r="AI608" s="435">
        <f>IF(AND(ISNUMBER(AH608),ISNUMBER(AH607)),AH608-AH607,"")</f>
        <v>0.0579999999999998</v>
      </c>
      <c r="AJ608" s="435">
        <f>IF(AND(ISNUMBER(AH608),ISNUMBER(AH596)),AH608-AH596,"")</f>
        <v>0.327</v>
      </c>
      <c r="AK608" s="435">
        <f>IF(AND(ISNUMBER(AH608),ISNUMBER(AH548)),AH608-AH548,"")</f>
        <v>-0.4925</v>
      </c>
      <c r="AL608" s="560">
        <f>IFERROR(LN(INDEX(Data!$B$2:$B$497,MATCH(N608,Data!$A$2:$A$497,1))/INDEX(Data!$B$2:$B$497,MATCH(N596,Data!$A$2:$A$497,1))),"")</f>
        <v>0.0623994137631152</v>
      </c>
      <c r="AM608" s="560">
        <f>IFERROR(LN(INDEX(Data!$C$2:$C$497,MATCH(N608,Data!$A$2:$A$497,1))/INDEX(Data!$C$2:$C$497,MATCH(N596,Data!$A$2:$A$497,1))),"")</f>
        <v>0.0983122137951522</v>
      </c>
      <c r="AN608" s="560">
        <f>IFERROR(LN(INDEX(Data!$D$2:$D$497,MATCH(N608,Data!$A$2:$A$497,1))/INDEX(Data!$D$2:$D$497,MATCH(N596,Data!$A$2:$A$497,1))),"")</f>
        <v>0.181739142070651</v>
      </c>
      <c r="AO608" s="560">
        <f>IFERROR(LN(INDEX(Data!$E$2:$E$497,MATCH(N608,Data!$A$2:$A$497,1))/INDEX(Data!$E$2:$E$497,MATCH(N596,Data!$A$2:$A$497,1))),"")</f>
        <v>-0.00735466105348471</v>
      </c>
      <c r="AP608" s="560">
        <f>IFERROR(LN(INDEX(Data!$F$2:$F$497,MATCH(N608,Data!$A$2:$A$497,1))/INDEX(Data!$F$2:$F$497,MATCH(N596,Data!$A$2:$A$497,1))),"")</f>
        <v>0.190646261877157</v>
      </c>
      <c r="AQ608" s="560">
        <f>IFERROR(LN(INDEX(Data!$G$2:$G$497,MATCH(N608,Data!$A$2:$A$497,1))/INDEX(Data!$G$2:$G$497,MATCH(N596,Data!$A$2:$A$497,1))),"")</f>
        <v>0.0319622903047153</v>
      </c>
      <c r="AR608" s="560">
        <f>IFERROR(LN(INDEX(Data!$H$2:$H$497,MATCH(N608,Data!$A$2:$A$497,1))/INDEX(Data!$H$2:$H$497,MATCH(N596,Data!$A$2:$A$497,1))),"")</f>
        <v>0.0719014233889034</v>
      </c>
      <c r="AS608" s="560">
        <f>IFERROR(LN(INDEX(Data!$I$2:$I$497,MATCH(N608,Data!$A$2:$A$497,1))/INDEX(Data!$I$2:$I$497,MATCH(N596,Data!$A$2:$A$497,1))),"")</f>
        <v>0.162515747881448</v>
      </c>
      <c r="AT608" s="560">
        <f>IFERROR(LN(INDEX(Data!$J$2:$J$497,MATCH(N608,Data!$A$2:$A$497,1))/INDEX(Data!$J$2:$J$497,MATCH(N596,Data!$A$2:$A$497,1))),"")</f>
        <v>0.019115692831493</v>
      </c>
      <c r="AU608" s="560">
        <f>IFERROR(LN(INDEX(Data!$K$2:$K$497,MATCH(N608,Data!$A$2:$A$497,1))/INDEX(Data!$K$2:$K$497,MATCH(N596,Data!$A$2:$A$497,1))),"")</f>
        <v>0.0172736480768467</v>
      </c>
      <c r="AV608" s="561">
        <f>IFERROR(LN(INDEX(Data!$L$2:$L$497,MATCH(N608,Data!$A$2:$A$497,1))/INDEX(Data!$L$2:$L$497,MATCH(N596,Data!$A$2:$A$497,1))),"")</f>
        <v>0.0217292736448206</v>
      </c>
    </row>
    <row r="609">
      <c r="N609" s="337" t="n">
        <v>43251</v>
      </c>
      <c r="O609" s="116">
        <f>INDEX('Additional data'!$B$2:$B$965,MATCH(DATE(YEAR(N609),MONTH(N609),1),'Additional data'!$A$2:$A$965,0))</f>
        <v>69.98</v>
      </c>
      <c r="P609" s="489">
        <f>LN(O609)</f>
        <v>4.24820948693954</v>
      </c>
      <c r="Q609" s="489">
        <f>Q608+LN(1+INDEX('Additional data'!$H$2:$H$1196,MATCH(N609,'Additional data'!$G$2:$G$1196,1))+INDEX('Additional data'!$I$2:$I$1196,MATCH(N609,'Additional data'!$G$2:$G$1196,1)))</f>
        <v>4.86883285486618</v>
      </c>
      <c r="R609" s="489">
        <f>LN(INDEX(Data!$B$2:$B$497,MATCH(N609,Data!$A$2:$A$497,1)))</f>
        <v>11.0128258858014</v>
      </c>
      <c r="S609" s="116">
        <f>IF(INDEX('Additional data'!$E$2:$E$699,MATCH(DATE(YEAR(N609),MONTH(N609),1),'Additional data'!$D$2:$D$699,0))=0,(INDEX('Additional data'!$E$2:$E$699,MATCH(DATE(YEAR(N609),MONTH(N609),1),'Additional data'!$D$2:$D$699,0)-1)+INDEX('Additional data'!$E$2:$E$699,MATCH(DATE(YEAR(N609),MONTH(N609),1),'Additional data'!$D$2:$D$699,0)+1))/2,INDEX('Additional data'!$E$2:$E$699,MATCH(DATE(YEAR(N609),MONTH(N609),1),'Additional data'!$D$2:$D$699,0)))</f>
        <v>1.96</v>
      </c>
      <c r="T609" s="425">
        <f>P609-P608</f>
        <v>0.0547740220732109</v>
      </c>
      <c r="U609" s="425">
        <f>Q609-Q608</f>
        <v>0.0276151670329732</v>
      </c>
      <c r="V609" s="425">
        <f>R609-R608</f>
        <v>0.0138968067553975</v>
      </c>
      <c r="W609" s="116">
        <f>S609-S608</f>
        <v>-0.1</v>
      </c>
      <c r="X609" s="425">
        <f>P609-P597</f>
        <v>0.367058145178483</v>
      </c>
      <c r="Y609" s="425">
        <f>Q609-Q597</f>
        <v>0.150663086462767</v>
      </c>
      <c r="Z609" s="425">
        <f>R609-R597</f>
        <v>0.102431366460475</v>
      </c>
      <c r="AA609" s="116">
        <f>S609-S597</f>
        <v>0.23</v>
      </c>
      <c r="AB609" s="425">
        <f>P609-P549</f>
        <v>-0.303559922321434</v>
      </c>
      <c r="AC609" s="425">
        <f>Q609-Q549</f>
        <v>0.62214241707315</v>
      </c>
      <c r="AD609" s="425">
        <f>R609-R549</f>
        <v>0.433839632645777</v>
      </c>
      <c r="AE609" s="235">
        <f>S609-S549</f>
        <v>-0.86</v>
      </c>
      <c r="AG609" s="554">
        <f>N609</f>
        <v>43251.0</v>
      </c>
      <c r="AH609" s="435">
        <f>IFERROR(INDEX('RBA 5Y yield'!$B$5:$B$661,MATCH(N609,'RBA 5Y yield'!$A$5:$A$661,1))*100,"")</f>
        <v>2.415</v>
      </c>
      <c r="AI609" s="435">
        <f>IF(AND(ISNUMBER(AH609),ISNUMBER(AH608)),AH609-AH608,"")</f>
        <v>0</v>
      </c>
      <c r="AJ609" s="435">
        <f>IF(AND(ISNUMBER(AH609),ISNUMBER(AH597)),AH609-AH597,"")</f>
        <v>0.365</v>
      </c>
      <c r="AK609" s="435">
        <f>IF(AND(ISNUMBER(AH609),ISNUMBER(AH549)),AH609-AH549,"")</f>
        <v>-0.3725</v>
      </c>
      <c r="AL609" s="560">
        <f>IFERROR(LN(INDEX(Data!$B$2:$B$497,MATCH(N609,Data!$A$2:$A$497,1))/INDEX(Data!$B$2:$B$497,MATCH(N597,Data!$A$2:$A$497,1))),"")</f>
        <v>0.102431366460476</v>
      </c>
      <c r="AM609" s="560">
        <f>IFERROR(LN(INDEX(Data!$C$2:$C$497,MATCH(N609,Data!$A$2:$A$497,1))/INDEX(Data!$C$2:$C$497,MATCH(N597,Data!$A$2:$A$497,1))),"")</f>
        <v>0.0892886702013835</v>
      </c>
      <c r="AN609" s="560">
        <f>IFERROR(LN(INDEX(Data!$D$2:$D$497,MATCH(N609,Data!$A$2:$A$497,1))/INDEX(Data!$D$2:$D$497,MATCH(N597,Data!$A$2:$A$497,1))),"")</f>
        <v>0.12812732492512</v>
      </c>
      <c r="AO609" s="560">
        <f>IFERROR(LN(INDEX(Data!$E$2:$E$497,MATCH(N609,Data!$A$2:$A$497,1))/INDEX(Data!$E$2:$E$497,MATCH(N597,Data!$A$2:$A$497,1))),"")</f>
        <v>0.014006348130959</v>
      </c>
      <c r="AP609" s="560">
        <f>IFERROR(LN(INDEX(Data!$F$2:$F$497,MATCH(N609,Data!$A$2:$A$497,1))/INDEX(Data!$F$2:$F$497,MATCH(N597,Data!$A$2:$A$497,1))),"")</f>
        <v>0.213558861493898</v>
      </c>
      <c r="AQ609" s="560">
        <f>IFERROR(LN(INDEX(Data!$G$2:$G$497,MATCH(N609,Data!$A$2:$A$497,1))/INDEX(Data!$G$2:$G$497,MATCH(N597,Data!$A$2:$A$497,1))),"")</f>
        <v>0.0319622903047153</v>
      </c>
      <c r="AR609" s="560">
        <f>IFERROR(LN(INDEX(Data!$H$2:$H$497,MATCH(N609,Data!$A$2:$A$497,1))/INDEX(Data!$H$2:$H$497,MATCH(N597,Data!$A$2:$A$497,1))),"")</f>
        <v>0.078540698631733</v>
      </c>
      <c r="AS609" s="560">
        <f>IFERROR(LN(INDEX(Data!$I$2:$I$497,MATCH(N609,Data!$A$2:$A$497,1))/INDEX(Data!$I$2:$I$497,MATCH(N597,Data!$A$2:$A$497,1))),"")</f>
        <v>0.162515747881448</v>
      </c>
      <c r="AT609" s="560">
        <f>IFERROR(LN(INDEX(Data!$J$2:$J$497,MATCH(N609,Data!$A$2:$A$497,1))/INDEX(Data!$J$2:$J$497,MATCH(N597,Data!$A$2:$A$497,1))),"")</f>
        <v>0.0143599125412172</v>
      </c>
      <c r="AU609" s="560">
        <f>IFERROR(LN(INDEX(Data!$K$2:$K$497,MATCH(N609,Data!$A$2:$A$497,1))/INDEX(Data!$K$2:$K$497,MATCH(N597,Data!$A$2:$A$497,1))),"")</f>
        <v>0.0145521965743109</v>
      </c>
      <c r="AV609" s="561">
        <f>IFERROR(LN(INDEX(Data!$L$2:$L$497,MATCH(N609,Data!$A$2:$A$497,1))/INDEX(Data!$L$2:$L$497,MATCH(N597,Data!$A$2:$A$497,1))),"")</f>
        <v>0.0219289541566664</v>
      </c>
    </row>
    <row r="610">
      <c r="N610" s="337" t="n">
        <v>43281</v>
      </c>
      <c r="O610" s="116">
        <f>INDEX('Additional data'!$B$2:$B$965,MATCH(DATE(YEAR(N610),MONTH(N610),1),'Additional data'!$A$2:$A$965,0))</f>
        <v>67.87</v>
      </c>
      <c r="P610" s="489">
        <f>LN(O610)</f>
        <v>4.21759411071567</v>
      </c>
      <c r="Q610" s="489">
        <f>Q609+LN(1+INDEX('Additional data'!$H$2:$H$1196,MATCH(N610,'Additional data'!$G$2:$G$1196,1))+INDEX('Additional data'!$I$2:$I$1196,MATCH(N610,'Additional data'!$G$2:$G$1196,1)))</f>
        <v>4.87511309282333</v>
      </c>
      <c r="R610" s="489">
        <f>LN(INDEX(Data!$B$2:$B$497,MATCH(N610,Data!$A$2:$A$497,1)))</f>
        <v>11.0418797351577</v>
      </c>
      <c r="S610" s="116">
        <f>IF(INDEX('Additional data'!$E$2:$E$699,MATCH(DATE(YEAR(N610),MONTH(N610),1),'Additional data'!$D$2:$D$699,0))=0,(INDEX('Additional data'!$E$2:$E$699,MATCH(DATE(YEAR(N610),MONTH(N610),1),'Additional data'!$D$2:$D$699,0)-1)+INDEX('Additional data'!$E$2:$E$699,MATCH(DATE(YEAR(N610),MONTH(N610),1),'Additional data'!$D$2:$D$699,0)+1))/2,INDEX('Additional data'!$E$2:$E$699,MATCH(DATE(YEAR(N610),MONTH(N610),1),'Additional data'!$D$2:$D$699,0)))</f>
        <v>2.07</v>
      </c>
      <c r="T610" s="425">
        <f>P610-P609</f>
        <v>-0.0306153762238752</v>
      </c>
      <c r="U610" s="425">
        <f>Q610-Q609</f>
        <v>0.00628023795715027</v>
      </c>
      <c r="V610" s="425">
        <f>R610-R609</f>
        <v>0.0290538493563464</v>
      </c>
      <c r="W610" s="116">
        <f>S610-S609</f>
        <v>0.11</v>
      </c>
      <c r="X610" s="425">
        <f>P610-P598</f>
        <v>0.40693959967581</v>
      </c>
      <c r="Y610" s="425">
        <f>Q610-Q598</f>
        <v>0.148479246007788</v>
      </c>
      <c r="Z610" s="425">
        <f>R610-R598</f>
        <v>0.128663710438074</v>
      </c>
      <c r="AA610" s="116">
        <f>S610-S598</f>
        <v>0.35</v>
      </c>
      <c r="AB610" s="425">
        <f>P610-P550</f>
        <v>-0.344668574261148</v>
      </c>
      <c r="AC610" s="425">
        <f>Q610-Q550</f>
        <v>0.64049523626457</v>
      </c>
      <c r="AD610" s="425">
        <f>R610-R550</f>
        <v>0.489449753039086</v>
      </c>
      <c r="AE610" s="235">
        <f>S610-S550</f>
        <v>-0.73</v>
      </c>
      <c r="AG610" s="554">
        <f>N610</f>
        <v>43281.0</v>
      </c>
      <c r="AH610" s="435">
        <f>IFERROR(INDEX('RBA 5Y yield'!$B$5:$B$661,MATCH(N610,'RBA 5Y yield'!$A$5:$A$661,1))*100,"")</f>
        <v>2.357</v>
      </c>
      <c r="AI610" s="435">
        <f>IF(AND(ISNUMBER(AH610),ISNUMBER(AH609)),AH610-AH609,"")</f>
        <v>-0.0579999999999998</v>
      </c>
      <c r="AJ610" s="435">
        <f>IF(AND(ISNUMBER(AH610),ISNUMBER(AH598)),AH610-AH598,"")</f>
        <v>0.37</v>
      </c>
      <c r="AK610" s="435">
        <f>IF(AND(ISNUMBER(AH610),ISNUMBER(AH550)),AH610-AH550,"")</f>
        <v>-0.566375</v>
      </c>
      <c r="AL610" s="560">
        <f>IFERROR(LN(INDEX(Data!$B$2:$B$497,MATCH(N610,Data!$A$2:$A$497,1))/INDEX(Data!$B$2:$B$497,MATCH(N598,Data!$A$2:$A$497,1))),"")</f>
        <v>0.128663710438075</v>
      </c>
      <c r="AM610" s="560">
        <f>IFERROR(LN(INDEX(Data!$C$2:$C$497,MATCH(N610,Data!$A$2:$A$497,1))/INDEX(Data!$C$2:$C$497,MATCH(N598,Data!$A$2:$A$497,1))),"")</f>
        <v>0.146046451361726</v>
      </c>
      <c r="AN610" s="560">
        <f>IFERROR(LN(INDEX(Data!$D$2:$D$497,MATCH(N610,Data!$A$2:$A$497,1))/INDEX(Data!$D$2:$D$497,MATCH(N598,Data!$A$2:$A$497,1))),"")</f>
        <v>0.140646130000485</v>
      </c>
      <c r="AO610" s="560">
        <f>IFERROR(LN(INDEX(Data!$E$2:$E$497,MATCH(N610,Data!$A$2:$A$497,1))/INDEX(Data!$E$2:$E$497,MATCH(N598,Data!$A$2:$A$497,1))),"")</f>
        <v>0.0900757392745056</v>
      </c>
      <c r="AP610" s="560">
        <f>IFERROR(LN(INDEX(Data!$F$2:$F$497,MATCH(N610,Data!$A$2:$A$497,1))/INDEX(Data!$F$2:$F$497,MATCH(N598,Data!$A$2:$A$497,1))),"")</f>
        <v>0.300136467126001</v>
      </c>
      <c r="AQ610" s="560">
        <f>IFERROR(LN(INDEX(Data!$G$2:$G$497,MATCH(N610,Data!$A$2:$A$497,1))/INDEX(Data!$G$2:$G$497,MATCH(N598,Data!$A$2:$A$497,1))),"")</f>
        <v>0.00582007484061385</v>
      </c>
      <c r="AR610" s="560">
        <f>IFERROR(LN(INDEX(Data!$H$2:$H$497,MATCH(N610,Data!$A$2:$A$497,1))/INDEX(Data!$H$2:$H$497,MATCH(N598,Data!$A$2:$A$497,1))),"")</f>
        <v>0.0839374736730333</v>
      </c>
      <c r="AS610" s="560">
        <f>IFERROR(LN(INDEX(Data!$I$2:$I$497,MATCH(N610,Data!$A$2:$A$497,1))/INDEX(Data!$I$2:$I$497,MATCH(N598,Data!$A$2:$A$497,1))),"")</f>
        <v>0.161549285930703</v>
      </c>
      <c r="AT610" s="560">
        <f>IFERROR(LN(INDEX(Data!$J$2:$J$497,MATCH(N610,Data!$A$2:$A$497,1))/INDEX(Data!$J$2:$J$497,MATCH(N598,Data!$A$2:$A$497,1))),"")</f>
        <v>0.0280882708424888</v>
      </c>
      <c r="AU610" s="560">
        <f>IFERROR(LN(INDEX(Data!$K$2:$K$497,MATCH(N610,Data!$A$2:$A$497,1))/INDEX(Data!$K$2:$K$497,MATCH(N598,Data!$A$2:$A$497,1))),"")</f>
        <v>0.0183769951052673</v>
      </c>
      <c r="AV610" s="561">
        <f>IFERROR(LN(INDEX(Data!$L$2:$L$497,MATCH(N610,Data!$A$2:$A$497,1))/INDEX(Data!$L$2:$L$497,MATCH(N598,Data!$A$2:$A$497,1))),"")</f>
        <v>0.0220288093666946</v>
      </c>
    </row>
    <row r="611">
      <c r="N611" s="337" t="n">
        <v>43312</v>
      </c>
      <c r="O611" s="116">
        <f>INDEX('Additional data'!$B$2:$B$965,MATCH(DATE(YEAR(N611),MONTH(N611),1),'Additional data'!$A$2:$A$965,0))</f>
        <v>70.98</v>
      </c>
      <c r="P611" s="489">
        <f>LN(O611)</f>
        <v>4.26239814721835</v>
      </c>
      <c r="Q611" s="489">
        <f>Q610+LN(1+INDEX('Additional data'!$H$2:$H$1196,MATCH(N611,'Additional data'!$G$2:$G$1196,1))+INDEX('Additional data'!$I$2:$I$1196,MATCH(N611,'Additional data'!$G$2:$G$1196,1)))</f>
        <v>4.90816094686953</v>
      </c>
      <c r="R611" s="489">
        <f>LN(INDEX(Data!$B$2:$B$497,MATCH(N611,Data!$A$2:$A$497,1)))</f>
        <v>11.0540396709434</v>
      </c>
      <c r="S611" s="116">
        <f>IF(INDEX('Additional data'!$E$2:$E$699,MATCH(DATE(YEAR(N611),MONTH(N611),1),'Additional data'!$D$2:$D$699,0))=0,(INDEX('Additional data'!$E$2:$E$699,MATCH(DATE(YEAR(N611),MONTH(N611),1),'Additional data'!$D$2:$D$699,0)-1)+INDEX('Additional data'!$E$2:$E$699,MATCH(DATE(YEAR(N611),MONTH(N611),1),'Additional data'!$D$2:$D$699,0)+1))/2,INDEX('Additional data'!$E$2:$E$699,MATCH(DATE(YEAR(N611),MONTH(N611),1),'Additional data'!$D$2:$D$699,0)))</f>
        <v>2.02</v>
      </c>
      <c r="T611" s="425">
        <f>P611-P610</f>
        <v>0.0448040365026836</v>
      </c>
      <c r="U611" s="425">
        <f>Q611-Q610</f>
        <v>0.0330478540462007</v>
      </c>
      <c r="V611" s="425">
        <f>R611-R610</f>
        <v>0.0121599357857036</v>
      </c>
      <c r="W611" s="116">
        <f>S611-S610</f>
        <v>-0.0499999999999998</v>
      </c>
      <c r="X611" s="425">
        <f>P611-P599</f>
        <v>0.420154036398121</v>
      </c>
      <c r="Y611" s="425">
        <f>Q611-Q599</f>
        <v>0.162214789021616</v>
      </c>
      <c r="Z611" s="425">
        <f>R611-R599</f>
        <v>0.139012172581236</v>
      </c>
      <c r="AA611" s="116">
        <f>S611-S599</f>
        <v>0.32</v>
      </c>
      <c r="AB611" s="425">
        <f>P611-P551</f>
        <v>-0.387841002137319</v>
      </c>
      <c r="AC611" s="425">
        <f>Q611-Q551</f>
        <v>0.618581532236797</v>
      </c>
      <c r="AD611" s="425">
        <f>R611-R551</f>
        <v>0.448437084269832</v>
      </c>
      <c r="AE611" s="235">
        <f>S611-S551</f>
        <v>-0.74</v>
      </c>
      <c r="AG611" s="554">
        <f>N611</f>
        <v>43312.0</v>
      </c>
      <c r="AH611" s="435">
        <f>IFERROR(INDEX('RBA 5Y yield'!$B$5:$B$661,MATCH(N611,'RBA 5Y yield'!$A$5:$A$661,1))*100,"")</f>
        <v>2.29</v>
      </c>
      <c r="AI611" s="435">
        <f>IF(AND(ISNUMBER(AH611),ISNUMBER(AH610)),AH611-AH610,"")</f>
        <v>-0.0670000000000002</v>
      </c>
      <c r="AJ611" s="435">
        <f>IF(AND(ISNUMBER(AH611),ISNUMBER(AH599)),AH611-AH599,"")</f>
        <v>0.0779999999999999</v>
      </c>
      <c r="AK611" s="435">
        <f>IF(AND(ISNUMBER(AH611),ISNUMBER(AH551)),AH611-AH551,"")</f>
        <v>-0.76925</v>
      </c>
      <c r="AL611" s="560">
        <f>IFERROR(LN(INDEX(Data!$B$2:$B$497,MATCH(N611,Data!$A$2:$A$497,1))/INDEX(Data!$B$2:$B$497,MATCH(N599,Data!$A$2:$A$497,1))),"")</f>
        <v>0.139012172581235</v>
      </c>
      <c r="AM611" s="560">
        <f>IFERROR(LN(INDEX(Data!$C$2:$C$497,MATCH(N611,Data!$A$2:$A$497,1))/INDEX(Data!$C$2:$C$497,MATCH(N599,Data!$A$2:$A$497,1))),"")</f>
        <v>0.196603057383666</v>
      </c>
      <c r="AN611" s="560">
        <f>IFERROR(LN(INDEX(Data!$D$2:$D$497,MATCH(N611,Data!$A$2:$A$497,1))/INDEX(Data!$D$2:$D$497,MATCH(N599,Data!$A$2:$A$497,1))),"")</f>
        <v>0.143676859210036</v>
      </c>
      <c r="AO611" s="560">
        <f>IFERROR(LN(INDEX(Data!$E$2:$E$497,MATCH(N611,Data!$A$2:$A$497,1))/INDEX(Data!$E$2:$E$497,MATCH(N599,Data!$A$2:$A$497,1))),"")</f>
        <v>0.12196080986662</v>
      </c>
      <c r="AP611" s="560">
        <f>IFERROR(LN(INDEX(Data!$F$2:$F$497,MATCH(N611,Data!$A$2:$A$497,1))/INDEX(Data!$F$2:$F$497,MATCH(N599,Data!$A$2:$A$497,1))),"")</f>
        <v>0.253220168465062</v>
      </c>
      <c r="AQ611" s="560">
        <f>IFERROR(LN(INDEX(Data!$G$2:$G$497,MATCH(N611,Data!$A$2:$A$497,1))/INDEX(Data!$G$2:$G$497,MATCH(N599,Data!$A$2:$A$497,1))),"")</f>
        <v>0.00582007484061385</v>
      </c>
      <c r="AR611" s="560">
        <f>IFERROR(LN(INDEX(Data!$H$2:$H$497,MATCH(N611,Data!$A$2:$A$497,1))/INDEX(Data!$H$2:$H$497,MATCH(N599,Data!$A$2:$A$497,1))),"")</f>
        <v>0.0997480796996756</v>
      </c>
      <c r="AS611" s="560">
        <f>IFERROR(LN(INDEX(Data!$I$2:$I$497,MATCH(N611,Data!$A$2:$A$497,1))/INDEX(Data!$I$2:$I$497,MATCH(N599,Data!$A$2:$A$497,1))),"")</f>
        <v>0.161549285930703</v>
      </c>
      <c r="AT611" s="560">
        <f>IFERROR(LN(INDEX(Data!$J$2:$J$497,MATCH(N611,Data!$A$2:$A$497,1))/INDEX(Data!$J$2:$J$497,MATCH(N599,Data!$A$2:$A$497,1))),"")</f>
        <v>0.0271901120075986</v>
      </c>
      <c r="AU611" s="560">
        <f>IFERROR(LN(INDEX(Data!$K$2:$K$497,MATCH(N611,Data!$A$2:$A$497,1))/INDEX(Data!$K$2:$K$497,MATCH(N599,Data!$A$2:$A$497,1))),"")</f>
        <v>0.0149104982966922</v>
      </c>
      <c r="AV611" s="561">
        <f>IFERROR(LN(INDEX(Data!$L$2:$L$497,MATCH(N611,Data!$A$2:$A$497,1))/INDEX(Data!$L$2:$L$497,MATCH(N599,Data!$A$2:$A$497,1))),"")</f>
        <v>0.0224281305260389</v>
      </c>
    </row>
    <row r="612">
      <c r="N612" s="337" t="n">
        <v>43343</v>
      </c>
      <c r="O612" s="116">
        <f>INDEX('Additional data'!$B$2:$B$965,MATCH(DATE(YEAR(N612),MONTH(N612),1),'Additional data'!$A$2:$A$965,0))</f>
        <v>68.06</v>
      </c>
      <c r="P612" s="489">
        <f>LN(O612)</f>
        <v>4.22038966907276</v>
      </c>
      <c r="Q612" s="489">
        <f>Q611+LN(1+INDEX('Additional data'!$H$2:$H$1196,MATCH(N612,'Additional data'!$G$2:$G$1196,1))+INDEX('Additional data'!$I$2:$I$1196,MATCH(N612,'Additional data'!$G$2:$G$1196,1)))</f>
        <v>4.94362461114509</v>
      </c>
      <c r="R612" s="489">
        <f>LN(INDEX(Data!$B$2:$B$497,MATCH(N612,Data!$A$2:$A$497,1)))</f>
        <v>11.0709862587465</v>
      </c>
      <c r="S612" s="116">
        <f>IF(INDEX('Additional data'!$E$2:$E$699,MATCH(DATE(YEAR(N612),MONTH(N612),1),'Additional data'!$D$2:$D$699,0))=0,(INDEX('Additional data'!$E$2:$E$699,MATCH(DATE(YEAR(N612),MONTH(N612),1),'Additional data'!$D$2:$D$699,0)-1)+INDEX('Additional data'!$E$2:$E$699,MATCH(DATE(YEAR(N612),MONTH(N612),1),'Additional data'!$D$2:$D$699,0)+1))/2,INDEX('Additional data'!$E$2:$E$699,MATCH(DATE(YEAR(N612),MONTH(N612),1),'Additional data'!$D$2:$D$699,0)))</f>
        <v>1.96</v>
      </c>
      <c r="T612" s="425">
        <f>P612-P611</f>
        <v>-0.0420084781455907</v>
      </c>
      <c r="U612" s="425">
        <f>Q612-Q611</f>
        <v>0.0354636642755688</v>
      </c>
      <c r="V612" s="425">
        <f>R612-R611</f>
        <v>0.0169465878031208</v>
      </c>
      <c r="W612" s="116">
        <f>S612-S611</f>
        <v>-0.0600000000000001</v>
      </c>
      <c r="X612" s="425">
        <f>P612-P600</f>
        <v>0.348355671860977</v>
      </c>
      <c r="Y612" s="425">
        <f>Q612-Q600</f>
        <v>0.194982091749442</v>
      </c>
      <c r="Z612" s="425">
        <f>R612-R600</f>
        <v>0.148089010216115</v>
      </c>
      <c r="AA612" s="116">
        <f>S612-S600</f>
        <v>0.26</v>
      </c>
      <c r="AB612" s="425">
        <f>P612-P552</f>
        <v>-0.448412377160105</v>
      </c>
      <c r="AC612" s="425">
        <f>Q612-Q552</f>
        <v>0.681519173513121</v>
      </c>
      <c r="AD612" s="425">
        <f>R612-R552</f>
        <v>0.43979102449236</v>
      </c>
      <c r="AE612" s="235">
        <f>S612-S552</f>
        <v>-0.64</v>
      </c>
      <c r="AG612" s="554">
        <f>N612</f>
        <v>43343.0</v>
      </c>
      <c r="AH612" s="435">
        <f>IFERROR(INDEX('RBA 5Y yield'!$B$5:$B$661,MATCH(N612,'RBA 5Y yield'!$A$5:$A$661,1))*100,"")</f>
        <v>2.239</v>
      </c>
      <c r="AI612" s="435">
        <f>IF(AND(ISNUMBER(AH612),ISNUMBER(AH611)),AH612-AH611,"")</f>
        <v>-0.0510000000000002</v>
      </c>
      <c r="AJ612" s="435">
        <f>IF(AND(ISNUMBER(AH612),ISNUMBER(AH600)),AH612-AH600,"")</f>
        <v>0.0529999999999999</v>
      </c>
      <c r="AK612" s="435">
        <f>IF(AND(ISNUMBER(AH612),ISNUMBER(AH552)),AH612-AH552,"")</f>
        <v>-0.956125</v>
      </c>
      <c r="AL612" s="560">
        <f>IFERROR(LN(INDEX(Data!$B$2:$B$497,MATCH(N612,Data!$A$2:$A$497,1))/INDEX(Data!$B$2:$B$497,MATCH(N600,Data!$A$2:$A$497,1))),"")</f>
        <v>0.148089010216115</v>
      </c>
      <c r="AM612" s="560">
        <f>IFERROR(LN(INDEX(Data!$C$2:$C$497,MATCH(N612,Data!$A$2:$A$497,1))/INDEX(Data!$C$2:$C$497,MATCH(N600,Data!$A$2:$A$497,1))),"")</f>
        <v>0.229397395006725</v>
      </c>
      <c r="AN612" s="560">
        <f>IFERROR(LN(INDEX(Data!$D$2:$D$497,MATCH(N612,Data!$A$2:$A$497,1))/INDEX(Data!$D$2:$D$497,MATCH(N600,Data!$A$2:$A$497,1))),"")</f>
        <v>0.138245549610088</v>
      </c>
      <c r="AO612" s="560">
        <f>IFERROR(LN(INDEX(Data!$E$2:$E$497,MATCH(N612,Data!$A$2:$A$497,1))/INDEX(Data!$E$2:$E$497,MATCH(N600,Data!$A$2:$A$497,1))),"")</f>
        <v>0.16388345742461</v>
      </c>
      <c r="AP612" s="560">
        <f>IFERROR(LN(INDEX(Data!$F$2:$F$497,MATCH(N612,Data!$A$2:$A$497,1))/INDEX(Data!$F$2:$F$497,MATCH(N600,Data!$A$2:$A$497,1))),"")</f>
        <v>0.292748304278111</v>
      </c>
      <c r="AQ612" s="560">
        <f>IFERROR(LN(INDEX(Data!$G$2:$G$497,MATCH(N612,Data!$A$2:$A$497,1))/INDEX(Data!$G$2:$G$497,MATCH(N600,Data!$A$2:$A$497,1))),"")</f>
        <v>0.00582007484061385</v>
      </c>
      <c r="AR612" s="560">
        <f>IFERROR(LN(INDEX(Data!$H$2:$H$497,MATCH(N612,Data!$A$2:$A$497,1))/INDEX(Data!$H$2:$H$497,MATCH(N600,Data!$A$2:$A$497,1))),"")</f>
        <v>0.0753151030023336</v>
      </c>
      <c r="AS612" s="560">
        <f>IFERROR(LN(INDEX(Data!$I$2:$I$497,MATCH(N612,Data!$A$2:$A$497,1))/INDEX(Data!$I$2:$I$497,MATCH(N600,Data!$A$2:$A$497,1))),"")</f>
        <v>0.161549285930703</v>
      </c>
      <c r="AT612" s="560">
        <f>IFERROR(LN(INDEX(Data!$J$2:$J$497,MATCH(N612,Data!$A$2:$A$497,1))/INDEX(Data!$J$2:$J$497,MATCH(N600,Data!$A$2:$A$497,1))),"")</f>
        <v>0.035316389340167</v>
      </c>
      <c r="AU612" s="560">
        <f>IFERROR(LN(INDEX(Data!$K$2:$K$497,MATCH(N612,Data!$A$2:$A$497,1))/INDEX(Data!$K$2:$K$497,MATCH(N600,Data!$A$2:$A$497,1))),"")</f>
        <v>0.00830665798145575</v>
      </c>
      <c r="AV612" s="561">
        <f>IFERROR(LN(INDEX(Data!$L$2:$L$497,MATCH(N612,Data!$A$2:$A$497,1))/INDEX(Data!$L$2:$L$497,MATCH(N600,Data!$A$2:$A$497,1))),"")</f>
        <v>0.0227068787020587</v>
      </c>
    </row>
    <row r="613">
      <c r="N613" s="337" t="n">
        <v>43373</v>
      </c>
      <c r="O613" s="116">
        <f>INDEX('Additional data'!$B$2:$B$965,MATCH(DATE(YEAR(N613),MONTH(N613),1),'Additional data'!$A$2:$A$965,0))</f>
        <v>70.23</v>
      </c>
      <c r="P613" s="489">
        <f>LN(O613)</f>
        <v>4.25177557017093</v>
      </c>
      <c r="Q613" s="489">
        <f>Q612+LN(1+INDEX('Additional data'!$H$2:$H$1196,MATCH(N613,'Additional data'!$G$2:$G$1196,1))+INDEX('Additional data'!$I$2:$I$1196,MATCH(N613,'Additional data'!$G$2:$G$1196,1)))</f>
        <v>4.94572240922724</v>
      </c>
      <c r="R613" s="489">
        <f>LN(INDEX(Data!$B$2:$B$497,MATCH(N613,Data!$A$2:$A$497,1)))</f>
        <v>11.0603549651973</v>
      </c>
      <c r="S613" s="116">
        <f>IF(INDEX('Additional data'!$E$2:$E$699,MATCH(DATE(YEAR(N613),MONTH(N613),1),'Additional data'!$D$2:$D$699,0))=0,(INDEX('Additional data'!$E$2:$E$699,MATCH(DATE(YEAR(N613),MONTH(N613),1),'Additional data'!$D$2:$D$699,0)-1)+INDEX('Additional data'!$E$2:$E$699,MATCH(DATE(YEAR(N613),MONTH(N613),1),'Additional data'!$D$2:$D$699,0)+1))/2,INDEX('Additional data'!$E$2:$E$699,MATCH(DATE(YEAR(N613),MONTH(N613),1),'Additional data'!$D$2:$D$699,0)))</f>
        <v>1.93</v>
      </c>
      <c r="T613" s="425">
        <f>P613-P612</f>
        <v>0.0313859010981696</v>
      </c>
      <c r="U613" s="425">
        <f>Q613-Q612</f>
        <v>0.00209779808214616</v>
      </c>
      <c r="V613" s="425">
        <f>R613-R612</f>
        <v>-0.0106312935492756</v>
      </c>
      <c r="W613" s="116">
        <f>S613-S612</f>
        <v>-0.03</v>
      </c>
      <c r="X613" s="425">
        <f>P613-P601</f>
        <v>0.343359060336895</v>
      </c>
      <c r="Y613" s="425">
        <f>Q613-Q601</f>
        <v>0.171607093858557</v>
      </c>
      <c r="Z613" s="425">
        <f>R613-R601</f>
        <v>0.136942205812428</v>
      </c>
      <c r="AA613" s="116">
        <f>S613-S601</f>
        <v>0.21</v>
      </c>
      <c r="AB613" s="425">
        <f>P613-P553</f>
        <v>-0.414395637374561</v>
      </c>
      <c r="AC613" s="425">
        <f>Q613-Q553</f>
        <v>0.646610245966172</v>
      </c>
      <c r="AD613" s="425">
        <f>R613-R553</f>
        <v>0.405573012740273</v>
      </c>
      <c r="AE613" s="235">
        <f>S613-S553</f>
        <v>-0.65</v>
      </c>
      <c r="AG613" s="554">
        <f>N613</f>
        <v>43373.0</v>
      </c>
      <c r="AH613" s="435">
        <f>IFERROR(INDEX('RBA 5Y yield'!$B$5:$B$661,MATCH(N613,'RBA 5Y yield'!$A$5:$A$661,1))*100,"")</f>
        <v>2.248</v>
      </c>
      <c r="AI613" s="435">
        <f>IF(AND(ISNUMBER(AH613),ISNUMBER(AH612)),AH613-AH612,"")</f>
        <v>0.00900000000000034</v>
      </c>
      <c r="AJ613" s="435">
        <f>IF(AND(ISNUMBER(AH613),ISNUMBER(AH601)),AH613-AH601,"")</f>
        <v>-0.0489999999999999</v>
      </c>
      <c r="AK613" s="435">
        <f>IF(AND(ISNUMBER(AH613),ISNUMBER(AH553)),AH613-AH553,"")</f>
        <v>-1.083</v>
      </c>
      <c r="AL613" s="560">
        <f>IFERROR(LN(INDEX(Data!$B$2:$B$497,MATCH(N613,Data!$A$2:$A$497,1))/INDEX(Data!$B$2:$B$497,MATCH(N601,Data!$A$2:$A$497,1))),"")</f>
        <v>0.136942205812427</v>
      </c>
      <c r="AM613" s="560">
        <f>IFERROR(LN(INDEX(Data!$C$2:$C$497,MATCH(N613,Data!$A$2:$A$497,1))/INDEX(Data!$C$2:$C$497,MATCH(N601,Data!$A$2:$A$497,1))),"")</f>
        <v>0.202480445945388</v>
      </c>
      <c r="AN613" s="560">
        <f>IFERROR(LN(INDEX(Data!$D$2:$D$497,MATCH(N613,Data!$A$2:$A$497,1))/INDEX(Data!$D$2:$D$497,MATCH(N601,Data!$A$2:$A$497,1))),"")</f>
        <v>0.11099285500754</v>
      </c>
      <c r="AO613" s="560">
        <f>IFERROR(LN(INDEX(Data!$E$2:$E$497,MATCH(N613,Data!$A$2:$A$497,1))/INDEX(Data!$E$2:$E$497,MATCH(N601,Data!$A$2:$A$497,1))),"")</f>
        <v>0.132409304616105</v>
      </c>
      <c r="AP613" s="560">
        <f>IFERROR(LN(INDEX(Data!$F$2:$F$497,MATCH(N613,Data!$A$2:$A$497,1))/INDEX(Data!$F$2:$F$497,MATCH(N601,Data!$A$2:$A$497,1))),"")</f>
        <v>0.2873489430263</v>
      </c>
      <c r="AQ613" s="560">
        <f>IFERROR(LN(INDEX(Data!$G$2:$G$497,MATCH(N613,Data!$A$2:$A$497,1))/INDEX(Data!$G$2:$G$497,MATCH(N601,Data!$A$2:$A$497,1))),"")</f>
        <v>-0.00735496761496659</v>
      </c>
      <c r="AR613" s="560">
        <f>IFERROR(LN(INDEX(Data!$H$2:$H$497,MATCH(N613,Data!$A$2:$A$497,1))/INDEX(Data!$H$2:$H$497,MATCH(N601,Data!$A$2:$A$497,1))),"")</f>
        <v>0.0585582776424347</v>
      </c>
      <c r="AS613" s="560">
        <f>IFERROR(LN(INDEX(Data!$I$2:$I$497,MATCH(N613,Data!$A$2:$A$497,1))/INDEX(Data!$I$2:$I$497,MATCH(N601,Data!$A$2:$A$497,1))),"")</f>
        <v>0.169610472905848</v>
      </c>
      <c r="AT613" s="560">
        <f>IFERROR(LN(INDEX(Data!$J$2:$J$497,MATCH(N613,Data!$A$2:$A$497,1))/INDEX(Data!$J$2:$J$497,MATCH(N601,Data!$A$2:$A$497,1))),"")</f>
        <v>0.0342263324247017</v>
      </c>
      <c r="AU613" s="560">
        <f>IFERROR(LN(INDEX(Data!$K$2:$K$497,MATCH(N613,Data!$A$2:$A$497,1))/INDEX(Data!$K$2:$K$497,MATCH(N601,Data!$A$2:$A$497,1))),"")</f>
        <v>0.00884314937013417</v>
      </c>
      <c r="AV613" s="561">
        <f>IFERROR(LN(INDEX(Data!$L$2:$L$497,MATCH(N613,Data!$A$2:$A$497,1))/INDEX(Data!$L$2:$L$497,MATCH(N601,Data!$A$2:$A$497,1))),"")</f>
        <v>0.0228904864791741</v>
      </c>
    </row>
    <row r="614">
      <c r="N614" s="337" t="n">
        <v>43404</v>
      </c>
      <c r="O614" s="116">
        <f>INDEX('Additional data'!$B$2:$B$965,MATCH(DATE(YEAR(N614),MONTH(N614),1),'Additional data'!$A$2:$A$965,0))</f>
        <v>70.75</v>
      </c>
      <c r="P614" s="489">
        <f>LN(O614)</f>
        <v>4.25915253652335</v>
      </c>
      <c r="Q614" s="489">
        <f>Q613+LN(1+INDEX('Additional data'!$H$2:$H$1196,MATCH(N614,'Additional data'!$G$2:$G$1196,1))+INDEX('Additional data'!$I$2:$I$1196,MATCH(N614,'Additional data'!$G$2:$G$1196,1)))</f>
        <v>4.868193206718</v>
      </c>
      <c r="R614" s="489">
        <f>LN(INDEX(Data!$B$2:$B$497,MATCH(N614,Data!$A$2:$A$497,1)))</f>
        <v>10.9934472847025</v>
      </c>
      <c r="S614" s="116">
        <f>IF(INDEX('Additional data'!$E$2:$E$699,MATCH(DATE(YEAR(N614),MONTH(N614),1),'Additional data'!$D$2:$D$699,0))=0,(INDEX('Additional data'!$E$2:$E$699,MATCH(DATE(YEAR(N614),MONTH(N614),1),'Additional data'!$D$2:$D$699,0)-1)+INDEX('Additional data'!$E$2:$E$699,MATCH(DATE(YEAR(N614),MONTH(N614),1),'Additional data'!$D$2:$D$699,0)+1))/2,INDEX('Additional data'!$E$2:$E$699,MATCH(DATE(YEAR(N614),MONTH(N614),1),'Additional data'!$D$2:$D$699,0)))</f>
        <v>1.93</v>
      </c>
      <c r="T614" s="425">
        <f>P614-P613</f>
        <v>0.00737696635241747</v>
      </c>
      <c r="U614" s="425">
        <f>Q614-Q613</f>
        <v>-0.077529202509238</v>
      </c>
      <c r="V614" s="425">
        <f>R614-R613</f>
        <v>-0.0669076804947206</v>
      </c>
      <c r="W614" s="116">
        <f>S614-S613</f>
        <v>0</v>
      </c>
      <c r="X614" s="425">
        <f>P614-P602</f>
        <v>0.316018536070148</v>
      </c>
      <c r="Y614" s="425">
        <f>Q614-Q602</f>
        <v>0.0708497652301121</v>
      </c>
      <c r="Z614" s="425">
        <f>R614-R602</f>
        <v>0.0302119998610628</v>
      </c>
      <c r="AA614" s="116">
        <f>S614-S602</f>
        <v>0.23</v>
      </c>
      <c r="AB614" s="425">
        <f>P614-P554</f>
        <v>-0.351403121741082</v>
      </c>
      <c r="AC614" s="425">
        <f>Q614-Q554</f>
        <v>0.528227049448668</v>
      </c>
      <c r="AD614" s="425">
        <f>R614-R554</f>
        <v>0.30027213648569</v>
      </c>
      <c r="AE614" s="235">
        <f>S614-S554</f>
        <v>-0.65</v>
      </c>
      <c r="AG614" s="554">
        <f>N614</f>
        <v>43404.0</v>
      </c>
      <c r="AH614" s="435">
        <f>IFERROR(INDEX('RBA 5Y yield'!$B$5:$B$661,MATCH(N614,'RBA 5Y yield'!$A$5:$A$661,1))*100,"")</f>
        <v>2.278</v>
      </c>
      <c r="AI614" s="435">
        <f>IF(AND(ISNUMBER(AH614),ISNUMBER(AH613)),AH614-AH613,"")</f>
        <v>0.0299999999999998</v>
      </c>
      <c r="AJ614" s="435">
        <f>IF(AND(ISNUMBER(AH614),ISNUMBER(AH602)),AH614-AH602,"")</f>
        <v>-0.0600000000000001</v>
      </c>
      <c r="AK614" s="435">
        <f>IF(AND(ISNUMBER(AH614),ISNUMBER(AH554)),AH614-AH554,"")</f>
        <v>-1.073</v>
      </c>
      <c r="AL614" s="560">
        <f>IFERROR(LN(INDEX(Data!$B$2:$B$497,MATCH(N614,Data!$A$2:$A$497,1))/INDEX(Data!$B$2:$B$497,MATCH(N602,Data!$A$2:$A$497,1))),"")</f>
        <v>0.0302119998610624</v>
      </c>
      <c r="AM614" s="560">
        <f>IFERROR(LN(INDEX(Data!$C$2:$C$497,MATCH(N614,Data!$A$2:$A$497,1))/INDEX(Data!$C$2:$C$497,MATCH(N602,Data!$A$2:$A$497,1))),"")</f>
        <v>0.104511183509382</v>
      </c>
      <c r="AN614" s="560">
        <f>IFERROR(LN(INDEX(Data!$D$2:$D$497,MATCH(N614,Data!$A$2:$A$497,1))/INDEX(Data!$D$2:$D$497,MATCH(N602,Data!$A$2:$A$497,1))),"")</f>
        <v>-0.0105317697438507</v>
      </c>
      <c r="AO614" s="560">
        <f>IFERROR(LN(INDEX(Data!$E$2:$E$497,MATCH(N614,Data!$A$2:$A$497,1))/INDEX(Data!$E$2:$E$497,MATCH(N602,Data!$A$2:$A$497,1))),"")</f>
        <v>0.106967862734737</v>
      </c>
      <c r="AP614" s="560">
        <f>IFERROR(LN(INDEX(Data!$F$2:$F$497,MATCH(N614,Data!$A$2:$A$497,1))/INDEX(Data!$F$2:$F$497,MATCH(N602,Data!$A$2:$A$497,1))),"")</f>
        <v>0.187258562327685</v>
      </c>
      <c r="AQ614" s="560">
        <f>IFERROR(LN(INDEX(Data!$G$2:$G$497,MATCH(N614,Data!$A$2:$A$497,1))/INDEX(Data!$G$2:$G$497,MATCH(N602,Data!$A$2:$A$497,1))),"")</f>
        <v>-0.00735496761496659</v>
      </c>
      <c r="AR614" s="560">
        <f>IFERROR(LN(INDEX(Data!$H$2:$H$497,MATCH(N614,Data!$A$2:$A$497,1))/INDEX(Data!$H$2:$H$497,MATCH(N602,Data!$A$2:$A$497,1))),"")</f>
        <v>0.0591548177277325</v>
      </c>
      <c r="AS614" s="560">
        <f>IFERROR(LN(INDEX(Data!$I$2:$I$497,MATCH(N614,Data!$A$2:$A$497,1))/INDEX(Data!$I$2:$I$497,MATCH(N602,Data!$A$2:$A$497,1))),"")</f>
        <v>0.169610472905848</v>
      </c>
      <c r="AT614" s="560">
        <f>IFERROR(LN(INDEX(Data!$J$2:$J$497,MATCH(N614,Data!$A$2:$A$497,1))/INDEX(Data!$J$2:$J$497,MATCH(N602,Data!$A$2:$A$497,1))),"")</f>
        <v>0.0281275389362592</v>
      </c>
      <c r="AU614" s="560">
        <f>IFERROR(LN(INDEX(Data!$K$2:$K$497,MATCH(N614,Data!$A$2:$A$497,1))/INDEX(Data!$K$2:$K$497,MATCH(N602,Data!$A$2:$A$497,1))),"")</f>
        <v>0.00192747548068886</v>
      </c>
      <c r="AV614" s="561">
        <f>IFERROR(LN(INDEX(Data!$L$2:$L$497,MATCH(N614,Data!$A$2:$A$497,1))/INDEX(Data!$L$2:$L$497,MATCH(N602,Data!$A$2:$A$497,1))),"")</f>
        <v>0.0231220802850917</v>
      </c>
    </row>
    <row r="615">
      <c r="N615" s="337" t="n">
        <v>43434</v>
      </c>
      <c r="O615" s="116">
        <f>INDEX('Additional data'!$B$2:$B$965,MATCH(DATE(YEAR(N615),MONTH(N615),1),'Additional data'!$A$2:$A$965,0))</f>
        <v>56.96</v>
      </c>
      <c r="P615" s="489">
        <f>LN(O615)</f>
        <v>4.04234926710372</v>
      </c>
      <c r="Q615" s="489">
        <f>Q614+LN(1+INDEX('Additional data'!$H$2:$H$1196,MATCH(N615,'Additional data'!$G$2:$G$1196,1))+INDEX('Additional data'!$I$2:$I$1196,MATCH(N615,'Additional data'!$G$2:$G$1196,1)))</f>
        <v>4.88691682071611</v>
      </c>
      <c r="R615" s="489">
        <f>LN(INDEX(Data!$B$2:$B$497,MATCH(N615,Data!$A$2:$A$497,1)))</f>
        <v>10.9707674030227</v>
      </c>
      <c r="S615" s="116">
        <f>IF(INDEX('Additional data'!$E$2:$E$699,MATCH(DATE(YEAR(N615),MONTH(N615),1),'Additional data'!$D$2:$D$699,0))=0,(INDEX('Additional data'!$E$2:$E$699,MATCH(DATE(YEAR(N615),MONTH(N615),1),'Additional data'!$D$2:$D$699,0)-1)+INDEX('Additional data'!$E$2:$E$699,MATCH(DATE(YEAR(N615),MONTH(N615),1),'Additional data'!$D$2:$D$699,0)+1))/2,INDEX('Additional data'!$E$2:$E$699,MATCH(DATE(YEAR(N615),MONTH(N615),1),'Additional data'!$D$2:$D$699,0)))</f>
        <v>1.94</v>
      </c>
      <c r="T615" s="425">
        <f>P615-P614</f>
        <v>-0.216803269419627</v>
      </c>
      <c r="U615" s="425">
        <f>Q615-Q614</f>
        <v>0.0187236139981026</v>
      </c>
      <c r="V615" s="425">
        <f>R615-R614</f>
        <v>-0.0226798816798404</v>
      </c>
      <c r="W615" s="116">
        <f>S615-S614</f>
        <v>0.01</v>
      </c>
      <c r="X615" s="425">
        <f>P615-P603</f>
        <v>0.00563381771825622</v>
      </c>
      <c r="Y615" s="425">
        <f>Q615-Q603</f>
        <v>0.0580747121688443</v>
      </c>
      <c r="Z615" s="425">
        <f>R615-R603</f>
        <v>-0.0113592595400611</v>
      </c>
      <c r="AA615" s="116">
        <f>S615-S603</f>
        <v>0.22</v>
      </c>
      <c r="AB615" s="425">
        <f>P615-P555</f>
        <v>-0.499455043262551</v>
      </c>
      <c r="AC615" s="425">
        <f>Q615-Q555</f>
        <v>0.516324469905009</v>
      </c>
      <c r="AD615" s="425">
        <f>R615-R555</f>
        <v>0.291496050306751</v>
      </c>
      <c r="AE615" s="235">
        <f>S615-S555</f>
        <v>-0.64</v>
      </c>
      <c r="AG615" s="554">
        <f>N615</f>
        <v>43434.0</v>
      </c>
      <c r="AH615" s="435">
        <f>IFERROR(INDEX('RBA 5Y yield'!$B$5:$B$661,MATCH(N615,'RBA 5Y yield'!$A$5:$A$661,1))*100,"")</f>
        <v>2.32</v>
      </c>
      <c r="AI615" s="435">
        <f>IF(AND(ISNUMBER(AH615),ISNUMBER(AH614)),AH615-AH614,"")</f>
        <v>0.0419999999999998</v>
      </c>
      <c r="AJ615" s="435">
        <f>IF(AND(ISNUMBER(AH615),ISNUMBER(AH603)),AH615-AH603,"")</f>
        <v>0.148</v>
      </c>
      <c r="AK615" s="435">
        <f>IF(AND(ISNUMBER(AH615),ISNUMBER(AH555)),AH615-AH555,"")</f>
        <v>-1.142</v>
      </c>
      <c r="AL615" s="560">
        <f>IFERROR(LN(INDEX(Data!$B$2:$B$497,MATCH(N615,Data!$A$2:$A$497,1))/INDEX(Data!$B$2:$B$497,MATCH(N603,Data!$A$2:$A$497,1))),"")</f>
        <v>-0.0113592595400612</v>
      </c>
      <c r="AM615" s="560">
        <f>IFERROR(LN(INDEX(Data!$C$2:$C$497,MATCH(N615,Data!$A$2:$A$497,1))/INDEX(Data!$C$2:$C$497,MATCH(N603,Data!$A$2:$A$497,1))),"")</f>
        <v>0.060504473197006</v>
      </c>
      <c r="AN615" s="560">
        <f>IFERROR(LN(INDEX(Data!$D$2:$D$497,MATCH(N615,Data!$A$2:$A$497,1))/INDEX(Data!$D$2:$D$497,MATCH(N603,Data!$A$2:$A$497,1))),"")</f>
        <v>-0.0128613406588264</v>
      </c>
      <c r="AO615" s="560">
        <f>IFERROR(LN(INDEX(Data!$E$2:$E$497,MATCH(N615,Data!$A$2:$A$497,1))/INDEX(Data!$E$2:$E$497,MATCH(N603,Data!$A$2:$A$497,1))),"")</f>
        <v>0.0735542932707644</v>
      </c>
      <c r="AP615" s="560">
        <f>IFERROR(LN(INDEX(Data!$F$2:$F$497,MATCH(N615,Data!$A$2:$A$497,1))/INDEX(Data!$F$2:$F$497,MATCH(N603,Data!$A$2:$A$497,1))),"")</f>
        <v>0.0139915064316303</v>
      </c>
      <c r="AQ615" s="560">
        <f>IFERROR(LN(INDEX(Data!$G$2:$G$497,MATCH(N615,Data!$A$2:$A$497,1))/INDEX(Data!$G$2:$G$497,MATCH(N603,Data!$A$2:$A$497,1))),"")</f>
        <v>-0.00735496761496659</v>
      </c>
      <c r="AR615" s="560">
        <f>IFERROR(LN(INDEX(Data!$H$2:$H$497,MATCH(N615,Data!$A$2:$A$497,1))/INDEX(Data!$H$2:$H$497,MATCH(N603,Data!$A$2:$A$497,1))),"")</f>
        <v>0.0556710138757193</v>
      </c>
      <c r="AS615" s="560">
        <f>IFERROR(LN(INDEX(Data!$I$2:$I$497,MATCH(N615,Data!$A$2:$A$497,1))/INDEX(Data!$I$2:$I$497,MATCH(N603,Data!$A$2:$A$497,1))),"")</f>
        <v>0.169610472905848</v>
      </c>
      <c r="AT615" s="560">
        <f>IFERROR(LN(INDEX(Data!$J$2:$J$497,MATCH(N615,Data!$A$2:$A$497,1))/INDEX(Data!$J$2:$J$497,MATCH(N603,Data!$A$2:$A$497,1))),"")</f>
        <v>0.0218669455650449</v>
      </c>
      <c r="AU615" s="560">
        <f>IFERROR(LN(INDEX(Data!$K$2:$K$497,MATCH(N615,Data!$A$2:$A$497,1))/INDEX(Data!$K$2:$K$497,MATCH(N603,Data!$A$2:$A$497,1))),"")</f>
        <v>0.00452433550380956</v>
      </c>
      <c r="AV615" s="561">
        <f>IFERROR(LN(INDEX(Data!$L$2:$L$497,MATCH(N615,Data!$A$2:$A$497,1))/INDEX(Data!$L$2:$L$497,MATCH(N603,Data!$A$2:$A$497,1))),"")</f>
        <v>0.0264068014725495</v>
      </c>
    </row>
    <row r="616">
      <c r="N616" s="337" t="n">
        <v>43465</v>
      </c>
      <c r="O616" s="116">
        <f>INDEX('Additional data'!$B$2:$B$965,MATCH(DATE(YEAR(N616),MONTH(N616),1),'Additional data'!$A$2:$A$965,0))</f>
        <v>49.52</v>
      </c>
      <c r="P616" s="489">
        <f>LN(O616)</f>
        <v>3.90237662837634</v>
      </c>
      <c r="Q616" s="489">
        <f>Q615+LN(1+INDEX('Additional data'!$H$2:$H$1196,MATCH(N616,'Additional data'!$G$2:$G$1196,1))+INDEX('Additional data'!$I$2:$I$1196,MATCH(N616,'Additional data'!$G$2:$G$1196,1)))</f>
        <v>4.78864225144776</v>
      </c>
      <c r="R616" s="489">
        <f>LN(INDEX(Data!$B$2:$B$497,MATCH(N616,Data!$A$2:$A$497,1)))</f>
        <v>10.9662639169288</v>
      </c>
      <c r="S616" s="116">
        <f>IF(INDEX('Additional data'!$E$2:$E$699,MATCH(DATE(YEAR(N616),MONTH(N616),1),'Additional data'!$D$2:$D$699,0))=0,(INDEX('Additional data'!$E$2:$E$699,MATCH(DATE(YEAR(N616),MONTH(N616),1),'Additional data'!$D$2:$D$699,0)-1)+INDEX('Additional data'!$E$2:$E$699,MATCH(DATE(YEAR(N616),MONTH(N616),1),'Additional data'!$D$2:$D$699,0)+1))/2,INDEX('Additional data'!$E$2:$E$699,MATCH(DATE(YEAR(N616),MONTH(N616),1),'Additional data'!$D$2:$D$699,0)))</f>
        <v>2.02</v>
      </c>
      <c r="T616" s="425">
        <f>P616-P615</f>
        <v>-0.13997263872738</v>
      </c>
      <c r="U616" s="425">
        <f>Q616-Q615</f>
        <v>-0.0982745692683409</v>
      </c>
      <c r="V616" s="425">
        <f>R616-R615</f>
        <v>-0.00450348609386708</v>
      </c>
      <c r="W616" s="116">
        <f>S616-S615</f>
        <v>0.0800000000000001</v>
      </c>
      <c r="X616" s="425">
        <f>P616-P604</f>
        <v>-0.155995273386942</v>
      </c>
      <c r="Y616" s="425">
        <f>Q616-Q604</f>
        <v>-0.0516342347251593</v>
      </c>
      <c r="Z616" s="425">
        <f>R616-R604</f>
        <v>-0.0359654883737246</v>
      </c>
      <c r="AA616" s="116">
        <f>S616-S604</f>
        <v>0.25</v>
      </c>
      <c r="AB616" s="425">
        <f>P616-P556</f>
        <v>-0.678808194861239</v>
      </c>
      <c r="AC616" s="425">
        <f>Q616-Q556</f>
        <v>0.390337462070132</v>
      </c>
      <c r="AD616" s="425">
        <f>R616-R556</f>
        <v>0.277847789115535</v>
      </c>
      <c r="AE616" s="235">
        <f>S616-S556</f>
        <v>-0.58</v>
      </c>
      <c r="AG616" s="554">
        <f>N616</f>
        <v>43465.0</v>
      </c>
      <c r="AH616" s="435">
        <f>IFERROR(INDEX('RBA 5Y yield'!$B$5:$B$661,MATCH(N616,'RBA 5Y yield'!$A$5:$A$661,1))*100,"")</f>
        <v>2.097</v>
      </c>
      <c r="AI616" s="435">
        <f>IF(AND(ISNUMBER(AH616),ISNUMBER(AH615)),AH616-AH615,"")</f>
        <v>-0.223</v>
      </c>
      <c r="AJ616" s="435">
        <f>IF(AND(ISNUMBER(AH616),ISNUMBER(AH604)),AH616-AH604,"")</f>
        <v>-0.175</v>
      </c>
      <c r="AK616" s="435">
        <f>IF(AND(ISNUMBER(AH616),ISNUMBER(AH556)),AH616-AH556,"")</f>
        <v>-1.364</v>
      </c>
      <c r="AL616" s="560">
        <f>IFERROR(LN(INDEX(Data!$B$2:$B$497,MATCH(N616,Data!$A$2:$A$497,1))/INDEX(Data!$B$2:$B$497,MATCH(N604,Data!$A$2:$A$497,1))),"")</f>
        <v>-0.035965488373725</v>
      </c>
      <c r="AM616" s="560">
        <f>IFERROR(LN(INDEX(Data!$C$2:$C$497,MATCH(N616,Data!$A$2:$A$497,1))/INDEX(Data!$C$2:$C$497,MATCH(N604,Data!$A$2:$A$497,1))),"")</f>
        <v>0.0341909446253787</v>
      </c>
      <c r="AN616" s="560">
        <f>IFERROR(LN(INDEX(Data!$D$2:$D$497,MATCH(N616,Data!$A$2:$A$497,1))/INDEX(Data!$D$2:$D$497,MATCH(N604,Data!$A$2:$A$497,1))),"")</f>
        <v>0.00301359599472449</v>
      </c>
      <c r="AO616" s="560">
        <f>IFERROR(LN(INDEX(Data!$E$2:$E$497,MATCH(N616,Data!$A$2:$A$497,1))/INDEX(Data!$E$2:$E$497,MATCH(N604,Data!$A$2:$A$497,1))),"")</f>
        <v>0.0723300953459286</v>
      </c>
      <c r="AP616" s="560">
        <f>IFERROR(LN(INDEX(Data!$F$2:$F$497,MATCH(N616,Data!$A$2:$A$497,1))/INDEX(Data!$F$2:$F$497,MATCH(N604,Data!$A$2:$A$497,1))),"")</f>
        <v>-0.0434193782060001</v>
      </c>
      <c r="AQ616" s="560">
        <f>IFERROR(LN(INDEX(Data!$G$2:$G$497,MATCH(N616,Data!$A$2:$A$497,1))/INDEX(Data!$G$2:$G$497,MATCH(N604,Data!$A$2:$A$497,1))),"")</f>
        <v>-0.0408810591940427</v>
      </c>
      <c r="AR616" s="560">
        <f>IFERROR(LN(INDEX(Data!$H$2:$H$497,MATCH(N616,Data!$A$2:$A$497,1))/INDEX(Data!$H$2:$H$497,MATCH(N604,Data!$A$2:$A$497,1))),"")</f>
        <v>0.0471739367108948</v>
      </c>
      <c r="AS616" s="560">
        <f>IFERROR(LN(INDEX(Data!$I$2:$I$497,MATCH(N616,Data!$A$2:$A$497,1))/INDEX(Data!$I$2:$I$497,MATCH(N604,Data!$A$2:$A$497,1))),"")</f>
        <v>0.108743066368123</v>
      </c>
      <c r="AT616" s="560">
        <f>IFERROR(LN(INDEX(Data!$J$2:$J$497,MATCH(N616,Data!$A$2:$A$497,1))/INDEX(Data!$J$2:$J$497,MATCH(N604,Data!$A$2:$A$497,1))),"")</f>
        <v>0.0419712995905456</v>
      </c>
      <c r="AU616" s="560">
        <f>IFERROR(LN(INDEX(Data!$K$2:$K$497,MATCH(N616,Data!$A$2:$A$497,1))/INDEX(Data!$K$2:$K$497,MATCH(N604,Data!$A$2:$A$497,1))),"")</f>
        <v>0.0163616425906847</v>
      </c>
      <c r="AV616" s="561">
        <f>IFERROR(LN(INDEX(Data!$L$2:$L$497,MATCH(N616,Data!$A$2:$A$497,1))/INDEX(Data!$L$2:$L$497,MATCH(N604,Data!$A$2:$A$497,1))),"")</f>
        <v>0.0233563541482846</v>
      </c>
    </row>
    <row r="617">
      <c r="N617" s="337" t="n">
        <v>43496</v>
      </c>
      <c r="O617" s="116">
        <f>INDEX('Additional data'!$B$2:$B$965,MATCH(DATE(YEAR(N617),MONTH(N617),1),'Additional data'!$A$2:$A$965,0))</f>
        <v>51.38</v>
      </c>
      <c r="P617" s="489">
        <f>LN(O617)</f>
        <v>3.93924899168174</v>
      </c>
      <c r="Q617" s="489">
        <f>Q616+LN(1+INDEX('Additional data'!$H$2:$H$1196,MATCH(N617,'Additional data'!$G$2:$G$1196,1))+INDEX('Additional data'!$I$2:$I$1196,MATCH(N617,'Additional data'!$G$2:$G$1196,1)))</f>
        <v>4.87095929393698</v>
      </c>
      <c r="R617" s="489">
        <f>LN(INDEX(Data!$B$2:$B$497,MATCH(N617,Data!$A$2:$A$497,1)))</f>
        <v>11.0054194055206</v>
      </c>
      <c r="S617" s="116">
        <f>IF(INDEX('Additional data'!$E$2:$E$699,MATCH(DATE(YEAR(N617),MONTH(N617),1),'Additional data'!$D$2:$D$699,0))=0,(INDEX('Additional data'!$E$2:$E$699,MATCH(DATE(YEAR(N617),MONTH(N617),1),'Additional data'!$D$2:$D$699,0)-1)+INDEX('Additional data'!$E$2:$E$699,MATCH(DATE(YEAR(N617),MONTH(N617),1),'Additional data'!$D$2:$D$699,0)+1))/2,INDEX('Additional data'!$E$2:$E$699,MATCH(DATE(YEAR(N617),MONTH(N617),1),'Additional data'!$D$2:$D$699,0)))</f>
        <v>2.07</v>
      </c>
      <c r="T617" s="425">
        <f>P617-P616</f>
        <v>0.0368723633053971</v>
      </c>
      <c r="U617" s="425">
        <f>Q617-Q616</f>
        <v>0.0823170424892137</v>
      </c>
      <c r="V617" s="425">
        <f>R617-R616</f>
        <v>0.039155488591792</v>
      </c>
      <c r="W617" s="116">
        <f>S617-S616</f>
        <v>0.0499999999999998</v>
      </c>
      <c r="X617" s="425">
        <f>P617-P605</f>
        <v>-0.21493557089638</v>
      </c>
      <c r="Y617" s="425">
        <f>Q617-Q605</f>
        <v>-0.0246572872691102</v>
      </c>
      <c r="Z617" s="425">
        <f>R617-R605</f>
        <v>0.00650479963923978</v>
      </c>
      <c r="AA617" s="116">
        <f>S617-S605</f>
        <v>0.28</v>
      </c>
      <c r="AB617" s="425">
        <f>P617-P557</f>
        <v>-0.610619878521264</v>
      </c>
      <c r="AC617" s="425">
        <f>Q617-Q557</f>
        <v>0.506418134712155</v>
      </c>
      <c r="AD617" s="425">
        <f>R617-R557</f>
        <v>0.345000424101707</v>
      </c>
      <c r="AE617" s="235">
        <f>S617-S557</f>
        <v>-0.55</v>
      </c>
      <c r="AG617" s="554">
        <f>N617</f>
        <v>43496.0</v>
      </c>
      <c r="AH617" s="435">
        <f>IFERROR(INDEX('RBA 5Y yield'!$B$5:$B$661,MATCH(N617,'RBA 5Y yield'!$A$5:$A$661,1))*100,"")</f>
        <v>1.912</v>
      </c>
      <c r="AI617" s="435">
        <f>IF(AND(ISNUMBER(AH617),ISNUMBER(AH616)),AH617-AH616,"")</f>
        <v>-0.185</v>
      </c>
      <c r="AJ617" s="435">
        <f>IF(AND(ISNUMBER(AH617),ISNUMBER(AH605)),AH617-AH605,"")</f>
        <v>-0.496</v>
      </c>
      <c r="AK617" s="435">
        <f>IF(AND(ISNUMBER(AH617),ISNUMBER(AH557)),AH617-AH557,"")</f>
        <v>-1.497</v>
      </c>
      <c r="AL617" s="560">
        <f>IFERROR(LN(INDEX(Data!$B$2:$B$497,MATCH(N617,Data!$A$2:$A$497,1))/INDEX(Data!$B$2:$B$497,MATCH(N605,Data!$A$2:$A$497,1))),"")</f>
        <v>0.00650479963923881</v>
      </c>
      <c r="AM617" s="560">
        <f>IFERROR(LN(INDEX(Data!$C$2:$C$497,MATCH(N617,Data!$A$2:$A$497,1))/INDEX(Data!$C$2:$C$497,MATCH(N605,Data!$A$2:$A$497,1))),"")</f>
        <v>0.0668144827608152</v>
      </c>
      <c r="AN617" s="560">
        <f>IFERROR(LN(INDEX(Data!$D$2:$D$497,MATCH(N617,Data!$A$2:$A$497,1))/INDEX(Data!$D$2:$D$497,MATCH(N605,Data!$A$2:$A$497,1))),"")</f>
        <v>0.00629213491617548</v>
      </c>
      <c r="AO617" s="560">
        <f>IFERROR(LN(INDEX(Data!$E$2:$E$497,MATCH(N617,Data!$A$2:$A$497,1))/INDEX(Data!$E$2:$E$497,MATCH(N605,Data!$A$2:$A$497,1))),"")</f>
        <v>0.197432652431184</v>
      </c>
      <c r="AP617" s="560">
        <f>IFERROR(LN(INDEX(Data!$F$2:$F$497,MATCH(N617,Data!$A$2:$A$497,1))/INDEX(Data!$F$2:$F$497,MATCH(N605,Data!$A$2:$A$497,1))),"")</f>
        <v>0.00861327328906168</v>
      </c>
      <c r="AQ617" s="560">
        <f>IFERROR(LN(INDEX(Data!$G$2:$G$497,MATCH(N617,Data!$A$2:$A$497,1))/INDEX(Data!$G$2:$G$497,MATCH(N605,Data!$A$2:$A$497,1))),"")</f>
        <v>-0.0408810591940427</v>
      </c>
      <c r="AR617" s="560">
        <f>IFERROR(LN(INDEX(Data!$H$2:$H$497,MATCH(N617,Data!$A$2:$A$497,1))/INDEX(Data!$H$2:$H$497,MATCH(N605,Data!$A$2:$A$497,1))),"")</f>
        <v>0.0504642333130822</v>
      </c>
      <c r="AS617" s="560">
        <f>IFERROR(LN(INDEX(Data!$I$2:$I$497,MATCH(N617,Data!$A$2:$A$497,1))/INDEX(Data!$I$2:$I$497,MATCH(N605,Data!$A$2:$A$497,1))),"")</f>
        <v>0.108743066368123</v>
      </c>
      <c r="AT617" s="560">
        <f>IFERROR(LN(INDEX(Data!$J$2:$J$497,MATCH(N617,Data!$A$2:$A$497,1))/INDEX(Data!$J$2:$J$497,MATCH(N605,Data!$A$2:$A$497,1))),"")</f>
        <v>0.0510310980254229</v>
      </c>
      <c r="AU617" s="560">
        <f>IFERROR(LN(INDEX(Data!$K$2:$K$497,MATCH(N617,Data!$A$2:$A$497,1))/INDEX(Data!$K$2:$K$497,MATCH(N605,Data!$A$2:$A$497,1))),"")</f>
        <v>0.0328406835607343</v>
      </c>
      <c r="AV617" s="561">
        <f>IFERROR(LN(INDEX(Data!$L$2:$L$497,MATCH(N617,Data!$A$2:$A$497,1))/INDEX(Data!$L$2:$L$497,MATCH(N605,Data!$A$2:$A$497,1))),"")</f>
        <v>0.0235974492441256</v>
      </c>
    </row>
    <row r="618">
      <c r="N618" s="337" t="n">
        <v>43524</v>
      </c>
      <c r="O618" s="116">
        <f>INDEX('Additional data'!$B$2:$B$965,MATCH(DATE(YEAR(N618),MONTH(N618),1),'Additional data'!$A$2:$A$965,0))</f>
        <v>54.95</v>
      </c>
      <c r="P618" s="489">
        <f>LN(O618)</f>
        <v>4.00642368084963</v>
      </c>
      <c r="Q618" s="489">
        <f>Q617+LN(1+INDEX('Additional data'!$H$2:$H$1196,MATCH(N618,'Additional data'!$G$2:$G$1196,1))+INDEX('Additional data'!$I$2:$I$1196,MATCH(N618,'Additional data'!$G$2:$G$1196,1)))</f>
        <v>4.90632643777427</v>
      </c>
      <c r="R618" s="489">
        <f>LN(INDEX(Data!$B$2:$B$497,MATCH(N618,Data!$A$2:$A$497,1)))</f>
        <v>11.0641950635786</v>
      </c>
      <c r="S618" s="116">
        <f>IF(INDEX('Additional data'!$E$2:$E$699,MATCH(DATE(YEAR(N618),MONTH(N618),1),'Additional data'!$D$2:$D$699,0))=0,(INDEX('Additional data'!$E$2:$E$699,MATCH(DATE(YEAR(N618),MONTH(N618),1),'Additional data'!$D$2:$D$699,0)-1)+INDEX('Additional data'!$E$2:$E$699,MATCH(DATE(YEAR(N618),MONTH(N618),1),'Additional data'!$D$2:$D$699,0)+1))/2,INDEX('Additional data'!$E$2:$E$699,MATCH(DATE(YEAR(N618),MONTH(N618),1),'Additional data'!$D$2:$D$699,0)))</f>
        <v>1.96</v>
      </c>
      <c r="T618" s="425">
        <f>P618-P617</f>
        <v>0.067174689167893</v>
      </c>
      <c r="U618" s="425">
        <f>Q618-Q617</f>
        <v>0.0353671438372913</v>
      </c>
      <c r="V618" s="425">
        <f>R618-R617</f>
        <v>0.0587756580580123</v>
      </c>
      <c r="W618" s="116">
        <f>S618-S617</f>
        <v>-0.11</v>
      </c>
      <c r="X618" s="425">
        <f>P618-P606</f>
        <v>-0.124413517731496</v>
      </c>
      <c r="Y618" s="425">
        <f>Q618-Q606</f>
        <v>0.0466479633738102</v>
      </c>
      <c r="Z618" s="425">
        <f>R618-R606</f>
        <v>0.0634960072678332</v>
      </c>
      <c r="AA618" s="116">
        <f>S618-S606</f>
        <v>0.19</v>
      </c>
      <c r="AB618" s="425">
        <f>P618-P558</f>
        <v>-0.606913067804854</v>
      </c>
      <c r="AC618" s="425">
        <f>Q618-Q558</f>
        <v>0.496238463593476</v>
      </c>
      <c r="AD618" s="425">
        <f>R618-R558</f>
        <v>0.356532925032285</v>
      </c>
      <c r="AE618" s="235">
        <f>S618-S558</f>
        <v>-0.67</v>
      </c>
      <c r="AG618" s="554">
        <f>N618</f>
        <v>43524.0</v>
      </c>
      <c r="AH618" s="435">
        <f>IFERROR(INDEX('RBA 5Y yield'!$B$5:$B$661,MATCH(N618,'RBA 5Y yield'!$A$5:$A$661,1))*100,"")</f>
        <v>1.743</v>
      </c>
      <c r="AI618" s="435">
        <f>IF(AND(ISNUMBER(AH618),ISNUMBER(AH617)),AH618-AH617,"")</f>
        <v>-0.169</v>
      </c>
      <c r="AJ618" s="435">
        <f>IF(AND(ISNUMBER(AH618),ISNUMBER(AH606)),AH618-AH606,"")</f>
        <v>-0.672</v>
      </c>
      <c r="AK618" s="435">
        <f>IF(AND(ISNUMBER(AH618),ISNUMBER(AH558)),AH618-AH558,"")</f>
        <v>-1.665</v>
      </c>
      <c r="AL618" s="560">
        <f>IFERROR(LN(INDEX(Data!$B$2:$B$497,MATCH(N618,Data!$A$2:$A$497,1))/INDEX(Data!$B$2:$B$497,MATCH(N606,Data!$A$2:$A$497,1))),"")</f>
        <v>0.0634960072678344</v>
      </c>
      <c r="AM618" s="560">
        <f>IFERROR(LN(INDEX(Data!$C$2:$C$497,MATCH(N618,Data!$A$2:$A$497,1))/INDEX(Data!$C$2:$C$497,MATCH(N606,Data!$A$2:$A$497,1))),"")</f>
        <v>0.121824309619436</v>
      </c>
      <c r="AN618" s="560">
        <f>IFERROR(LN(INDEX(Data!$D$2:$D$497,MATCH(N618,Data!$A$2:$A$497,1))/INDEX(Data!$D$2:$D$497,MATCH(N606,Data!$A$2:$A$497,1))),"")</f>
        <v>0.0427899803538034</v>
      </c>
      <c r="AO618" s="560">
        <f>IFERROR(LN(INDEX(Data!$E$2:$E$497,MATCH(N618,Data!$A$2:$A$497,1))/INDEX(Data!$E$2:$E$497,MATCH(N606,Data!$A$2:$A$497,1))),"")</f>
        <v>0.251133295514328</v>
      </c>
      <c r="AP618" s="560">
        <f>IFERROR(LN(INDEX(Data!$F$2:$F$497,MATCH(N618,Data!$A$2:$A$497,1))/INDEX(Data!$F$2:$F$497,MATCH(N606,Data!$A$2:$A$497,1))),"")</f>
        <v>0.0661849871639951</v>
      </c>
      <c r="AQ618" s="560">
        <f>IFERROR(LN(INDEX(Data!$G$2:$G$497,MATCH(N618,Data!$A$2:$A$497,1))/INDEX(Data!$G$2:$G$497,MATCH(N606,Data!$A$2:$A$497,1))),"")</f>
        <v>-0.0408810591940427</v>
      </c>
      <c r="AR618" s="560">
        <f>IFERROR(LN(INDEX(Data!$H$2:$H$497,MATCH(N618,Data!$A$2:$A$497,1))/INDEX(Data!$H$2:$H$497,MATCH(N606,Data!$A$2:$A$497,1))),"")</f>
        <v>0.0411183708948447</v>
      </c>
      <c r="AS618" s="560">
        <f>IFERROR(LN(INDEX(Data!$I$2:$I$497,MATCH(N618,Data!$A$2:$A$497,1))/INDEX(Data!$I$2:$I$497,MATCH(N606,Data!$A$2:$A$497,1))),"")</f>
        <v>0.108743066368123</v>
      </c>
      <c r="AT618" s="560">
        <f>IFERROR(LN(INDEX(Data!$J$2:$J$497,MATCH(N618,Data!$A$2:$A$497,1))/INDEX(Data!$J$2:$J$497,MATCH(N606,Data!$A$2:$A$497,1))),"")</f>
        <v>0.0541222462704184</v>
      </c>
      <c r="AU618" s="560">
        <f>IFERROR(LN(INDEX(Data!$K$2:$K$497,MATCH(N618,Data!$A$2:$A$497,1))/INDEX(Data!$K$2:$K$497,MATCH(N606,Data!$A$2:$A$497,1))),"")</f>
        <v>0.0358358145576126</v>
      </c>
      <c r="AV618" s="561">
        <f>IFERROR(LN(INDEX(Data!$L$2:$L$497,MATCH(N618,Data!$A$2:$A$497,1))/INDEX(Data!$L$2:$L$497,MATCH(N606,Data!$A$2:$A$497,1))),"")</f>
        <v>0.0196837529891235</v>
      </c>
    </row>
    <row r="619">
      <c r="N619" s="337" t="n">
        <v>43555</v>
      </c>
      <c r="O619" s="116">
        <f>INDEX('Additional data'!$B$2:$B$965,MATCH(DATE(YEAR(N619),MONTH(N619),1),'Additional data'!$A$2:$A$965,0))</f>
        <v>58.15</v>
      </c>
      <c r="P619" s="489">
        <f>LN(O619)</f>
        <v>4.06302587896467</v>
      </c>
      <c r="Q619" s="489">
        <f>Q618+LN(1+INDEX('Additional data'!$H$2:$H$1196,MATCH(N619,'Additional data'!$G$2:$G$1196,1))+INDEX('Additional data'!$I$2:$I$1196,MATCH(N619,'Additional data'!$G$2:$G$1196,1)))</f>
        <v>4.91914394148488</v>
      </c>
      <c r="R619" s="489">
        <f>LN(INDEX(Data!$B$2:$B$497,MATCH(N619,Data!$A$2:$A$497,1)))</f>
        <v>11.0711941996656</v>
      </c>
      <c r="S619" s="116">
        <f>IF(INDEX('Additional data'!$E$2:$E$699,MATCH(DATE(YEAR(N619),MONTH(N619),1),'Additional data'!$D$2:$D$699,0))=0,(INDEX('Additional data'!$E$2:$E$699,MATCH(DATE(YEAR(N619),MONTH(N619),1),'Additional data'!$D$2:$D$699,0)-1)+INDEX('Additional data'!$E$2:$E$699,MATCH(DATE(YEAR(N619),MONTH(N619),1),'Additional data'!$D$2:$D$699,0)+1))/2,INDEX('Additional data'!$E$2:$E$699,MATCH(DATE(YEAR(N619),MONTH(N619),1),'Additional data'!$D$2:$D$699,0)))</f>
        <v>1.83</v>
      </c>
      <c r="T619" s="425">
        <f>P619-P618</f>
        <v>0.0566021981150424</v>
      </c>
      <c r="U619" s="425">
        <f>Q619-Q618</f>
        <v>0.0128175037106146</v>
      </c>
      <c r="V619" s="425">
        <f>R619-R618</f>
        <v>0.00699913608701053</v>
      </c>
      <c r="W619" s="116">
        <f>S619-S618</f>
        <v>-0.13</v>
      </c>
      <c r="X619" s="425">
        <f>P619-P607</f>
        <v>-0.0758139231439783</v>
      </c>
      <c r="Y619" s="425">
        <f>Q619-Q607</f>
        <v>0.0820178715549362</v>
      </c>
      <c r="Z619" s="425">
        <f>R619-R607</f>
        <v>0.106598801359608</v>
      </c>
      <c r="AA619" s="116">
        <f>S619-S607</f>
        <v>-0.0999999999999999</v>
      </c>
      <c r="AB619" s="425">
        <f>P619-P559</f>
        <v>-0.550112476672595</v>
      </c>
      <c r="AC619" s="425">
        <f>Q619-Q559</f>
        <v>0.504765185886935</v>
      </c>
      <c r="AD619" s="425">
        <f>R619-R559</f>
        <v>0.360989599007977</v>
      </c>
      <c r="AE619" s="235">
        <f>S619-S559</f>
        <v>-0.82</v>
      </c>
      <c r="AG619" s="554">
        <f>N619</f>
        <v>43555.0</v>
      </c>
      <c r="AH619" s="435">
        <f>IFERROR(INDEX('RBA 5Y yield'!$B$5:$B$661,MATCH(N619,'RBA 5Y yield'!$A$5:$A$661,1))*100,"")</f>
        <v>1.589</v>
      </c>
      <c r="AI619" s="435">
        <f>IF(AND(ISNUMBER(AH619),ISNUMBER(AH618)),AH619-AH618,"")</f>
        <v>-0.154</v>
      </c>
      <c r="AJ619" s="435">
        <f>IF(AND(ISNUMBER(AH619),ISNUMBER(AH607)),AH619-AH607,"")</f>
        <v>-0.768</v>
      </c>
      <c r="AK619" s="435">
        <f>IF(AND(ISNUMBER(AH619),ISNUMBER(AH559)),AH619-AH559,"")</f>
        <v>-1.822</v>
      </c>
      <c r="AL619" s="560">
        <f>IFERROR(LN(INDEX(Data!$B$2:$B$497,MATCH(N619,Data!$A$2:$A$497,1))/INDEX(Data!$B$2:$B$497,MATCH(N607,Data!$A$2:$A$497,1))),"")</f>
        <v>0.106598801359608</v>
      </c>
      <c r="AM619" s="560">
        <f>IFERROR(LN(INDEX(Data!$C$2:$C$497,MATCH(N619,Data!$A$2:$A$497,1))/INDEX(Data!$C$2:$C$497,MATCH(N607,Data!$A$2:$A$497,1))),"")</f>
        <v>0.146975041995572</v>
      </c>
      <c r="AN619" s="560">
        <f>IFERROR(LN(INDEX(Data!$D$2:$D$497,MATCH(N619,Data!$A$2:$A$497,1))/INDEX(Data!$D$2:$D$497,MATCH(N607,Data!$A$2:$A$497,1))),"")</f>
        <v>0.061015206168466</v>
      </c>
      <c r="AO619" s="560">
        <f>IFERROR(LN(INDEX(Data!$E$2:$E$497,MATCH(N619,Data!$A$2:$A$497,1))/INDEX(Data!$E$2:$E$497,MATCH(N607,Data!$A$2:$A$497,1))),"")</f>
        <v>0.242885626066574</v>
      </c>
      <c r="AP619" s="560">
        <f>IFERROR(LN(INDEX(Data!$F$2:$F$497,MATCH(N619,Data!$A$2:$A$497,1))/INDEX(Data!$F$2:$F$497,MATCH(N607,Data!$A$2:$A$497,1))),"")</f>
        <v>0.0459569474142327</v>
      </c>
      <c r="AQ619" s="560">
        <f>IFERROR(LN(INDEX(Data!$G$2:$G$497,MATCH(N619,Data!$A$2:$A$497,1))/INDEX(Data!$G$2:$G$497,MATCH(N607,Data!$A$2:$A$497,1))),"")</f>
        <v>-0.0645430370385683</v>
      </c>
      <c r="AR619" s="560">
        <f>IFERROR(LN(INDEX(Data!$H$2:$H$497,MATCH(N619,Data!$A$2:$A$497,1))/INDEX(Data!$H$2:$H$497,MATCH(N607,Data!$A$2:$A$497,1))),"")</f>
        <v>0.0329461109417501</v>
      </c>
      <c r="AS619" s="560">
        <f>IFERROR(LN(INDEX(Data!$I$2:$I$497,MATCH(N619,Data!$A$2:$A$497,1))/INDEX(Data!$I$2:$I$497,MATCH(N607,Data!$A$2:$A$497,1))),"")</f>
        <v>0.0857669357459614</v>
      </c>
      <c r="AT619" s="560">
        <f>IFERROR(LN(INDEX(Data!$J$2:$J$497,MATCH(N619,Data!$A$2:$A$497,1))/INDEX(Data!$J$2:$J$497,MATCH(N607,Data!$A$2:$A$497,1))),"")</f>
        <v>0.0694622472087744</v>
      </c>
      <c r="AU619" s="560">
        <f>IFERROR(LN(INDEX(Data!$K$2:$K$497,MATCH(N619,Data!$A$2:$A$497,1))/INDEX(Data!$K$2:$K$497,MATCH(N607,Data!$A$2:$A$497,1))),"")</f>
        <v>0.0447666193025366</v>
      </c>
      <c r="AV619" s="561">
        <f>IFERROR(LN(INDEX(Data!$L$2:$L$497,MATCH(N619,Data!$A$2:$A$497,1))/INDEX(Data!$L$2:$L$497,MATCH(N607,Data!$A$2:$A$497,1))),"")</f>
        <v>0.019883433500969</v>
      </c>
    </row>
    <row r="620">
      <c r="N620" s="337" t="n">
        <v>43585</v>
      </c>
      <c r="O620" s="116">
        <f>INDEX('Additional data'!$B$2:$B$965,MATCH(DATE(YEAR(N620),MONTH(N620),1),'Additional data'!$A$2:$A$965,0))</f>
        <v>63.86</v>
      </c>
      <c r="P620" s="489">
        <f>LN(O620)</f>
        <v>4.15669318728664</v>
      </c>
      <c r="Q620" s="489">
        <f>Q619+LN(1+INDEX('Additional data'!$H$2:$H$1196,MATCH(N620,'Additional data'!$G$2:$G$1196,1))+INDEX('Additional data'!$I$2:$I$1196,MATCH(N620,'Additional data'!$G$2:$G$1196,1)))</f>
        <v>4.96009392781384</v>
      </c>
      <c r="R620" s="489">
        <f>LN(INDEX(Data!$B$2:$B$497,MATCH(N620,Data!$A$2:$A$497,1)))</f>
        <v>11.0962831592128</v>
      </c>
      <c r="S620" s="116">
        <f>IF(INDEX('Additional data'!$E$2:$E$699,MATCH(DATE(YEAR(N620),MONTH(N620),1),'Additional data'!$D$2:$D$699,0))=0,(INDEX('Additional data'!$E$2:$E$699,MATCH(DATE(YEAR(N620),MONTH(N620),1),'Additional data'!$D$2:$D$699,0)-1)+INDEX('Additional data'!$E$2:$E$699,MATCH(DATE(YEAR(N620),MONTH(N620),1),'Additional data'!$D$2:$D$699,0)+1))/2,INDEX('Additional data'!$E$2:$E$699,MATCH(DATE(YEAR(N620),MONTH(N620),1),'Additional data'!$D$2:$D$699,0)))</f>
        <v>1.68</v>
      </c>
      <c r="T620" s="425">
        <f>P620-P619</f>
        <v>0.0936673083219626</v>
      </c>
      <c r="U620" s="425">
        <f>Q620-Q619</f>
        <v>0.040949986328954</v>
      </c>
      <c r="V620" s="425">
        <f>R620-R619</f>
        <v>0.0250889595471318</v>
      </c>
      <c r="W620" s="116">
        <f>S620-S619</f>
        <v>-0.15</v>
      </c>
      <c r="X620" s="425">
        <f>P620-P608</f>
        <v>-0.0367422775796955</v>
      </c>
      <c r="Y620" s="425">
        <f>Q620-Q608</f>
        <v>0.118876239980636</v>
      </c>
      <c r="Z620" s="425">
        <f>R620-R608</f>
        <v>0.0973540801668111</v>
      </c>
      <c r="AA620" s="116">
        <f>S620-S608</f>
        <v>-0.38</v>
      </c>
      <c r="AB620" s="425">
        <f>P620-P560</f>
        <v>-0.468965665128771</v>
      </c>
      <c r="AC620" s="425">
        <f>Q620-Q560</f>
        <v>0.547516794162517</v>
      </c>
      <c r="AD620" s="425">
        <f>R620-R560</f>
        <v>0.373247508430071</v>
      </c>
      <c r="AE620" s="235">
        <f>S620-S560</f>
        <v>-1</v>
      </c>
      <c r="AG620" s="554">
        <f>N620</f>
        <v>43585.0</v>
      </c>
      <c r="AH620" s="435">
        <f>IFERROR(INDEX('RBA 5Y yield'!$B$5:$B$661,MATCH(N620,'RBA 5Y yield'!$A$5:$A$661,1))*100,"")</f>
        <v>1.481</v>
      </c>
      <c r="AI620" s="435">
        <f>IF(AND(ISNUMBER(AH620),ISNUMBER(AH619)),AH620-AH619,"")</f>
        <v>-0.108</v>
      </c>
      <c r="AJ620" s="435">
        <f>IF(AND(ISNUMBER(AH620),ISNUMBER(AH608)),AH620-AH608,"")</f>
        <v>-0.934</v>
      </c>
      <c r="AK620" s="435">
        <f>IF(AND(ISNUMBER(AH620),ISNUMBER(AH560)),AH620-AH560,"")</f>
        <v>-1.917</v>
      </c>
      <c r="AL620" s="560">
        <f>IFERROR(LN(INDEX(Data!$B$2:$B$497,MATCH(N620,Data!$A$2:$A$497,1))/INDEX(Data!$B$2:$B$497,MATCH(N608,Data!$A$2:$A$497,1))),"")</f>
        <v>0.0973540801668111</v>
      </c>
      <c r="AM620" s="560">
        <f>IFERROR(LN(INDEX(Data!$C$2:$C$497,MATCH(N620,Data!$A$2:$A$497,1))/INDEX(Data!$C$2:$C$497,MATCH(N608,Data!$A$2:$A$497,1))),"")</f>
        <v>0.157805755956212</v>
      </c>
      <c r="AN620" s="560">
        <f>IFERROR(LN(INDEX(Data!$D$2:$D$497,MATCH(N620,Data!$A$2:$A$497,1))/INDEX(Data!$D$2:$D$497,MATCH(N608,Data!$A$2:$A$497,1))),"")</f>
        <v>0.0678717564826106</v>
      </c>
      <c r="AO620" s="560">
        <f>IFERROR(LN(INDEX(Data!$E$2:$E$497,MATCH(N620,Data!$A$2:$A$497,1))/INDEX(Data!$E$2:$E$497,MATCH(N608,Data!$A$2:$A$497,1))),"")</f>
        <v>0.21066888804585</v>
      </c>
      <c r="AP620" s="560">
        <f>IFERROR(LN(INDEX(Data!$F$2:$F$497,MATCH(N620,Data!$A$2:$A$497,1))/INDEX(Data!$F$2:$F$497,MATCH(N608,Data!$A$2:$A$497,1))),"")</f>
        <v>0.0180531681446182</v>
      </c>
      <c r="AQ620" s="560">
        <f>IFERROR(LN(INDEX(Data!$G$2:$G$497,MATCH(N620,Data!$A$2:$A$497,1))/INDEX(Data!$G$2:$G$497,MATCH(N608,Data!$A$2:$A$497,1))),"")</f>
        <v>-0.0645430370385683</v>
      </c>
      <c r="AR620" s="560">
        <f>IFERROR(LN(INDEX(Data!$H$2:$H$497,MATCH(N620,Data!$A$2:$A$497,1))/INDEX(Data!$H$2:$H$497,MATCH(N608,Data!$A$2:$A$497,1))),"")</f>
        <v>0.00290049972337212</v>
      </c>
      <c r="AS620" s="560">
        <f>IFERROR(LN(INDEX(Data!$I$2:$I$497,MATCH(N620,Data!$A$2:$A$497,1))/INDEX(Data!$I$2:$I$497,MATCH(N608,Data!$A$2:$A$497,1))),"")</f>
        <v>0.0857669357459614</v>
      </c>
      <c r="AT620" s="560">
        <f>IFERROR(LN(INDEX(Data!$J$2:$J$497,MATCH(N620,Data!$A$2:$A$497,1))/INDEX(Data!$J$2:$J$497,MATCH(N608,Data!$A$2:$A$497,1))),"")</f>
        <v>0.0757644738400632</v>
      </c>
      <c r="AU620" s="560">
        <f>IFERROR(LN(INDEX(Data!$K$2:$K$497,MATCH(N620,Data!$A$2:$A$497,1))/INDEX(Data!$K$2:$K$497,MATCH(N608,Data!$A$2:$A$497,1))),"")</f>
        <v>0.0485913450440326</v>
      </c>
      <c r="AV620" s="561">
        <f>IFERROR(LN(INDEX(Data!$L$2:$L$497,MATCH(N620,Data!$A$2:$A$497,1))/INDEX(Data!$L$2:$L$497,MATCH(N608,Data!$A$2:$A$497,1))),"")</f>
        <v>0.019883433500969</v>
      </c>
    </row>
    <row r="621">
      <c r="N621" s="337" t="n">
        <v>43616</v>
      </c>
      <c r="O621" s="116">
        <f>INDEX('Additional data'!$B$2:$B$965,MATCH(DATE(YEAR(N621),MONTH(N621),1),'Additional data'!$A$2:$A$965,0))</f>
        <v>60.83</v>
      </c>
      <c r="P621" s="489">
        <f>LN(O621)</f>
        <v>4.10808308833261</v>
      </c>
      <c r="Q621" s="489">
        <f>Q620+LN(1+INDEX('Additional data'!$H$2:$H$1196,MATCH(N621,'Additional data'!$G$2:$G$1196,1))+INDEX('Additional data'!$I$2:$I$1196,MATCH(N621,'Additional data'!$G$2:$G$1196,1)))</f>
        <v>4.89063666279862</v>
      </c>
      <c r="R621" s="489">
        <f>LN(INDEX(Data!$B$2:$B$497,MATCH(N621,Data!$A$2:$A$497,1)))</f>
        <v>11.1128550135287</v>
      </c>
      <c r="S621" s="116">
        <f>IF(INDEX('Additional data'!$E$2:$E$699,MATCH(DATE(YEAR(N621),MONTH(N621),1),'Additional data'!$D$2:$D$699,0))=0,(INDEX('Additional data'!$E$2:$E$699,MATCH(DATE(YEAR(N621),MONTH(N621),1),'Additional data'!$D$2:$D$699,0)-1)+INDEX('Additional data'!$E$2:$E$699,MATCH(DATE(YEAR(N621),MONTH(N621),1),'Additional data'!$D$2:$D$699,0)+1))/2,INDEX('Additional data'!$E$2:$E$699,MATCH(DATE(YEAR(N621),MONTH(N621),1),'Additional data'!$D$2:$D$699,0)))</f>
        <v>1.54</v>
      </c>
      <c r="T621" s="425">
        <f>P621-P620</f>
        <v>-0.0486100989540219</v>
      </c>
      <c r="U621" s="425">
        <f>Q621-Q620</f>
        <v>-0.0694572650152221</v>
      </c>
      <c r="V621" s="425">
        <f>R621-R620</f>
        <v>0.0165718543158953</v>
      </c>
      <c r="W621" s="116">
        <f>S621-S620</f>
        <v>-0.14</v>
      </c>
      <c r="X621" s="425">
        <f>P621-P609</f>
        <v>-0.140126398606928</v>
      </c>
      <c r="Y621" s="425">
        <f>Q621-Q609</f>
        <v>0.0218038079324412</v>
      </c>
      <c r="Z621" s="425">
        <f>R621-R609</f>
        <v>0.100029127727309</v>
      </c>
      <c r="AA621" s="116">
        <f>S621-S609</f>
        <v>-0.42</v>
      </c>
      <c r="AB621" s="425">
        <f>P621-P561</f>
        <v>-0.518652875570038</v>
      </c>
      <c r="AC621" s="425">
        <f>Q621-Q561</f>
        <v>0.457766825879532</v>
      </c>
      <c r="AD621" s="425">
        <f>R621-R561</f>
        <v>0.3837150240239</v>
      </c>
      <c r="AE621" s="235">
        <f>S621-S561</f>
        <v>-1.15</v>
      </c>
      <c r="AG621" s="554">
        <f>N621</f>
        <v>43616.0</v>
      </c>
      <c r="AH621" s="435">
        <f>IFERROR(INDEX('RBA 5Y yield'!$B$5:$B$661,MATCH(N621,'RBA 5Y yield'!$A$5:$A$661,1))*100,"")</f>
        <v>1.291</v>
      </c>
      <c r="AI621" s="435">
        <f>IF(AND(ISNUMBER(AH621),ISNUMBER(AH620)),AH621-AH620,"")</f>
        <v>-0.19</v>
      </c>
      <c r="AJ621" s="435">
        <f>IF(AND(ISNUMBER(AH621),ISNUMBER(AH609)),AH621-AH609,"")</f>
        <v>-1.124</v>
      </c>
      <c r="AK621" s="435">
        <f>IF(AND(ISNUMBER(AH621),ISNUMBER(AH561)),AH621-AH561,"")</f>
        <v>-1.909</v>
      </c>
      <c r="AL621" s="560">
        <f>IFERROR(LN(INDEX(Data!$B$2:$B$497,MATCH(N621,Data!$A$2:$A$497,1))/INDEX(Data!$B$2:$B$497,MATCH(N609,Data!$A$2:$A$497,1))),"")</f>
        <v>0.100029127727309</v>
      </c>
      <c r="AM621" s="560">
        <f>IFERROR(LN(INDEX(Data!$C$2:$C$497,MATCH(N621,Data!$A$2:$A$497,1))/INDEX(Data!$C$2:$C$497,MATCH(N609,Data!$A$2:$A$497,1))),"")</f>
        <v>0.104662336965017</v>
      </c>
      <c r="AN621" s="560">
        <f>IFERROR(LN(INDEX(Data!$D$2:$D$497,MATCH(N621,Data!$A$2:$A$497,1))/INDEX(Data!$D$2:$D$497,MATCH(N609,Data!$A$2:$A$497,1))),"")</f>
        <v>0.0401834308996017</v>
      </c>
      <c r="AO621" s="560">
        <f>IFERROR(LN(INDEX(Data!$E$2:$E$497,MATCH(N621,Data!$A$2:$A$497,1))/INDEX(Data!$E$2:$E$497,MATCH(N609,Data!$A$2:$A$497,1))),"")</f>
        <v>0.201158001670003</v>
      </c>
      <c r="AP621" s="560">
        <f>IFERROR(LN(INDEX(Data!$F$2:$F$497,MATCH(N621,Data!$A$2:$A$497,1))/INDEX(Data!$F$2:$F$497,MATCH(N609,Data!$A$2:$A$497,1))),"")</f>
        <v>-0.0638868008870515</v>
      </c>
      <c r="AQ621" s="560">
        <f>IFERROR(LN(INDEX(Data!$G$2:$G$497,MATCH(N621,Data!$A$2:$A$497,1))/INDEX(Data!$G$2:$G$497,MATCH(N609,Data!$A$2:$A$497,1))),"")</f>
        <v>-0.0645430370385683</v>
      </c>
      <c r="AR621" s="560">
        <f>IFERROR(LN(INDEX(Data!$H$2:$H$497,MATCH(N621,Data!$A$2:$A$497,1))/INDEX(Data!$H$2:$H$497,MATCH(N609,Data!$A$2:$A$497,1))),"")</f>
        <v>-0.0130281596044726</v>
      </c>
      <c r="AS621" s="560">
        <f>IFERROR(LN(INDEX(Data!$I$2:$I$497,MATCH(N621,Data!$A$2:$A$497,1))/INDEX(Data!$I$2:$I$497,MATCH(N609,Data!$A$2:$A$497,1))),"")</f>
        <v>0.0857669357459614</v>
      </c>
      <c r="AT621" s="560">
        <f>IFERROR(LN(INDEX(Data!$J$2:$J$497,MATCH(N621,Data!$A$2:$A$497,1))/INDEX(Data!$J$2:$J$497,MATCH(N609,Data!$A$2:$A$497,1))),"")</f>
        <v>0.0857452869670543</v>
      </c>
      <c r="AU621" s="560">
        <f>IFERROR(LN(INDEX(Data!$K$2:$K$497,MATCH(N621,Data!$A$2:$A$497,1))/INDEX(Data!$K$2:$K$497,MATCH(N609,Data!$A$2:$A$497,1))),"")</f>
        <v>0.0586013448623523</v>
      </c>
      <c r="AV621" s="561">
        <f>IFERROR(LN(INDEX(Data!$L$2:$L$497,MATCH(N621,Data!$A$2:$A$497,1))/INDEX(Data!$L$2:$L$497,MATCH(N609,Data!$A$2:$A$497,1))),"")</f>
        <v>0.0196837529891235</v>
      </c>
    </row>
    <row r="622">
      <c r="N622" s="337" t="n">
        <v>43646</v>
      </c>
      <c r="O622" s="116">
        <f>INDEX('Additional data'!$B$2:$B$965,MATCH(DATE(YEAR(N622),MONTH(N622),1),'Additional data'!$A$2:$A$965,0))</f>
        <v>54.66</v>
      </c>
      <c r="P622" s="489">
        <f>LN(O622)</f>
        <v>4.00113218049992</v>
      </c>
      <c r="Q622" s="489">
        <f>Q621+LN(1+INDEX('Additional data'!$H$2:$H$1196,MATCH(N622,'Additional data'!$G$2:$G$1196,1))+INDEX('Additional data'!$I$2:$I$1196,MATCH(N622,'Additional data'!$G$2:$G$1196,1)))</f>
        <v>4.95988283553543</v>
      </c>
      <c r="R622" s="489">
        <f>LN(INDEX(Data!$B$2:$B$497,MATCH(N622,Data!$A$2:$A$497,1)))</f>
        <v>11.1465882960465</v>
      </c>
      <c r="S622" s="116">
        <f>IF(INDEX('Additional data'!$E$2:$E$699,MATCH(DATE(YEAR(N622),MONTH(N622),1),'Additional data'!$D$2:$D$699,0))=0,(INDEX('Additional data'!$E$2:$E$699,MATCH(DATE(YEAR(N622),MONTH(N622),1),'Additional data'!$D$2:$D$699,0)-1)+INDEX('Additional data'!$E$2:$E$699,MATCH(DATE(YEAR(N622),MONTH(N622),1),'Additional data'!$D$2:$D$699,0)+1))/2,INDEX('Additional data'!$E$2:$E$699,MATCH(DATE(YEAR(N622),MONTH(N622),1),'Additional data'!$D$2:$D$699,0)))</f>
        <v>1.29</v>
      </c>
      <c r="T622" s="425">
        <f>P622-P621</f>
        <v>-0.106950907832692</v>
      </c>
      <c r="U622" s="425">
        <f>Q622-Q621</f>
        <v>0.0692461727368148</v>
      </c>
      <c r="V622" s="425">
        <f>R622-R621</f>
        <v>0.0337332825178436</v>
      </c>
      <c r="W622" s="116">
        <f>S622-S621</f>
        <v>-0.25</v>
      </c>
      <c r="X622" s="425">
        <f>P622-P610</f>
        <v>-0.216461930215745</v>
      </c>
      <c r="Y622" s="425">
        <f>Q622-Q610</f>
        <v>0.0847697427121057</v>
      </c>
      <c r="Z622" s="425">
        <f>R622-R610</f>
        <v>0.104708560888806</v>
      </c>
      <c r="AA622" s="116">
        <f>S622-S610</f>
        <v>-0.78</v>
      </c>
      <c r="AB622" s="425">
        <f>P622-P562</f>
        <v>-0.660323816498761</v>
      </c>
      <c r="AC622" s="425">
        <f>Q622-Q562</f>
        <v>0.501345251867769</v>
      </c>
      <c r="AD622" s="425">
        <f>R622-R562</f>
        <v>0.431693382033917</v>
      </c>
      <c r="AE622" s="235">
        <f>S622-S562</f>
        <v>-1.41</v>
      </c>
      <c r="AG622" s="554">
        <f>N622</f>
        <v>43646.0</v>
      </c>
      <c r="AH622" s="435">
        <f>IFERROR(INDEX('RBA 5Y yield'!$B$5:$B$661,MATCH(N622,'RBA 5Y yield'!$A$5:$A$661,1))*100,"")</f>
        <v>1.066</v>
      </c>
      <c r="AI622" s="435">
        <f>IF(AND(ISNUMBER(AH622),ISNUMBER(AH621)),AH622-AH621,"")</f>
        <v>-0.225</v>
      </c>
      <c r="AJ622" s="435">
        <f>IF(AND(ISNUMBER(AH622),ISNUMBER(AH610)),AH622-AH610,"")</f>
        <v>-1.291</v>
      </c>
      <c r="AK622" s="435">
        <f>IF(AND(ISNUMBER(AH622),ISNUMBER(AH562)),AH622-AH562,"")</f>
        <v>-2.052</v>
      </c>
      <c r="AL622" s="560">
        <f>IFERROR(LN(INDEX(Data!$B$2:$B$497,MATCH(N622,Data!$A$2:$A$497,1))/INDEX(Data!$B$2:$B$497,MATCH(N610,Data!$A$2:$A$497,1))),"")</f>
        <v>0.104708560888806</v>
      </c>
      <c r="AM622" s="560">
        <f>IFERROR(LN(INDEX(Data!$C$2:$C$497,MATCH(N622,Data!$A$2:$A$497,1))/INDEX(Data!$C$2:$C$497,MATCH(N610,Data!$A$2:$A$497,1))),"")</f>
        <v>0.122124333026259</v>
      </c>
      <c r="AN622" s="560">
        <f>IFERROR(LN(INDEX(Data!$D$2:$D$497,MATCH(N622,Data!$A$2:$A$497,1))/INDEX(Data!$D$2:$D$497,MATCH(N610,Data!$A$2:$A$497,1))),"")</f>
        <v>0.0736692166414434</v>
      </c>
      <c r="AO622" s="560">
        <f>IFERROR(LN(INDEX(Data!$E$2:$E$497,MATCH(N622,Data!$A$2:$A$497,1))/INDEX(Data!$E$2:$E$497,MATCH(N610,Data!$A$2:$A$497,1))),"")</f>
        <v>0.150800826257688</v>
      </c>
      <c r="AP622" s="560">
        <f>IFERROR(LN(INDEX(Data!$F$2:$F$497,MATCH(N622,Data!$A$2:$A$497,1))/INDEX(Data!$F$2:$F$497,MATCH(N610,Data!$A$2:$A$497,1))),"")</f>
        <v>-0.0705665280005387</v>
      </c>
      <c r="AQ622" s="560">
        <f>IFERROR(LN(INDEX(Data!$G$2:$G$497,MATCH(N622,Data!$A$2:$A$497,1))/INDEX(Data!$G$2:$G$497,MATCH(N610,Data!$A$2:$A$497,1))),"")</f>
        <v>-0.0650895301526093</v>
      </c>
      <c r="AR622" s="560">
        <f>IFERROR(LN(INDEX(Data!$H$2:$H$497,MATCH(N622,Data!$A$2:$A$497,1))/INDEX(Data!$H$2:$H$497,MATCH(N610,Data!$A$2:$A$497,1))),"")</f>
        <v>0.00895508063036592</v>
      </c>
      <c r="AS622" s="560">
        <f>IFERROR(LN(INDEX(Data!$I$2:$I$497,MATCH(N622,Data!$A$2:$A$497,1))/INDEX(Data!$I$2:$I$497,MATCH(N610,Data!$A$2:$A$497,1))),"")</f>
        <v>0.0931813035329267</v>
      </c>
      <c r="AT622" s="560">
        <f>IFERROR(LN(INDEX(Data!$J$2:$J$497,MATCH(N622,Data!$A$2:$A$497,1))/INDEX(Data!$J$2:$J$497,MATCH(N610,Data!$A$2:$A$497,1))),"")</f>
        <v>0.0913030622894012</v>
      </c>
      <c r="AU622" s="560">
        <f>IFERROR(LN(INDEX(Data!$K$2:$K$497,MATCH(N622,Data!$A$2:$A$497,1))/INDEX(Data!$K$2:$K$497,MATCH(N610,Data!$A$2:$A$497,1))),"")</f>
        <v>0.0697642360072579</v>
      </c>
      <c r="AV622" s="561">
        <f>IFERROR(LN(INDEX(Data!$L$2:$L$497,MATCH(N622,Data!$A$2:$A$497,1))/INDEX(Data!$L$2:$L$497,MATCH(N610,Data!$A$2:$A$497,1))),"")</f>
        <v>0.0194840325970076</v>
      </c>
    </row>
    <row r="623">
      <c r="N623" s="337" t="n">
        <v>43677</v>
      </c>
      <c r="O623" s="116">
        <f>INDEX('Additional data'!$B$2:$B$965,MATCH(DATE(YEAR(N623),MONTH(N623),1),'Additional data'!$A$2:$A$965,0))</f>
        <v>57.35</v>
      </c>
      <c r="P623" s="489">
        <f>LN(O623)</f>
        <v>4.04917284357538</v>
      </c>
      <c r="Q623" s="489">
        <f>Q622+LN(1+INDEX('Additional data'!$H$2:$H$1196,MATCH(N623,'Additional data'!$G$2:$G$1196,1))+INDEX('Additional data'!$I$2:$I$1196,MATCH(N623,'Additional data'!$G$2:$G$1196,1)))</f>
        <v>4.97398295991421</v>
      </c>
      <c r="R623" s="489">
        <f>LN(INDEX(Data!$B$2:$B$497,MATCH(N623,Data!$A$2:$A$497,1)))</f>
        <v>11.1757515161251</v>
      </c>
      <c r="S623" s="116">
        <f>IF(INDEX('Additional data'!$E$2:$E$699,MATCH(DATE(YEAR(N623),MONTH(N623),1),'Additional data'!$D$2:$D$699,0))=0,(INDEX('Additional data'!$E$2:$E$699,MATCH(DATE(YEAR(N623),MONTH(N623),1),'Additional data'!$D$2:$D$699,0)-1)+INDEX('Additional data'!$E$2:$E$699,MATCH(DATE(YEAR(N623),MONTH(N623),1),'Additional data'!$D$2:$D$699,0)+1))/2,INDEX('Additional data'!$E$2:$E$699,MATCH(DATE(YEAR(N623),MONTH(N623),1),'Additional data'!$D$2:$D$699,0)))</f>
        <v>1.11</v>
      </c>
      <c r="T623" s="425">
        <f>P623-P622</f>
        <v>0.048040663075458</v>
      </c>
      <c r="U623" s="425">
        <f>Q623-Q622</f>
        <v>0.0141001243787819</v>
      </c>
      <c r="V623" s="425">
        <f>R623-R622</f>
        <v>0.0291632200786065</v>
      </c>
      <c r="W623" s="116">
        <f>S623-S622</f>
        <v>-0.18</v>
      </c>
      <c r="X623" s="425">
        <f>P623-P611</f>
        <v>-0.213225303642971</v>
      </c>
      <c r="Y623" s="425">
        <f>Q623-Q611</f>
        <v>0.0658220130446869</v>
      </c>
      <c r="Z623" s="425">
        <f>R623-R611</f>
        <v>0.121711845181709</v>
      </c>
      <c r="AA623" s="116">
        <f>S623-S611</f>
        <v>-0.91</v>
      </c>
      <c r="AB623" s="425">
        <f>P623-P563</f>
        <v>-0.591267956494631</v>
      </c>
      <c r="AC623" s="425">
        <f>Q623-Q563</f>
        <v>0.535954252878091</v>
      </c>
      <c r="AD623" s="425">
        <f>R623-R563</f>
        <v>0.41692010892786</v>
      </c>
      <c r="AE623" s="235">
        <f>S623-S563</f>
        <v>-1.54</v>
      </c>
      <c r="AG623" s="554">
        <f>N623</f>
        <v>43677.0</v>
      </c>
      <c r="AH623" s="435">
        <f>IFERROR(INDEX('RBA 5Y yield'!$B$5:$B$661,MATCH(N623,'RBA 5Y yield'!$A$5:$A$661,1))*100,"")</f>
        <v>0.996</v>
      </c>
      <c r="AI623" s="435">
        <f>IF(AND(ISNUMBER(AH623),ISNUMBER(AH622)),AH623-AH622,"")</f>
        <v>-0.0699999999999998</v>
      </c>
      <c r="AJ623" s="435">
        <f>IF(AND(ISNUMBER(AH623),ISNUMBER(AH611)),AH623-AH611,"")</f>
        <v>-1.294</v>
      </c>
      <c r="AK623" s="435">
        <f>IF(AND(ISNUMBER(AH623),ISNUMBER(AH563)),AH623-AH563,"")</f>
        <v>-1.941</v>
      </c>
      <c r="AL623" s="560">
        <f>IFERROR(LN(INDEX(Data!$B$2:$B$497,MATCH(N623,Data!$A$2:$A$497,1))/INDEX(Data!$B$2:$B$497,MATCH(N611,Data!$A$2:$A$497,1))),"")</f>
        <v>0.121711845181708</v>
      </c>
      <c r="AM623" s="560">
        <f>IFERROR(LN(INDEX(Data!$C$2:$C$497,MATCH(N623,Data!$A$2:$A$497,1))/INDEX(Data!$C$2:$C$497,MATCH(N611,Data!$A$2:$A$497,1))),"")</f>
        <v>0.127069884366442</v>
      </c>
      <c r="AN623" s="560">
        <f>IFERROR(LN(INDEX(Data!$D$2:$D$497,MATCH(N623,Data!$A$2:$A$497,1))/INDEX(Data!$D$2:$D$497,MATCH(N611,Data!$A$2:$A$497,1))),"")</f>
        <v>0.0710357203868141</v>
      </c>
      <c r="AO623" s="560">
        <f>IFERROR(LN(INDEX(Data!$E$2:$E$497,MATCH(N623,Data!$A$2:$A$497,1))/INDEX(Data!$E$2:$E$497,MATCH(N611,Data!$A$2:$A$497,1))),"")</f>
        <v>0.178816015208541</v>
      </c>
      <c r="AP623" s="560">
        <f>IFERROR(LN(INDEX(Data!$F$2:$F$497,MATCH(N623,Data!$A$2:$A$497,1))/INDEX(Data!$F$2:$F$497,MATCH(N611,Data!$A$2:$A$497,1))),"")</f>
        <v>-0.0126298129586094</v>
      </c>
      <c r="AQ623" s="560">
        <f>IFERROR(LN(INDEX(Data!$G$2:$G$497,MATCH(N623,Data!$A$2:$A$497,1))/INDEX(Data!$G$2:$G$497,MATCH(N611,Data!$A$2:$A$497,1))),"")</f>
        <v>-0.0650895301526093</v>
      </c>
      <c r="AR623" s="560">
        <f>IFERROR(LN(INDEX(Data!$H$2:$H$497,MATCH(N623,Data!$A$2:$A$497,1))/INDEX(Data!$H$2:$H$497,MATCH(N611,Data!$A$2:$A$497,1))),"")</f>
        <v>0.000487962997931835</v>
      </c>
      <c r="AS623" s="560">
        <f>IFERROR(LN(INDEX(Data!$I$2:$I$497,MATCH(N623,Data!$A$2:$A$497,1))/INDEX(Data!$I$2:$I$497,MATCH(N611,Data!$A$2:$A$497,1))),"")</f>
        <v>0.0931813035329267</v>
      </c>
      <c r="AT623" s="560">
        <f>IFERROR(LN(INDEX(Data!$J$2:$J$497,MATCH(N623,Data!$A$2:$A$497,1))/INDEX(Data!$J$2:$J$497,MATCH(N611,Data!$A$2:$A$497,1))),"")</f>
        <v>0.0991594996964594</v>
      </c>
      <c r="AU623" s="560">
        <f>IFERROR(LN(INDEX(Data!$K$2:$K$497,MATCH(N623,Data!$A$2:$A$497,1))/INDEX(Data!$K$2:$K$497,MATCH(N611,Data!$A$2:$A$497,1))),"")</f>
        <v>0.0764549838823237</v>
      </c>
      <c r="AV623" s="561">
        <f>IFERROR(LN(INDEX(Data!$L$2:$L$497,MATCH(N623,Data!$A$2:$A$497,1))/INDEX(Data!$L$2:$L$497,MATCH(N611,Data!$A$2:$A$497,1))),"")</f>
        <v>0.0187851158894097</v>
      </c>
    </row>
    <row r="624">
      <c r="N624" s="337" t="n">
        <v>43708</v>
      </c>
      <c r="O624" s="116">
        <f>INDEX('Additional data'!$B$2:$B$965,MATCH(DATE(YEAR(N624),MONTH(N624),1),'Additional data'!$A$2:$A$965,0))</f>
        <v>54.81</v>
      </c>
      <c r="P624" s="489">
        <f>LN(O624)</f>
        <v>4.00387265905803</v>
      </c>
      <c r="Q624" s="489">
        <f>Q623+LN(1+INDEX('Additional data'!$H$2:$H$1196,MATCH(N624,'Additional data'!$G$2:$G$1196,1))+INDEX('Additional data'!$I$2:$I$1196,MATCH(N624,'Additional data'!$G$2:$G$1196,1)))</f>
        <v>4.949792721113</v>
      </c>
      <c r="R624" s="489">
        <f>LN(INDEX(Data!$B$2:$B$497,MATCH(N624,Data!$A$2:$A$497,1)))</f>
        <v>11.1533458684139</v>
      </c>
      <c r="S624" s="116">
        <f>IF(INDEX('Additional data'!$E$2:$E$699,MATCH(DATE(YEAR(N624),MONTH(N624),1),'Additional data'!$D$2:$D$699,0))=0,(INDEX('Additional data'!$E$2:$E$699,MATCH(DATE(YEAR(N624),MONTH(N624),1),'Additional data'!$D$2:$D$699,0)-1)+INDEX('Additional data'!$E$2:$E$699,MATCH(DATE(YEAR(N624),MONTH(N624),1),'Additional data'!$D$2:$D$699,0)+1))/2,INDEX('Additional data'!$E$2:$E$699,MATCH(DATE(YEAR(N624),MONTH(N624),1),'Additional data'!$D$2:$D$699,0)))</f>
        <v>0.98</v>
      </c>
      <c r="T624" s="425">
        <f>P624-P623</f>
        <v>-0.0453001845173544</v>
      </c>
      <c r="U624" s="425">
        <f>Q624-Q623</f>
        <v>-0.0241902388012178</v>
      </c>
      <c r="V624" s="425">
        <f>R624-R623</f>
        <v>-0.0224056477111958</v>
      </c>
      <c r="W624" s="116">
        <f>S624-S623</f>
        <v>-0.13</v>
      </c>
      <c r="X624" s="425">
        <f>P624-P612</f>
        <v>-0.216517010014734</v>
      </c>
      <c r="Y624" s="425">
        <f>Q624-Q612</f>
        <v>0.00616810996790029</v>
      </c>
      <c r="Z624" s="425">
        <f>R624-R612</f>
        <v>0.0823596096673924</v>
      </c>
      <c r="AA624" s="116">
        <f>S624-S612</f>
        <v>-0.98</v>
      </c>
      <c r="AB624" s="425">
        <f>P624-P564</f>
        <v>-0.566084771174322</v>
      </c>
      <c r="AC624" s="425">
        <f>Q624-Q564</f>
        <v>0.470238267248375</v>
      </c>
      <c r="AD624" s="425">
        <f>R624-R564</f>
        <v>0.387324240582252</v>
      </c>
      <c r="AE624" s="235">
        <f>S624-S564</f>
        <v>-1.65</v>
      </c>
      <c r="AG624" s="554">
        <f>N624</f>
        <v>43708.0</v>
      </c>
      <c r="AH624" s="435">
        <f>IFERROR(INDEX('RBA 5Y yield'!$B$5:$B$661,MATCH(N624,'RBA 5Y yield'!$A$5:$A$661,1))*100,"")</f>
        <v>0.713</v>
      </c>
      <c r="AI624" s="435">
        <f>IF(AND(ISNUMBER(AH624),ISNUMBER(AH623)),AH624-AH623,"")</f>
        <v>-0.283</v>
      </c>
      <c r="AJ624" s="435">
        <f>IF(AND(ISNUMBER(AH624),ISNUMBER(AH612)),AH624-AH612,"")</f>
        <v>-1.526</v>
      </c>
      <c r="AK624" s="435">
        <f>IF(AND(ISNUMBER(AH624),ISNUMBER(AH564)),AH624-AH564,"")</f>
        <v>-2.209</v>
      </c>
      <c r="AL624" s="560">
        <f>IFERROR(LN(INDEX(Data!$B$2:$B$497,MATCH(N624,Data!$A$2:$A$497,1))/INDEX(Data!$B$2:$B$497,MATCH(N612,Data!$A$2:$A$497,1))),"")</f>
        <v>0.0823596096673917</v>
      </c>
      <c r="AM624" s="560">
        <f>IFERROR(LN(INDEX(Data!$C$2:$C$497,MATCH(N624,Data!$A$2:$A$497,1))/INDEX(Data!$C$2:$C$497,MATCH(N612,Data!$A$2:$A$497,1))),"")</f>
        <v>0.0893005899054041</v>
      </c>
      <c r="AN624" s="560">
        <f>IFERROR(LN(INDEX(Data!$D$2:$D$497,MATCH(N624,Data!$A$2:$A$497,1))/INDEX(Data!$D$2:$D$497,MATCH(N612,Data!$A$2:$A$497,1))),"")</f>
        <v>0.0461265786766955</v>
      </c>
      <c r="AO624" s="560">
        <f>IFERROR(LN(INDEX(Data!$E$2:$E$497,MATCH(N624,Data!$A$2:$A$497,1))/INDEX(Data!$E$2:$E$497,MATCH(N612,Data!$A$2:$A$497,1))),"")</f>
        <v>0.181032701645917</v>
      </c>
      <c r="AP624" s="560">
        <f>IFERROR(LN(INDEX(Data!$F$2:$F$497,MATCH(N624,Data!$A$2:$A$497,1))/INDEX(Data!$F$2:$F$497,MATCH(N612,Data!$A$2:$A$497,1))),"")</f>
        <v>-0.086019881352152</v>
      </c>
      <c r="AQ624" s="560">
        <f>IFERROR(LN(INDEX(Data!$G$2:$G$497,MATCH(N624,Data!$A$2:$A$497,1))/INDEX(Data!$G$2:$G$497,MATCH(N612,Data!$A$2:$A$497,1))),"")</f>
        <v>-0.0650895301526093</v>
      </c>
      <c r="AR624" s="560">
        <f>IFERROR(LN(INDEX(Data!$H$2:$H$497,MATCH(N624,Data!$A$2:$A$497,1))/INDEX(Data!$H$2:$H$497,MATCH(N612,Data!$A$2:$A$497,1))),"")</f>
        <v>0.0214526708468121</v>
      </c>
      <c r="AS624" s="560">
        <f>IFERROR(LN(INDEX(Data!$I$2:$I$497,MATCH(N624,Data!$A$2:$A$497,1))/INDEX(Data!$I$2:$I$497,MATCH(N612,Data!$A$2:$A$497,1))),"")</f>
        <v>0.0931813035329267</v>
      </c>
      <c r="AT624" s="560">
        <f>IFERROR(LN(INDEX(Data!$J$2:$J$497,MATCH(N624,Data!$A$2:$A$497,1))/INDEX(Data!$J$2:$J$497,MATCH(N612,Data!$A$2:$A$497,1))),"")</f>
        <v>0.106079258426949</v>
      </c>
      <c r="AU624" s="560">
        <f>IFERROR(LN(INDEX(Data!$K$2:$K$497,MATCH(N624,Data!$A$2:$A$497,1))/INDEX(Data!$K$2:$K$497,MATCH(N612,Data!$A$2:$A$497,1))),"")</f>
        <v>0.0953273367845397</v>
      </c>
      <c r="AV624" s="561">
        <f>IFERROR(LN(INDEX(Data!$L$2:$L$497,MATCH(N624,Data!$A$2:$A$497,1))/INDEX(Data!$L$2:$L$497,MATCH(N612,Data!$A$2:$A$497,1))),"")</f>
        <v>0.0178862394243925</v>
      </c>
    </row>
    <row r="625">
      <c r="N625" s="337" t="n">
        <v>43738</v>
      </c>
      <c r="O625" s="116">
        <f>INDEX('Additional data'!$B$2:$B$965,MATCH(DATE(YEAR(N625),MONTH(N625),1),'Additional data'!$A$2:$A$965,0))</f>
        <v>56.95</v>
      </c>
      <c r="P625" s="489">
        <f>LN(O625)</f>
        <v>4.04217368989319</v>
      </c>
      <c r="Q625" s="489">
        <f>Q624+LN(1+INDEX('Additional data'!$H$2:$H$1196,MATCH(N625,'Additional data'!$G$2:$G$1196,1))+INDEX('Additional data'!$I$2:$I$1196,MATCH(N625,'Additional data'!$G$2:$G$1196,1)))</f>
        <v>4.96556764022836</v>
      </c>
      <c r="R625" s="489">
        <f>LN(INDEX(Data!$B$2:$B$497,MATCH(N625,Data!$A$2:$A$497,1)))</f>
        <v>11.1744068323302</v>
      </c>
      <c r="S625" s="116">
        <f>IF(INDEX('Additional data'!$E$2:$E$699,MATCH(DATE(YEAR(N625),MONTH(N625),1),'Additional data'!$D$2:$D$699,0))=0,(INDEX('Additional data'!$E$2:$E$699,MATCH(DATE(YEAR(N625),MONTH(N625),1),'Additional data'!$D$2:$D$699,0)-1)+INDEX('Additional data'!$E$2:$E$699,MATCH(DATE(YEAR(N625),MONTH(N625),1),'Additional data'!$D$2:$D$699,0)+1))/2,INDEX('Additional data'!$E$2:$E$699,MATCH(DATE(YEAR(N625),MONTH(N625),1),'Additional data'!$D$2:$D$699,0)))</f>
        <v>0.98</v>
      </c>
      <c r="T625" s="425">
        <f>P625-P624</f>
        <v>0.0383010308351661</v>
      </c>
      <c r="U625" s="425">
        <f>Q625-Q624</f>
        <v>0.015774919115362</v>
      </c>
      <c r="V625" s="425">
        <f>R625-R624</f>
        <v>0.0210609639162982</v>
      </c>
      <c r="W625" s="116">
        <f>S625-S624</f>
        <v>0</v>
      </c>
      <c r="X625" s="425">
        <f>P625-P613</f>
        <v>-0.209601880277738</v>
      </c>
      <c r="Y625" s="425">
        <f>Q625-Q613</f>
        <v>0.0198452310011161</v>
      </c>
      <c r="Z625" s="425">
        <f>R625-R613</f>
        <v>0.114051867132966</v>
      </c>
      <c r="AA625" s="116">
        <f>S625-S613</f>
        <v>-0.95</v>
      </c>
      <c r="AB625" s="425">
        <f>P625-P565</f>
        <v>-0.492681322179874</v>
      </c>
      <c r="AC625" s="425">
        <f>Q625-Q565</f>
        <v>0.505807813691916</v>
      </c>
      <c r="AD625" s="425">
        <f>R625-R565</f>
        <v>0.462421927024316</v>
      </c>
      <c r="AE625" s="235">
        <f>S625-S565</f>
        <v>-1.68</v>
      </c>
      <c r="AG625" s="554">
        <f>N625</f>
        <v>43738.0</v>
      </c>
      <c r="AH625" s="435">
        <f>IFERROR(INDEX('RBA 5Y yield'!$B$5:$B$661,MATCH(N625,'RBA 5Y yield'!$A$5:$A$661,1))*100,"")</f>
        <v>0.81</v>
      </c>
      <c r="AI625" s="435">
        <f>IF(AND(ISNUMBER(AH625),ISNUMBER(AH624)),AH625-AH624,"")</f>
        <v>0.097</v>
      </c>
      <c r="AJ625" s="435">
        <f>IF(AND(ISNUMBER(AH625),ISNUMBER(AH613)),AH625-AH613,"")</f>
        <v>-1.438</v>
      </c>
      <c r="AK625" s="435">
        <f>IF(AND(ISNUMBER(AH625),ISNUMBER(AH565)),AH625-AH565,"")</f>
        <v>-2.231</v>
      </c>
      <c r="AL625" s="560">
        <f>IFERROR(LN(INDEX(Data!$B$2:$B$497,MATCH(N625,Data!$A$2:$A$497,1))/INDEX(Data!$B$2:$B$497,MATCH(N613,Data!$A$2:$A$497,1))),"")</f>
        <v>0.114051867132967</v>
      </c>
      <c r="AM625" s="560">
        <f>IFERROR(LN(INDEX(Data!$C$2:$C$497,MATCH(N625,Data!$A$2:$A$497,1))/INDEX(Data!$C$2:$C$497,MATCH(N613,Data!$A$2:$A$497,1))),"")</f>
        <v>0.104663323709967</v>
      </c>
      <c r="AN625" s="560">
        <f>IFERROR(LN(INDEX(Data!$D$2:$D$497,MATCH(N625,Data!$A$2:$A$497,1))/INDEX(Data!$D$2:$D$497,MATCH(N613,Data!$A$2:$A$497,1))),"")</f>
        <v>0.0718297250746155</v>
      </c>
      <c r="AO625" s="560">
        <f>IFERROR(LN(INDEX(Data!$E$2:$E$497,MATCH(N625,Data!$A$2:$A$497,1))/INDEX(Data!$E$2:$E$497,MATCH(N613,Data!$A$2:$A$497,1))),"")</f>
        <v>0.230174086018119</v>
      </c>
      <c r="AP625" s="560">
        <f>IFERROR(LN(INDEX(Data!$F$2:$F$497,MATCH(N625,Data!$A$2:$A$497,1))/INDEX(Data!$F$2:$F$497,MATCH(N613,Data!$A$2:$A$497,1))),"")</f>
        <v>-0.107769328192475</v>
      </c>
      <c r="AQ625" s="560">
        <f>IFERROR(LN(INDEX(Data!$G$2:$G$497,MATCH(N625,Data!$A$2:$A$497,1))/INDEX(Data!$G$2:$G$497,MATCH(N613,Data!$A$2:$A$497,1))),"")</f>
        <v>-0.0256778094859329</v>
      </c>
      <c r="AR625" s="560">
        <f>IFERROR(LN(INDEX(Data!$H$2:$H$497,MATCH(N625,Data!$A$2:$A$497,1))/INDEX(Data!$H$2:$H$497,MATCH(N613,Data!$A$2:$A$497,1))),"")</f>
        <v>0.0390004790440756</v>
      </c>
      <c r="AS625" s="560">
        <f>IFERROR(LN(INDEX(Data!$I$2:$I$497,MATCH(N625,Data!$A$2:$A$497,1))/INDEX(Data!$I$2:$I$497,MATCH(N613,Data!$A$2:$A$497,1))),"")</f>
        <v>0.0728542194558836</v>
      </c>
      <c r="AT625" s="560">
        <f>IFERROR(LN(INDEX(Data!$J$2:$J$497,MATCH(N625,Data!$A$2:$A$497,1))/INDEX(Data!$J$2:$J$497,MATCH(N613,Data!$A$2:$A$497,1))),"")</f>
        <v>0.105376058839983</v>
      </c>
      <c r="AU625" s="560">
        <f>IFERROR(LN(INDEX(Data!$K$2:$K$497,MATCH(N625,Data!$A$2:$A$497,1))/INDEX(Data!$K$2:$K$497,MATCH(N613,Data!$A$2:$A$497,1))),"")</f>
        <v>0.0935606595392033</v>
      </c>
      <c r="AV625" s="561">
        <f>IFERROR(LN(INDEX(Data!$L$2:$L$497,MATCH(N625,Data!$A$2:$A$497,1))/INDEX(Data!$L$2:$L$497,MATCH(N613,Data!$A$2:$A$497,1))),"")</f>
        <v>0.0170871982312596</v>
      </c>
    </row>
    <row r="626">
      <c r="N626" s="337" t="n">
        <v>43769</v>
      </c>
      <c r="O626" s="116">
        <f>INDEX('Additional data'!$B$2:$B$965,MATCH(DATE(YEAR(N626),MONTH(N626),1),'Additional data'!$A$2:$A$965,0))</f>
        <v>53.96</v>
      </c>
      <c r="P626" s="489">
        <f>LN(O626)</f>
        <v>3.98824303133956</v>
      </c>
      <c r="Q626" s="489">
        <f>Q625+LN(1+INDEX('Additional data'!$H$2:$H$1196,MATCH(N626,'Additional data'!$G$2:$G$1196,1))+INDEX('Additional data'!$I$2:$I$1196,MATCH(N626,'Additional data'!$G$2:$G$1196,1)))</f>
        <v>4.9875248075804</v>
      </c>
      <c r="R626" s="489">
        <f>LN(INDEX(Data!$B$2:$B$497,MATCH(N626,Data!$A$2:$A$497,1)))</f>
        <v>11.1706940687582</v>
      </c>
      <c r="S626" s="116">
        <f>IF(INDEX('Additional data'!$E$2:$E$699,MATCH(DATE(YEAR(N626),MONTH(N626),1),'Additional data'!$D$2:$D$699,0))=0,(INDEX('Additional data'!$E$2:$E$699,MATCH(DATE(YEAR(N626),MONTH(N626),1),'Additional data'!$D$2:$D$699,0)-1)+INDEX('Additional data'!$E$2:$E$699,MATCH(DATE(YEAR(N626),MONTH(N626),1),'Additional data'!$D$2:$D$699,0)+1))/2,INDEX('Additional data'!$E$2:$E$699,MATCH(DATE(YEAR(N626),MONTH(N626),1),'Additional data'!$D$2:$D$699,0)))</f>
        <v>0.88</v>
      </c>
      <c r="T626" s="425">
        <f>P626-P625</f>
        <v>-0.0539306585536363</v>
      </c>
      <c r="U626" s="425">
        <f>Q626-Q625</f>
        <v>0.021957167352042</v>
      </c>
      <c r="V626" s="425">
        <f>R626-R625</f>
        <v>-0.00371276357207329</v>
      </c>
      <c r="W626" s="116">
        <f>S626-S625</f>
        <v>-0.1</v>
      </c>
      <c r="X626" s="425">
        <f>P626-P614</f>
        <v>-0.270909505183792</v>
      </c>
      <c r="Y626" s="425">
        <f>Q626-Q614</f>
        <v>0.119331600862396</v>
      </c>
      <c r="Z626" s="425">
        <f>R626-R614</f>
        <v>0.177246784055614</v>
      </c>
      <c r="AA626" s="116">
        <f>S626-S614</f>
        <v>-1.05</v>
      </c>
      <c r="AB626" s="425">
        <f>P626-P566</f>
        <v>-0.447324370262356</v>
      </c>
      <c r="AC626" s="425">
        <f>Q626-Q566</f>
        <v>0.50297481223674</v>
      </c>
      <c r="AD626" s="425">
        <f>R626-R566</f>
        <v>0.419862737373594</v>
      </c>
      <c r="AE626" s="235">
        <f>S626-S566</f>
        <v>-1.84</v>
      </c>
      <c r="AG626" s="554">
        <f>N626</f>
        <v>43769.0</v>
      </c>
      <c r="AH626" s="435">
        <f>IFERROR(INDEX('RBA 5Y yield'!$B$5:$B$661,MATCH(N626,'RBA 5Y yield'!$A$5:$A$661,1))*100,"")</f>
        <v>0.766</v>
      </c>
      <c r="AI626" s="435">
        <f>IF(AND(ISNUMBER(AH626),ISNUMBER(AH625)),AH626-AH625,"")</f>
        <v>-0.0439999999999999</v>
      </c>
      <c r="AJ626" s="435">
        <f>IF(AND(ISNUMBER(AH626),ISNUMBER(AH614)),AH626-AH614,"")</f>
        <v>-1.512</v>
      </c>
      <c r="AK626" s="435">
        <f>IF(AND(ISNUMBER(AH626),ISNUMBER(AH566)),AH626-AH566,"")</f>
        <v>-2.073</v>
      </c>
      <c r="AL626" s="560">
        <f>IFERROR(LN(INDEX(Data!$B$2:$B$497,MATCH(N626,Data!$A$2:$A$497,1))/INDEX(Data!$B$2:$B$497,MATCH(N614,Data!$A$2:$A$497,1))),"")</f>
        <v>0.177246784055614</v>
      </c>
      <c r="AM626" s="560">
        <f>IFERROR(LN(INDEX(Data!$C$2:$C$497,MATCH(N626,Data!$A$2:$A$497,1))/INDEX(Data!$C$2:$C$497,MATCH(N614,Data!$A$2:$A$497,1))),"")</f>
        <v>0.151815188817326</v>
      </c>
      <c r="AN626" s="560">
        <f>IFERROR(LN(INDEX(Data!$D$2:$D$497,MATCH(N626,Data!$A$2:$A$497,1))/INDEX(Data!$D$2:$D$497,MATCH(N614,Data!$A$2:$A$497,1))),"")</f>
        <v>0.140388282599074</v>
      </c>
      <c r="AO626" s="560">
        <f>IFERROR(LN(INDEX(Data!$E$2:$E$497,MATCH(N626,Data!$A$2:$A$497,1))/INDEX(Data!$E$2:$E$497,MATCH(N614,Data!$A$2:$A$497,1))),"")</f>
        <v>0.233207817995477</v>
      </c>
      <c r="AP626" s="560">
        <f>IFERROR(LN(INDEX(Data!$F$2:$F$497,MATCH(N626,Data!$A$2:$A$497,1))/INDEX(Data!$F$2:$F$497,MATCH(N614,Data!$A$2:$A$497,1))),"")</f>
        <v>-0.0771272247549751</v>
      </c>
      <c r="AQ626" s="560">
        <f>IFERROR(LN(INDEX(Data!$G$2:$G$497,MATCH(N626,Data!$A$2:$A$497,1))/INDEX(Data!$G$2:$G$497,MATCH(N614,Data!$A$2:$A$497,1))),"")</f>
        <v>-0.0256778094859329</v>
      </c>
      <c r="AR626" s="560">
        <f>IFERROR(LN(INDEX(Data!$H$2:$H$497,MATCH(N626,Data!$A$2:$A$497,1))/INDEX(Data!$H$2:$H$497,MATCH(N614,Data!$A$2:$A$497,1))),"")</f>
        <v>0.0231716572733278</v>
      </c>
      <c r="AS626" s="560">
        <f>IFERROR(LN(INDEX(Data!$I$2:$I$497,MATCH(N626,Data!$A$2:$A$497,1))/INDEX(Data!$I$2:$I$497,MATCH(N614,Data!$A$2:$A$497,1))),"")</f>
        <v>0.0728542194558836</v>
      </c>
      <c r="AT626" s="560">
        <f>IFERROR(LN(INDEX(Data!$J$2:$J$497,MATCH(N626,Data!$A$2:$A$497,1))/INDEX(Data!$J$2:$J$497,MATCH(N614,Data!$A$2:$A$497,1))),"")</f>
        <v>0.0956754977471651</v>
      </c>
      <c r="AU626" s="560">
        <f>IFERROR(LN(INDEX(Data!$K$2:$K$497,MATCH(N626,Data!$A$2:$A$497,1))/INDEX(Data!$K$2:$K$497,MATCH(N614,Data!$A$2:$A$497,1))),"")</f>
        <v>0.0930214176144508</v>
      </c>
      <c r="AV626" s="561">
        <f>IFERROR(LN(INDEX(Data!$L$2:$L$497,MATCH(N626,Data!$A$2:$A$497,1))/INDEX(Data!$L$2:$L$497,MATCH(N614,Data!$A$2:$A$497,1))),"")</f>
        <v>0.0161883217662424</v>
      </c>
    </row>
    <row r="627">
      <c r="N627" s="337" t="n">
        <v>43799</v>
      </c>
      <c r="O627" s="116">
        <f>INDEX('Additional data'!$B$2:$B$965,MATCH(DATE(YEAR(N627),MONTH(N627),1),'Additional data'!$A$2:$A$965,0))</f>
        <v>57.03</v>
      </c>
      <c r="P627" s="489">
        <f>LN(O627)</f>
        <v>4.04357744516845</v>
      </c>
      <c r="Q627" s="489">
        <f>Q626+LN(1+INDEX('Additional data'!$H$2:$H$1196,MATCH(N627,'Additional data'!$G$2:$G$1196,1))+INDEX('Additional data'!$I$2:$I$1196,MATCH(N627,'Additional data'!$G$2:$G$1196,1)))</f>
        <v>5.02664936226445</v>
      </c>
      <c r="R627" s="489">
        <f>LN(INDEX(Data!$B$2:$B$497,MATCH(N627,Data!$A$2:$A$497,1)))</f>
        <v>11.2009704943975</v>
      </c>
      <c r="S627" s="116">
        <f>IF(INDEX('Additional data'!$E$2:$E$699,MATCH(DATE(YEAR(N627),MONTH(N627),1),'Additional data'!$D$2:$D$699,0))=0,(INDEX('Additional data'!$E$2:$E$699,MATCH(DATE(YEAR(N627),MONTH(N627),1),'Additional data'!$D$2:$D$699,0)-1)+INDEX('Additional data'!$E$2:$E$699,MATCH(DATE(YEAR(N627),MONTH(N627),1),'Additional data'!$D$2:$D$699,0)+1))/2,INDEX('Additional data'!$E$2:$E$699,MATCH(DATE(YEAR(N627),MONTH(N627),1),'Additional data'!$D$2:$D$699,0)))</f>
        <v>0.91</v>
      </c>
      <c r="T627" s="425">
        <f>P627-P626</f>
        <v>0.0553344138288927</v>
      </c>
      <c r="U627" s="425">
        <f>Q627-Q626</f>
        <v>0.03912455468405</v>
      </c>
      <c r="V627" s="425">
        <f>R627-R626</f>
        <v>0.0302764256393608</v>
      </c>
      <c r="W627" s="116">
        <f>S627-S626</f>
        <v>0.03</v>
      </c>
      <c r="X627" s="425">
        <f>P627-P615</f>
        <v>0.00122817806472764</v>
      </c>
      <c r="Y627" s="425">
        <f>Q627-Q615</f>
        <v>0.139732541548343</v>
      </c>
      <c r="Z627" s="425">
        <f>R627-R615</f>
        <v>0.230203091374815</v>
      </c>
      <c r="AA627" s="116">
        <f>S627-S615</f>
        <v>-1.03</v>
      </c>
      <c r="AB627" s="425">
        <f>P627-P567</f>
        <v>-0.28438891265549</v>
      </c>
      <c r="AC627" s="425">
        <f>Q627-Q567</f>
        <v>0.516821559736521</v>
      </c>
      <c r="AD627" s="425">
        <f>R627-R567</f>
        <v>0.482653512000111</v>
      </c>
      <c r="AE627" s="235">
        <f>S627-S567</f>
        <v>-1.84</v>
      </c>
      <c r="AG627" s="554">
        <f>N627</f>
        <v>43799.0</v>
      </c>
      <c r="AH627" s="435">
        <f>IFERROR(INDEX('RBA 5Y yield'!$B$5:$B$661,MATCH(N627,'RBA 5Y yield'!$A$5:$A$661,1))*100,"")</f>
        <v>0.858</v>
      </c>
      <c r="AI627" s="435">
        <f>IF(AND(ISNUMBER(AH627),ISNUMBER(AH626)),AH627-AH626,"")</f>
        <v>0.0920000000000001</v>
      </c>
      <c r="AJ627" s="435">
        <f>IF(AND(ISNUMBER(AH627),ISNUMBER(AH615)),AH627-AH615,"")</f>
        <v>-1.462</v>
      </c>
      <c r="AK627" s="435">
        <f>IF(AND(ISNUMBER(AH627),ISNUMBER(AH567)),AH627-AH567,"")</f>
        <v>-1.909</v>
      </c>
      <c r="AL627" s="560">
        <f>IFERROR(LN(INDEX(Data!$B$2:$B$497,MATCH(N627,Data!$A$2:$A$497,1))/INDEX(Data!$B$2:$B$497,MATCH(N615,Data!$A$2:$A$497,1))),"")</f>
        <v>0.230203091374815</v>
      </c>
      <c r="AM627" s="560">
        <f>IFERROR(LN(INDEX(Data!$C$2:$C$497,MATCH(N627,Data!$A$2:$A$497,1))/INDEX(Data!$C$2:$C$497,MATCH(N615,Data!$A$2:$A$497,1))),"")</f>
        <v>0.219617568939826</v>
      </c>
      <c r="AN627" s="560">
        <f>IFERROR(LN(INDEX(Data!$D$2:$D$497,MATCH(N627,Data!$A$2:$A$497,1))/INDEX(Data!$D$2:$D$497,MATCH(N615,Data!$A$2:$A$497,1))),"")</f>
        <v>0.165239085557364</v>
      </c>
      <c r="AO627" s="560">
        <f>IFERROR(LN(INDEX(Data!$E$2:$E$497,MATCH(N627,Data!$A$2:$A$497,1))/INDEX(Data!$E$2:$E$497,MATCH(N615,Data!$A$2:$A$497,1))),"")</f>
        <v>0.240432110857144</v>
      </c>
      <c r="AP627" s="560">
        <f>IFERROR(LN(INDEX(Data!$F$2:$F$497,MATCH(N627,Data!$A$2:$A$497,1))/INDEX(Data!$F$2:$F$497,MATCH(N615,Data!$A$2:$A$497,1))),"")</f>
        <v>0.0907112190651423</v>
      </c>
      <c r="AQ627" s="560">
        <f>IFERROR(LN(INDEX(Data!$G$2:$G$497,MATCH(N627,Data!$A$2:$A$497,1))/INDEX(Data!$G$2:$G$497,MATCH(N615,Data!$A$2:$A$497,1))),"")</f>
        <v>-0.0256778094859329</v>
      </c>
      <c r="AR627" s="560">
        <f>IFERROR(LN(INDEX(Data!$H$2:$H$497,MATCH(N627,Data!$A$2:$A$497,1))/INDEX(Data!$H$2:$H$497,MATCH(N615,Data!$A$2:$A$497,1))),"")</f>
        <v>0.0393919713535322</v>
      </c>
      <c r="AS627" s="560">
        <f>IFERROR(LN(INDEX(Data!$I$2:$I$497,MATCH(N627,Data!$A$2:$A$497,1))/INDEX(Data!$I$2:$I$497,MATCH(N615,Data!$A$2:$A$497,1))),"")</f>
        <v>0.0728542194558836</v>
      </c>
      <c r="AT627" s="560">
        <f>IFERROR(LN(INDEX(Data!$J$2:$J$497,MATCH(N627,Data!$A$2:$A$497,1))/INDEX(Data!$J$2:$J$497,MATCH(N615,Data!$A$2:$A$497,1))),"")</f>
        <v>0.101444935813837</v>
      </c>
      <c r="AU627" s="560">
        <f>IFERROR(LN(INDEX(Data!$K$2:$K$497,MATCH(N627,Data!$A$2:$A$497,1))/INDEX(Data!$K$2:$K$497,MATCH(N615,Data!$A$2:$A$497,1))),"")</f>
        <v>0.0865308962016082</v>
      </c>
      <c r="AV627" s="561">
        <f>IFERROR(LN(INDEX(Data!$L$2:$L$497,MATCH(N627,Data!$A$2:$A$497,1))/INDEX(Data!$L$2:$L$497,MATCH(N615,Data!$A$2:$A$497,1))),"")</f>
        <v>0.0154891258130705</v>
      </c>
    </row>
    <row r="628">
      <c r="N628" s="337" t="n">
        <v>43830</v>
      </c>
      <c r="O628" s="116">
        <f>INDEX('Additional data'!$B$2:$B$965,MATCH(DATE(YEAR(N628),MONTH(N628),1),'Additional data'!$A$2:$A$965,0))</f>
        <v>59.88</v>
      </c>
      <c r="P628" s="489">
        <f>LN(O628)</f>
        <v>4.09234255955143</v>
      </c>
      <c r="Q628" s="489">
        <f>Q627+LN(1+INDEX('Additional data'!$H$2:$H$1196,MATCH(N628,'Additional data'!$G$2:$G$1196,1))+INDEX('Additional data'!$I$2:$I$1196,MATCH(N628,'Additional data'!$G$2:$G$1196,1)))</f>
        <v>5.05533399612436</v>
      </c>
      <c r="R628" s="489">
        <f>LN(INDEX(Data!$B$2:$B$497,MATCH(N628,Data!$A$2:$A$497,1)))</f>
        <v>11.18183297378</v>
      </c>
      <c r="S628" s="116">
        <f>IF(INDEX('Additional data'!$E$2:$E$699,MATCH(DATE(YEAR(N628),MONTH(N628),1),'Additional data'!$D$2:$D$699,0))=0,(INDEX('Additional data'!$E$2:$E$699,MATCH(DATE(YEAR(N628),MONTH(N628),1),'Additional data'!$D$2:$D$699,0)-1)+INDEX('Additional data'!$E$2:$E$699,MATCH(DATE(YEAR(N628),MONTH(N628),1),'Additional data'!$D$2:$D$699,0)+1))/2,INDEX('Additional data'!$E$2:$E$699,MATCH(DATE(YEAR(N628),MONTH(N628),1),'Additional data'!$D$2:$D$699,0)))</f>
        <v>0.9</v>
      </c>
      <c r="T628" s="425">
        <f>P628-P627</f>
        <v>0.0487651143829799</v>
      </c>
      <c r="U628" s="425">
        <f>Q628-Q627</f>
        <v>0.0286846338599087</v>
      </c>
      <c r="V628" s="425">
        <f>R628-R627</f>
        <v>-0.0191375206175515</v>
      </c>
      <c r="W628" s="116">
        <f>S628-S627</f>
        <v>-0.01</v>
      </c>
      <c r="X628" s="425">
        <f>P628-P616</f>
        <v>0.189965931175087</v>
      </c>
      <c r="Y628" s="425">
        <f>Q628-Q616</f>
        <v>0.266691744676593</v>
      </c>
      <c r="Z628" s="425">
        <f>R628-R616</f>
        <v>0.21556905685113</v>
      </c>
      <c r="AA628" s="116">
        <f>S628-S616</f>
        <v>-1.12</v>
      </c>
      <c r="AB628" s="425">
        <f>P628-P568</f>
        <v>0.00990190183215134</v>
      </c>
      <c r="AC628" s="425">
        <f>Q628-Q568</f>
        <v>0.546006318638113</v>
      </c>
      <c r="AD628" s="425">
        <f>R628-R568</f>
        <v>0.444416658787942</v>
      </c>
      <c r="AE628" s="235">
        <f>S628-S568</f>
        <v>-1.85</v>
      </c>
      <c r="AG628" s="554">
        <f>N628</f>
        <v>43830.0</v>
      </c>
      <c r="AH628" s="435">
        <f>IFERROR(INDEX('RBA 5Y yield'!$B$5:$B$661,MATCH(N628,'RBA 5Y yield'!$A$5:$A$661,1))*100,"")</f>
        <v>0.874</v>
      </c>
      <c r="AI628" s="435">
        <f>IF(AND(ISNUMBER(AH628),ISNUMBER(AH627)),AH628-AH627,"")</f>
        <v>0.0159999999999999</v>
      </c>
      <c r="AJ628" s="435">
        <f>IF(AND(ISNUMBER(AH628),ISNUMBER(AH616)),AH628-AH616,"")</f>
        <v>-1.223</v>
      </c>
      <c r="AK628" s="435">
        <f>IF(AND(ISNUMBER(AH628),ISNUMBER(AH568)),AH628-AH568,"")</f>
        <v>-1.561</v>
      </c>
      <c r="AL628" s="560">
        <f>IFERROR(LN(INDEX(Data!$B$2:$B$497,MATCH(N628,Data!$A$2:$A$497,1))/INDEX(Data!$B$2:$B$497,MATCH(N616,Data!$A$2:$A$497,1))),"")</f>
        <v>0.21556905685113</v>
      </c>
      <c r="AM628" s="560">
        <f>IFERROR(LN(INDEX(Data!$C$2:$C$497,MATCH(N628,Data!$A$2:$A$497,1))/INDEX(Data!$C$2:$C$497,MATCH(N616,Data!$A$2:$A$497,1))),"")</f>
        <v>0.248864792487962</v>
      </c>
      <c r="AN628" s="560">
        <f>IFERROR(LN(INDEX(Data!$D$2:$D$497,MATCH(N628,Data!$A$2:$A$497,1))/INDEX(Data!$D$2:$D$497,MATCH(N616,Data!$A$2:$A$497,1))),"")</f>
        <v>0.171286963592795</v>
      </c>
      <c r="AO628" s="560">
        <f>IFERROR(LN(INDEX(Data!$E$2:$E$497,MATCH(N628,Data!$A$2:$A$497,1))/INDEX(Data!$E$2:$E$497,MATCH(N616,Data!$A$2:$A$497,1))),"")</f>
        <v>0.217107915364408</v>
      </c>
      <c r="AP628" s="560">
        <f>IFERROR(LN(INDEX(Data!$F$2:$F$497,MATCH(N628,Data!$A$2:$A$497,1))/INDEX(Data!$F$2:$F$497,MATCH(N616,Data!$A$2:$A$497,1))),"")</f>
        <v>0.163835846552391</v>
      </c>
      <c r="AQ628" s="560">
        <f>IFERROR(LN(INDEX(Data!$G$2:$G$497,MATCH(N628,Data!$A$2:$A$497,1))/INDEX(Data!$G$2:$G$497,MATCH(N616,Data!$A$2:$A$497,1))),"")</f>
        <v>0.0366745883401771</v>
      </c>
      <c r="AR628" s="560">
        <f>IFERROR(LN(INDEX(Data!$H$2:$H$497,MATCH(N628,Data!$A$2:$A$497,1))/INDEX(Data!$H$2:$H$497,MATCH(N616,Data!$A$2:$A$497,1))),"")</f>
        <v>0.048585600613787</v>
      </c>
      <c r="AS628" s="560">
        <f>IFERROR(LN(INDEX(Data!$I$2:$I$497,MATCH(N628,Data!$A$2:$A$497,1))/INDEX(Data!$I$2:$I$497,MATCH(N616,Data!$A$2:$A$497,1))),"")</f>
        <v>0.0956163314190115</v>
      </c>
      <c r="AT628" s="560">
        <f>IFERROR(LN(INDEX(Data!$J$2:$J$497,MATCH(N628,Data!$A$2:$A$497,1))/INDEX(Data!$J$2:$J$497,MATCH(N616,Data!$A$2:$A$497,1))),"")</f>
        <v>0.070020354679987</v>
      </c>
      <c r="AU628" s="560">
        <f>IFERROR(LN(INDEX(Data!$K$2:$K$497,MATCH(N628,Data!$A$2:$A$497,1))/INDEX(Data!$K$2:$K$497,MATCH(N616,Data!$A$2:$A$497,1))),"")</f>
        <v>0.069469191583056</v>
      </c>
      <c r="AV628" s="561">
        <f>IFERROR(LN(INDEX(Data!$L$2:$L$497,MATCH(N628,Data!$A$2:$A$497,1))/INDEX(Data!$L$2:$L$497,MATCH(N616,Data!$A$2:$A$497,1))),"")</f>
        <v>0.0146900048036078</v>
      </c>
    </row>
    <row r="629">
      <c r="N629" s="337" t="n">
        <v>43861</v>
      </c>
      <c r="O629" s="116">
        <f>INDEX('Additional data'!$B$2:$B$965,MATCH(DATE(YEAR(N629),MONTH(N629),1),'Additional data'!$A$2:$A$965,0))</f>
        <v>57.52</v>
      </c>
      <c r="P629" s="489">
        <f>LN(O629)</f>
        <v>4.05213271341279</v>
      </c>
      <c r="Q629" s="489">
        <f>Q628+LN(1+INDEX('Additional data'!$H$2:$H$1196,MATCH(N629,'Additional data'!$G$2:$G$1196,1))+INDEX('Additional data'!$I$2:$I$1196,MATCH(N629,'Additional data'!$G$2:$G$1196,1)))</f>
        <v>5.05553397612702</v>
      </c>
      <c r="R629" s="489">
        <f>LN(INDEX(Data!$B$2:$B$497,MATCH(N629,Data!$A$2:$A$497,1)))</f>
        <v>11.2276326697163</v>
      </c>
      <c r="S629" s="116">
        <f>IF(INDEX('Additional data'!$E$2:$E$699,MATCH(DATE(YEAR(N629),MONTH(N629),1),'Additional data'!$D$2:$D$699,0))=0,(INDEX('Additional data'!$E$2:$E$699,MATCH(DATE(YEAR(N629),MONTH(N629),1),'Additional data'!$D$2:$D$699,0)-1)+INDEX('Additional data'!$E$2:$E$699,MATCH(DATE(YEAR(N629),MONTH(N629),1),'Additional data'!$D$2:$D$699,0)+1))/2,INDEX('Additional data'!$E$2:$E$699,MATCH(DATE(YEAR(N629),MONTH(N629),1),'Additional data'!$D$2:$D$699,0)))</f>
        <v>0.89</v>
      </c>
      <c r="T629" s="425">
        <f>P629-P628</f>
        <v>-0.0402098461386364</v>
      </c>
      <c r="U629" s="425">
        <f>Q629-Q628</f>
        <v>0.000199980002665967</v>
      </c>
      <c r="V629" s="425">
        <f>R629-R628</f>
        <v>0.0457996959362923</v>
      </c>
      <c r="W629" s="116">
        <f>S629-S628</f>
        <v>-0.01</v>
      </c>
      <c r="X629" s="425">
        <f>P629-P617</f>
        <v>0.112883721731054</v>
      </c>
      <c r="Y629" s="425">
        <f>Q629-Q617</f>
        <v>0.184574682190045</v>
      </c>
      <c r="Z629" s="425">
        <f>R629-R617</f>
        <v>0.222213264195631</v>
      </c>
      <c r="AA629" s="116">
        <f>S629-S617</f>
        <v>-1.18</v>
      </c>
      <c r="AB629" s="425">
        <f>P629-P569</f>
        <v>0.197315181755425</v>
      </c>
      <c r="AC629" s="425">
        <f>Q629-Q569</f>
        <v>0.57769696573215</v>
      </c>
      <c r="AD629" s="425">
        <f>R629-R569</f>
        <v>0.460376948603383</v>
      </c>
      <c r="AE629" s="235">
        <f>S629-S569</f>
        <v>-1.81</v>
      </c>
      <c r="AG629" s="554">
        <f>N629</f>
        <v>43861.0</v>
      </c>
      <c r="AH629" s="435">
        <f>IFERROR(INDEX('RBA 5Y yield'!$B$5:$B$661,MATCH(N629,'RBA 5Y yield'!$A$5:$A$661,1))*100,"")</f>
        <v>0.853</v>
      </c>
      <c r="AI629" s="435">
        <f>IF(AND(ISNUMBER(AH629),ISNUMBER(AH628)),AH629-AH628,"")</f>
        <v>-0.021</v>
      </c>
      <c r="AJ629" s="435">
        <f>IF(AND(ISNUMBER(AH629),ISNUMBER(AH617)),AH629-AH617,"")</f>
        <v>-1.059</v>
      </c>
      <c r="AK629" s="435">
        <f>IF(AND(ISNUMBER(AH629),ISNUMBER(AH569)),AH629-AH569,"")</f>
        <v>-1.355</v>
      </c>
      <c r="AL629" s="560">
        <f>IFERROR(LN(INDEX(Data!$B$2:$B$497,MATCH(N629,Data!$A$2:$A$497,1))/INDEX(Data!$B$2:$B$497,MATCH(N617,Data!$A$2:$A$497,1))),"")</f>
        <v>0.222213264195632</v>
      </c>
      <c r="AM629" s="560">
        <f>IFERROR(LN(INDEX(Data!$C$2:$C$497,MATCH(N629,Data!$A$2:$A$497,1))/INDEX(Data!$C$2:$C$497,MATCH(N617,Data!$A$2:$A$497,1))),"")</f>
        <v>0.260336443421822</v>
      </c>
      <c r="AN629" s="560">
        <f>IFERROR(LN(INDEX(Data!$D$2:$D$497,MATCH(N629,Data!$A$2:$A$497,1))/INDEX(Data!$D$2:$D$497,MATCH(N617,Data!$A$2:$A$497,1))),"")</f>
        <v>0.152531365597973</v>
      </c>
      <c r="AO629" s="560">
        <f>IFERROR(LN(INDEX(Data!$E$2:$E$497,MATCH(N629,Data!$A$2:$A$497,1))/INDEX(Data!$E$2:$E$497,MATCH(N617,Data!$A$2:$A$497,1))),"")</f>
        <v>0.21771350369847</v>
      </c>
      <c r="AP629" s="560">
        <f>IFERROR(LN(INDEX(Data!$F$2:$F$497,MATCH(N629,Data!$A$2:$A$497,1))/INDEX(Data!$F$2:$F$497,MATCH(N617,Data!$A$2:$A$497,1))),"")</f>
        <v>0.0471224000506637</v>
      </c>
      <c r="AQ629" s="560">
        <f>IFERROR(LN(INDEX(Data!$G$2:$G$497,MATCH(N629,Data!$A$2:$A$497,1))/INDEX(Data!$G$2:$G$497,MATCH(N617,Data!$A$2:$A$497,1))),"")</f>
        <v>0.0366745883401771</v>
      </c>
      <c r="AR629" s="560">
        <f>IFERROR(LN(INDEX(Data!$H$2:$H$497,MATCH(N629,Data!$A$2:$A$497,1))/INDEX(Data!$H$2:$H$497,MATCH(N617,Data!$A$2:$A$497,1))),"")</f>
        <v>0.0973871829457672</v>
      </c>
      <c r="AS629" s="560">
        <f>IFERROR(LN(INDEX(Data!$I$2:$I$497,MATCH(N629,Data!$A$2:$A$497,1))/INDEX(Data!$I$2:$I$497,MATCH(N617,Data!$A$2:$A$497,1))),"")</f>
        <v>0.0956163314190115</v>
      </c>
      <c r="AT629" s="560">
        <f>IFERROR(LN(INDEX(Data!$J$2:$J$497,MATCH(N629,Data!$A$2:$A$497,1))/INDEX(Data!$J$2:$J$497,MATCH(N617,Data!$A$2:$A$497,1))),"")</f>
        <v>0.089008115616188</v>
      </c>
      <c r="AU629" s="560">
        <f>IFERROR(LN(INDEX(Data!$K$2:$K$497,MATCH(N629,Data!$A$2:$A$497,1))/INDEX(Data!$K$2:$K$497,MATCH(N617,Data!$A$2:$A$497,1))),"")</f>
        <v>0.0773584453341607</v>
      </c>
      <c r="AV629" s="561">
        <f>IFERROR(LN(INDEX(Data!$L$2:$L$497,MATCH(N629,Data!$A$2:$A$497,1))/INDEX(Data!$L$2:$L$497,MATCH(N617,Data!$A$2:$A$497,1))),"")</f>
        <v>0.0137083101536381</v>
      </c>
    </row>
    <row r="630">
      <c r="N630" s="337" t="n">
        <v>43890</v>
      </c>
      <c r="O630" s="116">
        <f>INDEX('Additional data'!$B$2:$B$965,MATCH(DATE(YEAR(N630),MONTH(N630),1),'Additional data'!$A$2:$A$965,0))</f>
        <v>50.54</v>
      </c>
      <c r="P630" s="489">
        <f>LN(O630)</f>
        <v>3.92276510196005</v>
      </c>
      <c r="Q630" s="489">
        <f>Q629+LN(1+INDEX('Additional data'!$H$2:$H$1196,MATCH(N630,'Additional data'!$G$2:$G$1196,1))+INDEX('Additional data'!$I$2:$I$1196,MATCH(N630,'Additional data'!$G$2:$G$1196,1)))</f>
        <v>4.97182622705354</v>
      </c>
      <c r="R630" s="489">
        <f>LN(INDEX(Data!$B$2:$B$497,MATCH(N630,Data!$A$2:$A$497,1)))</f>
        <v>11.1434016950506</v>
      </c>
      <c r="S630" s="116">
        <f>IF(INDEX('Additional data'!$E$2:$E$699,MATCH(DATE(YEAR(N630),MONTH(N630),1),'Additional data'!$D$2:$D$699,0))=0,(INDEX('Additional data'!$E$2:$E$699,MATCH(DATE(YEAR(N630),MONTH(N630),1),'Additional data'!$D$2:$D$699,0)-1)+INDEX('Additional data'!$E$2:$E$699,MATCH(DATE(YEAR(N630),MONTH(N630),1),'Additional data'!$D$2:$D$699,0)+1))/2,INDEX('Additional data'!$E$2:$E$699,MATCH(DATE(YEAR(N630),MONTH(N630),1),'Additional data'!$D$2:$D$699,0)))</f>
        <v>0.89</v>
      </c>
      <c r="T630" s="425">
        <f>P630-P629</f>
        <v>-0.129367611452743</v>
      </c>
      <c r="U630" s="425">
        <f>Q630-Q629</f>
        <v>-0.0837077490734854</v>
      </c>
      <c r="V630" s="425">
        <f>R630-R629</f>
        <v>-0.0842309746656671</v>
      </c>
      <c r="W630" s="116">
        <f>S630-S629</f>
        <v>0</v>
      </c>
      <c r="X630" s="425">
        <f>P630-P618</f>
        <v>-0.0836585788895827</v>
      </c>
      <c r="Y630" s="425">
        <f>Q630-Q618</f>
        <v>0.0654997892792686</v>
      </c>
      <c r="Z630" s="425">
        <f>R630-R618</f>
        <v>0.0792066314719513</v>
      </c>
      <c r="AA630" s="116">
        <f>S630-S618</f>
        <v>-1.07</v>
      </c>
      <c r="AB630" s="425">
        <f>P630-P570</f>
        <v>-0.000791139281770992</v>
      </c>
      <c r="AC630" s="425">
        <f>Q630-Q570</f>
        <v>0.434494644873024</v>
      </c>
      <c r="AD630" s="425">
        <f>R630-R570</f>
        <v>0.308533921214622</v>
      </c>
      <c r="AE630" s="235">
        <f>S630-S570</f>
        <v>-1.47</v>
      </c>
      <c r="AG630" s="554">
        <f>N630</f>
        <v>43890.0</v>
      </c>
      <c r="AH630" s="435">
        <f>IFERROR(INDEX('RBA 5Y yield'!$B$5:$B$661,MATCH(N630,'RBA 5Y yield'!$A$5:$A$661,1))*100,"")</f>
        <v>0.738</v>
      </c>
      <c r="AI630" s="435">
        <f>IF(AND(ISNUMBER(AH630),ISNUMBER(AH629)),AH630-AH629,"")</f>
        <v>-0.115</v>
      </c>
      <c r="AJ630" s="435">
        <f>IF(AND(ISNUMBER(AH630),ISNUMBER(AH618)),AH630-AH618,"")</f>
        <v>-1.005</v>
      </c>
      <c r="AK630" s="435">
        <f>IF(AND(ISNUMBER(AH630),ISNUMBER(AH570)),AH630-AH570,"")</f>
        <v>-1.274</v>
      </c>
      <c r="AL630" s="560">
        <f>IFERROR(LN(INDEX(Data!$B$2:$B$497,MATCH(N630,Data!$A$2:$A$497,1))/INDEX(Data!$B$2:$B$497,MATCH(N618,Data!$A$2:$A$497,1))),"")</f>
        <v>0.0792066314719512</v>
      </c>
      <c r="AM630" s="560">
        <f>IFERROR(LN(INDEX(Data!$C$2:$C$497,MATCH(N630,Data!$A$2:$A$497,1))/INDEX(Data!$C$2:$C$497,MATCH(N618,Data!$A$2:$A$497,1))),"")</f>
        <v>0.156076925215631</v>
      </c>
      <c r="AN630" s="560">
        <f>IFERROR(LN(INDEX(Data!$D$2:$D$497,MATCH(N630,Data!$A$2:$A$497,1))/INDEX(Data!$D$2:$D$497,MATCH(N618,Data!$A$2:$A$497,1))),"")</f>
        <v>0.115506193902451</v>
      </c>
      <c r="AO630" s="560">
        <f>IFERROR(LN(INDEX(Data!$E$2:$E$497,MATCH(N630,Data!$A$2:$A$497,1))/INDEX(Data!$E$2:$E$497,MATCH(N618,Data!$A$2:$A$497,1))),"")</f>
        <v>0.146159367531194</v>
      </c>
      <c r="AP630" s="560">
        <f>IFERROR(LN(INDEX(Data!$F$2:$F$497,MATCH(N630,Data!$A$2:$A$497,1))/INDEX(Data!$F$2:$F$497,MATCH(N618,Data!$A$2:$A$497,1))),"")</f>
        <v>-0.0649039525349873</v>
      </c>
      <c r="AQ630" s="560">
        <f>IFERROR(LN(INDEX(Data!$G$2:$G$497,MATCH(N630,Data!$A$2:$A$497,1))/INDEX(Data!$G$2:$G$497,MATCH(N618,Data!$A$2:$A$497,1))),"")</f>
        <v>0.0366745883401771</v>
      </c>
      <c r="AR630" s="560">
        <f>IFERROR(LN(INDEX(Data!$H$2:$H$497,MATCH(N630,Data!$A$2:$A$497,1))/INDEX(Data!$H$2:$H$497,MATCH(N618,Data!$A$2:$A$497,1))),"")</f>
        <v>0.118845508896223</v>
      </c>
      <c r="AS630" s="560">
        <f>IFERROR(LN(INDEX(Data!$I$2:$I$497,MATCH(N630,Data!$A$2:$A$497,1))/INDEX(Data!$I$2:$I$497,MATCH(N618,Data!$A$2:$A$497,1))),"")</f>
        <v>0.0956163314190115</v>
      </c>
      <c r="AT630" s="560">
        <f>IFERROR(LN(INDEX(Data!$J$2:$J$497,MATCH(N630,Data!$A$2:$A$497,1))/INDEX(Data!$J$2:$J$497,MATCH(N618,Data!$A$2:$A$497,1))),"")</f>
        <v>0.0889401732716837</v>
      </c>
      <c r="AU630" s="560">
        <f>IFERROR(LN(INDEX(Data!$K$2:$K$497,MATCH(N630,Data!$A$2:$A$497,1))/INDEX(Data!$K$2:$K$497,MATCH(N618,Data!$A$2:$A$497,1))),"")</f>
        <v>0.0906652424295727</v>
      </c>
      <c r="AV630" s="561">
        <f>IFERROR(LN(INDEX(Data!$L$2:$L$497,MATCH(N630,Data!$A$2:$A$497,1))/INDEX(Data!$L$2:$L$497,MATCH(N618,Data!$A$2:$A$497,1))),"")</f>
        <v>0.0127602134422743</v>
      </c>
    </row>
    <row r="631">
      <c r="N631" s="337" t="n">
        <v>43921</v>
      </c>
      <c r="O631" s="116">
        <f>INDEX('Additional data'!$B$2:$B$965,MATCH(DATE(YEAR(N631),MONTH(N631),1),'Additional data'!$A$2:$A$965,0))</f>
        <v>29.21</v>
      </c>
      <c r="P631" s="489">
        <f>LN(O631)</f>
        <v>3.37451111639965</v>
      </c>
      <c r="Q631" s="489">
        <f>Q630+LN(1+INDEX('Additional data'!$H$2:$H$1196,MATCH(N631,'Additional data'!$G$2:$G$1196,1))+INDEX('Additional data'!$I$2:$I$1196,MATCH(N631,'Additional data'!$G$2:$G$1196,1)))</f>
        <v>4.82968645989241</v>
      </c>
      <c r="R631" s="489">
        <f>LN(INDEX(Data!$B$2:$B$497,MATCH(N631,Data!$A$2:$A$497,1)))</f>
        <v>10.9084084940133</v>
      </c>
      <c r="S631" s="116">
        <f>IF(INDEX('Additional data'!$E$2:$E$699,MATCH(DATE(YEAR(N631),MONTH(N631),1),'Additional data'!$D$2:$D$699,0))=0,(INDEX('Additional data'!$E$2:$E$699,MATCH(DATE(YEAR(N631),MONTH(N631),1),'Additional data'!$D$2:$D$699,0)-1)+INDEX('Additional data'!$E$2:$E$699,MATCH(DATE(YEAR(N631),MONTH(N631),1),'Additional data'!$D$2:$D$699,0)+1))/2,INDEX('Additional data'!$E$2:$E$699,MATCH(DATE(YEAR(N631),MONTH(N631),1),'Additional data'!$D$2:$D$699,0)))</f>
        <v>0.53</v>
      </c>
      <c r="T631" s="425">
        <f>P631-P630</f>
        <v>-0.548253985560399</v>
      </c>
      <c r="U631" s="425">
        <f>Q631-Q630</f>
        <v>-0.142139767161123</v>
      </c>
      <c r="V631" s="425">
        <f>R631-R630</f>
        <v>-0.234993201037256</v>
      </c>
      <c r="W631" s="116">
        <f>S631-S630</f>
        <v>-0.36</v>
      </c>
      <c r="X631" s="425">
        <f>P631-P619</f>
        <v>-0.688514762565024</v>
      </c>
      <c r="Y631" s="425">
        <f>Q631-Q619</f>
        <v>-0.0894574815924694</v>
      </c>
      <c r="Z631" s="425">
        <f>R631-R619</f>
        <v>-0.162785705652315</v>
      </c>
      <c r="AA631" s="116">
        <f>S631-S619</f>
        <v>-1.3</v>
      </c>
      <c r="AB631" s="425">
        <f>P631-P571</f>
        <v>-0.492932845630529</v>
      </c>
      <c r="AC631" s="425">
        <f>Q631-Q571</f>
        <v>0.303516942418093</v>
      </c>
      <c r="AD631" s="425">
        <f>R631-R571</f>
        <v>0.0738110019024383</v>
      </c>
      <c r="AE631" s="235">
        <f>S631-S571</f>
        <v>-1.77</v>
      </c>
      <c r="AG631" s="554">
        <f>N631</f>
        <v>43921.0</v>
      </c>
      <c r="AH631" s="435">
        <f>IFERROR(INDEX('RBA 5Y yield'!$B$5:$B$661,MATCH(N631,'RBA 5Y yield'!$A$5:$A$661,1))*100,"")</f>
        <v>0.5</v>
      </c>
      <c r="AI631" s="435">
        <f>IF(AND(ISNUMBER(AH631),ISNUMBER(AH630)),AH631-AH630,"")</f>
        <v>-0.238</v>
      </c>
      <c r="AJ631" s="435">
        <f>IF(AND(ISNUMBER(AH631),ISNUMBER(AH619)),AH631-AH619,"")</f>
        <v>-1.089</v>
      </c>
      <c r="AK631" s="435">
        <f>IF(AND(ISNUMBER(AH631),ISNUMBER(AH571)),AH631-AH571,"")</f>
        <v>-1.478</v>
      </c>
      <c r="AL631" s="560">
        <f>IFERROR(LN(INDEX(Data!$B$2:$B$497,MATCH(N631,Data!$A$2:$A$497,1))/INDEX(Data!$B$2:$B$497,MATCH(N619,Data!$A$2:$A$497,1))),"")</f>
        <v>-0.162785705652315</v>
      </c>
      <c r="AM631" s="560">
        <f>IFERROR(LN(INDEX(Data!$C$2:$C$497,MATCH(N631,Data!$A$2:$A$497,1))/INDEX(Data!$C$2:$C$497,MATCH(N619,Data!$A$2:$A$497,1))),"")</f>
        <v>0.0532672992495253</v>
      </c>
      <c r="AN631" s="560">
        <f>IFERROR(LN(INDEX(Data!$D$2:$D$497,MATCH(N631,Data!$A$2:$A$497,1))/INDEX(Data!$D$2:$D$497,MATCH(N619,Data!$A$2:$A$497,1))),"")</f>
        <v>0.0136728533877956</v>
      </c>
      <c r="AO631" s="560">
        <f>IFERROR(LN(INDEX(Data!$E$2:$E$497,MATCH(N631,Data!$A$2:$A$497,1))/INDEX(Data!$E$2:$E$497,MATCH(N619,Data!$A$2:$A$497,1))),"")</f>
        <v>-0.0898790546114767</v>
      </c>
      <c r="AP631" s="560">
        <f>IFERROR(LN(INDEX(Data!$F$2:$F$497,MATCH(N631,Data!$A$2:$A$497,1))/INDEX(Data!$F$2:$F$497,MATCH(N619,Data!$A$2:$A$497,1))),"")</f>
        <v>-0.37886587778843</v>
      </c>
      <c r="AQ631" s="560">
        <f>IFERROR(LN(INDEX(Data!$G$2:$G$497,MATCH(N631,Data!$A$2:$A$497,1))/INDEX(Data!$G$2:$G$497,MATCH(N619,Data!$A$2:$A$497,1))),"")</f>
        <v>0.0830349017689136</v>
      </c>
      <c r="AR631" s="560">
        <f>IFERROR(LN(INDEX(Data!$H$2:$H$497,MATCH(N631,Data!$A$2:$A$497,1))/INDEX(Data!$H$2:$H$497,MATCH(N619,Data!$A$2:$A$497,1))),"")</f>
        <v>0.162962689077989</v>
      </c>
      <c r="AS631" s="560">
        <f>IFERROR(LN(INDEX(Data!$I$2:$I$497,MATCH(N631,Data!$A$2:$A$497,1))/INDEX(Data!$I$2:$I$497,MATCH(N619,Data!$A$2:$A$497,1))),"")</f>
        <v>0.00932346554202019</v>
      </c>
      <c r="AT631" s="560">
        <f>IFERROR(LN(INDEX(Data!$J$2:$J$497,MATCH(N631,Data!$A$2:$A$497,1))/INDEX(Data!$J$2:$J$497,MATCH(N619,Data!$A$2:$A$497,1))),"")</f>
        <v>0.0688216976941973</v>
      </c>
      <c r="AU631" s="560">
        <f>IFERROR(LN(INDEX(Data!$K$2:$K$497,MATCH(N631,Data!$A$2:$A$497,1))/INDEX(Data!$K$2:$K$497,MATCH(N619,Data!$A$2:$A$497,1))),"")</f>
        <v>0.0720615359568082</v>
      </c>
      <c r="AV631" s="561">
        <f>IFERROR(LN(INDEX(Data!$L$2:$L$497,MATCH(N631,Data!$A$2:$A$497,1))/INDEX(Data!$L$2:$L$497,MATCH(N619,Data!$A$2:$A$497,1))),"")</f>
        <v>0.012052508525418</v>
      </c>
    </row>
    <row r="632">
      <c r="N632" s="337" t="n">
        <v>43951</v>
      </c>
      <c r="O632" s="116">
        <f>INDEX('Additional data'!$B$2:$B$965,MATCH(DATE(YEAR(N632),MONTH(N632),1),'Additional data'!$A$2:$A$965,0))</f>
        <v>16.55</v>
      </c>
      <c r="P632" s="489">
        <f>LN(O632)</f>
        <v>2.80638610182307</v>
      </c>
      <c r="Q632" s="489">
        <f>Q631+LN(1+INDEX('Additional data'!$H$2:$H$1196,MATCH(N632,'Additional data'!$G$2:$G$1196,1))+INDEX('Additional data'!$I$2:$I$1196,MATCH(N632,'Additional data'!$G$2:$G$1196,1)))</f>
        <v>4.95719978019137</v>
      </c>
      <c r="R632" s="489">
        <f>LN(INDEX(Data!$B$2:$B$497,MATCH(N632,Data!$A$2:$A$497,1)))</f>
        <v>10.9995491928696</v>
      </c>
      <c r="S632" s="116">
        <f>IF(INDEX('Additional data'!$E$2:$E$699,MATCH(DATE(YEAR(N632),MONTH(N632),1),'Additional data'!$D$2:$D$699,0))=0,(INDEX('Additional data'!$E$2:$E$699,MATCH(DATE(YEAR(N632),MONTH(N632),1),'Additional data'!$D$2:$D$699,0)-1)+INDEX('Additional data'!$E$2:$E$699,MATCH(DATE(YEAR(N632),MONTH(N632),1),'Additional data'!$D$2:$D$699,0)+1))/2,INDEX('Additional data'!$E$2:$E$699,MATCH(DATE(YEAR(N632),MONTH(N632),1),'Additional data'!$D$2:$D$699,0)))</f>
        <v>0.17</v>
      </c>
      <c r="T632" s="425">
        <f>P632-P631</f>
        <v>-0.568125014576578</v>
      </c>
      <c r="U632" s="425">
        <f>Q632-Q631</f>
        <v>0.127513320298959</v>
      </c>
      <c r="V632" s="425">
        <f>R632-R631</f>
        <v>0.091140698856238</v>
      </c>
      <c r="W632" s="116">
        <f>S632-S631</f>
        <v>-0.36</v>
      </c>
      <c r="X632" s="425">
        <f>P632-P620</f>
        <v>-1.35030708546356</v>
      </c>
      <c r="Y632" s="425">
        <f>Q632-Q620</f>
        <v>-0.00289414762246398</v>
      </c>
      <c r="Z632" s="425">
        <f>R632-R620</f>
        <v>-0.0967339663432085</v>
      </c>
      <c r="AA632" s="116">
        <f>S632-S620</f>
        <v>-1.51</v>
      </c>
      <c r="AB632" s="425">
        <f>P632-P572</f>
        <v>-1.1908967475559</v>
      </c>
      <c r="AC632" s="425">
        <f>Q632-Q572</f>
        <v>0.425147599558897</v>
      </c>
      <c r="AD632" s="425">
        <f>R632-R572</f>
        <v>0.179784620285542</v>
      </c>
      <c r="AE632" s="235">
        <f>S632-S572</f>
        <v>-2.08</v>
      </c>
      <c r="AG632" s="554">
        <f>N632</f>
        <v>43951.0</v>
      </c>
      <c r="AH632" s="435">
        <f>IFERROR(INDEX('RBA 5Y yield'!$B$5:$B$661,MATCH(N632,'RBA 5Y yield'!$A$5:$A$661,1))*100,"")</f>
        <v>0.421</v>
      </c>
      <c r="AI632" s="435">
        <f>IF(AND(ISNUMBER(AH632),ISNUMBER(AH631)),AH632-AH631,"")</f>
        <v>-0.079</v>
      </c>
      <c r="AJ632" s="435">
        <f>IF(AND(ISNUMBER(AH632),ISNUMBER(AH620)),AH632-AH620,"")</f>
        <v>-1.06</v>
      </c>
      <c r="AK632" s="435">
        <f>IF(AND(ISNUMBER(AH632),ISNUMBER(AH572)),AH632-AH572,"")</f>
        <v>-1.526</v>
      </c>
      <c r="AL632" s="560">
        <f>IFERROR(LN(INDEX(Data!$B$2:$B$497,MATCH(N632,Data!$A$2:$A$497,1))/INDEX(Data!$B$2:$B$497,MATCH(N620,Data!$A$2:$A$497,1))),"")</f>
        <v>-0.0967339663432077</v>
      </c>
      <c r="AM632" s="560">
        <f>IFERROR(LN(INDEX(Data!$C$2:$C$497,MATCH(N632,Data!$A$2:$A$497,1))/INDEX(Data!$C$2:$C$497,MATCH(N620,Data!$A$2:$A$497,1))),"")</f>
        <v>0.0396305516755246</v>
      </c>
      <c r="AN632" s="560">
        <f>IFERROR(LN(INDEX(Data!$D$2:$D$497,MATCH(N632,Data!$A$2:$A$497,1))/INDEX(Data!$D$2:$D$497,MATCH(N620,Data!$A$2:$A$497,1))),"")</f>
        <v>-0.00387204201599232</v>
      </c>
      <c r="AO632" s="560">
        <f>IFERROR(LN(INDEX(Data!$E$2:$E$497,MATCH(N632,Data!$A$2:$A$497,1))/INDEX(Data!$E$2:$E$497,MATCH(N620,Data!$A$2:$A$497,1))),"")</f>
        <v>-0.0950832571860326</v>
      </c>
      <c r="AP632" s="560">
        <f>IFERROR(LN(INDEX(Data!$F$2:$F$497,MATCH(N632,Data!$A$2:$A$497,1))/INDEX(Data!$F$2:$F$497,MATCH(N620,Data!$A$2:$A$497,1))),"")</f>
        <v>-0.585232475871148</v>
      </c>
      <c r="AQ632" s="560">
        <f>IFERROR(LN(INDEX(Data!$G$2:$G$497,MATCH(N632,Data!$A$2:$A$497,1))/INDEX(Data!$G$2:$G$497,MATCH(N620,Data!$A$2:$A$497,1))),"")</f>
        <v>0.0830349017689136</v>
      </c>
      <c r="AR632" s="560">
        <f>IFERROR(LN(INDEX(Data!$H$2:$H$497,MATCH(N632,Data!$A$2:$A$497,1))/INDEX(Data!$H$2:$H$497,MATCH(N620,Data!$A$2:$A$497,1))),"")</f>
        <v>0.0572060365188587</v>
      </c>
      <c r="AS632" s="560">
        <f>IFERROR(LN(INDEX(Data!$I$2:$I$497,MATCH(N632,Data!$A$2:$A$497,1))/INDEX(Data!$I$2:$I$497,MATCH(N620,Data!$A$2:$A$497,1))),"")</f>
        <v>0.00932346554202019</v>
      </c>
      <c r="AT632" s="560">
        <f>IFERROR(LN(INDEX(Data!$J$2:$J$497,MATCH(N632,Data!$A$2:$A$497,1))/INDEX(Data!$J$2:$J$497,MATCH(N620,Data!$A$2:$A$497,1))),"")</f>
        <v>0.0647388332296724</v>
      </c>
      <c r="AU632" s="560">
        <f>IFERROR(LN(INDEX(Data!$K$2:$K$497,MATCH(N632,Data!$A$2:$A$497,1))/INDEX(Data!$K$2:$K$497,MATCH(N620,Data!$A$2:$A$497,1))),"")</f>
        <v>0.079475084624446</v>
      </c>
      <c r="AV632" s="561">
        <f>IFERROR(LN(INDEX(Data!$L$2:$L$497,MATCH(N632,Data!$A$2:$A$497,1))/INDEX(Data!$L$2:$L$497,MATCH(N620,Data!$A$2:$A$497,1))),"")</f>
        <v>0.0109413016761841</v>
      </c>
    </row>
    <row r="633">
      <c r="N633" s="337" t="n">
        <v>43982</v>
      </c>
      <c r="O633" s="116">
        <f>INDEX('Additional data'!$B$2:$B$965,MATCH(DATE(YEAR(N633),MONTH(N633),1),'Additional data'!$A$2:$A$965,0))</f>
        <v>28.56</v>
      </c>
      <c r="P633" s="489">
        <f>LN(O633)</f>
        <v>3.35200713747138</v>
      </c>
      <c r="Q633" s="489">
        <f>Q632+LN(1+INDEX('Additional data'!$H$2:$H$1196,MATCH(N633,'Additional data'!$G$2:$G$1196,1))+INDEX('Additional data'!$I$2:$I$1196,MATCH(N633,'Additional data'!$G$2:$G$1196,1)))</f>
        <v>5.01149855359875</v>
      </c>
      <c r="R633" s="489">
        <f>LN(INDEX(Data!$B$2:$B$497,MATCH(N633,Data!$A$2:$A$497,1)))</f>
        <v>11.0486934720228</v>
      </c>
      <c r="S633" s="116">
        <f>IF(INDEX('Additional data'!$E$2:$E$699,MATCH(DATE(YEAR(N633),MONTH(N633),1),'Additional data'!$D$2:$D$699,0))=0,(INDEX('Additional data'!$E$2:$E$699,MATCH(DATE(YEAR(N633),MONTH(N633),1),'Additional data'!$D$2:$D$699,0)-1)+INDEX('Additional data'!$E$2:$E$699,MATCH(DATE(YEAR(N633),MONTH(N633),1),'Additional data'!$D$2:$D$699,0)+1))/2,INDEX('Additional data'!$E$2:$E$699,MATCH(DATE(YEAR(N633),MONTH(N633),1),'Additional data'!$D$2:$D$699,0)))</f>
        <v>0.1</v>
      </c>
      <c r="T633" s="425">
        <f>P633-P632</f>
        <v>0.545621035648312</v>
      </c>
      <c r="U633" s="425">
        <f>Q633-Q632</f>
        <v>0.0542987734073792</v>
      </c>
      <c r="V633" s="425">
        <f>R633-R632</f>
        <v>0.0491442791532108</v>
      </c>
      <c r="W633" s="116">
        <f>S633-S632</f>
        <v>-0.07</v>
      </c>
      <c r="X633" s="425">
        <f>P633-P621</f>
        <v>-0.75607595086123</v>
      </c>
      <c r="Y633" s="425">
        <f>Q633-Q621</f>
        <v>0.120861890800137</v>
      </c>
      <c r="Z633" s="425">
        <f>R633-R621</f>
        <v>-0.0641615415058929</v>
      </c>
      <c r="AA633" s="116">
        <f>S633-S621</f>
        <v>-1.44</v>
      </c>
      <c r="AB633" s="425">
        <f>P633-P573</f>
        <v>-0.730096138328363</v>
      </c>
      <c r="AC633" s="425">
        <f>Q633-Q573</f>
        <v>0.465839369560059</v>
      </c>
      <c r="AD633" s="425">
        <f>R633-R573</f>
        <v>0.223137223453904</v>
      </c>
      <c r="AE633" s="235">
        <f>S633-S573</f>
        <v>-2.05</v>
      </c>
      <c r="AG633" s="554">
        <f>N633</f>
        <v>43982.0</v>
      </c>
      <c r="AH633" s="435">
        <f>IFERROR(INDEX('RBA 5Y yield'!$B$5:$B$661,MATCH(N633,'RBA 5Y yield'!$A$5:$A$661,1))*100,"")</f>
        <v>0.395</v>
      </c>
      <c r="AI633" s="435">
        <f>IF(AND(ISNUMBER(AH633),ISNUMBER(AH632)),AH633-AH632,"")</f>
        <v>-0.026</v>
      </c>
      <c r="AJ633" s="435">
        <f>IF(AND(ISNUMBER(AH633),ISNUMBER(AH621)),AH633-AH621,"")</f>
        <v>-0.896</v>
      </c>
      <c r="AK633" s="435">
        <f>IF(AND(ISNUMBER(AH633),ISNUMBER(AH573)),AH633-AH573,"")</f>
        <v>-1.876</v>
      </c>
      <c r="AL633" s="560">
        <f>IFERROR(LN(INDEX(Data!$B$2:$B$497,MATCH(N633,Data!$A$2:$A$497,1))/INDEX(Data!$B$2:$B$497,MATCH(N621,Data!$A$2:$A$497,1))),"")</f>
        <v>-0.0641615415058937</v>
      </c>
      <c r="AM633" s="560">
        <f>IFERROR(LN(INDEX(Data!$C$2:$C$497,MATCH(N633,Data!$A$2:$A$497,1))/INDEX(Data!$C$2:$C$497,MATCH(N621,Data!$A$2:$A$497,1))),"")</f>
        <v>0.114545226005786</v>
      </c>
      <c r="AN633" s="560">
        <f>IFERROR(LN(INDEX(Data!$D$2:$D$497,MATCH(N633,Data!$A$2:$A$497,1))/INDEX(Data!$D$2:$D$497,MATCH(N621,Data!$A$2:$A$497,1))),"")</f>
        <v>0.0410817751021898</v>
      </c>
      <c r="AO633" s="560">
        <f>IFERROR(LN(INDEX(Data!$E$2:$E$497,MATCH(N633,Data!$A$2:$A$497,1))/INDEX(Data!$E$2:$E$497,MATCH(N621,Data!$A$2:$A$497,1))),"")</f>
        <v>-0.114722101293627</v>
      </c>
      <c r="AP633" s="560">
        <f>IFERROR(LN(INDEX(Data!$F$2:$F$497,MATCH(N633,Data!$A$2:$A$497,1))/INDEX(Data!$F$2:$F$497,MATCH(N621,Data!$A$2:$A$497,1))),"")</f>
        <v>-0.377452294947389</v>
      </c>
      <c r="AQ633" s="560">
        <f>IFERROR(LN(INDEX(Data!$G$2:$G$497,MATCH(N633,Data!$A$2:$A$497,1))/INDEX(Data!$G$2:$G$497,MATCH(N621,Data!$A$2:$A$497,1))),"")</f>
        <v>0.0830349017689136</v>
      </c>
      <c r="AR633" s="560">
        <f>IFERROR(LN(INDEX(Data!$H$2:$H$497,MATCH(N633,Data!$A$2:$A$497,1))/INDEX(Data!$H$2:$H$497,MATCH(N621,Data!$A$2:$A$497,1))),"")</f>
        <v>0.0841096367486803</v>
      </c>
      <c r="AS633" s="560">
        <f>IFERROR(LN(INDEX(Data!$I$2:$I$497,MATCH(N633,Data!$A$2:$A$497,1))/INDEX(Data!$I$2:$I$497,MATCH(N621,Data!$A$2:$A$497,1))),"")</f>
        <v>0.00932346554202019</v>
      </c>
      <c r="AT633" s="560">
        <f>IFERROR(LN(INDEX(Data!$J$2:$J$497,MATCH(N633,Data!$A$2:$A$497,1))/INDEX(Data!$J$2:$J$497,MATCH(N621,Data!$A$2:$A$497,1))),"")</f>
        <v>0.0508044795586037</v>
      </c>
      <c r="AU633" s="560">
        <f>IFERROR(LN(INDEX(Data!$K$2:$K$497,MATCH(N633,Data!$A$2:$A$497,1))/INDEX(Data!$K$2:$K$497,MATCH(N621,Data!$A$2:$A$497,1))),"")</f>
        <v>0.0655958303295698</v>
      </c>
      <c r="AV633" s="561">
        <f>IFERROR(LN(INDEX(Data!$L$2:$L$497,MATCH(N633,Data!$A$2:$A$497,1))/INDEX(Data!$L$2:$L$497,MATCH(N621,Data!$A$2:$A$497,1))),"")</f>
        <v>0.00952775590814995</v>
      </c>
    </row>
    <row r="634">
      <c r="N634" s="337" t="n">
        <v>44012</v>
      </c>
      <c r="O634" s="116">
        <f>INDEX('Additional data'!$B$2:$B$965,MATCH(DATE(YEAR(N634),MONTH(N634),1),'Additional data'!$A$2:$A$965,0))</f>
        <v>38.31</v>
      </c>
      <c r="P634" s="489">
        <f>LN(O634)</f>
        <v>3.64571095871256</v>
      </c>
      <c r="Q634" s="489">
        <f>Q633+LN(1+INDEX('Additional data'!$H$2:$H$1196,MATCH(N634,'Additional data'!$G$2:$G$1196,1))+INDEX('Additional data'!$I$2:$I$1196,MATCH(N634,'Additional data'!$G$2:$G$1196,1)))</f>
        <v>5.03580084612172</v>
      </c>
      <c r="R634" s="489">
        <f>LN(INDEX(Data!$B$2:$B$497,MATCH(N634,Data!$A$2:$A$497,1)))</f>
        <v>11.071807401524</v>
      </c>
      <c r="S634" s="116">
        <f>IF(INDEX('Additional data'!$E$2:$E$699,MATCH(DATE(YEAR(N634),MONTH(N634),1),'Additional data'!$D$2:$D$699,0))=0,(INDEX('Additional data'!$E$2:$E$699,MATCH(DATE(YEAR(N634),MONTH(N634),1),'Additional data'!$D$2:$D$699,0)-1)+INDEX('Additional data'!$E$2:$E$699,MATCH(DATE(YEAR(N634),MONTH(N634),1),'Additional data'!$D$2:$D$699,0)+1))/2,INDEX('Additional data'!$E$2:$E$699,MATCH(DATE(YEAR(N634),MONTH(N634),1),'Additional data'!$D$2:$D$699,0)))</f>
        <v>0.1</v>
      </c>
      <c r="T634" s="425">
        <f>P634-P633</f>
        <v>0.293703821241174</v>
      </c>
      <c r="U634" s="425">
        <f>Q634-Q633</f>
        <v>0.0243022925229646</v>
      </c>
      <c r="V634" s="425">
        <f>R634-R633</f>
        <v>0.0231139295012461</v>
      </c>
      <c r="W634" s="116">
        <f>S634-S633</f>
        <v>0</v>
      </c>
      <c r="X634" s="425">
        <f>P634-P622</f>
        <v>-0.355421221787364</v>
      </c>
      <c r="Y634" s="425">
        <f>Q634-Q622</f>
        <v>0.0759180105862871</v>
      </c>
      <c r="Z634" s="425">
        <f>R634-R622</f>
        <v>-0.0747808945224904</v>
      </c>
      <c r="AA634" s="116">
        <f>S634-S622</f>
        <v>-1.19</v>
      </c>
      <c r="AB634" s="425">
        <f>P634-P574</f>
        <v>-0.445629094489244</v>
      </c>
      <c r="AC634" s="425">
        <f>Q634-Q574</f>
        <v>0.505458366194917</v>
      </c>
      <c r="AD634" s="425">
        <f>R634-R574</f>
        <v>0.301746371930188</v>
      </c>
      <c r="AE634" s="235">
        <f>S634-S574</f>
        <v>-2.05</v>
      </c>
      <c r="AG634" s="554">
        <f>N634</f>
        <v>44012.0</v>
      </c>
      <c r="AH634" s="435">
        <f>IFERROR(INDEX('RBA 5Y yield'!$B$5:$B$661,MATCH(N634,'RBA 5Y yield'!$A$5:$A$661,1))*100,"")</f>
        <v>0.403</v>
      </c>
      <c r="AI634" s="435">
        <f>IF(AND(ISNUMBER(AH634),ISNUMBER(AH633)),AH634-AH633,"")</f>
        <v>0.00799999999999995</v>
      </c>
      <c r="AJ634" s="435">
        <f>IF(AND(ISNUMBER(AH634),ISNUMBER(AH622)),AH634-AH622,"")</f>
        <v>-0.663</v>
      </c>
      <c r="AK634" s="435">
        <f>IF(AND(ISNUMBER(AH634),ISNUMBER(AH574)),AH634-AH574,"")</f>
        <v>-1.885</v>
      </c>
      <c r="AL634" s="560">
        <f>IFERROR(LN(INDEX(Data!$B$2:$B$497,MATCH(N634,Data!$A$2:$A$497,1))/INDEX(Data!$B$2:$B$497,MATCH(N622,Data!$A$2:$A$497,1))),"")</f>
        <v>-0.0747808945224903</v>
      </c>
      <c r="AM634" s="560">
        <f>IFERROR(LN(INDEX(Data!$C$2:$C$497,MATCH(N634,Data!$A$2:$A$497,1))/INDEX(Data!$C$2:$C$497,MATCH(N622,Data!$A$2:$A$497,1))),"")</f>
        <v>0.0568611625714615</v>
      </c>
      <c r="AN634" s="560">
        <f>IFERROR(LN(INDEX(Data!$D$2:$D$497,MATCH(N634,Data!$A$2:$A$497,1))/INDEX(Data!$D$2:$D$497,MATCH(N622,Data!$A$2:$A$497,1))),"")</f>
        <v>0.0361778293263997</v>
      </c>
      <c r="AO634" s="560">
        <f>IFERROR(LN(INDEX(Data!$E$2:$E$497,MATCH(N634,Data!$A$2:$A$497,1))/INDEX(Data!$E$2:$E$497,MATCH(N622,Data!$A$2:$A$497,1))),"")</f>
        <v>-0.133474765989476</v>
      </c>
      <c r="AP634" s="560">
        <f>IFERROR(LN(INDEX(Data!$F$2:$F$497,MATCH(N634,Data!$A$2:$A$497,1))/INDEX(Data!$F$2:$F$497,MATCH(N622,Data!$A$2:$A$497,1))),"")</f>
        <v>-0.39492026166833</v>
      </c>
      <c r="AQ634" s="560">
        <f>IFERROR(LN(INDEX(Data!$G$2:$G$497,MATCH(N634,Data!$A$2:$A$497,1))/INDEX(Data!$G$2:$G$497,MATCH(N622,Data!$A$2:$A$497,1))),"")</f>
        <v>0.0724327647047222</v>
      </c>
      <c r="AR634" s="560">
        <f>IFERROR(LN(INDEX(Data!$H$2:$H$497,MATCH(N634,Data!$A$2:$A$497,1))/INDEX(Data!$H$2:$H$497,MATCH(N622,Data!$A$2:$A$497,1))),"")</f>
        <v>0.0567801816567055</v>
      </c>
      <c r="AS634" s="560">
        <f>IFERROR(LN(INDEX(Data!$I$2:$I$497,MATCH(N634,Data!$A$2:$A$497,1))/INDEX(Data!$I$2:$I$497,MATCH(N622,Data!$A$2:$A$497,1))),"")</f>
        <v>0.00326264563481637</v>
      </c>
      <c r="AT634" s="560">
        <f>IFERROR(LN(INDEX(Data!$J$2:$J$497,MATCH(N634,Data!$A$2:$A$497,1))/INDEX(Data!$J$2:$J$497,MATCH(N622,Data!$A$2:$A$497,1))),"")</f>
        <v>0.0436611566917336</v>
      </c>
      <c r="AU634" s="560">
        <f>IFERROR(LN(INDEX(Data!$K$2:$K$497,MATCH(N634,Data!$A$2:$A$497,1))/INDEX(Data!$K$2:$K$497,MATCH(N622,Data!$A$2:$A$497,1))),"")</f>
        <v>0.0556578846381395</v>
      </c>
      <c r="AV634" s="561">
        <f>IFERROR(LN(INDEX(Data!$L$2:$L$497,MATCH(N634,Data!$A$2:$A$497,1))/INDEX(Data!$L$2:$L$497,MATCH(N622,Data!$A$2:$A$497,1))),"")</f>
        <v>0.00830655348230413</v>
      </c>
    </row>
    <row r="635">
      <c r="N635" s="337" t="n">
        <v>44043</v>
      </c>
      <c r="O635" s="116">
        <f>INDEX('Additional data'!$B$2:$B$965,MATCH(DATE(YEAR(N635),MONTH(N635),1),'Additional data'!$A$2:$A$965,0))</f>
        <v>40.71</v>
      </c>
      <c r="P635" s="489">
        <f>LN(O635)</f>
        <v>3.70647376251489</v>
      </c>
      <c r="Q635" s="489">
        <f>Q634+LN(1+INDEX('Additional data'!$H$2:$H$1196,MATCH(N635,'Additional data'!$G$2:$G$1196,1))+INDEX('Additional data'!$I$2:$I$1196,MATCH(N635,'Additional data'!$G$2:$G$1196,1)))</f>
        <v>5.09255917994033</v>
      </c>
      <c r="R635" s="489">
        <f>LN(INDEX(Data!$B$2:$B$497,MATCH(N635,Data!$A$2:$A$497,1)))</f>
        <v>11.0812453065653</v>
      </c>
      <c r="S635" s="116">
        <f>IF(INDEX('Additional data'!$E$2:$E$699,MATCH(DATE(YEAR(N635),MONTH(N635),1),'Additional data'!$D$2:$D$699,0))=0,(INDEX('Additional data'!$E$2:$E$699,MATCH(DATE(YEAR(N635),MONTH(N635),1),'Additional data'!$D$2:$D$699,0)-1)+INDEX('Additional data'!$E$2:$E$699,MATCH(DATE(YEAR(N635),MONTH(N635),1),'Additional data'!$D$2:$D$699,0)+1))/2,INDEX('Additional data'!$E$2:$E$699,MATCH(DATE(YEAR(N635),MONTH(N635),1),'Additional data'!$D$2:$D$699,0)))</f>
        <v>0.1</v>
      </c>
      <c r="T635" s="425">
        <f>P635-P634</f>
        <v>0.06076280380233</v>
      </c>
      <c r="U635" s="425">
        <f>Q635-Q634</f>
        <v>0.0567583338186086</v>
      </c>
      <c r="V635" s="425">
        <f>R635-R634</f>
        <v>0.00943790504127229</v>
      </c>
      <c r="W635" s="116">
        <f>S635-S634</f>
        <v>0</v>
      </c>
      <c r="X635" s="425">
        <f>P635-P623</f>
        <v>-0.342699081060492</v>
      </c>
      <c r="Y635" s="425">
        <f>Q635-Q623</f>
        <v>0.118576220026114</v>
      </c>
      <c r="Z635" s="425">
        <f>R635-R623</f>
        <v>-0.0945062095598246</v>
      </c>
      <c r="AA635" s="116">
        <f>S635-S623</f>
        <v>-1.01</v>
      </c>
      <c r="AB635" s="425">
        <f>P635-P575</f>
        <v>-0.223389161041589</v>
      </c>
      <c r="AC635" s="425">
        <f>Q635-Q575</f>
        <v>0.546638670050207</v>
      </c>
      <c r="AD635" s="425">
        <f>R635-R575</f>
        <v>0.269713155665103</v>
      </c>
      <c r="AE635" s="235">
        <f>S635-S575</f>
        <v>-2.04</v>
      </c>
      <c r="AG635" s="554">
        <f>N635</f>
        <v>44043.0</v>
      </c>
      <c r="AH635" s="435">
        <f>IFERROR(INDEX('RBA 5Y yield'!$B$5:$B$661,MATCH(N635,'RBA 5Y yield'!$A$5:$A$661,1))*100,"")</f>
        <v>0.425</v>
      </c>
      <c r="AI635" s="435">
        <f>IF(AND(ISNUMBER(AH635),ISNUMBER(AH634)),AH635-AH634,"")</f>
        <v>0.0220000000000001</v>
      </c>
      <c r="AJ635" s="435">
        <f>IF(AND(ISNUMBER(AH635),ISNUMBER(AH623)),AH635-AH623,"")</f>
        <v>-0.571</v>
      </c>
      <c r="AK635" s="435">
        <f>IF(AND(ISNUMBER(AH635),ISNUMBER(AH575)),AH635-AH575,"")</f>
        <v>-1.779</v>
      </c>
      <c r="AL635" s="560">
        <f>IFERROR(LN(INDEX(Data!$B$2:$B$497,MATCH(N635,Data!$A$2:$A$497,1))/INDEX(Data!$B$2:$B$497,MATCH(N623,Data!$A$2:$A$497,1))),"")</f>
        <v>-0.0945062095598242</v>
      </c>
      <c r="AM635" s="560">
        <f>IFERROR(LN(INDEX(Data!$C$2:$C$497,MATCH(N635,Data!$A$2:$A$497,1))/INDEX(Data!$C$2:$C$497,MATCH(N623,Data!$A$2:$A$497,1))),"")</f>
        <v>0.019741668025611</v>
      </c>
      <c r="AN635" s="560">
        <f>IFERROR(LN(INDEX(Data!$D$2:$D$497,MATCH(N635,Data!$A$2:$A$497,1))/INDEX(Data!$D$2:$D$497,MATCH(N623,Data!$A$2:$A$497,1))),"")</f>
        <v>0.0653750643950313</v>
      </c>
      <c r="AO635" s="560">
        <f>IFERROR(LN(INDEX(Data!$E$2:$E$497,MATCH(N635,Data!$A$2:$A$497,1))/INDEX(Data!$E$2:$E$497,MATCH(N623,Data!$A$2:$A$497,1))),"")</f>
        <v>-0.175921418610811</v>
      </c>
      <c r="AP635" s="560">
        <f>IFERROR(LN(INDEX(Data!$F$2:$F$497,MATCH(N635,Data!$A$2:$A$497,1))/INDEX(Data!$F$2:$F$497,MATCH(N623,Data!$A$2:$A$497,1))),"")</f>
        <v>-0.41427998033137</v>
      </c>
      <c r="AQ635" s="560">
        <f>IFERROR(LN(INDEX(Data!$G$2:$G$497,MATCH(N635,Data!$A$2:$A$497,1))/INDEX(Data!$G$2:$G$497,MATCH(N623,Data!$A$2:$A$497,1))),"")</f>
        <v>0.0724327647047222</v>
      </c>
      <c r="AR635" s="560">
        <f>IFERROR(LN(INDEX(Data!$H$2:$H$497,MATCH(N635,Data!$A$2:$A$497,1))/INDEX(Data!$H$2:$H$497,MATCH(N623,Data!$A$2:$A$497,1))),"")</f>
        <v>0.0771624648760073</v>
      </c>
      <c r="AS635" s="560">
        <f>IFERROR(LN(INDEX(Data!$I$2:$I$497,MATCH(N635,Data!$A$2:$A$497,1))/INDEX(Data!$I$2:$I$497,MATCH(N623,Data!$A$2:$A$497,1))),"")</f>
        <v>0.00326264563481637</v>
      </c>
      <c r="AT635" s="560">
        <f>IFERROR(LN(INDEX(Data!$J$2:$J$497,MATCH(N635,Data!$A$2:$A$497,1))/INDEX(Data!$J$2:$J$497,MATCH(N623,Data!$A$2:$A$497,1))),"")</f>
        <v>0.0379864324665017</v>
      </c>
      <c r="AU635" s="560">
        <f>IFERROR(LN(INDEX(Data!$K$2:$K$497,MATCH(N635,Data!$A$2:$A$497,1))/INDEX(Data!$K$2:$K$497,MATCH(N623,Data!$A$2:$A$497,1))),"")</f>
        <v>0.055763493040605</v>
      </c>
      <c r="AV635" s="561">
        <f>IFERROR(LN(INDEX(Data!$L$2:$L$497,MATCH(N635,Data!$A$2:$A$497,1))/INDEX(Data!$L$2:$L$497,MATCH(N623,Data!$A$2:$A$497,1))),"")</f>
        <v>0.00719010408805709</v>
      </c>
    </row>
    <row r="636">
      <c r="N636" s="337" t="n">
        <v>44074</v>
      </c>
      <c r="O636" s="116">
        <f>INDEX('Additional data'!$B$2:$B$965,MATCH(DATE(YEAR(N636),MONTH(N636),1),'Additional data'!$A$2:$A$965,0))</f>
        <v>42.34</v>
      </c>
      <c r="P636" s="489">
        <f>LN(O636)</f>
        <v>3.74573226570672</v>
      </c>
      <c r="Q636" s="489">
        <f>Q635+LN(1+INDEX('Additional data'!$H$2:$H$1196,MATCH(N636,'Additional data'!$G$2:$G$1196,1))+INDEX('Additional data'!$I$2:$I$1196,MATCH(N636,'Additional data'!$G$2:$G$1196,1)))</f>
        <v>5.16608841322844</v>
      </c>
      <c r="R636" s="489">
        <f>LN(INDEX(Data!$B$2:$B$497,MATCH(N636,Data!$A$2:$A$497,1)))</f>
        <v>11.1176296977634</v>
      </c>
      <c r="S636" s="116">
        <f>IF(INDEX('Additional data'!$E$2:$E$699,MATCH(DATE(YEAR(N636),MONTH(N636),1),'Additional data'!$D$2:$D$699,0))=0,(INDEX('Additional data'!$E$2:$E$699,MATCH(DATE(YEAR(N636),MONTH(N636),1),'Additional data'!$D$2:$D$699,0)-1)+INDEX('Additional data'!$E$2:$E$699,MATCH(DATE(YEAR(N636),MONTH(N636),1),'Additional data'!$D$2:$D$699,0)+1))/2,INDEX('Additional data'!$E$2:$E$699,MATCH(DATE(YEAR(N636),MONTH(N636),1),'Additional data'!$D$2:$D$699,0)))</f>
        <v>0.1</v>
      </c>
      <c r="T636" s="425">
        <f>P636-P635</f>
        <v>0.0392585031918316</v>
      </c>
      <c r="U636" s="425">
        <f>Q636-Q635</f>
        <v>0.0735292332881157</v>
      </c>
      <c r="V636" s="425">
        <f>R636-R635</f>
        <v>0.0363843911980855</v>
      </c>
      <c r="W636" s="116">
        <f>S636-S635</f>
        <v>0</v>
      </c>
      <c r="X636" s="425">
        <f>P636-P624</f>
        <v>-0.258140393351306</v>
      </c>
      <c r="Y636" s="425">
        <f>Q636-Q624</f>
        <v>0.216295692115447</v>
      </c>
      <c r="Z636" s="425">
        <f>R636-R624</f>
        <v>-0.0357161706505433</v>
      </c>
      <c r="AA636" s="116">
        <f>S636-S624</f>
        <v>-0.88</v>
      </c>
      <c r="AB636" s="425">
        <f>P636-P576</f>
        <v>-0.0124400149031665</v>
      </c>
      <c r="AC636" s="425">
        <f>Q636-Q576</f>
        <v>0.682256095651744</v>
      </c>
      <c r="AD636" s="425">
        <f>R636-R576</f>
        <v>0.381880385156951</v>
      </c>
      <c r="AE636" s="235">
        <f>S636-S576</f>
        <v>-2.04</v>
      </c>
      <c r="AG636" s="554">
        <f>N636</f>
        <v>44074.0</v>
      </c>
      <c r="AH636" s="435">
        <f>IFERROR(INDEX('RBA 5Y yield'!$B$5:$B$661,MATCH(N636,'RBA 5Y yield'!$A$5:$A$661,1))*100,"")</f>
        <v>0.425</v>
      </c>
      <c r="AI636" s="435">
        <f>IF(AND(ISNUMBER(AH636),ISNUMBER(AH635)),AH636-AH635,"")</f>
        <v>0</v>
      </c>
      <c r="AJ636" s="435">
        <f>IF(AND(ISNUMBER(AH636),ISNUMBER(AH624)),AH636-AH624,"")</f>
        <v>-0.288</v>
      </c>
      <c r="AK636" s="435">
        <f>IF(AND(ISNUMBER(AH636),ISNUMBER(AH576)),AH636-AH576,"")</f>
        <v>-1.675</v>
      </c>
      <c r="AL636" s="560">
        <f>IFERROR(LN(INDEX(Data!$B$2:$B$497,MATCH(N636,Data!$A$2:$A$497,1))/INDEX(Data!$B$2:$B$497,MATCH(N624,Data!$A$2:$A$497,1))),"")</f>
        <v>-0.0357161706505432</v>
      </c>
      <c r="AM636" s="560">
        <f>IFERROR(LN(INDEX(Data!$C$2:$C$497,MATCH(N636,Data!$A$2:$A$497,1))/INDEX(Data!$C$2:$C$497,MATCH(N624,Data!$A$2:$A$497,1))),"")</f>
        <v>0.0466127897763137</v>
      </c>
      <c r="AN636" s="560">
        <f>IFERROR(LN(INDEX(Data!$D$2:$D$497,MATCH(N636,Data!$A$2:$A$497,1))/INDEX(Data!$D$2:$D$497,MATCH(N624,Data!$A$2:$A$497,1))),"")</f>
        <v>0.0589414164268561</v>
      </c>
      <c r="AO636" s="560">
        <f>IFERROR(LN(INDEX(Data!$E$2:$E$497,MATCH(N636,Data!$A$2:$A$497,1))/INDEX(Data!$E$2:$E$497,MATCH(N624,Data!$A$2:$A$497,1))),"")</f>
        <v>-0.241484749553328</v>
      </c>
      <c r="AP636" s="560">
        <f>IFERROR(LN(INDEX(Data!$F$2:$F$497,MATCH(N636,Data!$A$2:$A$497,1))/INDEX(Data!$F$2:$F$497,MATCH(N624,Data!$A$2:$A$497,1))),"")</f>
        <v>-0.365080004569532</v>
      </c>
      <c r="AQ636" s="560">
        <f>IFERROR(LN(INDEX(Data!$G$2:$G$497,MATCH(N636,Data!$A$2:$A$497,1))/INDEX(Data!$G$2:$G$497,MATCH(N624,Data!$A$2:$A$497,1))),"")</f>
        <v>0.0724327647047222</v>
      </c>
      <c r="AR636" s="560">
        <f>IFERROR(LN(INDEX(Data!$H$2:$H$497,MATCH(N636,Data!$A$2:$A$497,1))/INDEX(Data!$H$2:$H$497,MATCH(N624,Data!$A$2:$A$497,1))),"")</f>
        <v>0.0794089066703957</v>
      </c>
      <c r="AS636" s="560">
        <f>IFERROR(LN(INDEX(Data!$I$2:$I$497,MATCH(N636,Data!$A$2:$A$497,1))/INDEX(Data!$I$2:$I$497,MATCH(N624,Data!$A$2:$A$497,1))),"")</f>
        <v>0.00326264563481637</v>
      </c>
      <c r="AT636" s="560">
        <f>IFERROR(LN(INDEX(Data!$J$2:$J$497,MATCH(N636,Data!$A$2:$A$497,1))/INDEX(Data!$J$2:$J$497,MATCH(N624,Data!$A$2:$A$497,1))),"")</f>
        <v>0.0188712420913999</v>
      </c>
      <c r="AU636" s="560">
        <f>IFERROR(LN(INDEX(Data!$K$2:$K$497,MATCH(N636,Data!$A$2:$A$497,1))/INDEX(Data!$K$2:$K$497,MATCH(N624,Data!$A$2:$A$497,1))),"")</f>
        <v>0.022559107968649</v>
      </c>
      <c r="AV636" s="561">
        <f>IFERROR(LN(INDEX(Data!$L$2:$L$497,MATCH(N636,Data!$A$2:$A$497,1))/INDEX(Data!$L$2:$L$497,MATCH(N624,Data!$A$2:$A$497,1))),"")</f>
        <v>0.00648590097695233</v>
      </c>
    </row>
    <row r="637">
      <c r="N637" s="337" t="n">
        <v>44104</v>
      </c>
      <c r="O637" s="116">
        <f>INDEX('Additional data'!$B$2:$B$965,MATCH(DATE(YEAR(N637),MONTH(N637),1),'Additional data'!$A$2:$A$965,0))</f>
        <v>39.63</v>
      </c>
      <c r="P637" s="489">
        <f>LN(O637)</f>
        <v>3.67958640720234</v>
      </c>
      <c r="Q637" s="489">
        <f>Q636+LN(1+INDEX('Additional data'!$H$2:$H$1196,MATCH(N637,'Additional data'!$G$2:$G$1196,1))+INDEX('Additional data'!$I$2:$I$1196,MATCH(N637,'Additional data'!$G$2:$G$1196,1)))</f>
        <v>5.12911317710355</v>
      </c>
      <c r="R637" s="489">
        <f>LN(INDEX(Data!$B$2:$B$497,MATCH(N637,Data!$A$2:$A$497,1)))</f>
        <v>11.082757165293</v>
      </c>
      <c r="S637" s="116">
        <f>IF(INDEX('Additional data'!$E$2:$E$699,MATCH(DATE(YEAR(N637),MONTH(N637),1),'Additional data'!$D$2:$D$699,0))=0,(INDEX('Additional data'!$E$2:$E$699,MATCH(DATE(YEAR(N637),MONTH(N637),1),'Additional data'!$D$2:$D$699,0)-1)+INDEX('Additional data'!$E$2:$E$699,MATCH(DATE(YEAR(N637),MONTH(N637),1),'Additional data'!$D$2:$D$699,0)+1))/2,INDEX('Additional data'!$E$2:$E$699,MATCH(DATE(YEAR(N637),MONTH(N637),1),'Additional data'!$D$2:$D$699,0)))</f>
        <v>0.09</v>
      </c>
      <c r="T637" s="425">
        <f>P637-P636</f>
        <v>-0.0661458585043753</v>
      </c>
      <c r="U637" s="425">
        <f>Q637-Q636</f>
        <v>-0.0369752361248956</v>
      </c>
      <c r="V637" s="425">
        <f>R637-R636</f>
        <v>-0.0348725324704251</v>
      </c>
      <c r="W637" s="116">
        <f>S637-S636</f>
        <v>-0.01</v>
      </c>
      <c r="X637" s="425">
        <f>P637-P625</f>
        <v>-0.362587282690848</v>
      </c>
      <c r="Y637" s="425">
        <f>Q637-Q625</f>
        <v>0.16354553687519</v>
      </c>
      <c r="Z637" s="425">
        <f>R637-R625</f>
        <v>-0.0916496670372666</v>
      </c>
      <c r="AA637" s="116">
        <f>S637-S625</f>
        <v>-0.89</v>
      </c>
      <c r="AB637" s="425">
        <f>P637-P577</f>
        <v>-0.137686261679991</v>
      </c>
      <c r="AC637" s="425">
        <f>Q637-Q577</f>
        <v>0.67635881509771</v>
      </c>
      <c r="AD637" s="425">
        <f>R637-R577</f>
        <v>0.372339095509314</v>
      </c>
      <c r="AE637" s="235">
        <f>S637-S577</f>
        <v>-2.08</v>
      </c>
      <c r="AG637" s="554">
        <f>N637</f>
        <v>44104.0</v>
      </c>
      <c r="AH637" s="435">
        <f>IFERROR(INDEX('RBA 5Y yield'!$B$5:$B$661,MATCH(N637,'RBA 5Y yield'!$A$5:$A$661,1))*100,"")</f>
        <v>0.393</v>
      </c>
      <c r="AI637" s="435">
        <f>IF(AND(ISNUMBER(AH637),ISNUMBER(AH636)),AH637-AH636,"")</f>
        <v>-0.032</v>
      </c>
      <c r="AJ637" s="435">
        <f>IF(AND(ISNUMBER(AH637),ISNUMBER(AH625)),AH637-AH625,"")</f>
        <v>-0.417</v>
      </c>
      <c r="AK637" s="435">
        <f>IF(AND(ISNUMBER(AH637),ISNUMBER(AH577)),AH637-AH577,"")</f>
        <v>-1.708</v>
      </c>
      <c r="AL637" s="560">
        <f>IFERROR(LN(INDEX(Data!$B$2:$B$497,MATCH(N637,Data!$A$2:$A$497,1))/INDEX(Data!$B$2:$B$497,MATCH(N625,Data!$A$2:$A$497,1))),"")</f>
        <v>-0.0916496670372658</v>
      </c>
      <c r="AM637" s="560">
        <f>IFERROR(LN(INDEX(Data!$C$2:$C$497,MATCH(N637,Data!$A$2:$A$497,1))/INDEX(Data!$C$2:$C$497,MATCH(N625,Data!$A$2:$A$497,1))),"")</f>
        <v>0.0264512945254604</v>
      </c>
      <c r="AN637" s="560">
        <f>IFERROR(LN(INDEX(Data!$D$2:$D$497,MATCH(N637,Data!$A$2:$A$497,1))/INDEX(Data!$D$2:$D$497,MATCH(N625,Data!$A$2:$A$497,1))),"")</f>
        <v>0.0599812184567213</v>
      </c>
      <c r="AO637" s="560">
        <f>IFERROR(LN(INDEX(Data!$E$2:$E$497,MATCH(N637,Data!$A$2:$A$497,1))/INDEX(Data!$E$2:$E$497,MATCH(N625,Data!$A$2:$A$497,1))),"")</f>
        <v>-0.264678791314318</v>
      </c>
      <c r="AP637" s="560">
        <f>IFERROR(LN(INDEX(Data!$F$2:$F$497,MATCH(N637,Data!$A$2:$A$497,1))/INDEX(Data!$F$2:$F$497,MATCH(N625,Data!$A$2:$A$497,1))),"")</f>
        <v>-0.387139136515723</v>
      </c>
      <c r="AQ637" s="560">
        <f>IFERROR(LN(INDEX(Data!$G$2:$G$497,MATCH(N637,Data!$A$2:$A$497,1))/INDEX(Data!$G$2:$G$497,MATCH(N625,Data!$A$2:$A$497,1))),"")</f>
        <v>0.0558978604951306</v>
      </c>
      <c r="AR637" s="560">
        <f>IFERROR(LN(INDEX(Data!$H$2:$H$497,MATCH(N637,Data!$A$2:$A$497,1))/INDEX(Data!$H$2:$H$497,MATCH(N625,Data!$A$2:$A$497,1))),"")</f>
        <v>0.100833601437494</v>
      </c>
      <c r="AS637" s="560">
        <f>IFERROR(LN(INDEX(Data!$I$2:$I$497,MATCH(N637,Data!$A$2:$A$497,1))/INDEX(Data!$I$2:$I$497,MATCH(N625,Data!$A$2:$A$497,1))),"")</f>
        <v>0.0453095646805391</v>
      </c>
      <c r="AT637" s="560">
        <f>IFERROR(LN(INDEX(Data!$J$2:$J$497,MATCH(N637,Data!$A$2:$A$497,1))/INDEX(Data!$J$2:$J$497,MATCH(N625,Data!$A$2:$A$497,1))),"")</f>
        <v>0.0353298800548517</v>
      </c>
      <c r="AU637" s="560">
        <f>IFERROR(LN(INDEX(Data!$K$2:$K$497,MATCH(N637,Data!$A$2:$A$497,1))/INDEX(Data!$K$2:$K$497,MATCH(N625,Data!$A$2:$A$497,1))),"")</f>
        <v>0.0371896407422761</v>
      </c>
      <c r="AV637" s="561">
        <f>IFERROR(LN(INDEX(Data!$L$2:$L$497,MATCH(N637,Data!$A$2:$A$497,1))/INDEX(Data!$L$2:$L$497,MATCH(N625,Data!$A$2:$A$497,1))),"")</f>
        <v>0.00576116767899897</v>
      </c>
    </row>
    <row r="638">
      <c r="N638" s="337" t="n">
        <v>44135</v>
      </c>
      <c r="O638" s="116">
        <f>INDEX('Additional data'!$B$2:$B$965,MATCH(DATE(YEAR(N638),MONTH(N638),1),'Additional data'!$A$2:$A$965,0))</f>
        <v>39.4</v>
      </c>
      <c r="P638" s="489">
        <f>LN(O638)</f>
        <v>3.67376581630389</v>
      </c>
      <c r="Q638" s="489">
        <f>Q637+LN(1+INDEX('Additional data'!$H$2:$H$1196,MATCH(N638,'Additional data'!$G$2:$G$1196,1))+INDEX('Additional data'!$I$2:$I$1196,MATCH(N638,'Additional data'!$G$2:$G$1196,1)))</f>
        <v>5.10819592884816</v>
      </c>
      <c r="R638" s="489">
        <f>LN(INDEX(Data!$B$2:$B$497,MATCH(N638,Data!$A$2:$A$497,1)))</f>
        <v>11.1033751342204</v>
      </c>
      <c r="S638" s="116">
        <f>IF(INDEX('Additional data'!$E$2:$E$699,MATCH(DATE(YEAR(N638),MONTH(N638),1),'Additional data'!$D$2:$D$699,0))=0,(INDEX('Additional data'!$E$2:$E$699,MATCH(DATE(YEAR(N638),MONTH(N638),1),'Additional data'!$D$2:$D$699,0)-1)+INDEX('Additional data'!$E$2:$E$699,MATCH(DATE(YEAR(N638),MONTH(N638),1),'Additional data'!$D$2:$D$699,0)+1))/2,INDEX('Additional data'!$E$2:$E$699,MATCH(DATE(YEAR(N638),MONTH(N638),1),'Additional data'!$D$2:$D$699,0)))</f>
        <v>0.07</v>
      </c>
      <c r="T638" s="425">
        <f>P638-P637</f>
        <v>-0.00582059089845588</v>
      </c>
      <c r="U638" s="425">
        <f>Q638-Q637</f>
        <v>-0.0209172482553885</v>
      </c>
      <c r="V638" s="425">
        <f>R638-R637</f>
        <v>0.020617968927489</v>
      </c>
      <c r="W638" s="116">
        <f>S638-S637</f>
        <v>-0.02</v>
      </c>
      <c r="X638" s="425">
        <f>P638-P626</f>
        <v>-0.314477215035667</v>
      </c>
      <c r="Y638" s="425">
        <f>Q638-Q626</f>
        <v>0.120671121267759</v>
      </c>
      <c r="Z638" s="425">
        <f>R638-R626</f>
        <v>-0.0673189345377043</v>
      </c>
      <c r="AA638" s="116">
        <f>S638-S626</f>
        <v>-0.81</v>
      </c>
      <c r="AB638" s="425">
        <f>P638-P578</f>
        <v>-0.159646788542346</v>
      </c>
      <c r="AC638" s="425">
        <f>Q638-Q578</f>
        <v>0.580798023846556</v>
      </c>
      <c r="AD638" s="425">
        <f>R638-R578</f>
        <v>0.348074020374462</v>
      </c>
      <c r="AE638" s="235">
        <f>S638-S578</f>
        <v>-2.08</v>
      </c>
      <c r="AG638" s="554">
        <f>N638</f>
        <v>44135.0</v>
      </c>
      <c r="AH638" s="435">
        <f>IFERROR(INDEX('RBA 5Y yield'!$B$5:$B$661,MATCH(N638,'RBA 5Y yield'!$A$5:$A$661,1))*100,"")</f>
        <v>0.291</v>
      </c>
      <c r="AI638" s="435">
        <f>IF(AND(ISNUMBER(AH638),ISNUMBER(AH637)),AH638-AH637,"")</f>
        <v>-0.102</v>
      </c>
      <c r="AJ638" s="435">
        <f>IF(AND(ISNUMBER(AH638),ISNUMBER(AH626)),AH638-AH626,"")</f>
        <v>-0.475</v>
      </c>
      <c r="AK638" s="435">
        <f>IF(AND(ISNUMBER(AH638),ISNUMBER(AH578)),AH638-AH578,"")</f>
        <v>-1.781</v>
      </c>
      <c r="AL638" s="560">
        <f>IFERROR(LN(INDEX(Data!$B$2:$B$497,MATCH(N638,Data!$A$2:$A$497,1))/INDEX(Data!$B$2:$B$497,MATCH(N626,Data!$A$2:$A$497,1))),"")</f>
        <v>-0.0673189345377045</v>
      </c>
      <c r="AM638" s="560">
        <f>IFERROR(LN(INDEX(Data!$C$2:$C$497,MATCH(N638,Data!$A$2:$A$497,1))/INDEX(Data!$C$2:$C$497,MATCH(N626,Data!$A$2:$A$497,1))),"")</f>
        <v>0.0185414060505534</v>
      </c>
      <c r="AN638" s="560">
        <f>IFERROR(LN(INDEX(Data!$D$2:$D$497,MATCH(N638,Data!$A$2:$A$497,1))/INDEX(Data!$D$2:$D$497,MATCH(N626,Data!$A$2:$A$497,1))),"")</f>
        <v>0.0870382448513858</v>
      </c>
      <c r="AO638" s="560">
        <f>IFERROR(LN(INDEX(Data!$E$2:$E$497,MATCH(N638,Data!$A$2:$A$497,1))/INDEX(Data!$E$2:$E$497,MATCH(N626,Data!$A$2:$A$497,1))),"")</f>
        <v>-0.271270959244133</v>
      </c>
      <c r="AP638" s="560">
        <f>IFERROR(LN(INDEX(Data!$F$2:$F$497,MATCH(N638,Data!$A$2:$A$497,1))/INDEX(Data!$F$2:$F$497,MATCH(N626,Data!$A$2:$A$497,1))),"")</f>
        <v>-0.394201632892513</v>
      </c>
      <c r="AQ638" s="560">
        <f>IFERROR(LN(INDEX(Data!$G$2:$G$497,MATCH(N638,Data!$A$2:$A$497,1))/INDEX(Data!$G$2:$G$497,MATCH(N626,Data!$A$2:$A$497,1))),"")</f>
        <v>0.0558978604951306</v>
      </c>
      <c r="AR638" s="560">
        <f>IFERROR(LN(INDEX(Data!$H$2:$H$497,MATCH(N638,Data!$A$2:$A$497,1))/INDEX(Data!$H$2:$H$497,MATCH(N626,Data!$A$2:$A$497,1))),"")</f>
        <v>0.115919089878871</v>
      </c>
      <c r="AS638" s="560">
        <f>IFERROR(LN(INDEX(Data!$I$2:$I$497,MATCH(N638,Data!$A$2:$A$497,1))/INDEX(Data!$I$2:$I$497,MATCH(N626,Data!$A$2:$A$497,1))),"")</f>
        <v>0.0453095646805391</v>
      </c>
      <c r="AT638" s="560">
        <f>IFERROR(LN(INDEX(Data!$J$2:$J$497,MATCH(N638,Data!$A$2:$A$497,1))/INDEX(Data!$J$2:$J$497,MATCH(N626,Data!$A$2:$A$497,1))),"")</f>
        <v>0.0432565761181687</v>
      </c>
      <c r="AU638" s="560">
        <f>IFERROR(LN(INDEX(Data!$K$2:$K$497,MATCH(N638,Data!$A$2:$A$497,1))/INDEX(Data!$K$2:$K$497,MATCH(N626,Data!$A$2:$A$497,1))),"")</f>
        <v>0.0389131174495924</v>
      </c>
      <c r="AV638" s="561">
        <f>IFERROR(LN(INDEX(Data!$L$2:$L$497,MATCH(N638,Data!$A$2:$A$497,1))/INDEX(Data!$L$2:$L$497,MATCH(N626,Data!$A$2:$A$497,1))),"")</f>
        <v>0.00507067593626131</v>
      </c>
    </row>
    <row r="639">
      <c r="N639" s="337" t="n">
        <v>44165</v>
      </c>
      <c r="O639" s="116">
        <f>INDEX('Additional data'!$B$2:$B$965,MATCH(DATE(YEAR(N639),MONTH(N639),1),'Additional data'!$A$2:$A$965,0))</f>
        <v>40.94</v>
      </c>
      <c r="P639" s="489">
        <f>LN(O639)</f>
        <v>3.71210758023314</v>
      </c>
      <c r="Q639" s="489">
        <f>Q638+LN(1+INDEX('Additional data'!$H$2:$H$1196,MATCH(N639,'Additional data'!$G$2:$G$1196,1))+INDEX('Additional data'!$I$2:$I$1196,MATCH(N639,'Additional data'!$G$2:$G$1196,1)))</f>
        <v>5.22562334572412</v>
      </c>
      <c r="R639" s="489">
        <f>LN(INDEX(Data!$B$2:$B$497,MATCH(N639,Data!$A$2:$A$497,1)))</f>
        <v>11.2001434903544</v>
      </c>
      <c r="S639" s="116">
        <f>IF(INDEX('Additional data'!$E$2:$E$699,MATCH(DATE(YEAR(N639),MONTH(N639),1),'Additional data'!$D$2:$D$699,0))=0,(INDEX('Additional data'!$E$2:$E$699,MATCH(DATE(YEAR(N639),MONTH(N639),1),'Additional data'!$D$2:$D$699,0)-1)+INDEX('Additional data'!$E$2:$E$699,MATCH(DATE(YEAR(N639),MONTH(N639),1),'Additional data'!$D$2:$D$699,0)+1))/2,INDEX('Additional data'!$E$2:$E$699,MATCH(DATE(YEAR(N639),MONTH(N639),1),'Additional data'!$D$2:$D$699,0)))</f>
        <v>0.02</v>
      </c>
      <c r="T639" s="425">
        <f>P639-P638</f>
        <v>0.0383417639292554</v>
      </c>
      <c r="U639" s="425">
        <f>Q639-Q638</f>
        <v>0.117427416875964</v>
      </c>
      <c r="V639" s="425">
        <f>R639-R638</f>
        <v>0.0967683561339126</v>
      </c>
      <c r="W639" s="116">
        <f>S639-S638</f>
        <v>-0.05</v>
      </c>
      <c r="X639" s="425">
        <f>P639-P627</f>
        <v>-0.331469864935305</v>
      </c>
      <c r="Y639" s="425">
        <f>Q639-Q627</f>
        <v>0.198973983459673</v>
      </c>
      <c r="Z639" s="425">
        <f>R639-R627</f>
        <v>-0.000827004043152613</v>
      </c>
      <c r="AA639" s="116">
        <f>S639-S627</f>
        <v>-0.89</v>
      </c>
      <c r="AB639" s="425">
        <f>P639-P579</f>
        <v>-0.035983733512639</v>
      </c>
      <c r="AC639" s="425">
        <f>Q639-Q579</f>
        <v>0.692541624254222</v>
      </c>
      <c r="AD639" s="425">
        <f>R639-R579</f>
        <v>0.451749363773473</v>
      </c>
      <c r="AE639" s="235">
        <f>S639-S579</f>
        <v>-2.2</v>
      </c>
      <c r="AG639" s="554">
        <f>N639</f>
        <v>44165.0</v>
      </c>
      <c r="AH639" s="435">
        <f>IFERROR(INDEX('RBA 5Y yield'!$B$5:$B$661,MATCH(N639,'RBA 5Y yield'!$A$5:$A$661,1))*100,"")</f>
        <v>0.286</v>
      </c>
      <c r="AI639" s="435">
        <f>IF(AND(ISNUMBER(AH639),ISNUMBER(AH638)),AH639-AH638,"")</f>
        <v>-0.00499999999999995</v>
      </c>
      <c r="AJ639" s="435">
        <f>IF(AND(ISNUMBER(AH639),ISNUMBER(AH627)),AH639-AH627,"")</f>
        <v>-0.572</v>
      </c>
      <c r="AK639" s="435">
        <f>IF(AND(ISNUMBER(AH639),ISNUMBER(AH579)),AH639-AH579,"")</f>
        <v>-1.993</v>
      </c>
      <c r="AL639" s="560">
        <f>IFERROR(LN(INDEX(Data!$B$2:$B$497,MATCH(N639,Data!$A$2:$A$497,1))/INDEX(Data!$B$2:$B$497,MATCH(N627,Data!$A$2:$A$497,1))),"")</f>
        <v>-0.000827004043153875</v>
      </c>
      <c r="AM639" s="560">
        <f>IFERROR(LN(INDEX(Data!$C$2:$C$497,MATCH(N639,Data!$A$2:$A$497,1))/INDEX(Data!$C$2:$C$497,MATCH(N627,Data!$A$2:$A$497,1))),"")</f>
        <v>0.0340297031492227</v>
      </c>
      <c r="AN639" s="560">
        <f>IFERROR(LN(INDEX(Data!$D$2:$D$497,MATCH(N639,Data!$A$2:$A$497,1))/INDEX(Data!$D$2:$D$497,MATCH(N627,Data!$A$2:$A$497,1))),"")</f>
        <v>0.0895926579181623</v>
      </c>
      <c r="AO639" s="560">
        <f>IFERROR(LN(INDEX(Data!$E$2:$E$497,MATCH(N639,Data!$A$2:$A$497,1))/INDEX(Data!$E$2:$E$497,MATCH(N627,Data!$A$2:$A$497,1))),"")</f>
        <v>-0.22641118398892</v>
      </c>
      <c r="AP639" s="560">
        <f>IFERROR(LN(INDEX(Data!$F$2:$F$497,MATCH(N639,Data!$A$2:$A$497,1))/INDEX(Data!$F$2:$F$497,MATCH(N627,Data!$A$2:$A$497,1))),"")</f>
        <v>-0.346864882569188</v>
      </c>
      <c r="AQ639" s="560">
        <f>IFERROR(LN(INDEX(Data!$G$2:$G$497,MATCH(N639,Data!$A$2:$A$497,1))/INDEX(Data!$G$2:$G$497,MATCH(N627,Data!$A$2:$A$497,1))),"")</f>
        <v>0.0558978604951306</v>
      </c>
      <c r="AR639" s="560">
        <f>IFERROR(LN(INDEX(Data!$H$2:$H$497,MATCH(N639,Data!$A$2:$A$497,1))/INDEX(Data!$H$2:$H$497,MATCH(N627,Data!$A$2:$A$497,1))),"")</f>
        <v>0.0807034778983736</v>
      </c>
      <c r="AS639" s="560">
        <f>IFERROR(LN(INDEX(Data!$I$2:$I$497,MATCH(N639,Data!$A$2:$A$497,1))/INDEX(Data!$I$2:$I$497,MATCH(N627,Data!$A$2:$A$497,1))),"")</f>
        <v>0.0453095646805391</v>
      </c>
      <c r="AT639" s="560">
        <f>IFERROR(LN(INDEX(Data!$J$2:$J$497,MATCH(N639,Data!$A$2:$A$497,1))/INDEX(Data!$J$2:$J$497,MATCH(N627,Data!$A$2:$A$497,1))),"")</f>
        <v>0.0338132278938548</v>
      </c>
      <c r="AU639" s="560">
        <f>IFERROR(LN(INDEX(Data!$K$2:$K$497,MATCH(N639,Data!$A$2:$A$497,1))/INDEX(Data!$K$2:$K$497,MATCH(N627,Data!$A$2:$A$497,1))),"")</f>
        <v>0.0427406059921978</v>
      </c>
      <c r="AV639" s="561">
        <f>IFERROR(LN(INDEX(Data!$L$2:$L$497,MATCH(N639,Data!$A$2:$A$497,1))/INDEX(Data!$L$2:$L$497,MATCH(N627,Data!$A$2:$A$497,1))),"")</f>
        <v>0.00433851346917532</v>
      </c>
    </row>
    <row r="640">
      <c r="N640" s="337" t="n">
        <v>44196</v>
      </c>
      <c r="O640" s="116">
        <f>INDEX('Additional data'!$B$2:$B$965,MATCH(DATE(YEAR(N640),MONTH(N640),1),'Additional data'!$A$2:$A$965,0))</f>
        <v>47.02</v>
      </c>
      <c r="P640" s="489">
        <f>LN(O640)</f>
        <v>3.85057304311192</v>
      </c>
      <c r="Q640" s="489">
        <f>Q639+LN(1+INDEX('Additional data'!$H$2:$H$1196,MATCH(N640,'Additional data'!$G$2:$G$1196,1))+INDEX('Additional data'!$I$2:$I$1196,MATCH(N640,'Additional data'!$G$2:$G$1196,1)))</f>
        <v>5.27097904744492</v>
      </c>
      <c r="R640" s="489">
        <f>LN(INDEX(Data!$B$2:$B$497,MATCH(N640,Data!$A$2:$A$497,1)))</f>
        <v>11.2175412064537</v>
      </c>
      <c r="S640" s="116">
        <f>IF(INDEX('Additional data'!$E$2:$E$699,MATCH(DATE(YEAR(N640),MONTH(N640),1),'Additional data'!$D$2:$D$699,0))=0,(INDEX('Additional data'!$E$2:$E$699,MATCH(DATE(YEAR(N640),MONTH(N640),1),'Additional data'!$D$2:$D$699,0)-1)+INDEX('Additional data'!$E$2:$E$699,MATCH(DATE(YEAR(N640),MONTH(N640),1),'Additional data'!$D$2:$D$699,0)+1))/2,INDEX('Additional data'!$E$2:$E$699,MATCH(DATE(YEAR(N640),MONTH(N640),1),'Additional data'!$D$2:$D$699,0)))</f>
        <v>0.02</v>
      </c>
      <c r="T640" s="425">
        <f>P640-P639</f>
        <v>0.13846546287878</v>
      </c>
      <c r="U640" s="425">
        <f>Q640-Q639</f>
        <v>0.0453557017207968</v>
      </c>
      <c r="V640" s="425">
        <f>R640-R639</f>
        <v>0.0173977160993708</v>
      </c>
      <c r="W640" s="116">
        <f>S640-S639</f>
        <v>0</v>
      </c>
      <c r="X640" s="425">
        <f>P640-P628</f>
        <v>-0.241769516439504</v>
      </c>
      <c r="Y640" s="425">
        <f>Q640-Q628</f>
        <v>0.215645051320561</v>
      </c>
      <c r="Z640" s="425">
        <f>R640-R628</f>
        <v>0.0357082326737697</v>
      </c>
      <c r="AA640" s="116">
        <f>S640-S628</f>
        <v>-0.88</v>
      </c>
      <c r="AB640" s="425">
        <f>P640-P580</f>
        <v>0.234533135174945</v>
      </c>
      <c r="AC640" s="425">
        <f>Q640-Q580</f>
        <v>0.759529626102133</v>
      </c>
      <c r="AD640" s="425">
        <f>R640-R580</f>
        <v>0.443006896979574</v>
      </c>
      <c r="AE640" s="235">
        <f>S640-S580</f>
        <v>-2.32</v>
      </c>
      <c r="AG640" s="554">
        <f>N640</f>
        <v>44196.0</v>
      </c>
      <c r="AH640" s="435">
        <f>IFERROR(INDEX('RBA 5Y yield'!$B$5:$B$661,MATCH(N640,'RBA 5Y yield'!$A$5:$A$661,1))*100,"")</f>
        <v>0.343</v>
      </c>
      <c r="AI640" s="435">
        <f>IF(AND(ISNUMBER(AH640),ISNUMBER(AH639)),AH640-AH639,"")</f>
        <v>0.0569999999999999</v>
      </c>
      <c r="AJ640" s="435">
        <f>IF(AND(ISNUMBER(AH640),ISNUMBER(AH628)),AH640-AH628,"")</f>
        <v>-0.531</v>
      </c>
      <c r="AK640" s="435">
        <f>IF(AND(ISNUMBER(AH640),ISNUMBER(AH580)),AH640-AH580,"")</f>
        <v>-1.941</v>
      </c>
      <c r="AL640" s="560">
        <f>IFERROR(LN(INDEX(Data!$B$2:$B$497,MATCH(N640,Data!$A$2:$A$497,1))/INDEX(Data!$B$2:$B$497,MATCH(N628,Data!$A$2:$A$497,1))),"")</f>
        <v>0.0357082326737701</v>
      </c>
      <c r="AM640" s="560">
        <f>IFERROR(LN(INDEX(Data!$C$2:$C$497,MATCH(N640,Data!$A$2:$A$497,1))/INDEX(Data!$C$2:$C$497,MATCH(N628,Data!$A$2:$A$497,1))),"")</f>
        <v>0.0383212616379144</v>
      </c>
      <c r="AN640" s="560">
        <f>IFERROR(LN(INDEX(Data!$D$2:$D$497,MATCH(N640,Data!$A$2:$A$497,1))/INDEX(Data!$D$2:$D$497,MATCH(N628,Data!$A$2:$A$497,1))),"")</f>
        <v>0.0848951712558561</v>
      </c>
      <c r="AO640" s="560">
        <f>IFERROR(LN(INDEX(Data!$E$2:$E$497,MATCH(N640,Data!$A$2:$A$497,1))/INDEX(Data!$E$2:$E$497,MATCH(N628,Data!$A$2:$A$497,1))),"")</f>
        <v>-0.193460216140143</v>
      </c>
      <c r="AP640" s="560">
        <f>IFERROR(LN(INDEX(Data!$F$2:$F$497,MATCH(N640,Data!$A$2:$A$497,1))/INDEX(Data!$F$2:$F$497,MATCH(N628,Data!$A$2:$A$497,1))),"")</f>
        <v>-0.364063706150604</v>
      </c>
      <c r="AQ640" s="560">
        <f>IFERROR(LN(INDEX(Data!$G$2:$G$497,MATCH(N640,Data!$A$2:$A$497,1))/INDEX(Data!$G$2:$G$497,MATCH(N628,Data!$A$2:$A$497,1))),"")</f>
        <v>0.0475774082924003</v>
      </c>
      <c r="AR640" s="560">
        <f>IFERROR(LN(INDEX(Data!$H$2:$H$497,MATCH(N640,Data!$A$2:$A$497,1))/INDEX(Data!$H$2:$H$497,MATCH(N628,Data!$A$2:$A$497,1))),"")</f>
        <v>0.0962685477283515</v>
      </c>
      <c r="AS640" s="560">
        <f>IFERROR(LN(INDEX(Data!$I$2:$I$497,MATCH(N640,Data!$A$2:$A$497,1))/INDEX(Data!$I$2:$I$497,MATCH(N628,Data!$A$2:$A$497,1))),"")</f>
        <v>0.0725124781551822</v>
      </c>
      <c r="AT640" s="560">
        <f>IFERROR(LN(INDEX(Data!$J$2:$J$497,MATCH(N640,Data!$A$2:$A$497,1))/INDEX(Data!$J$2:$J$497,MATCH(N628,Data!$A$2:$A$497,1))),"")</f>
        <v>0.0477240785266228</v>
      </c>
      <c r="AU640" s="560">
        <f>IFERROR(LN(INDEX(Data!$K$2:$K$497,MATCH(N640,Data!$A$2:$A$497,1))/INDEX(Data!$K$2:$K$497,MATCH(N628,Data!$A$2:$A$497,1))),"")</f>
        <v>0.0445682448958163</v>
      </c>
      <c r="AV640" s="561">
        <f>IFERROR(LN(INDEX(Data!$L$2:$L$497,MATCH(N640,Data!$A$2:$A$497,1))/INDEX(Data!$L$2:$L$497,MATCH(N628,Data!$A$2:$A$497,1))),"")</f>
        <v>0.00366608906854426</v>
      </c>
    </row>
    <row r="641">
      <c r="N641" s="337" t="n">
        <v>44227</v>
      </c>
      <c r="O641" s="116">
        <f>INDEX('Additional data'!$B$2:$B$965,MATCH(DATE(YEAR(N641),MONTH(N641),1),'Additional data'!$A$2:$A$965,0))</f>
        <v>52</v>
      </c>
      <c r="P641" s="489">
        <f>LN(O641)</f>
        <v>3.95124371858143</v>
      </c>
      <c r="Q641" s="489">
        <f>Q640+LN(1+INDEX('Additional data'!$H$2:$H$1196,MATCH(N641,'Additional data'!$G$2:$G$1196,1))+INDEX('Additional data'!$I$2:$I$1196,MATCH(N641,'Additional data'!$G$2:$G$1196,1)))</f>
        <v>5.27027880233053</v>
      </c>
      <c r="R641" s="489">
        <f>LN(INDEX(Data!$B$2:$B$497,MATCH(N641,Data!$A$2:$A$497,1)))</f>
        <v>11.220552404083</v>
      </c>
      <c r="S641" s="116">
        <f>IF(INDEX('Additional data'!$E$2:$E$699,MATCH(DATE(YEAR(N641),MONTH(N641),1),'Additional data'!$D$2:$D$699,0))=0,(INDEX('Additional data'!$E$2:$E$699,MATCH(DATE(YEAR(N641),MONTH(N641),1),'Additional data'!$D$2:$D$699,0)-1)+INDEX('Additional data'!$E$2:$E$699,MATCH(DATE(YEAR(N641),MONTH(N641),1),'Additional data'!$D$2:$D$699,0)+1))/2,INDEX('Additional data'!$E$2:$E$699,MATCH(DATE(YEAR(N641),MONTH(N641),1),'Additional data'!$D$2:$D$699,0)))</f>
        <v>0.01</v>
      </c>
      <c r="T641" s="425">
        <f>P641-P640</f>
        <v>0.100670675469504</v>
      </c>
      <c r="U641" s="425">
        <f>Q641-Q640</f>
        <v>-0.000700245114393816</v>
      </c>
      <c r="V641" s="425">
        <f>R641-R640</f>
        <v>0.00301119762927726</v>
      </c>
      <c r="W641" s="116">
        <f>S641-S640</f>
        <v>-0.01</v>
      </c>
      <c r="X641" s="425">
        <f>P641-P629</f>
        <v>-0.100888994831364</v>
      </c>
      <c r="Y641" s="425">
        <f>Q641-Q629</f>
        <v>0.214744826203502</v>
      </c>
      <c r="Z641" s="425">
        <f>R641-R629</f>
        <v>-0.00708026563324538</v>
      </c>
      <c r="AA641" s="116">
        <f>S641-S629</f>
        <v>-0.88</v>
      </c>
      <c r="AB641" s="425">
        <f>P641-P581</f>
        <v>0.495558151635203</v>
      </c>
      <c r="AC641" s="425">
        <f>Q641-Q581</f>
        <v>0.817836561567771</v>
      </c>
      <c r="AD641" s="425">
        <f>R641-R581</f>
        <v>0.50133823644941</v>
      </c>
      <c r="AE641" s="235">
        <f>S641-S581</f>
        <v>-2.29</v>
      </c>
      <c r="AG641" s="554">
        <f>N641</f>
        <v>44227.0</v>
      </c>
      <c r="AH641" s="435">
        <f>IFERROR(INDEX('RBA 5Y yield'!$B$5:$B$661,MATCH(N641,'RBA 5Y yield'!$A$5:$A$661,1))*100,"")</f>
        <v>0.373</v>
      </c>
      <c r="AI641" s="435">
        <f>IF(AND(ISNUMBER(AH641),ISNUMBER(AH640)),AH641-AH640,"")</f>
        <v>0.03</v>
      </c>
      <c r="AJ641" s="435">
        <f>IF(AND(ISNUMBER(AH641),ISNUMBER(AH629)),AH641-AH629,"")</f>
        <v>-0.48</v>
      </c>
      <c r="AK641" s="435">
        <f>IF(AND(ISNUMBER(AH641),ISNUMBER(AH581)),AH641-AH581,"")</f>
        <v>-1.774</v>
      </c>
      <c r="AL641" s="560">
        <f>IFERROR(LN(INDEX(Data!$B$2:$B$497,MATCH(N641,Data!$A$2:$A$497,1))/INDEX(Data!$B$2:$B$497,MATCH(N629,Data!$A$2:$A$497,1))),"")</f>
        <v>-0.00708026563324647</v>
      </c>
      <c r="AM641" s="560">
        <f>IFERROR(LN(INDEX(Data!$C$2:$C$497,MATCH(N641,Data!$A$2:$A$497,1))/INDEX(Data!$C$2:$C$497,MATCH(N629,Data!$A$2:$A$497,1))),"")</f>
        <v>-0.0100665349741773</v>
      </c>
      <c r="AN641" s="560">
        <f>IFERROR(LN(INDEX(Data!$D$2:$D$497,MATCH(N641,Data!$A$2:$A$497,1))/INDEX(Data!$D$2:$D$497,MATCH(N629,Data!$A$2:$A$497,1))),"")</f>
        <v>0.112809609102207</v>
      </c>
      <c r="AO641" s="560">
        <f>IFERROR(LN(INDEX(Data!$E$2:$E$497,MATCH(N641,Data!$A$2:$A$497,1))/INDEX(Data!$E$2:$E$497,MATCH(N629,Data!$A$2:$A$497,1))),"")</f>
        <v>-0.249450381876864</v>
      </c>
      <c r="AP641" s="560">
        <f>IFERROR(LN(INDEX(Data!$F$2:$F$497,MATCH(N641,Data!$A$2:$A$497,1))/INDEX(Data!$F$2:$F$497,MATCH(N629,Data!$A$2:$A$497,1))),"")</f>
        <v>-0.244348151260218</v>
      </c>
      <c r="AQ641" s="560">
        <f>IFERROR(LN(INDEX(Data!$G$2:$G$497,MATCH(N641,Data!$A$2:$A$497,1))/INDEX(Data!$G$2:$G$497,MATCH(N629,Data!$A$2:$A$497,1))),"")</f>
        <v>0.0475774082924003</v>
      </c>
      <c r="AR641" s="560">
        <f>IFERROR(LN(INDEX(Data!$H$2:$H$497,MATCH(N641,Data!$A$2:$A$497,1))/INDEX(Data!$H$2:$H$497,MATCH(N629,Data!$A$2:$A$497,1))),"")</f>
        <v>0.07846239947535</v>
      </c>
      <c r="AS641" s="560">
        <f>IFERROR(LN(INDEX(Data!$I$2:$I$497,MATCH(N641,Data!$A$2:$A$497,1))/INDEX(Data!$I$2:$I$497,MATCH(N629,Data!$A$2:$A$497,1))),"")</f>
        <v>0.0725124781551822</v>
      </c>
      <c r="AT641" s="560">
        <f>IFERROR(LN(INDEX(Data!$J$2:$J$497,MATCH(N641,Data!$A$2:$A$497,1))/INDEX(Data!$J$2:$J$497,MATCH(N629,Data!$A$2:$A$497,1))),"")</f>
        <v>0.0174984432007422</v>
      </c>
      <c r="AU641" s="560">
        <f>IFERROR(LN(INDEX(Data!$K$2:$K$497,MATCH(N641,Data!$A$2:$A$497,1))/INDEX(Data!$K$2:$K$497,MATCH(N629,Data!$A$2:$A$497,1))),"")</f>
        <v>0.0221097426012545</v>
      </c>
      <c r="AV641" s="561">
        <f>IFERROR(LN(INDEX(Data!$L$2:$L$497,MATCH(N641,Data!$A$2:$A$497,1))/INDEX(Data!$L$2:$L$497,MATCH(N629,Data!$A$2:$A$497,1))),"")</f>
        <v>0.00286018296006714</v>
      </c>
    </row>
    <row r="642">
      <c r="N642" s="337" t="n">
        <v>44255</v>
      </c>
      <c r="O642" s="116">
        <f>INDEX('Additional data'!$B$2:$B$965,MATCH(DATE(YEAR(N642),MONTH(N642),1),'Additional data'!$A$2:$A$965,0))</f>
        <v>59.04</v>
      </c>
      <c r="P642" s="489">
        <f>LN(O642)</f>
        <v>4.07821518029222</v>
      </c>
      <c r="Q642" s="489">
        <f>Q641+LN(1+INDEX('Additional data'!$H$2:$H$1196,MATCH(N642,'Additional data'!$G$2:$G$1196,1))+INDEX('Additional data'!$I$2:$I$1196,MATCH(N642,'Additional data'!$G$2:$G$1196,1)))</f>
        <v>5.29799124089706</v>
      </c>
      <c r="R642" s="489">
        <f>LN(INDEX(Data!$B$2:$B$497,MATCH(N642,Data!$A$2:$A$497,1)))</f>
        <v>11.2347027219679</v>
      </c>
      <c r="S642" s="116">
        <f>IF(INDEX('Additional data'!$E$2:$E$699,MATCH(DATE(YEAR(N642),MONTH(N642),1),'Additional data'!$D$2:$D$699,0))=0,(INDEX('Additional data'!$E$2:$E$699,MATCH(DATE(YEAR(N642),MONTH(N642),1),'Additional data'!$D$2:$D$699,0)-1)+INDEX('Additional data'!$E$2:$E$699,MATCH(DATE(YEAR(N642),MONTH(N642),1),'Additional data'!$D$2:$D$699,0)+1))/2,INDEX('Additional data'!$E$2:$E$699,MATCH(DATE(YEAR(N642),MONTH(N642),1),'Additional data'!$D$2:$D$699,0)))</f>
        <v>0.01</v>
      </c>
      <c r="T642" s="425">
        <f>P642-P641</f>
        <v>0.126971461710789</v>
      </c>
      <c r="U642" s="425">
        <f>Q642-Q641</f>
        <v>0.0277124385665362</v>
      </c>
      <c r="V642" s="425">
        <f>R642-R641</f>
        <v>0.0141503178849103</v>
      </c>
      <c r="W642" s="116">
        <f>S642-S641</f>
        <v>0</v>
      </c>
      <c r="X642" s="425">
        <f>P642-P630</f>
        <v>0.155450078332169</v>
      </c>
      <c r="Y642" s="425">
        <f>Q642-Q630</f>
        <v>0.326165013843523</v>
      </c>
      <c r="Z642" s="425">
        <f>R642-R630</f>
        <v>0.091301026917332</v>
      </c>
      <c r="AA642" s="116">
        <f>S642-S630</f>
        <v>-0.88</v>
      </c>
      <c r="AB642" s="425">
        <f>P642-P582</f>
        <v>0.666407619518046</v>
      </c>
      <c r="AC642" s="425">
        <f>Q642-Q582</f>
        <v>0.845949080155647</v>
      </c>
      <c r="AD642" s="425">
        <f>R642-R582</f>
        <v>0.530330656761125</v>
      </c>
      <c r="AE642" s="235">
        <f>S642-S582</f>
        <v>-2.27</v>
      </c>
      <c r="AG642" s="554">
        <f>N642</f>
        <v>44255.0</v>
      </c>
      <c r="AH642" s="435">
        <f>IFERROR(INDEX('RBA 5Y yield'!$B$5:$B$661,MATCH(N642,'RBA 5Y yield'!$A$5:$A$661,1))*100,"")</f>
        <v>0.485</v>
      </c>
      <c r="AI642" s="435">
        <f>IF(AND(ISNUMBER(AH642),ISNUMBER(AH641)),AH642-AH641,"")</f>
        <v>0.112</v>
      </c>
      <c r="AJ642" s="435">
        <f>IF(AND(ISNUMBER(AH642),ISNUMBER(AH630)),AH642-AH630,"")</f>
        <v>-0.253</v>
      </c>
      <c r="AK642" s="435">
        <f>IF(AND(ISNUMBER(AH642),ISNUMBER(AH582)),AH642-AH582,"")</f>
        <v>-1.506</v>
      </c>
      <c r="AL642" s="560">
        <f>IFERROR(LN(INDEX(Data!$B$2:$B$497,MATCH(N642,Data!$A$2:$A$497,1))/INDEX(Data!$B$2:$B$497,MATCH(N630,Data!$A$2:$A$497,1))),"")</f>
        <v>0.0913010269173322</v>
      </c>
      <c r="AM642" s="560">
        <f>IFERROR(LN(INDEX(Data!$C$2:$C$497,MATCH(N642,Data!$A$2:$A$497,1))/INDEX(Data!$C$2:$C$497,MATCH(N630,Data!$A$2:$A$497,1))),"")</f>
        <v>0.0537399712696172</v>
      </c>
      <c r="AN642" s="560">
        <f>IFERROR(LN(INDEX(Data!$D$2:$D$497,MATCH(N642,Data!$A$2:$A$497,1))/INDEX(Data!$D$2:$D$497,MATCH(N630,Data!$A$2:$A$497,1))),"")</f>
        <v>0.115573628605415</v>
      </c>
      <c r="AO642" s="560">
        <f>IFERROR(LN(INDEX(Data!$E$2:$E$497,MATCH(N642,Data!$A$2:$A$497,1))/INDEX(Data!$E$2:$E$497,MATCH(N630,Data!$A$2:$A$497,1))),"")</f>
        <v>-0.186386968787414</v>
      </c>
      <c r="AP642" s="560">
        <f>IFERROR(LN(INDEX(Data!$F$2:$F$497,MATCH(N642,Data!$A$2:$A$497,1))/INDEX(Data!$F$2:$F$497,MATCH(N630,Data!$A$2:$A$497,1))),"")</f>
        <v>-0.102747283072113</v>
      </c>
      <c r="AQ642" s="560">
        <f>IFERROR(LN(INDEX(Data!$G$2:$G$497,MATCH(N642,Data!$A$2:$A$497,1))/INDEX(Data!$G$2:$G$497,MATCH(N630,Data!$A$2:$A$497,1))),"")</f>
        <v>0.0475774082924003</v>
      </c>
      <c r="AR642" s="560">
        <f>IFERROR(LN(INDEX(Data!$H$2:$H$497,MATCH(N642,Data!$A$2:$A$497,1))/INDEX(Data!$H$2:$H$497,MATCH(N630,Data!$A$2:$A$497,1))),"")</f>
        <v>0.0573064016724593</v>
      </c>
      <c r="AS642" s="560">
        <f>IFERROR(LN(INDEX(Data!$I$2:$I$497,MATCH(N642,Data!$A$2:$A$497,1))/INDEX(Data!$I$2:$I$497,MATCH(N630,Data!$A$2:$A$497,1))),"")</f>
        <v>0.0725124781551822</v>
      </c>
      <c r="AT642" s="560">
        <f>IFERROR(LN(INDEX(Data!$J$2:$J$497,MATCH(N642,Data!$A$2:$A$497,1))/INDEX(Data!$J$2:$J$497,MATCH(N630,Data!$A$2:$A$497,1))),"")</f>
        <v>-0.0286996225202667</v>
      </c>
      <c r="AU642" s="560">
        <f>IFERROR(LN(INDEX(Data!$K$2:$K$497,MATCH(N642,Data!$A$2:$A$497,1))/INDEX(Data!$K$2:$K$497,MATCH(N630,Data!$A$2:$A$497,1))),"")</f>
        <v>-0.0181246786428545</v>
      </c>
      <c r="AV642" s="561">
        <f>IFERROR(LN(INDEX(Data!$L$2:$L$497,MATCH(N642,Data!$A$2:$A$497,1))/INDEX(Data!$L$2:$L$497,MATCH(N630,Data!$A$2:$A$497,1))),"")</f>
        <v>0.0021110102669493</v>
      </c>
    </row>
    <row r="643">
      <c r="N643" s="337" t="n">
        <v>44286</v>
      </c>
      <c r="O643" s="116">
        <f>INDEX('Additional data'!$B$2:$B$965,MATCH(DATE(YEAR(N643),MONTH(N643),1),'Additional data'!$A$2:$A$965,0))</f>
        <v>62.33</v>
      </c>
      <c r="P643" s="489">
        <f>LN(O643)</f>
        <v>4.13244285082076</v>
      </c>
      <c r="Q643" s="489">
        <f>Q642+LN(1+INDEX('Additional data'!$H$2:$H$1196,MATCH(N643,'Additional data'!$G$2:$G$1196,1))+INDEX('Additional data'!$I$2:$I$1196,MATCH(N643,'Additional data'!$G$2:$G$1196,1)))</f>
        <v>5.32910223592211</v>
      </c>
      <c r="R643" s="489">
        <f>LN(INDEX(Data!$B$2:$B$497,MATCH(N643,Data!$A$2:$A$497,1)))</f>
        <v>11.2529722765722</v>
      </c>
      <c r="S643" s="116">
        <f>IF(INDEX('Additional data'!$E$2:$E$699,MATCH(DATE(YEAR(N643),MONTH(N643),1),'Additional data'!$D$2:$D$699,0))=0,(INDEX('Additional data'!$E$2:$E$699,MATCH(DATE(YEAR(N643),MONTH(N643),1),'Additional data'!$D$2:$D$699,0)-1)+INDEX('Additional data'!$E$2:$E$699,MATCH(DATE(YEAR(N643),MONTH(N643),1),'Additional data'!$D$2:$D$699,0)+1))/2,INDEX('Additional data'!$E$2:$E$699,MATCH(DATE(YEAR(N643),MONTH(N643),1),'Additional data'!$D$2:$D$699,0)))</f>
        <v>0.03</v>
      </c>
      <c r="T643" s="425">
        <f>P643-P642</f>
        <v>0.0542276705285421</v>
      </c>
      <c r="U643" s="425">
        <f>Q643-Q642</f>
        <v>0.0311109950250525</v>
      </c>
      <c r="V643" s="425">
        <f>R643-R642</f>
        <v>0.0182695546042826</v>
      </c>
      <c r="W643" s="116">
        <f>S643-S642</f>
        <v>0.02</v>
      </c>
      <c r="X643" s="425">
        <f>P643-P631</f>
        <v>0.757931734421109</v>
      </c>
      <c r="Y643" s="425">
        <f>Q643-Q631</f>
        <v>0.499415776029699</v>
      </c>
      <c r="Z643" s="425">
        <f>R643-R631</f>
        <v>0.34456378255887</v>
      </c>
      <c r="AA643" s="116">
        <f>S643-S631</f>
        <v>-0.5</v>
      </c>
      <c r="AB643" s="425">
        <f>P643-P583</f>
        <v>0.506769472610615</v>
      </c>
      <c r="AC643" s="425">
        <f>Q643-Q583</f>
        <v>0.809681839850751</v>
      </c>
      <c r="AD643" s="425">
        <f>R643-R583</f>
        <v>0.502249003161642</v>
      </c>
      <c r="AE643" s="235">
        <f>S643-S583</f>
        <v>-2.28</v>
      </c>
      <c r="AG643" s="554">
        <f>N643</f>
        <v>44286.0</v>
      </c>
      <c r="AH643" s="435">
        <f>IFERROR(INDEX('RBA 5Y yield'!$B$5:$B$661,MATCH(N643,'RBA 5Y yield'!$A$5:$A$661,1))*100,"")</f>
        <v>0.708</v>
      </c>
      <c r="AI643" s="435">
        <f>IF(AND(ISNUMBER(AH643),ISNUMBER(AH642)),AH643-AH642,"")</f>
        <v>0.223</v>
      </c>
      <c r="AJ643" s="435">
        <f>IF(AND(ISNUMBER(AH643),ISNUMBER(AH631)),AH643-AH631,"")</f>
        <v>0.208</v>
      </c>
      <c r="AK643" s="435">
        <f>IF(AND(ISNUMBER(AH643),ISNUMBER(AH583)),AH643-AH583,"")</f>
        <v>-1.426</v>
      </c>
      <c r="AL643" s="560">
        <f>IFERROR(LN(INDEX(Data!$B$2:$B$497,MATCH(N643,Data!$A$2:$A$497,1))/INDEX(Data!$B$2:$B$497,MATCH(N631,Data!$A$2:$A$497,1))),"")</f>
        <v>0.344563782558871</v>
      </c>
      <c r="AM643" s="560">
        <f>IFERROR(LN(INDEX(Data!$C$2:$C$497,MATCH(N643,Data!$A$2:$A$497,1))/INDEX(Data!$C$2:$C$497,MATCH(N631,Data!$A$2:$A$497,1))),"")</f>
        <v>0.196466363369663</v>
      </c>
      <c r="AN643" s="560">
        <f>IFERROR(LN(INDEX(Data!$D$2:$D$497,MATCH(N643,Data!$A$2:$A$497,1))/INDEX(Data!$D$2:$D$497,MATCH(N631,Data!$A$2:$A$497,1))),"")</f>
        <v>0.209887991380139</v>
      </c>
      <c r="AO643" s="560">
        <f>IFERROR(LN(INDEX(Data!$E$2:$E$497,MATCH(N643,Data!$A$2:$A$497,1))/INDEX(Data!$E$2:$E$497,MATCH(N631,Data!$A$2:$A$497,1))),"")</f>
        <v>0.0738349635070732</v>
      </c>
      <c r="AP643" s="560">
        <f>IFERROR(LN(INDEX(Data!$F$2:$F$497,MATCH(N643,Data!$A$2:$A$497,1))/INDEX(Data!$F$2:$F$497,MATCH(N631,Data!$A$2:$A$497,1))),"")</f>
        <v>0.188270901884051</v>
      </c>
      <c r="AQ643" s="560">
        <f>IFERROR(LN(INDEX(Data!$G$2:$G$497,MATCH(N643,Data!$A$2:$A$497,1))/INDEX(Data!$G$2:$G$497,MATCH(N631,Data!$A$2:$A$497,1))),"")</f>
        <v>0.0840795404381274</v>
      </c>
      <c r="AR643" s="560">
        <f>IFERROR(LN(INDEX(Data!$H$2:$H$497,MATCH(N643,Data!$A$2:$A$497,1))/INDEX(Data!$H$2:$H$497,MATCH(N631,Data!$A$2:$A$497,1))),"")</f>
        <v>0.0289783223906213</v>
      </c>
      <c r="AS643" s="560">
        <f>IFERROR(LN(INDEX(Data!$I$2:$I$497,MATCH(N643,Data!$A$2:$A$497,1))/INDEX(Data!$I$2:$I$497,MATCH(N631,Data!$A$2:$A$497,1))),"")</f>
        <v>0.163987048644131</v>
      </c>
      <c r="AT643" s="560">
        <f>IFERROR(LN(INDEX(Data!$J$2:$J$497,MATCH(N643,Data!$A$2:$A$497,1))/INDEX(Data!$J$2:$J$497,MATCH(N631,Data!$A$2:$A$497,1))),"")</f>
        <v>-0.0204082022016318</v>
      </c>
      <c r="AU643" s="560">
        <f>IFERROR(LN(INDEX(Data!$K$2:$K$497,MATCH(N643,Data!$A$2:$A$497,1))/INDEX(Data!$K$2:$K$497,MATCH(N631,Data!$A$2:$A$497,1))),"")</f>
        <v>-0.0159224573867277</v>
      </c>
      <c r="AV643" s="561">
        <f>IFERROR(LN(INDEX(Data!$L$2:$L$497,MATCH(N643,Data!$A$2:$A$497,1))/INDEX(Data!$L$2:$L$497,MATCH(N631,Data!$A$2:$A$497,1))),"")</f>
        <v>0.00114071194832397</v>
      </c>
    </row>
    <row r="644">
      <c r="N644" s="337" t="n">
        <v>44316</v>
      </c>
      <c r="O644" s="116">
        <f>INDEX('Additional data'!$B$2:$B$965,MATCH(DATE(YEAR(N644),MONTH(N644),1),'Additional data'!$A$2:$A$965,0))</f>
        <v>61.72</v>
      </c>
      <c r="P644" s="489">
        <f>LN(O644)</f>
        <v>4.12260802749496</v>
      </c>
      <c r="Q644" s="489">
        <f>Q643+LN(1+INDEX('Additional data'!$H$2:$H$1196,MATCH(N644,'Additional data'!$G$2:$G$1196,1))+INDEX('Additional data'!$I$2:$I$1196,MATCH(N644,'Additional data'!$G$2:$G$1196,1)))</f>
        <v>5.37741609620066</v>
      </c>
      <c r="R644" s="489">
        <f>LN(INDEX(Data!$B$2:$B$497,MATCH(N644,Data!$A$2:$A$497,1)))</f>
        <v>11.2913898177333</v>
      </c>
      <c r="S644" s="116">
        <f>IF(INDEX('Additional data'!$E$2:$E$699,MATCH(DATE(YEAR(N644),MONTH(N644),1),'Additional data'!$D$2:$D$699,0))=0,(INDEX('Additional data'!$E$2:$E$699,MATCH(DATE(YEAR(N644),MONTH(N644),1),'Additional data'!$D$2:$D$699,0)-1)+INDEX('Additional data'!$E$2:$E$699,MATCH(DATE(YEAR(N644),MONTH(N644),1),'Additional data'!$D$2:$D$699,0)+1))/2,INDEX('Additional data'!$E$2:$E$699,MATCH(DATE(YEAR(N644),MONTH(N644),1),'Additional data'!$D$2:$D$699,0)))</f>
        <v>0.04</v>
      </c>
      <c r="T644" s="425">
        <f>P644-P643</f>
        <v>-0.00983482332579921</v>
      </c>
      <c r="U644" s="425">
        <f>Q644-Q643</f>
        <v>0.0483138602785509</v>
      </c>
      <c r="V644" s="425">
        <f>R644-R643</f>
        <v>0.0384175411610901</v>
      </c>
      <c r="W644" s="116">
        <f>S644-S643</f>
        <v>0.01</v>
      </c>
      <c r="X644" s="425">
        <f>P644-P632</f>
        <v>1.31622192567189</v>
      </c>
      <c r="Y644" s="425">
        <f>Q644-Q632</f>
        <v>0.420216316009291</v>
      </c>
      <c r="Z644" s="425">
        <f>R644-R632</f>
        <v>0.291840624863722</v>
      </c>
      <c r="AA644" s="116">
        <f>S644-S632</f>
        <v>-0.13</v>
      </c>
      <c r="AB644" s="425">
        <f>P644-P584</f>
        <v>0.415152187808088</v>
      </c>
      <c r="AC644" s="425">
        <f>Q644-Q584</f>
        <v>0.848738678866625</v>
      </c>
      <c r="AD644" s="425">
        <f>R644-R584</f>
        <v>0.508827816135943</v>
      </c>
      <c r="AE644" s="235">
        <f>S644-S584</f>
        <v>-2.22</v>
      </c>
      <c r="AG644" s="554">
        <f>N644</f>
        <v>44316.0</v>
      </c>
      <c r="AH644" s="435">
        <f>IFERROR(INDEX('RBA 5Y yield'!$B$5:$B$661,MATCH(N644,'RBA 5Y yield'!$A$5:$A$661,1))*100,"")</f>
        <v>0.692</v>
      </c>
      <c r="AI644" s="435">
        <f>IF(AND(ISNUMBER(AH644),ISNUMBER(AH643)),AH644-AH643,"")</f>
        <v>-0.0160000000000001</v>
      </c>
      <c r="AJ644" s="435">
        <f>IF(AND(ISNUMBER(AH644),ISNUMBER(AH632)),AH644-AH632,"")</f>
        <v>0.271</v>
      </c>
      <c r="AK644" s="435">
        <f>IF(AND(ISNUMBER(AH644),ISNUMBER(AH584)),AH644-AH584,"")</f>
        <v>-1.399</v>
      </c>
      <c r="AL644" s="560">
        <f>IFERROR(LN(INDEX(Data!$B$2:$B$497,MATCH(N644,Data!$A$2:$A$497,1))/INDEX(Data!$B$2:$B$497,MATCH(N632,Data!$A$2:$A$497,1))),"")</f>
        <v>0.291840624863723</v>
      </c>
      <c r="AM644" s="560">
        <f>IFERROR(LN(INDEX(Data!$C$2:$C$497,MATCH(N644,Data!$A$2:$A$497,1))/INDEX(Data!$C$2:$C$497,MATCH(N632,Data!$A$2:$A$497,1))),"")</f>
        <v>0.189389197715713</v>
      </c>
      <c r="AN644" s="560">
        <f>IFERROR(LN(INDEX(Data!$D$2:$D$497,MATCH(N644,Data!$A$2:$A$497,1))/INDEX(Data!$D$2:$D$497,MATCH(N632,Data!$A$2:$A$497,1))),"")</f>
        <v>0.194720583201649</v>
      </c>
      <c r="AO644" s="560">
        <f>IFERROR(LN(INDEX(Data!$E$2:$E$497,MATCH(N644,Data!$A$2:$A$497,1))/INDEX(Data!$E$2:$E$497,MATCH(N632,Data!$A$2:$A$497,1))),"")</f>
        <v>0.121141719513785</v>
      </c>
      <c r="AP644" s="560">
        <f>IFERROR(LN(INDEX(Data!$F$2:$F$497,MATCH(N644,Data!$A$2:$A$497,1))/INDEX(Data!$F$2:$F$497,MATCH(N632,Data!$A$2:$A$497,1))),"")</f>
        <v>0.422365285083047</v>
      </c>
      <c r="AQ644" s="560">
        <f>IFERROR(LN(INDEX(Data!$G$2:$G$497,MATCH(N644,Data!$A$2:$A$497,1))/INDEX(Data!$G$2:$G$497,MATCH(N632,Data!$A$2:$A$497,1))),"")</f>
        <v>0.0840795404381274</v>
      </c>
      <c r="AR644" s="560">
        <f>IFERROR(LN(INDEX(Data!$H$2:$H$497,MATCH(N644,Data!$A$2:$A$497,1))/INDEX(Data!$H$2:$H$497,MATCH(N632,Data!$A$2:$A$497,1))),"")</f>
        <v>0.172543159024876</v>
      </c>
      <c r="AS644" s="560">
        <f>IFERROR(LN(INDEX(Data!$I$2:$I$497,MATCH(N644,Data!$A$2:$A$497,1))/INDEX(Data!$I$2:$I$497,MATCH(N632,Data!$A$2:$A$497,1))),"")</f>
        <v>0.163987048644131</v>
      </c>
      <c r="AT644" s="560">
        <f>IFERROR(LN(INDEX(Data!$J$2:$J$497,MATCH(N644,Data!$A$2:$A$497,1))/INDEX(Data!$J$2:$J$497,MATCH(N632,Data!$A$2:$A$497,1))),"")</f>
        <v>-0.0123904253231586</v>
      </c>
      <c r="AU644" s="560">
        <f>IFERROR(LN(INDEX(Data!$K$2:$K$497,MATCH(N644,Data!$A$2:$A$497,1))/INDEX(Data!$K$2:$K$497,MATCH(N632,Data!$A$2:$A$497,1))),"")</f>
        <v>-0.0223601448038728</v>
      </c>
      <c r="AV644" s="561">
        <f>IFERROR(LN(INDEX(Data!$L$2:$L$497,MATCH(N644,Data!$A$2:$A$497,1))/INDEX(Data!$L$2:$L$497,MATCH(N632,Data!$A$2:$A$497,1))),"")</f>
        <v>0.000684161141029319</v>
      </c>
    </row>
    <row r="645">
      <c r="N645" s="337" t="n">
        <v>44347</v>
      </c>
      <c r="O645" s="116">
        <f>INDEX('Additional data'!$B$2:$B$965,MATCH(DATE(YEAR(N645),MONTH(N645),1),'Additional data'!$A$2:$A$965,0))</f>
        <v>65.17</v>
      </c>
      <c r="P645" s="489">
        <f>LN(O645)</f>
        <v>4.17699924034429</v>
      </c>
      <c r="Q645" s="489">
        <f>Q644+LN(1+INDEX('Additional data'!$H$2:$H$1196,MATCH(N645,'Additional data'!$G$2:$G$1196,1))+INDEX('Additional data'!$I$2:$I$1196,MATCH(N645,'Additional data'!$G$2:$G$1196,1)))</f>
        <v>5.38041160518046</v>
      </c>
      <c r="R645" s="489">
        <f>LN(INDEX(Data!$B$2:$B$497,MATCH(N645,Data!$A$2:$A$497,1)))</f>
        <v>11.3107533814062</v>
      </c>
      <c r="S645" s="116">
        <f>IF(INDEX('Additional data'!$E$2:$E$699,MATCH(DATE(YEAR(N645),MONTH(N645),1),'Additional data'!$D$2:$D$699,0))=0,(INDEX('Additional data'!$E$2:$E$699,MATCH(DATE(YEAR(N645),MONTH(N645),1),'Additional data'!$D$2:$D$699,0)-1)+INDEX('Additional data'!$E$2:$E$699,MATCH(DATE(YEAR(N645),MONTH(N645),1),'Additional data'!$D$2:$D$699,0)+1))/2,INDEX('Additional data'!$E$2:$E$699,MATCH(DATE(YEAR(N645),MONTH(N645),1),'Additional data'!$D$2:$D$699,0)))</f>
        <v>0.04</v>
      </c>
      <c r="T645" s="425">
        <f>P645-P644</f>
        <v>0.0543912128493291</v>
      </c>
      <c r="U645" s="425">
        <f>Q645-Q644</f>
        <v>0.00299550897979817</v>
      </c>
      <c r="V645" s="425">
        <f>R645-R644</f>
        <v>0.0193635636728953</v>
      </c>
      <c r="W645" s="116">
        <f>S645-S644</f>
        <v>0</v>
      </c>
      <c r="X645" s="425">
        <f>P645-P633</f>
        <v>0.824992102872905</v>
      </c>
      <c r="Y645" s="425">
        <f>Q645-Q633</f>
        <v>0.36891305158171</v>
      </c>
      <c r="Z645" s="425">
        <f>R645-R633</f>
        <v>0.262059909383407</v>
      </c>
      <c r="AA645" s="116">
        <f>S645-S633</f>
        <v>-0.06</v>
      </c>
      <c r="AB645" s="425">
        <f>P645-P585</f>
        <v>0.333040965830272</v>
      </c>
      <c r="AC645" s="425">
        <f>Q645-Q585</f>
        <v>0.833992506370266</v>
      </c>
      <c r="AD645" s="425">
        <f>R645-R585</f>
        <v>0.497759759030954</v>
      </c>
      <c r="AE645" s="235">
        <f>S645-S585</f>
        <v>-1.96</v>
      </c>
      <c r="AG645" s="554">
        <f>N645</f>
        <v>44347.0</v>
      </c>
      <c r="AH645" s="435">
        <f>IFERROR(INDEX('RBA 5Y yield'!$B$5:$B$661,MATCH(N645,'RBA 5Y yield'!$A$5:$A$661,1))*100,"")</f>
        <v>0.7</v>
      </c>
      <c r="AI645" s="435">
        <f>IF(AND(ISNUMBER(AH645),ISNUMBER(AH644)),AH645-AH644,"")</f>
        <v>0.00800000000000012</v>
      </c>
      <c r="AJ645" s="435">
        <f>IF(AND(ISNUMBER(AH645),ISNUMBER(AH633)),AH645-AH633,"")</f>
        <v>0.305</v>
      </c>
      <c r="AK645" s="435">
        <f>IF(AND(ISNUMBER(AH645),ISNUMBER(AH585)),AH645-AH585,"")</f>
        <v>-1.132</v>
      </c>
      <c r="AL645" s="560">
        <f>IFERROR(LN(INDEX(Data!$B$2:$B$497,MATCH(N645,Data!$A$2:$A$497,1))/INDEX(Data!$B$2:$B$497,MATCH(N633,Data!$A$2:$A$497,1))),"")</f>
        <v>0.262059909383406</v>
      </c>
      <c r="AM645" s="560">
        <f>IFERROR(LN(INDEX(Data!$C$2:$C$497,MATCH(N645,Data!$A$2:$A$497,1))/INDEX(Data!$C$2:$C$497,MATCH(N633,Data!$A$2:$A$497,1))),"")</f>
        <v>0.16519534941582</v>
      </c>
      <c r="AN645" s="560">
        <f>IFERROR(LN(INDEX(Data!$D$2:$D$497,MATCH(N645,Data!$A$2:$A$497,1))/INDEX(Data!$D$2:$D$497,MATCH(N633,Data!$A$2:$A$497,1))),"")</f>
        <v>0.213538106529778</v>
      </c>
      <c r="AO645" s="560">
        <f>IFERROR(LN(INDEX(Data!$E$2:$E$497,MATCH(N645,Data!$A$2:$A$497,1))/INDEX(Data!$E$2:$E$497,MATCH(N633,Data!$A$2:$A$497,1))),"")</f>
        <v>0.134238938275589</v>
      </c>
      <c r="AP645" s="560">
        <f>IFERROR(LN(INDEX(Data!$F$2:$F$497,MATCH(N645,Data!$A$2:$A$497,1))/INDEX(Data!$F$2:$F$497,MATCH(N633,Data!$A$2:$A$497,1))),"")</f>
        <v>0.307372971633056</v>
      </c>
      <c r="AQ645" s="560">
        <f>IFERROR(LN(INDEX(Data!$G$2:$G$497,MATCH(N645,Data!$A$2:$A$497,1))/INDEX(Data!$G$2:$G$497,MATCH(N633,Data!$A$2:$A$497,1))),"")</f>
        <v>0.0840795404381274</v>
      </c>
      <c r="AR645" s="560">
        <f>IFERROR(LN(INDEX(Data!$H$2:$H$497,MATCH(N645,Data!$A$2:$A$497,1))/INDEX(Data!$H$2:$H$497,MATCH(N633,Data!$A$2:$A$497,1))),"")</f>
        <v>0.192216506211617</v>
      </c>
      <c r="AS645" s="560">
        <f>IFERROR(LN(INDEX(Data!$I$2:$I$497,MATCH(N645,Data!$A$2:$A$497,1))/INDEX(Data!$I$2:$I$497,MATCH(N633,Data!$A$2:$A$497,1))),"")</f>
        <v>0.163987048644131</v>
      </c>
      <c r="AT645" s="560">
        <f>IFERROR(LN(INDEX(Data!$J$2:$J$497,MATCH(N645,Data!$A$2:$A$497,1))/INDEX(Data!$J$2:$J$497,MATCH(N633,Data!$A$2:$A$497,1))),"")</f>
        <v>-0.0123555731345006</v>
      </c>
      <c r="AU645" s="560">
        <f>IFERROR(LN(INDEX(Data!$K$2:$K$497,MATCH(N645,Data!$A$2:$A$497,1))/INDEX(Data!$K$2:$K$497,MATCH(N633,Data!$A$2:$A$497,1))),"")</f>
        <v>-0.0208106915068888</v>
      </c>
      <c r="AV645" s="561">
        <f>IFERROR(LN(INDEX(Data!$L$2:$L$497,MATCH(N645,Data!$A$2:$A$497,1))/INDEX(Data!$L$2:$L$497,MATCH(N633,Data!$A$2:$A$497,1))),"")</f>
        <v>0.000634684504779343</v>
      </c>
    </row>
    <row r="646">
      <c r="N646" s="337" t="n">
        <v>44377</v>
      </c>
      <c r="O646" s="116">
        <f>INDEX('Additional data'!$B$2:$B$965,MATCH(DATE(YEAR(N646),MONTH(N646),1),'Additional data'!$A$2:$A$965,0))</f>
        <v>71.38</v>
      </c>
      <c r="P646" s="489">
        <f>LN(O646)</f>
        <v>4.26801771806201</v>
      </c>
      <c r="Q646" s="489">
        <f>Q645+LN(1+INDEX('Additional data'!$H$2:$H$1196,MATCH(N646,'Additional data'!$G$2:$G$1196,1))+INDEX('Additional data'!$I$2:$I$1196,MATCH(N646,'Additional data'!$G$2:$G$1196,1)))</f>
        <v>5.40744294423149</v>
      </c>
      <c r="R646" s="489">
        <f>LN(INDEX(Data!$B$2:$B$497,MATCH(N646,Data!$A$2:$A$497,1)))</f>
        <v>11.3360250620173</v>
      </c>
      <c r="S646" s="116">
        <f>IF(INDEX('Additional data'!$E$2:$E$699,MATCH(DATE(YEAR(N646),MONTH(N646),1),'Additional data'!$D$2:$D$699,0))=0,(INDEX('Additional data'!$E$2:$E$699,MATCH(DATE(YEAR(N646),MONTH(N646),1),'Additional data'!$D$2:$D$699,0)-1)+INDEX('Additional data'!$E$2:$E$699,MATCH(DATE(YEAR(N646),MONTH(N646),1),'Additional data'!$D$2:$D$699,0)+1))/2,INDEX('Additional data'!$E$2:$E$699,MATCH(DATE(YEAR(N646),MONTH(N646),1),'Additional data'!$D$2:$D$699,0)))</f>
        <v>0.03</v>
      </c>
      <c r="T646" s="425">
        <f>P646-P645</f>
        <v>0.091018477717725</v>
      </c>
      <c r="U646" s="425">
        <f>Q646-Q645</f>
        <v>0.0270313390510308</v>
      </c>
      <c r="V646" s="425">
        <f>R646-R645</f>
        <v>0.0252716806111373</v>
      </c>
      <c r="W646" s="116">
        <f>S646-S645</f>
        <v>-0.01</v>
      </c>
      <c r="X646" s="425">
        <f>P646-P634</f>
        <v>0.622306759349456</v>
      </c>
      <c r="Y646" s="425">
        <f>Q646-Q634</f>
        <v>0.371642098109776</v>
      </c>
      <c r="Z646" s="425">
        <f>R646-R634</f>
        <v>0.264217660493298</v>
      </c>
      <c r="AA646" s="116">
        <f>S646-S634</f>
        <v>-0.07</v>
      </c>
      <c r="AB646" s="425">
        <f>P646-P586</f>
        <v>0.381107413448943</v>
      </c>
      <c r="AC646" s="425">
        <f>Q646-Q586</f>
        <v>0.86112385042163</v>
      </c>
      <c r="AD646" s="425">
        <f>R646-R586</f>
        <v>0.546080181447842</v>
      </c>
      <c r="AE646" s="235">
        <f>S646-S586</f>
        <v>-1.96</v>
      </c>
      <c r="AG646" s="554">
        <f>N646</f>
        <v>44377.0</v>
      </c>
      <c r="AH646" s="435">
        <f>IFERROR(INDEX('RBA 5Y yield'!$B$5:$B$661,MATCH(N646,'RBA 5Y yield'!$A$5:$A$661,1))*100,"")</f>
        <v>0.732</v>
      </c>
      <c r="AI646" s="435">
        <f>IF(AND(ISNUMBER(AH646),ISNUMBER(AH645)),AH646-AH645,"")</f>
        <v>0.0319999999999999</v>
      </c>
      <c r="AJ646" s="435">
        <f>IF(AND(ISNUMBER(AH646),ISNUMBER(AH634)),AH646-AH634,"")</f>
        <v>0.329</v>
      </c>
      <c r="AK646" s="435">
        <f>IF(AND(ISNUMBER(AH646),ISNUMBER(AH586)),AH646-AH586,"")</f>
        <v>-0.989</v>
      </c>
      <c r="AL646" s="560">
        <f>IFERROR(LN(INDEX(Data!$B$2:$B$497,MATCH(N646,Data!$A$2:$A$497,1))/INDEX(Data!$B$2:$B$497,MATCH(N634,Data!$A$2:$A$497,1))),"")</f>
        <v>0.264217660493299</v>
      </c>
      <c r="AM646" s="560">
        <f>IFERROR(LN(INDEX(Data!$C$2:$C$497,MATCH(N646,Data!$A$2:$A$497,1))/INDEX(Data!$C$2:$C$497,MATCH(N634,Data!$A$2:$A$497,1))),"")</f>
        <v>0.231995950074769</v>
      </c>
      <c r="AN646" s="560">
        <f>IFERROR(LN(INDEX(Data!$D$2:$D$497,MATCH(N646,Data!$A$2:$A$497,1))/INDEX(Data!$D$2:$D$497,MATCH(N634,Data!$A$2:$A$497,1))),"")</f>
        <v>0.224618274930417</v>
      </c>
      <c r="AO646" s="560">
        <f>IFERROR(LN(INDEX(Data!$E$2:$E$497,MATCH(N646,Data!$A$2:$A$497,1))/INDEX(Data!$E$2:$E$497,MATCH(N634,Data!$A$2:$A$497,1))),"")</f>
        <v>0.205775750181327</v>
      </c>
      <c r="AP646" s="560">
        <f>IFERROR(LN(INDEX(Data!$F$2:$F$497,MATCH(N646,Data!$A$2:$A$497,1))/INDEX(Data!$F$2:$F$497,MATCH(N634,Data!$A$2:$A$497,1))),"")</f>
        <v>0.366850812821026</v>
      </c>
      <c r="AQ646" s="560">
        <f>IFERROR(LN(INDEX(Data!$G$2:$G$497,MATCH(N646,Data!$A$2:$A$497,1))/INDEX(Data!$G$2:$G$497,MATCH(N634,Data!$A$2:$A$497,1))),"")</f>
        <v>0.166929880738106</v>
      </c>
      <c r="AR646" s="560">
        <f>IFERROR(LN(INDEX(Data!$H$2:$H$497,MATCH(N646,Data!$A$2:$A$497,1))/INDEX(Data!$H$2:$H$497,MATCH(N634,Data!$A$2:$A$497,1))),"")</f>
        <v>0.203760190524412</v>
      </c>
      <c r="AS646" s="560">
        <f>IFERROR(LN(INDEX(Data!$I$2:$I$497,MATCH(N646,Data!$A$2:$A$497,1))/INDEX(Data!$I$2:$I$497,MATCH(N634,Data!$A$2:$A$497,1))),"")</f>
        <v>0.201497300989602</v>
      </c>
      <c r="AT646" s="560">
        <f>IFERROR(LN(INDEX(Data!$J$2:$J$497,MATCH(N646,Data!$A$2:$A$497,1))/INDEX(Data!$J$2:$J$497,MATCH(N634,Data!$A$2:$A$497,1))),"")</f>
        <v>-0.00792872852494994</v>
      </c>
      <c r="AU646" s="560">
        <f>IFERROR(LN(INDEX(Data!$K$2:$K$497,MATCH(N646,Data!$A$2:$A$497,1))/INDEX(Data!$K$2:$K$497,MATCH(N634,Data!$A$2:$A$497,1))),"")</f>
        <v>-0.0212117485655139</v>
      </c>
      <c r="AV646" s="561">
        <f>IFERROR(LN(INDEX(Data!$L$2:$L$497,MATCH(N646,Data!$A$2:$A$497,1))/INDEX(Data!$L$2:$L$497,MATCH(N634,Data!$A$2:$A$497,1))),"")</f>
        <v>0.000584681121318542</v>
      </c>
    </row>
    <row r="647">
      <c r="N647" s="337" t="n">
        <v>44408</v>
      </c>
      <c r="O647" s="116">
        <f>INDEX('Additional data'!$B$2:$B$965,MATCH(DATE(YEAR(N647),MONTH(N647),1),'Additional data'!$A$2:$A$965,0))</f>
        <v>72.49</v>
      </c>
      <c r="P647" s="489">
        <f>LN(O647)</f>
        <v>4.28344862131279</v>
      </c>
      <c r="Q647" s="489">
        <f>Q646+LN(1+INDEX('Additional data'!$H$2:$H$1196,MATCH(N647,'Additional data'!$G$2:$G$1196,1))+INDEX('Additional data'!$I$2:$I$1196,MATCH(N647,'Additional data'!$G$2:$G$1196,1)))</f>
        <v>5.42075395829117</v>
      </c>
      <c r="R647" s="489">
        <f>LN(INDEX(Data!$B$2:$B$497,MATCH(N647,Data!$A$2:$A$497,1)))</f>
        <v>11.3465357407464</v>
      </c>
      <c r="S647" s="116">
        <f>IF(INDEX('Additional data'!$E$2:$E$699,MATCH(DATE(YEAR(N647),MONTH(N647),1),'Additional data'!$D$2:$D$699,0))=0,(INDEX('Additional data'!$E$2:$E$699,MATCH(DATE(YEAR(N647),MONTH(N647),1),'Additional data'!$D$2:$D$699,0)-1)+INDEX('Additional data'!$E$2:$E$699,MATCH(DATE(YEAR(N647),MONTH(N647),1),'Additional data'!$D$2:$D$699,0)+1))/2,INDEX('Additional data'!$E$2:$E$699,MATCH(DATE(YEAR(N647),MONTH(N647),1),'Additional data'!$D$2:$D$699,0)))</f>
        <v>0.02</v>
      </c>
      <c r="T647" s="425">
        <f>P647-P646</f>
        <v>0.0154309032507722</v>
      </c>
      <c r="U647" s="425">
        <f>Q647-Q646</f>
        <v>0.0133110140596724</v>
      </c>
      <c r="V647" s="425">
        <f>R647-R646</f>
        <v>0.0105106787290659</v>
      </c>
      <c r="W647" s="116">
        <f>S647-S646</f>
        <v>-0.01</v>
      </c>
      <c r="X647" s="425">
        <f>P647-P635</f>
        <v>0.576974858797898</v>
      </c>
      <c r="Y647" s="425">
        <f>Q647-Q635</f>
        <v>0.32819477835084</v>
      </c>
      <c r="Z647" s="425">
        <f>R647-R635</f>
        <v>0.265290434181091</v>
      </c>
      <c r="AA647" s="116">
        <f>S647-S635</f>
        <v>-0.08</v>
      </c>
      <c r="AB647" s="425">
        <f>P647-P587</f>
        <v>0.484594313990278</v>
      </c>
      <c r="AC647" s="425">
        <f>Q647-Q587</f>
        <v>0.835598840696104</v>
      </c>
      <c r="AD647" s="425">
        <f>R647-R587</f>
        <v>0.495627960879132</v>
      </c>
      <c r="AE647" s="235">
        <f>S647-S587</f>
        <v>-1.91</v>
      </c>
      <c r="AG647" s="554">
        <f>N647</f>
        <v>44408.0</v>
      </c>
      <c r="AH647" s="435">
        <f>IFERROR(INDEX('RBA 5Y yield'!$B$5:$B$661,MATCH(N647,'RBA 5Y yield'!$A$5:$A$661,1))*100,"")</f>
        <v>0.637</v>
      </c>
      <c r="AI647" s="435">
        <f>IF(AND(ISNUMBER(AH647),ISNUMBER(AH646)),AH647-AH646,"")</f>
        <v>-0.095</v>
      </c>
      <c r="AJ647" s="435">
        <f>IF(AND(ISNUMBER(AH647),ISNUMBER(AH635)),AH647-AH635,"")</f>
        <v>0.212</v>
      </c>
      <c r="AK647" s="435">
        <f>IF(AND(ISNUMBER(AH647),ISNUMBER(AH587)),AH647-AH587,"")</f>
        <v>-0.978</v>
      </c>
      <c r="AL647" s="560">
        <f>IFERROR(LN(INDEX(Data!$B$2:$B$497,MATCH(N647,Data!$A$2:$A$497,1))/INDEX(Data!$B$2:$B$497,MATCH(N635,Data!$A$2:$A$497,1))),"")</f>
        <v>0.265290434181092</v>
      </c>
      <c r="AM647" s="560">
        <f>IFERROR(LN(INDEX(Data!$C$2:$C$497,MATCH(N647,Data!$A$2:$A$497,1))/INDEX(Data!$C$2:$C$497,MATCH(N635,Data!$A$2:$A$497,1))),"")</f>
        <v>0.277465912717248</v>
      </c>
      <c r="AN647" s="560">
        <f>IFERROR(LN(INDEX(Data!$D$2:$D$497,MATCH(N647,Data!$A$2:$A$497,1))/INDEX(Data!$D$2:$D$497,MATCH(N635,Data!$A$2:$A$497,1))),"")</f>
        <v>0.145294202649163</v>
      </c>
      <c r="AO647" s="560">
        <f>IFERROR(LN(INDEX(Data!$E$2:$E$497,MATCH(N647,Data!$A$2:$A$497,1))/INDEX(Data!$E$2:$E$497,MATCH(N635,Data!$A$2:$A$497,1))),"")</f>
        <v>0.279317095157447</v>
      </c>
      <c r="AP647" s="560">
        <f>IFERROR(LN(INDEX(Data!$F$2:$F$497,MATCH(N647,Data!$A$2:$A$497,1))/INDEX(Data!$F$2:$F$497,MATCH(N635,Data!$A$2:$A$497,1))),"")</f>
        <v>0.407111616364874</v>
      </c>
      <c r="AQ647" s="560">
        <f>IFERROR(LN(INDEX(Data!$G$2:$G$497,MATCH(N647,Data!$A$2:$A$497,1))/INDEX(Data!$G$2:$G$497,MATCH(N635,Data!$A$2:$A$497,1))),"")</f>
        <v>0.166929880738106</v>
      </c>
      <c r="AR647" s="560">
        <f>IFERROR(LN(INDEX(Data!$H$2:$H$497,MATCH(N647,Data!$A$2:$A$497,1))/INDEX(Data!$H$2:$H$497,MATCH(N635,Data!$A$2:$A$497,1))),"")</f>
        <v>0.19684329058698</v>
      </c>
      <c r="AS647" s="560">
        <f>IFERROR(LN(INDEX(Data!$I$2:$I$497,MATCH(N647,Data!$A$2:$A$497,1))/INDEX(Data!$I$2:$I$497,MATCH(N635,Data!$A$2:$A$497,1))),"")</f>
        <v>0.201497300989602</v>
      </c>
      <c r="AT647" s="560">
        <f>IFERROR(LN(INDEX(Data!$J$2:$J$497,MATCH(N647,Data!$A$2:$A$497,1))/INDEX(Data!$J$2:$J$497,MATCH(N635,Data!$A$2:$A$497,1))),"")</f>
        <v>0.00665679893354967</v>
      </c>
      <c r="AU647" s="560">
        <f>IFERROR(LN(INDEX(Data!$K$2:$K$497,MATCH(N647,Data!$A$2:$A$497,1))/INDEX(Data!$K$2:$K$497,MATCH(N635,Data!$A$2:$A$497,1))),"")</f>
        <v>-0.0116260268611102</v>
      </c>
      <c r="AV647" s="561">
        <f>IFERROR(LN(INDEX(Data!$L$2:$L$497,MATCH(N647,Data!$A$2:$A$497,1))/INDEX(Data!$L$2:$L$497,MATCH(N635,Data!$A$2:$A$497,1))),"")</f>
        <v>0.000530476193622462</v>
      </c>
    </row>
    <row r="648">
      <c r="N648" s="337" t="n">
        <v>44439</v>
      </c>
      <c r="O648" s="116">
        <f>INDEX('Additional data'!$B$2:$B$965,MATCH(DATE(YEAR(N648),MONTH(N648),1),'Additional data'!$A$2:$A$965,0))</f>
        <v>67.73</v>
      </c>
      <c r="P648" s="489">
        <f>LN(O648)</f>
        <v>4.21552921322681</v>
      </c>
      <c r="Q648" s="489">
        <f>Q647+LN(1+INDEX('Additional data'!$H$2:$H$1196,MATCH(N648,'Additional data'!$G$2:$G$1196,1))+INDEX('Additional data'!$I$2:$I$1196,MATCH(N648,'Additional data'!$G$2:$G$1196,1)))</f>
        <v>5.44973006652768</v>
      </c>
      <c r="R648" s="489">
        <f>LN(INDEX(Data!$B$2:$B$497,MATCH(N648,Data!$A$2:$A$497,1)))</f>
        <v>11.3722477046395</v>
      </c>
      <c r="S648" s="116">
        <f>IF(INDEX('Additional data'!$E$2:$E$699,MATCH(DATE(YEAR(N648),MONTH(N648),1),'Additional data'!$D$2:$D$699,0))=0,(INDEX('Additional data'!$E$2:$E$699,MATCH(DATE(YEAR(N648),MONTH(N648),1),'Additional data'!$D$2:$D$699,0)-1)+INDEX('Additional data'!$E$2:$E$699,MATCH(DATE(YEAR(N648),MONTH(N648),1),'Additional data'!$D$2:$D$699,0)+1))/2,INDEX('Additional data'!$E$2:$E$699,MATCH(DATE(YEAR(N648),MONTH(N648),1),'Additional data'!$D$2:$D$699,0)))</f>
        <v>0.01</v>
      </c>
      <c r="T648" s="425">
        <f>P648-P647</f>
        <v>-0.0679194080859737</v>
      </c>
      <c r="U648" s="425">
        <f>Q648-Q647</f>
        <v>0.0289761082365168</v>
      </c>
      <c r="V648" s="425">
        <f>R648-R647</f>
        <v>0.0257119638930998</v>
      </c>
      <c r="W648" s="116">
        <f>S648-S647</f>
        <v>-0.01</v>
      </c>
      <c r="X648" s="425">
        <f>P648-P636</f>
        <v>0.469796947520093</v>
      </c>
      <c r="Y648" s="425">
        <f>Q648-Q636</f>
        <v>0.283641653299241</v>
      </c>
      <c r="Z648" s="425">
        <f>R648-R636</f>
        <v>0.254618006876106</v>
      </c>
      <c r="AA648" s="116">
        <f>S648-S636</f>
        <v>-0.09</v>
      </c>
      <c r="AB648" s="425">
        <f>P648-P588</f>
        <v>0.415108384379969</v>
      </c>
      <c r="AC648" s="425">
        <f>Q648-Q588</f>
        <v>0.859487909884064</v>
      </c>
      <c r="AD648" s="425">
        <f>R648-R588</f>
        <v>0.534696897807772</v>
      </c>
      <c r="AE648" s="235">
        <f>S648-S588</f>
        <v>-1.75</v>
      </c>
      <c r="AG648" s="554">
        <f>N648</f>
        <v>44439.0</v>
      </c>
      <c r="AH648" s="435">
        <f>IFERROR(INDEX('RBA 5Y yield'!$B$5:$B$661,MATCH(N648,'RBA 5Y yield'!$A$5:$A$661,1))*100,"")</f>
        <v>0.575</v>
      </c>
      <c r="AI648" s="435">
        <f>IF(AND(ISNUMBER(AH648),ISNUMBER(AH647)),AH648-AH647,"")</f>
        <v>-0.0620000000000001</v>
      </c>
      <c r="AJ648" s="435">
        <f>IF(AND(ISNUMBER(AH648),ISNUMBER(AH636)),AH648-AH636,"")</f>
        <v>0.15</v>
      </c>
      <c r="AK648" s="435">
        <f>IF(AND(ISNUMBER(AH648),ISNUMBER(AH588)),AH648-AH588,"")</f>
        <v>-0.962</v>
      </c>
      <c r="AL648" s="560">
        <f>IFERROR(LN(INDEX(Data!$B$2:$B$497,MATCH(N648,Data!$A$2:$A$497,1))/INDEX(Data!$B$2:$B$497,MATCH(N636,Data!$A$2:$A$497,1))),"")</f>
        <v>0.254618006876107</v>
      </c>
      <c r="AM648" s="560">
        <f>IFERROR(LN(INDEX(Data!$C$2:$C$497,MATCH(N648,Data!$A$2:$A$497,1))/INDEX(Data!$C$2:$C$497,MATCH(N636,Data!$A$2:$A$497,1))),"")</f>
        <v>0.279466584058576</v>
      </c>
      <c r="AN648" s="560">
        <f>IFERROR(LN(INDEX(Data!$D$2:$D$497,MATCH(N648,Data!$A$2:$A$497,1))/INDEX(Data!$D$2:$D$497,MATCH(N636,Data!$A$2:$A$497,1))),"")</f>
        <v>0.182692293390526</v>
      </c>
      <c r="AO648" s="560">
        <f>IFERROR(LN(INDEX(Data!$E$2:$E$497,MATCH(N648,Data!$A$2:$A$497,1))/INDEX(Data!$E$2:$E$497,MATCH(N636,Data!$A$2:$A$497,1))),"")</f>
        <v>0.320270889088847</v>
      </c>
      <c r="AP648" s="560">
        <f>IFERROR(LN(INDEX(Data!$F$2:$F$497,MATCH(N648,Data!$A$2:$A$497,1))/INDEX(Data!$F$2:$F$497,MATCH(N636,Data!$A$2:$A$497,1))),"")</f>
        <v>0.375481383965246</v>
      </c>
      <c r="AQ648" s="560">
        <f>IFERROR(LN(INDEX(Data!$G$2:$G$497,MATCH(N648,Data!$A$2:$A$497,1))/INDEX(Data!$G$2:$G$497,MATCH(N636,Data!$A$2:$A$497,1))),"")</f>
        <v>0.166929880738106</v>
      </c>
      <c r="AR648" s="560">
        <f>IFERROR(LN(INDEX(Data!$H$2:$H$497,MATCH(N648,Data!$A$2:$A$497,1))/INDEX(Data!$H$2:$H$497,MATCH(N636,Data!$A$2:$A$497,1))),"")</f>
        <v>0.183353798576575</v>
      </c>
      <c r="AS648" s="560">
        <f>IFERROR(LN(INDEX(Data!$I$2:$I$497,MATCH(N648,Data!$A$2:$A$497,1))/INDEX(Data!$I$2:$I$497,MATCH(N636,Data!$A$2:$A$497,1))),"")</f>
        <v>0.201497300989602</v>
      </c>
      <c r="AT648" s="560">
        <f>IFERROR(LN(INDEX(Data!$J$2:$J$497,MATCH(N648,Data!$A$2:$A$497,1))/INDEX(Data!$J$2:$J$497,MATCH(N636,Data!$A$2:$A$497,1))),"")</f>
        <v>0.0115188229041888</v>
      </c>
      <c r="AU648" s="560">
        <f>IFERROR(LN(INDEX(Data!$K$2:$K$497,MATCH(N648,Data!$A$2:$A$497,1))/INDEX(Data!$K$2:$K$497,MATCH(N636,Data!$A$2:$A$497,1))),"")</f>
        <v>-0.0015522714617522</v>
      </c>
      <c r="AV648" s="561">
        <f>IFERROR(LN(INDEX(Data!$L$2:$L$497,MATCH(N648,Data!$A$2:$A$497,1))/INDEX(Data!$L$2:$L$497,MATCH(N636,Data!$A$2:$A$497,1))),"")</f>
        <v>0.000448612060456241</v>
      </c>
    </row>
    <row r="649">
      <c r="N649" s="337" t="n">
        <v>44469</v>
      </c>
      <c r="O649" s="116">
        <f>INDEX('Additional data'!$B$2:$B$965,MATCH(DATE(YEAR(N649),MONTH(N649),1),'Additional data'!$A$2:$A$965,0))</f>
        <v>71.65</v>
      </c>
      <c r="P649" s="489">
        <f>LN(O649)</f>
        <v>4.27179315427418</v>
      </c>
      <c r="Q649" s="489">
        <f>Q648+LN(1+INDEX('Additional data'!$H$2:$H$1196,MATCH(N649,'Additional data'!$G$2:$G$1196,1))+INDEX('Additional data'!$I$2:$I$1196,MATCH(N649,'Additional data'!$G$2:$G$1196,1)))</f>
        <v>5.40473270059695</v>
      </c>
      <c r="R649" s="489">
        <f>LN(INDEX(Data!$B$2:$B$497,MATCH(N649,Data!$A$2:$A$497,1)))</f>
        <v>11.3562939780318</v>
      </c>
      <c r="S649" s="116">
        <f>IF(INDEX('Additional data'!$E$2:$E$699,MATCH(DATE(YEAR(N649),MONTH(N649),1),'Additional data'!$D$2:$D$699,0))=0,(INDEX('Additional data'!$E$2:$E$699,MATCH(DATE(YEAR(N649),MONTH(N649),1),'Additional data'!$D$2:$D$699,0)-1)+INDEX('Additional data'!$E$2:$E$699,MATCH(DATE(YEAR(N649),MONTH(N649),1),'Additional data'!$D$2:$D$699,0)+1))/2,INDEX('Additional data'!$E$2:$E$699,MATCH(DATE(YEAR(N649),MONTH(N649),1),'Additional data'!$D$2:$D$699,0)))</f>
        <v>0.01</v>
      </c>
      <c r="T649" s="425">
        <f>P649-P648</f>
        <v>0.0562639410473684</v>
      </c>
      <c r="U649" s="425">
        <f>Q649-Q648</f>
        <v>-0.0449973659307359</v>
      </c>
      <c r="V649" s="425">
        <f>R649-R648</f>
        <v>-0.0159537266076875</v>
      </c>
      <c r="W649" s="116">
        <f>S649-S648</f>
        <v>0</v>
      </c>
      <c r="X649" s="425">
        <f>P649-P637</f>
        <v>0.592206747071837</v>
      </c>
      <c r="Y649" s="425">
        <f>Q649-Q637</f>
        <v>0.2756195234934</v>
      </c>
      <c r="Z649" s="425">
        <f>R649-R637</f>
        <v>0.273536812738843</v>
      </c>
      <c r="AA649" s="116">
        <f>S649-S637</f>
        <v>-0.08</v>
      </c>
      <c r="AB649" s="425">
        <f>P649-P589</f>
        <v>0.461138643234324</v>
      </c>
      <c r="AC649" s="425">
        <f>Q649-Q589</f>
        <v>0.811594740841303</v>
      </c>
      <c r="AD649" s="425">
        <f>R649-R589</f>
        <v>0.514747491036971</v>
      </c>
      <c r="AE649" s="235">
        <f>S649-S589</f>
        <v>-1.72</v>
      </c>
      <c r="AG649" s="554">
        <f>N649</f>
        <v>44469.0</v>
      </c>
      <c r="AH649" s="435">
        <f>IFERROR(INDEX('RBA 5Y yield'!$B$5:$B$661,MATCH(N649,'RBA 5Y yield'!$A$5:$A$661,1))*100,"")</f>
        <v>0.664</v>
      </c>
      <c r="AI649" s="435">
        <f>IF(AND(ISNUMBER(AH649),ISNUMBER(AH648)),AH649-AH648,"")</f>
        <v>0.0890000000000001</v>
      </c>
      <c r="AJ649" s="435">
        <f>IF(AND(ISNUMBER(AH649),ISNUMBER(AH637)),AH649-AH637,"")</f>
        <v>0.271</v>
      </c>
      <c r="AK649" s="435">
        <f>IF(AND(ISNUMBER(AH649),ISNUMBER(AH589)),AH649-AH589,"")</f>
        <v>-1.031</v>
      </c>
      <c r="AL649" s="560">
        <f>IFERROR(LN(INDEX(Data!$B$2:$B$497,MATCH(N649,Data!$A$2:$A$497,1))/INDEX(Data!$B$2:$B$497,MATCH(N637,Data!$A$2:$A$497,1))),"")</f>
        <v>0.273536812738843</v>
      </c>
      <c r="AM649" s="560">
        <f>IFERROR(LN(INDEX(Data!$C$2:$C$497,MATCH(N649,Data!$A$2:$A$497,1))/INDEX(Data!$C$2:$C$497,MATCH(N637,Data!$A$2:$A$497,1))),"")</f>
        <v>0.251670320896178</v>
      </c>
      <c r="AN649" s="560">
        <f>IFERROR(LN(INDEX(Data!$D$2:$D$497,MATCH(N649,Data!$A$2:$A$497,1))/INDEX(Data!$D$2:$D$497,MATCH(N637,Data!$A$2:$A$497,1))),"")</f>
        <v>0.151225161380581</v>
      </c>
      <c r="AO649" s="560">
        <f>IFERROR(LN(INDEX(Data!$E$2:$E$497,MATCH(N649,Data!$A$2:$A$497,1))/INDEX(Data!$E$2:$E$497,MATCH(N637,Data!$A$2:$A$497,1))),"")</f>
        <v>0.276208968848077</v>
      </c>
      <c r="AP649" s="560">
        <f>IFERROR(LN(INDEX(Data!$F$2:$F$497,MATCH(N649,Data!$A$2:$A$497,1))/INDEX(Data!$F$2:$F$497,MATCH(N637,Data!$A$2:$A$497,1))),"")</f>
        <v>0.451520249462018</v>
      </c>
      <c r="AQ649" s="560">
        <f>IFERROR(LN(INDEX(Data!$G$2:$G$497,MATCH(N649,Data!$A$2:$A$497,1))/INDEX(Data!$G$2:$G$497,MATCH(N637,Data!$A$2:$A$497,1))),"")</f>
        <v>0.208296581190143</v>
      </c>
      <c r="AR649" s="560">
        <f>IFERROR(LN(INDEX(Data!$H$2:$H$497,MATCH(N649,Data!$A$2:$A$497,1))/INDEX(Data!$H$2:$H$497,MATCH(N637,Data!$A$2:$A$497,1))),"")</f>
        <v>0.15121398140543</v>
      </c>
      <c r="AS649" s="560">
        <f>IFERROR(LN(INDEX(Data!$I$2:$I$497,MATCH(N649,Data!$A$2:$A$497,1))/INDEX(Data!$I$2:$I$497,MATCH(N637,Data!$A$2:$A$497,1))),"")</f>
        <v>0.259961855792995</v>
      </c>
      <c r="AT649" s="560">
        <f>IFERROR(LN(INDEX(Data!$J$2:$J$497,MATCH(N649,Data!$A$2:$A$497,1))/INDEX(Data!$J$2:$J$497,MATCH(N637,Data!$A$2:$A$497,1))),"")</f>
        <v>-0.0166513494715659</v>
      </c>
      <c r="AU649" s="560">
        <f>IFERROR(LN(INDEX(Data!$K$2:$K$497,MATCH(N649,Data!$A$2:$A$497,1))/INDEX(Data!$K$2:$K$497,MATCH(N637,Data!$A$2:$A$497,1))),"")</f>
        <v>-0.0236290605912141</v>
      </c>
      <c r="AV649" s="561">
        <f>IFERROR(LN(INDEX(Data!$L$2:$L$497,MATCH(N649,Data!$A$2:$A$497,1))/INDEX(Data!$L$2:$L$497,MATCH(N637,Data!$A$2:$A$497,1))),"")</f>
        <v>0.000381356747023665</v>
      </c>
    </row>
    <row r="650">
      <c r="N650" s="337" t="n">
        <v>44500</v>
      </c>
      <c r="O650" s="116">
        <f>INDEX('Additional data'!$B$2:$B$965,MATCH(DATE(YEAR(N650),MONTH(N650),1),'Additional data'!$A$2:$A$965,0))</f>
        <v>81.48</v>
      </c>
      <c r="P650" s="489">
        <f>LN(O650)</f>
        <v>4.40035759135861</v>
      </c>
      <c r="Q650" s="489">
        <f>Q649+LN(1+INDEX('Additional data'!$H$2:$H$1196,MATCH(N650,'Additional data'!$G$2:$G$1196,1))+INDEX('Additional data'!$I$2:$I$1196,MATCH(N650,'Additional data'!$G$2:$G$1196,1)))</f>
        <v>5.46892741263894</v>
      </c>
      <c r="R650" s="489">
        <f>LN(INDEX(Data!$B$2:$B$497,MATCH(N650,Data!$A$2:$A$497,1)))</f>
        <v>11.3577862877436</v>
      </c>
      <c r="S650" s="116">
        <f>IF(INDEX('Additional data'!$E$2:$E$699,MATCH(DATE(YEAR(N650),MONTH(N650),1),'Additional data'!$D$2:$D$699,0))=0,(INDEX('Additional data'!$E$2:$E$699,MATCH(DATE(YEAR(N650),MONTH(N650),1),'Additional data'!$D$2:$D$699,0)-1)+INDEX('Additional data'!$E$2:$E$699,MATCH(DATE(YEAR(N650),MONTH(N650),1),'Additional data'!$D$2:$D$699,0)+1))/2,INDEX('Additional data'!$E$2:$E$699,MATCH(DATE(YEAR(N650),MONTH(N650),1),'Additional data'!$D$2:$D$699,0)))</f>
        <v>0.04</v>
      </c>
      <c r="T650" s="425">
        <f>P650-P649</f>
        <v>0.128564437084425</v>
      </c>
      <c r="U650" s="425">
        <f>Q650-Q649</f>
        <v>0.0641947120419966</v>
      </c>
      <c r="V650" s="425">
        <f>R650-R649</f>
        <v>0.00149230971179293</v>
      </c>
      <c r="W650" s="116">
        <f>S650-S649</f>
        <v>0.03</v>
      </c>
      <c r="X650" s="425">
        <f>P650-P638</f>
        <v>0.726591775054717</v>
      </c>
      <c r="Y650" s="425">
        <f>Q650-Q638</f>
        <v>0.360731483790786</v>
      </c>
      <c r="Z650" s="425">
        <f>R650-R638</f>
        <v>0.254411153523147</v>
      </c>
      <c r="AA650" s="116">
        <f>S650-S638</f>
        <v>-0.03</v>
      </c>
      <c r="AB650" s="425">
        <f>P650-P590</f>
        <v>0.492744294419159</v>
      </c>
      <c r="AC650" s="425">
        <f>Q650-Q590</f>
        <v>0.895890124590302</v>
      </c>
      <c r="AD650" s="425">
        <f>R650-R590</f>
        <v>0.538245604554449</v>
      </c>
      <c r="AE650" s="235">
        <f>S650-S590</f>
        <v>-1.7</v>
      </c>
      <c r="AG650" s="554">
        <f>N650</f>
        <v>44500.0</v>
      </c>
      <c r="AH650" s="435">
        <f>IFERROR(INDEX('RBA 5Y yield'!$B$5:$B$661,MATCH(N650,'RBA 5Y yield'!$A$5:$A$661,1))*100,"")</f>
        <v>1.105</v>
      </c>
      <c r="AI650" s="435">
        <f>IF(AND(ISNUMBER(AH650),ISNUMBER(AH649)),AH650-AH649,"")</f>
        <v>0.441</v>
      </c>
      <c r="AJ650" s="435">
        <f>IF(AND(ISNUMBER(AH650),ISNUMBER(AH638)),AH650-AH638,"")</f>
        <v>0.814</v>
      </c>
      <c r="AK650" s="435">
        <f>IF(AND(ISNUMBER(AH650),ISNUMBER(AH590)),AH650-AH590,"")</f>
        <v>-0.737</v>
      </c>
      <c r="AL650" s="560">
        <f>IFERROR(LN(INDEX(Data!$B$2:$B$497,MATCH(N650,Data!$A$2:$A$497,1))/INDEX(Data!$B$2:$B$497,MATCH(N638,Data!$A$2:$A$497,1))),"")</f>
        <v>0.254411153523148</v>
      </c>
      <c r="AM650" s="560">
        <f>IFERROR(LN(INDEX(Data!$C$2:$C$497,MATCH(N650,Data!$A$2:$A$497,1))/INDEX(Data!$C$2:$C$497,MATCH(N638,Data!$A$2:$A$497,1))),"")</f>
        <v>0.276783551919984</v>
      </c>
      <c r="AN650" s="560">
        <f>IFERROR(LN(INDEX(Data!$D$2:$D$497,MATCH(N650,Data!$A$2:$A$497,1))/INDEX(Data!$D$2:$D$497,MATCH(N638,Data!$A$2:$A$497,1))),"")</f>
        <v>0.0858137314517301</v>
      </c>
      <c r="AO650" s="560">
        <f>IFERROR(LN(INDEX(Data!$E$2:$E$497,MATCH(N650,Data!$A$2:$A$497,1))/INDEX(Data!$E$2:$E$497,MATCH(N638,Data!$A$2:$A$497,1))),"")</f>
        <v>0.304989120989684</v>
      </c>
      <c r="AP650" s="560">
        <f>IFERROR(LN(INDEX(Data!$F$2:$F$497,MATCH(N650,Data!$A$2:$A$497,1))/INDEX(Data!$F$2:$F$497,MATCH(N638,Data!$A$2:$A$497,1))),"")</f>
        <v>0.484807628169574</v>
      </c>
      <c r="AQ650" s="560">
        <f>IFERROR(LN(INDEX(Data!$G$2:$G$497,MATCH(N650,Data!$A$2:$A$497,1))/INDEX(Data!$G$2:$G$497,MATCH(N638,Data!$A$2:$A$497,1))),"")</f>
        <v>0.208296581190143</v>
      </c>
      <c r="AR650" s="560">
        <f>IFERROR(LN(INDEX(Data!$H$2:$H$497,MATCH(N650,Data!$A$2:$A$497,1))/INDEX(Data!$H$2:$H$497,MATCH(N638,Data!$A$2:$A$497,1))),"")</f>
        <v>0.101416069075327</v>
      </c>
      <c r="AS650" s="560">
        <f>IFERROR(LN(INDEX(Data!$I$2:$I$497,MATCH(N650,Data!$A$2:$A$497,1))/INDEX(Data!$I$2:$I$497,MATCH(N638,Data!$A$2:$A$497,1))),"")</f>
        <v>0.259961855792995</v>
      </c>
      <c r="AT650" s="560">
        <f>IFERROR(LN(INDEX(Data!$J$2:$J$497,MATCH(N650,Data!$A$2:$A$497,1))/INDEX(Data!$J$2:$J$497,MATCH(N638,Data!$A$2:$A$497,1))),"")</f>
        <v>-0.0549270369013758</v>
      </c>
      <c r="AU650" s="560">
        <f>IFERROR(LN(INDEX(Data!$K$2:$K$497,MATCH(N650,Data!$A$2:$A$497,1))/INDEX(Data!$K$2:$K$497,MATCH(N638,Data!$A$2:$A$497,1))),"")</f>
        <v>-0.0252483511205408</v>
      </c>
      <c r="AV650" s="561">
        <f>IFERROR(LN(INDEX(Data!$L$2:$L$497,MATCH(N650,Data!$A$2:$A$497,1))/INDEX(Data!$L$2:$L$497,MATCH(N638,Data!$A$2:$A$497,1))),"")</f>
        <v>0.000269458942059814</v>
      </c>
    </row>
    <row r="651">
      <c r="N651" s="337" t="n">
        <v>44530</v>
      </c>
      <c r="O651" s="116">
        <f>INDEX('Additional data'!$B$2:$B$965,MATCH(DATE(YEAR(N651),MONTH(N651),1),'Additional data'!$A$2:$A$965,0))</f>
        <v>79.15</v>
      </c>
      <c r="P651" s="489">
        <f>LN(O651)</f>
        <v>4.37134478632702</v>
      </c>
      <c r="Q651" s="489">
        <f>Q650+LN(1+INDEX('Additional data'!$H$2:$H$1196,MATCH(N651,'Additional data'!$G$2:$G$1196,1))+INDEX('Additional data'!$I$2:$I$1196,MATCH(N651,'Additional data'!$G$2:$G$1196,1)))</f>
        <v>5.45300126208868</v>
      </c>
      <c r="R651" s="489">
        <f>LN(INDEX(Data!$B$2:$B$497,MATCH(N651,Data!$A$2:$A$497,1)))</f>
        <v>11.3544865290928</v>
      </c>
      <c r="S651" s="116">
        <f>IF(INDEX('Additional data'!$E$2:$E$699,MATCH(DATE(YEAR(N651),MONTH(N651),1),'Additional data'!$D$2:$D$699,0))=0,(INDEX('Additional data'!$E$2:$E$699,MATCH(DATE(YEAR(N651),MONTH(N651),1),'Additional data'!$D$2:$D$699,0)-1)+INDEX('Additional data'!$E$2:$E$699,MATCH(DATE(YEAR(N651),MONTH(N651),1),'Additional data'!$D$2:$D$699,0)+1))/2,INDEX('Additional data'!$E$2:$E$699,MATCH(DATE(YEAR(N651),MONTH(N651),1),'Additional data'!$D$2:$D$699,0)))</f>
        <v>0.04</v>
      </c>
      <c r="T651" s="425">
        <f>P651-P650</f>
        <v>-0.0290128050315843</v>
      </c>
      <c r="U651" s="425">
        <f>Q651-Q650</f>
        <v>-0.0159261505502597</v>
      </c>
      <c r="V651" s="425">
        <f>R651-R650</f>
        <v>-0.00329975865079746</v>
      </c>
      <c r="W651" s="116">
        <f>S651-S650</f>
        <v>0</v>
      </c>
      <c r="X651" s="425">
        <f>P651-P639</f>
        <v>0.659237206093878</v>
      </c>
      <c r="Y651" s="425">
        <f>Q651-Q639</f>
        <v>0.227377916364562</v>
      </c>
      <c r="Z651" s="425">
        <f>R651-R639</f>
        <v>0.154343038738437</v>
      </c>
      <c r="AA651" s="116">
        <f>S651-S639</f>
        <v>0.02</v>
      </c>
      <c r="AB651" s="425">
        <f>P651-P591</f>
        <v>0.550122145225372</v>
      </c>
      <c r="AC651" s="425">
        <f>Q651-Q591</f>
        <v>0.83241267218182</v>
      </c>
      <c r="AD651" s="425">
        <f>R651-R591</f>
        <v>0.510659683586917</v>
      </c>
      <c r="AE651" s="235">
        <f>S651-S591</f>
        <v>-1.72</v>
      </c>
      <c r="AG651" s="554">
        <f>N651</f>
        <v>44530.0</v>
      </c>
      <c r="AH651" s="435">
        <f>IFERROR(INDEX('RBA 5Y yield'!$B$5:$B$661,MATCH(N651,'RBA 5Y yield'!$A$5:$A$661,1))*100,"")</f>
        <v>1.376</v>
      </c>
      <c r="AI651" s="435">
        <f>IF(AND(ISNUMBER(AH651),ISNUMBER(AH650)),AH651-AH650,"")</f>
        <v>0.271</v>
      </c>
      <c r="AJ651" s="435">
        <f>IF(AND(ISNUMBER(AH651),ISNUMBER(AH639)),AH651-AH639,"")</f>
        <v>1.09</v>
      </c>
      <c r="AK651" s="435">
        <f>IF(AND(ISNUMBER(AH651),ISNUMBER(AH591)),AH651-AH591,"")</f>
        <v>-0.64</v>
      </c>
      <c r="AL651" s="560">
        <f>IFERROR(LN(INDEX(Data!$B$2:$B$497,MATCH(N651,Data!$A$2:$A$497,1))/INDEX(Data!$B$2:$B$497,MATCH(N639,Data!$A$2:$A$497,1))),"")</f>
        <v>0.154343038738437</v>
      </c>
      <c r="AM651" s="560">
        <f>IFERROR(LN(INDEX(Data!$C$2:$C$497,MATCH(N651,Data!$A$2:$A$497,1))/INDEX(Data!$C$2:$C$497,MATCH(N639,Data!$A$2:$A$497,1))),"")</f>
        <v>0.254594714104315</v>
      </c>
      <c r="AN651" s="560">
        <f>IFERROR(LN(INDEX(Data!$D$2:$D$497,MATCH(N651,Data!$A$2:$A$497,1))/INDEX(Data!$D$2:$D$497,MATCH(N639,Data!$A$2:$A$497,1))),"")</f>
        <v>0.0839347621575447</v>
      </c>
      <c r="AO651" s="560">
        <f>IFERROR(LN(INDEX(Data!$E$2:$E$497,MATCH(N651,Data!$A$2:$A$497,1))/INDEX(Data!$E$2:$E$497,MATCH(N639,Data!$A$2:$A$497,1))),"")</f>
        <v>0.301785524008456</v>
      </c>
      <c r="AP651" s="560">
        <f>IFERROR(LN(INDEX(Data!$F$2:$F$497,MATCH(N651,Data!$A$2:$A$497,1))/INDEX(Data!$F$2:$F$497,MATCH(N639,Data!$A$2:$A$497,1))),"")</f>
        <v>0.362270984933099</v>
      </c>
      <c r="AQ651" s="560">
        <f>IFERROR(LN(INDEX(Data!$G$2:$G$497,MATCH(N651,Data!$A$2:$A$497,1))/INDEX(Data!$G$2:$G$497,MATCH(N639,Data!$A$2:$A$497,1))),"")</f>
        <v>0.208296581190143</v>
      </c>
      <c r="AR651" s="560">
        <f>IFERROR(LN(INDEX(Data!$H$2:$H$497,MATCH(N651,Data!$A$2:$A$497,1))/INDEX(Data!$H$2:$H$497,MATCH(N639,Data!$A$2:$A$497,1))),"")</f>
        <v>0.165957390694346</v>
      </c>
      <c r="AS651" s="560">
        <f>IFERROR(LN(INDEX(Data!$I$2:$I$497,MATCH(N651,Data!$A$2:$A$497,1))/INDEX(Data!$I$2:$I$497,MATCH(N639,Data!$A$2:$A$497,1))),"")</f>
        <v>0.259961855792995</v>
      </c>
      <c r="AT651" s="560">
        <f>IFERROR(LN(INDEX(Data!$J$2:$J$497,MATCH(N651,Data!$A$2:$A$497,1))/INDEX(Data!$J$2:$J$497,MATCH(N639,Data!$A$2:$A$497,1))),"")</f>
        <v>-0.0330421455767014</v>
      </c>
      <c r="AU651" s="560">
        <f>IFERROR(LN(INDEX(Data!$K$2:$K$497,MATCH(N651,Data!$A$2:$A$497,1))/INDEX(Data!$K$2:$K$497,MATCH(N639,Data!$A$2:$A$497,1))),"")</f>
        <v>-0.0189343408201081</v>
      </c>
      <c r="AV651" s="561">
        <f>IFERROR(LN(INDEX(Data!$L$2:$L$497,MATCH(N651,Data!$A$2:$A$497,1))/INDEX(Data!$L$2:$L$497,MATCH(N639,Data!$A$2:$A$497,1))),"")</f>
        <v>0.000251147030080534</v>
      </c>
    </row>
    <row r="652">
      <c r="N652" s="337" t="n">
        <v>44561</v>
      </c>
      <c r="O652" s="116">
        <f>INDEX('Additional data'!$B$2:$B$965,MATCH(DATE(YEAR(N652),MONTH(N652),1),'Additional data'!$A$2:$A$965,0))</f>
        <v>71.71</v>
      </c>
      <c r="P652" s="489">
        <f>LN(O652)</f>
        <v>4.27263020789448</v>
      </c>
      <c r="Q652" s="489">
        <f>Q651+LN(1+INDEX('Additional data'!$H$2:$H$1196,MATCH(N652,'Additional data'!$G$2:$G$1196,1))+INDEX('Additional data'!$I$2:$I$1196,MATCH(N652,'Additional data'!$G$2:$G$1196,1)))</f>
        <v>5.48488745095101</v>
      </c>
      <c r="R652" s="489">
        <f>LN(INDEX(Data!$B$2:$B$497,MATCH(N652,Data!$A$2:$A$497,1)))</f>
        <v>11.3808339568242</v>
      </c>
      <c r="S652" s="116">
        <f>IF(INDEX('Additional data'!$E$2:$E$699,MATCH(DATE(YEAR(N652),MONTH(N652),1),'Additional data'!$D$2:$D$699,0))=0,(INDEX('Additional data'!$E$2:$E$699,MATCH(DATE(YEAR(N652),MONTH(N652),1),'Additional data'!$D$2:$D$699,0)-1)+INDEX('Additional data'!$E$2:$E$699,MATCH(DATE(YEAR(N652),MONTH(N652),1),'Additional data'!$D$2:$D$699,0)+1))/2,INDEX('Additional data'!$E$2:$E$699,MATCH(DATE(YEAR(N652),MONTH(N652),1),'Additional data'!$D$2:$D$699,0)))</f>
        <v>0.06</v>
      </c>
      <c r="T652" s="425">
        <f>P652-P651</f>
        <v>-0.0987145784325376</v>
      </c>
      <c r="U652" s="425">
        <f>Q652-Q651</f>
        <v>0.0318861888623214</v>
      </c>
      <c r="V652" s="425">
        <f>R652-R651</f>
        <v>0.0263474277314479</v>
      </c>
      <c r="W652" s="116">
        <f>S652-S651</f>
        <v>0.02</v>
      </c>
      <c r="X652" s="425">
        <f>P652-P640</f>
        <v>0.42205716478256</v>
      </c>
      <c r="Y652" s="425">
        <f>Q652-Q640</f>
        <v>0.213908403506086</v>
      </c>
      <c r="Z652" s="425">
        <f>R652-R640</f>
        <v>0.163292750370514</v>
      </c>
      <c r="AA652" s="116">
        <f>S652-S640</f>
        <v>0.04</v>
      </c>
      <c r="AB652" s="425">
        <f>P652-P592</f>
        <v>0.321963578874133</v>
      </c>
      <c r="AC652" s="425">
        <f>Q652-Q592</f>
        <v>0.846066092783082</v>
      </c>
      <c r="AD652" s="425">
        <f>R652-R592</f>
        <v>0.496130202948851</v>
      </c>
      <c r="AE652" s="235">
        <f>S652-S592</f>
        <v>-1.72</v>
      </c>
      <c r="AG652" s="554">
        <f>N652</f>
        <v>44561.0</v>
      </c>
      <c r="AH652" s="435">
        <f>IFERROR(INDEX('RBA 5Y yield'!$B$5:$B$661,MATCH(N652,'RBA 5Y yield'!$A$5:$A$661,1))*100,"")</f>
        <v>1.324</v>
      </c>
      <c r="AI652" s="435">
        <f>IF(AND(ISNUMBER(AH652),ISNUMBER(AH651)),AH652-AH651,"")</f>
        <v>-0.0519999999999998</v>
      </c>
      <c r="AJ652" s="435">
        <f>IF(AND(ISNUMBER(AH652),ISNUMBER(AH640)),AH652-AH640,"")</f>
        <v>0.981</v>
      </c>
      <c r="AK652" s="435">
        <f>IF(AND(ISNUMBER(AH652),ISNUMBER(AH592)),AH652-AH592,"")</f>
        <v>-0.918</v>
      </c>
      <c r="AL652" s="560">
        <f>IFERROR(LN(INDEX(Data!$B$2:$B$497,MATCH(N652,Data!$A$2:$A$497,1))/INDEX(Data!$B$2:$B$497,MATCH(N640,Data!$A$2:$A$497,1))),"")</f>
        <v>0.163292750370515</v>
      </c>
      <c r="AM652" s="560">
        <f>IFERROR(LN(INDEX(Data!$C$2:$C$497,MATCH(N652,Data!$A$2:$A$497,1))/INDEX(Data!$C$2:$C$497,MATCH(N640,Data!$A$2:$A$497,1))),"")</f>
        <v>0.280346905100063</v>
      </c>
      <c r="AN652" s="560">
        <f>IFERROR(LN(INDEX(Data!$D$2:$D$497,MATCH(N652,Data!$A$2:$A$497,1))/INDEX(Data!$D$2:$D$497,MATCH(N640,Data!$A$2:$A$497,1))),"")</f>
        <v>0.0608931705346269</v>
      </c>
      <c r="AO652" s="560">
        <f>IFERROR(LN(INDEX(Data!$E$2:$E$497,MATCH(N652,Data!$A$2:$A$497,1))/INDEX(Data!$E$2:$E$497,MATCH(N640,Data!$A$2:$A$497,1))),"")</f>
        <v>0.360173885659416</v>
      </c>
      <c r="AP652" s="560">
        <f>IFERROR(LN(INDEX(Data!$F$2:$F$497,MATCH(N652,Data!$A$2:$A$497,1))/INDEX(Data!$F$2:$F$497,MATCH(N640,Data!$A$2:$A$497,1))),"")</f>
        <v>0.39853004716783</v>
      </c>
      <c r="AQ652" s="560">
        <f>IFERROR(LN(INDEX(Data!$G$2:$G$497,MATCH(N652,Data!$A$2:$A$497,1))/INDEX(Data!$G$2:$G$497,MATCH(N640,Data!$A$2:$A$497,1))),"")</f>
        <v>0.224443742791828</v>
      </c>
      <c r="AR652" s="560">
        <f>IFERROR(LN(INDEX(Data!$H$2:$H$497,MATCH(N652,Data!$A$2:$A$497,1))/INDEX(Data!$H$2:$H$497,MATCH(N640,Data!$A$2:$A$497,1))),"")</f>
        <v>0.11902115894432</v>
      </c>
      <c r="AS652" s="560">
        <f>IFERROR(LN(INDEX(Data!$I$2:$I$497,MATCH(N652,Data!$A$2:$A$497,1))/INDEX(Data!$I$2:$I$497,MATCH(N640,Data!$A$2:$A$497,1))),"")</f>
        <v>0.296743694171371</v>
      </c>
      <c r="AT652" s="560">
        <f>IFERROR(LN(INDEX(Data!$J$2:$J$497,MATCH(N652,Data!$A$2:$A$497,1))/INDEX(Data!$J$2:$J$497,MATCH(N640,Data!$A$2:$A$497,1))),"")</f>
        <v>-0.0309578910502788</v>
      </c>
      <c r="AU652" s="560">
        <f>IFERROR(LN(INDEX(Data!$K$2:$K$497,MATCH(N652,Data!$A$2:$A$497,1))/INDEX(Data!$K$2:$K$497,MATCH(N640,Data!$A$2:$A$497,1))),"")</f>
        <v>-0.0242440652802043</v>
      </c>
      <c r="AV652" s="561">
        <f>IFERROR(LN(INDEX(Data!$L$2:$L$497,MATCH(N652,Data!$A$2:$A$497,1))/INDEX(Data!$L$2:$L$497,MATCH(N640,Data!$A$2:$A$497,1))),"")</f>
        <v>0.000268083158797623</v>
      </c>
    </row>
    <row r="653">
      <c r="N653" s="337" t="n">
        <v>44592</v>
      </c>
      <c r="O653" s="116">
        <f>INDEX('Additional data'!$B$2:$B$965,MATCH(DATE(YEAR(N653),MONTH(N653),1),'Additional data'!$A$2:$A$965,0))</f>
        <v>83.22</v>
      </c>
      <c r="P653" s="489">
        <f>LN(O653)</f>
        <v>4.4214877035548</v>
      </c>
      <c r="Q653" s="489">
        <f>Q652+LN(1+INDEX('Additional data'!$H$2:$H$1196,MATCH(N653,'Additional data'!$G$2:$G$1196,1))+INDEX('Additional data'!$I$2:$I$1196,MATCH(N653,'Additional data'!$G$2:$G$1196,1)))</f>
        <v>5.42130846930813</v>
      </c>
      <c r="R653" s="489">
        <f>LN(INDEX(Data!$B$2:$B$497,MATCH(N653,Data!$A$2:$A$497,1)))</f>
        <v>11.3129305675151</v>
      </c>
      <c r="S653" s="116">
        <f>IF(INDEX('Additional data'!$E$2:$E$699,MATCH(DATE(YEAR(N653),MONTH(N653),1),'Additional data'!$D$2:$D$699,0))=0,(INDEX('Additional data'!$E$2:$E$699,MATCH(DATE(YEAR(N653),MONTH(N653),1),'Additional data'!$D$2:$D$699,0)-1)+INDEX('Additional data'!$E$2:$E$699,MATCH(DATE(YEAR(N653),MONTH(N653),1),'Additional data'!$D$2:$D$699,0)+1))/2,INDEX('Additional data'!$E$2:$E$699,MATCH(DATE(YEAR(N653),MONTH(N653),1),'Additional data'!$D$2:$D$699,0)))</f>
        <v>0.07</v>
      </c>
      <c r="T653" s="425">
        <f>P653-P652</f>
        <v>0.148857495660311</v>
      </c>
      <c r="U653" s="425">
        <f>Q653-Q652</f>
        <v>-0.0635789816428716</v>
      </c>
      <c r="V653" s="425">
        <f>R653-R652</f>
        <v>-0.0679033893091834</v>
      </c>
      <c r="W653" s="116">
        <f>S653-S652</f>
        <v>0.01</v>
      </c>
      <c r="X653" s="425">
        <f>P653-P641</f>
        <v>0.470243984973367</v>
      </c>
      <c r="Y653" s="425">
        <f>Q653-Q641</f>
        <v>0.151029666977609</v>
      </c>
      <c r="Z653" s="425">
        <f>R653-R641</f>
        <v>0.0923781634320537</v>
      </c>
      <c r="AA653" s="116">
        <f>S653-S641</f>
        <v>0.06</v>
      </c>
      <c r="AB653" s="425">
        <f>P653-P593</f>
        <v>0.460674533957217</v>
      </c>
      <c r="AC653" s="425">
        <f>Q653-Q593</f>
        <v>0.762880581501293</v>
      </c>
      <c r="AD653" s="425">
        <f>R653-R593</f>
        <v>0.435911447243711</v>
      </c>
      <c r="AE653" s="235">
        <f>S653-S593</f>
        <v>-1.71</v>
      </c>
      <c r="AG653" s="554">
        <f>N653</f>
        <v>44592.0</v>
      </c>
      <c r="AH653" s="435">
        <f>IFERROR(INDEX('RBA 5Y yield'!$B$5:$B$661,MATCH(N653,'RBA 5Y yield'!$A$5:$A$661,1))*100,"")</f>
        <v>1.543</v>
      </c>
      <c r="AI653" s="435">
        <f>IF(AND(ISNUMBER(AH653),ISNUMBER(AH652)),AH653-AH652,"")</f>
        <v>0.219</v>
      </c>
      <c r="AJ653" s="435">
        <f>IF(AND(ISNUMBER(AH653),ISNUMBER(AH641)),AH653-AH641,"")</f>
        <v>1.17</v>
      </c>
      <c r="AK653" s="435">
        <f>IF(AND(ISNUMBER(AH653),ISNUMBER(AH593)),AH653-AH593,"")</f>
        <v>-0.668</v>
      </c>
      <c r="AL653" s="560">
        <f>IFERROR(LN(INDEX(Data!$B$2:$B$497,MATCH(N653,Data!$A$2:$A$497,1))/INDEX(Data!$B$2:$B$497,MATCH(N641,Data!$A$2:$A$497,1))),"")</f>
        <v>0.0923781634320541</v>
      </c>
      <c r="AM653" s="560">
        <f>IFERROR(LN(INDEX(Data!$C$2:$C$497,MATCH(N653,Data!$A$2:$A$497,1))/INDEX(Data!$C$2:$C$497,MATCH(N641,Data!$A$2:$A$497,1))),"")</f>
        <v>0.263212841930981</v>
      </c>
      <c r="AN653" s="560">
        <f>IFERROR(LN(INDEX(Data!$D$2:$D$497,MATCH(N653,Data!$A$2:$A$497,1))/INDEX(Data!$D$2:$D$497,MATCH(N641,Data!$A$2:$A$497,1))),"")</f>
        <v>0.0310176742884406</v>
      </c>
      <c r="AO653" s="560">
        <f>IFERROR(LN(INDEX(Data!$E$2:$E$497,MATCH(N653,Data!$A$2:$A$497,1))/INDEX(Data!$E$2:$E$497,MATCH(N641,Data!$A$2:$A$497,1))),"")</f>
        <v>0.319982849392356</v>
      </c>
      <c r="AP653" s="560">
        <f>IFERROR(LN(INDEX(Data!$F$2:$F$497,MATCH(N653,Data!$A$2:$A$497,1))/INDEX(Data!$F$2:$F$497,MATCH(N641,Data!$A$2:$A$497,1))),"")</f>
        <v>0.486042456788392</v>
      </c>
      <c r="AQ653" s="560">
        <f>IFERROR(LN(INDEX(Data!$G$2:$G$497,MATCH(N653,Data!$A$2:$A$497,1))/INDEX(Data!$G$2:$G$497,MATCH(N641,Data!$A$2:$A$497,1))),"")</f>
        <v>0.224443742791828</v>
      </c>
      <c r="AR653" s="560">
        <f>IFERROR(LN(INDEX(Data!$H$2:$H$497,MATCH(N653,Data!$A$2:$A$497,1))/INDEX(Data!$H$2:$H$497,MATCH(N641,Data!$A$2:$A$497,1))),"")</f>
        <v>0.108348612649422</v>
      </c>
      <c r="AS653" s="560">
        <f>IFERROR(LN(INDEX(Data!$I$2:$I$497,MATCH(N653,Data!$A$2:$A$497,1))/INDEX(Data!$I$2:$I$497,MATCH(N641,Data!$A$2:$A$497,1))),"")</f>
        <v>0.296743694171371</v>
      </c>
      <c r="AT653" s="560">
        <f>IFERROR(LN(INDEX(Data!$J$2:$J$497,MATCH(N653,Data!$A$2:$A$497,1))/INDEX(Data!$J$2:$J$497,MATCH(N641,Data!$A$2:$A$497,1))),"")</f>
        <v>-0.0374170445512871</v>
      </c>
      <c r="AU653" s="560">
        <f>IFERROR(LN(INDEX(Data!$K$2:$K$497,MATCH(N653,Data!$A$2:$A$497,1))/INDEX(Data!$K$2:$K$497,MATCH(N641,Data!$A$2:$A$497,1))),"")</f>
        <v>-0.0338472654620449</v>
      </c>
      <c r="AV653" s="561">
        <f>IFERROR(LN(INDEX(Data!$L$2:$L$497,MATCH(N653,Data!$A$2:$A$497,1))/INDEX(Data!$L$2:$L$497,MATCH(N641,Data!$A$2:$A$497,1))),"")</f>
        <v>0.000305190491143158</v>
      </c>
    </row>
    <row r="654">
      <c r="N654" s="337" t="n">
        <v>44620</v>
      </c>
      <c r="O654" s="116">
        <f>INDEX('Additional data'!$B$2:$B$965,MATCH(DATE(YEAR(N654),MONTH(N654),1),'Additional data'!$A$2:$A$965,0))</f>
        <v>91.64</v>
      </c>
      <c r="P654" s="489">
        <f>LN(O654)</f>
        <v>4.5178678575853</v>
      </c>
      <c r="Q654" s="489">
        <f>Q653+LN(1+INDEX('Additional data'!$H$2:$H$1196,MATCH(N654,'Additional data'!$G$2:$G$1196,1))+INDEX('Additional data'!$I$2:$I$1196,MATCH(N654,'Additional data'!$G$2:$G$1196,1)))</f>
        <v>5.39824452970958</v>
      </c>
      <c r="R654" s="489">
        <f>LN(INDEX(Data!$B$2:$B$497,MATCH(N654,Data!$A$2:$A$497,1)))</f>
        <v>11.3300576491634</v>
      </c>
      <c r="S654" s="116">
        <f>IF(INDEX('Additional data'!$E$2:$E$699,MATCH(DATE(YEAR(N654),MONTH(N654),1),'Additional data'!$D$2:$D$699,0))=0,(INDEX('Additional data'!$E$2:$E$699,MATCH(DATE(YEAR(N654),MONTH(N654),1),'Additional data'!$D$2:$D$699,0)-1)+INDEX('Additional data'!$E$2:$E$699,MATCH(DATE(YEAR(N654),MONTH(N654),1),'Additional data'!$D$2:$D$699,0)+1))/2,INDEX('Additional data'!$E$2:$E$699,MATCH(DATE(YEAR(N654),MONTH(N654),1),'Additional data'!$D$2:$D$699,0)))</f>
        <v>0.07</v>
      </c>
      <c r="T654" s="425">
        <f>P654-P653</f>
        <v>0.0963801540305003</v>
      </c>
      <c r="U654" s="425">
        <f>Q654-Q653</f>
        <v>-0.0230639395985515</v>
      </c>
      <c r="V654" s="425">
        <f>R654-R653</f>
        <v>0.017127081648372</v>
      </c>
      <c r="W654" s="116">
        <f>S654-S653</f>
        <v>0</v>
      </c>
      <c r="X654" s="425">
        <f>P654-P642</f>
        <v>0.439652677293078</v>
      </c>
      <c r="Y654" s="425">
        <f>Q654-Q642</f>
        <v>0.100253288812521</v>
      </c>
      <c r="Z654" s="425">
        <f>R654-R642</f>
        <v>0.0953549271955154</v>
      </c>
      <c r="AA654" s="116">
        <f>S654-S642</f>
        <v>0.06</v>
      </c>
      <c r="AB654" s="425">
        <f>P654-P594</f>
        <v>0.538747108624655</v>
      </c>
      <c r="AC654" s="425">
        <f>Q654-Q594</f>
        <v>0.704546027820822</v>
      </c>
      <c r="AD654" s="425">
        <f>R654-R594</f>
        <v>0.432366088656829</v>
      </c>
      <c r="AE654" s="235">
        <f>S654-S594</f>
        <v>-1.71</v>
      </c>
      <c r="AG654" s="554">
        <f>N654</f>
        <v>44620.0</v>
      </c>
      <c r="AH654" s="435">
        <f>IFERROR(INDEX('RBA 5Y yield'!$B$5:$B$661,MATCH(N654,'RBA 5Y yield'!$A$5:$A$661,1))*100,"")</f>
        <v>1.813</v>
      </c>
      <c r="AI654" s="435">
        <f>IF(AND(ISNUMBER(AH654),ISNUMBER(AH653)),AH654-AH653,"")</f>
        <v>0.27</v>
      </c>
      <c r="AJ654" s="435">
        <f>IF(AND(ISNUMBER(AH654),ISNUMBER(AH642)),AH654-AH642,"")</f>
        <v>1.328</v>
      </c>
      <c r="AK654" s="435">
        <f>IF(AND(ISNUMBER(AH654),ISNUMBER(AH594)),AH654-AH594,"")</f>
        <v>-0.404</v>
      </c>
      <c r="AL654" s="560">
        <f>IFERROR(LN(INDEX(Data!$B$2:$B$497,MATCH(N654,Data!$A$2:$A$497,1))/INDEX(Data!$B$2:$B$497,MATCH(N642,Data!$A$2:$A$497,1))),"")</f>
        <v>0.0953549271955142</v>
      </c>
      <c r="AM654" s="560">
        <f>IFERROR(LN(INDEX(Data!$C$2:$C$497,MATCH(N654,Data!$A$2:$A$497,1))/INDEX(Data!$C$2:$C$497,MATCH(N642,Data!$A$2:$A$497,1))),"")</f>
        <v>0.18973054969787</v>
      </c>
      <c r="AN654" s="560">
        <f>IFERROR(LN(INDEX(Data!$D$2:$D$497,MATCH(N654,Data!$A$2:$A$497,1))/INDEX(Data!$D$2:$D$497,MATCH(N642,Data!$A$2:$A$497,1))),"")</f>
        <v>-0.0237944304206786</v>
      </c>
      <c r="AO654" s="560">
        <f>IFERROR(LN(INDEX(Data!$E$2:$E$497,MATCH(N654,Data!$A$2:$A$497,1))/INDEX(Data!$E$2:$E$497,MATCH(N642,Data!$A$2:$A$497,1))),"")</f>
        <v>0.244657456324819</v>
      </c>
      <c r="AP654" s="560">
        <f>IFERROR(LN(INDEX(Data!$F$2:$F$497,MATCH(N654,Data!$A$2:$A$497,1))/INDEX(Data!$F$2:$F$497,MATCH(N642,Data!$A$2:$A$497,1))),"")</f>
        <v>0.449061362495468</v>
      </c>
      <c r="AQ654" s="560">
        <f>IFERROR(LN(INDEX(Data!$G$2:$G$497,MATCH(N654,Data!$A$2:$A$497,1))/INDEX(Data!$G$2:$G$497,MATCH(N642,Data!$A$2:$A$497,1))),"")</f>
        <v>0.224443742791828</v>
      </c>
      <c r="AR654" s="560">
        <f>IFERROR(LN(INDEX(Data!$H$2:$H$497,MATCH(N654,Data!$A$2:$A$497,1))/INDEX(Data!$H$2:$H$497,MATCH(N642,Data!$A$2:$A$497,1))),"")</f>
        <v>0.0642599024685712</v>
      </c>
      <c r="AS654" s="560">
        <f>IFERROR(LN(INDEX(Data!$I$2:$I$497,MATCH(N654,Data!$A$2:$A$497,1))/INDEX(Data!$I$2:$I$497,MATCH(N642,Data!$A$2:$A$497,1))),"")</f>
        <v>0.296743694171371</v>
      </c>
      <c r="AT654" s="560">
        <f>IFERROR(LN(INDEX(Data!$J$2:$J$497,MATCH(N654,Data!$A$2:$A$497,1))/INDEX(Data!$J$2:$J$497,MATCH(N642,Data!$A$2:$A$497,1))),"")</f>
        <v>-0.0155899339124147</v>
      </c>
      <c r="AU654" s="560">
        <f>IFERROR(LN(INDEX(Data!$K$2:$K$497,MATCH(N654,Data!$A$2:$A$497,1))/INDEX(Data!$K$2:$K$497,MATCH(N642,Data!$A$2:$A$497,1))),"")</f>
        <v>-0.0201279098529404</v>
      </c>
      <c r="AV654" s="561">
        <f>IFERROR(LN(INDEX(Data!$L$2:$L$497,MATCH(N654,Data!$A$2:$A$497,1))/INDEX(Data!$L$2:$L$497,MATCH(N642,Data!$A$2:$A$497,1))),"")</f>
        <v>0.000354276820502718</v>
      </c>
    </row>
    <row r="655">
      <c r="N655" s="337" t="n">
        <v>44651</v>
      </c>
      <c r="O655" s="116">
        <f>INDEX('Additional data'!$B$2:$B$965,MATCH(DATE(YEAR(N655),MONTH(N655),1),'Additional data'!$A$2:$A$965,0))</f>
        <v>108.5</v>
      </c>
      <c r="P655" s="489">
        <f>LN(O655)</f>
        <v>4.68675017298051</v>
      </c>
      <c r="Q655" s="489">
        <f>Q654+LN(1+INDEX('Additional data'!$H$2:$H$1196,MATCH(N655,'Additional data'!$G$2:$G$1196,1))+INDEX('Additional data'!$I$2:$I$1196,MATCH(N655,'Additional data'!$G$2:$G$1196,1)))</f>
        <v>5.42857972950566</v>
      </c>
      <c r="R655" s="489">
        <f>LN(INDEX(Data!$B$2:$B$497,MATCH(N655,Data!$A$2:$A$497,1)))</f>
        <v>11.3969029355717</v>
      </c>
      <c r="S655" s="116">
        <f>IF(INDEX('Additional data'!$E$2:$E$699,MATCH(DATE(YEAR(N655),MONTH(N655),1),'Additional data'!$D$2:$D$699,0))=0,(INDEX('Additional data'!$E$2:$E$699,MATCH(DATE(YEAR(N655),MONTH(N655),1),'Additional data'!$D$2:$D$699,0)-1)+INDEX('Additional data'!$E$2:$E$699,MATCH(DATE(YEAR(N655),MONTH(N655),1),'Additional data'!$D$2:$D$699,0)+1))/2,INDEX('Additional data'!$E$2:$E$699,MATCH(DATE(YEAR(N655),MONTH(N655),1),'Additional data'!$D$2:$D$699,0)))</f>
        <v>0.17</v>
      </c>
      <c r="T655" s="425">
        <f>P655-P654</f>
        <v>0.168882315395219</v>
      </c>
      <c r="U655" s="425">
        <f>Q655-Q654</f>
        <v>0.030335199796073</v>
      </c>
      <c r="V655" s="425">
        <f>R655-R654</f>
        <v>0.0668452864082259</v>
      </c>
      <c r="W655" s="116">
        <f>S655-S654</f>
        <v>0.1</v>
      </c>
      <c r="X655" s="425">
        <f>P655-P643</f>
        <v>0.554307322159755</v>
      </c>
      <c r="Y655" s="425">
        <f>Q655-Q643</f>
        <v>0.0994774935835414</v>
      </c>
      <c r="Z655" s="425">
        <f>R655-R643</f>
        <v>0.143930658999459</v>
      </c>
      <c r="AA655" s="116">
        <f>S655-S643</f>
        <v>0.14</v>
      </c>
      <c r="AB655" s="425">
        <f>P655-P595</f>
        <v>0.788217757734868</v>
      </c>
      <c r="AC655" s="425">
        <f>Q655-Q595</f>
        <v>0.732883224954222</v>
      </c>
      <c r="AD655" s="425">
        <f>R655-R595</f>
        <v>0.468136025329654</v>
      </c>
      <c r="AE655" s="235">
        <f>S655-S595</f>
        <v>-1.62</v>
      </c>
      <c r="AG655" s="554">
        <f>N655</f>
        <v>44651.0</v>
      </c>
      <c r="AH655" s="435">
        <f>IFERROR(INDEX('RBA 5Y yield'!$B$5:$B$661,MATCH(N655,'RBA 5Y yield'!$A$5:$A$661,1))*100,"")</f>
        <v>2.21</v>
      </c>
      <c r="AI655" s="435">
        <f>IF(AND(ISNUMBER(AH655),ISNUMBER(AH654)),AH655-AH654,"")</f>
        <v>0.397</v>
      </c>
      <c r="AJ655" s="435">
        <f>IF(AND(ISNUMBER(AH655),ISNUMBER(AH643)),AH655-AH643,"")</f>
        <v>1.502</v>
      </c>
      <c r="AK655" s="435">
        <f>IF(AND(ISNUMBER(AH655),ISNUMBER(AH595)),AH655-AH595,"")</f>
        <v>-0.0840000000000001</v>
      </c>
      <c r="AL655" s="560">
        <f>IFERROR(LN(INDEX(Data!$B$2:$B$497,MATCH(N655,Data!$A$2:$A$497,1))/INDEX(Data!$B$2:$B$497,MATCH(N643,Data!$A$2:$A$497,1))),"")</f>
        <v>0.14393065899946</v>
      </c>
      <c r="AM655" s="560">
        <f>IFERROR(LN(INDEX(Data!$C$2:$C$497,MATCH(N655,Data!$A$2:$A$497,1))/INDEX(Data!$C$2:$C$497,MATCH(N643,Data!$A$2:$A$497,1))),"")</f>
        <v>0.128534023781839</v>
      </c>
      <c r="AN655" s="560">
        <f>IFERROR(LN(INDEX(Data!$D$2:$D$497,MATCH(N655,Data!$A$2:$A$497,1))/INDEX(Data!$D$2:$D$497,MATCH(N643,Data!$A$2:$A$497,1))),"")</f>
        <v>-0.086398052304196</v>
      </c>
      <c r="AO655" s="560">
        <f>IFERROR(LN(INDEX(Data!$E$2:$E$497,MATCH(N655,Data!$A$2:$A$497,1))/INDEX(Data!$E$2:$E$497,MATCH(N643,Data!$A$2:$A$497,1))),"")</f>
        <v>0.209299246124314</v>
      </c>
      <c r="AP655" s="560">
        <f>IFERROR(LN(INDEX(Data!$F$2:$F$497,MATCH(N655,Data!$A$2:$A$497,1))/INDEX(Data!$F$2:$F$497,MATCH(N643,Data!$A$2:$A$497,1))),"")</f>
        <v>0.512193984403084</v>
      </c>
      <c r="AQ655" s="560">
        <f>IFERROR(LN(INDEX(Data!$G$2:$G$497,MATCH(N655,Data!$A$2:$A$497,1))/INDEX(Data!$G$2:$G$497,MATCH(N643,Data!$A$2:$A$497,1))),"")</f>
        <v>0.199151329209199</v>
      </c>
      <c r="AR655" s="560">
        <f>IFERROR(LN(INDEX(Data!$H$2:$H$497,MATCH(N655,Data!$A$2:$A$497,1))/INDEX(Data!$H$2:$H$497,MATCH(N643,Data!$A$2:$A$497,1))),"")</f>
        <v>0.00229572715091611</v>
      </c>
      <c r="AS655" s="560">
        <f>IFERROR(LN(INDEX(Data!$I$2:$I$497,MATCH(N655,Data!$A$2:$A$497,1))/INDEX(Data!$I$2:$I$497,MATCH(N643,Data!$A$2:$A$497,1))),"")</f>
        <v>0.309923912719286</v>
      </c>
      <c r="AT655" s="560">
        <f>IFERROR(LN(INDEX(Data!$J$2:$J$497,MATCH(N655,Data!$A$2:$A$497,1))/INDEX(Data!$J$2:$J$497,MATCH(N643,Data!$A$2:$A$497,1))),"")</f>
        <v>-0.0618465503182927</v>
      </c>
      <c r="AU655" s="560">
        <f>IFERROR(LN(INDEX(Data!$K$2:$K$497,MATCH(N655,Data!$A$2:$A$497,1))/INDEX(Data!$K$2:$K$497,MATCH(N643,Data!$A$2:$A$497,1))),"")</f>
        <v>-0.0450702166140115</v>
      </c>
      <c r="AV655" s="561">
        <f>IFERROR(LN(INDEX(Data!$L$2:$L$497,MATCH(N655,Data!$A$2:$A$497,1))/INDEX(Data!$L$2:$L$497,MATCH(N643,Data!$A$2:$A$497,1))),"")</f>
        <v>0.000386572580635379</v>
      </c>
    </row>
    <row r="656">
      <c r="N656" s="337" t="n">
        <v>44681</v>
      </c>
      <c r="O656" s="116">
        <f>INDEX('Additional data'!$B$2:$B$965,MATCH(DATE(YEAR(N656),MONTH(N656),1),'Additional data'!$A$2:$A$965,0))</f>
        <v>101.78</v>
      </c>
      <c r="P656" s="489">
        <f>LN(O656)</f>
        <v>4.62281362116069</v>
      </c>
      <c r="Q656" s="489">
        <f>Q655+LN(1+INDEX('Additional data'!$H$2:$H$1196,MATCH(N656,'Additional data'!$G$2:$G$1196,1))+INDEX('Additional data'!$I$2:$I$1196,MATCH(N656,'Additional data'!$G$2:$G$1196,1)))</f>
        <v>5.32975337519876</v>
      </c>
      <c r="R656" s="489">
        <f>LN(INDEX(Data!$B$2:$B$497,MATCH(N656,Data!$A$2:$A$497,1)))</f>
        <v>11.3887196070765</v>
      </c>
      <c r="S656" s="116">
        <f>IF(INDEX('Additional data'!$E$2:$E$699,MATCH(DATE(YEAR(N656),MONTH(N656),1),'Additional data'!$D$2:$D$699,0))=0,(INDEX('Additional data'!$E$2:$E$699,MATCH(DATE(YEAR(N656),MONTH(N656),1),'Additional data'!$D$2:$D$699,0)-1)+INDEX('Additional data'!$E$2:$E$699,MATCH(DATE(YEAR(N656),MONTH(N656),1),'Additional data'!$D$2:$D$699,0)+1))/2,INDEX('Additional data'!$E$2:$E$699,MATCH(DATE(YEAR(N656),MONTH(N656),1),'Additional data'!$D$2:$D$699,0)))</f>
        <v>0.41</v>
      </c>
      <c r="T656" s="425">
        <f>P656-P655</f>
        <v>-0.0639365518198281</v>
      </c>
      <c r="U656" s="425">
        <f>Q656-Q655</f>
        <v>-0.0988263543068948</v>
      </c>
      <c r="V656" s="425">
        <f>R656-R655</f>
        <v>-0.00818332849519798</v>
      </c>
      <c r="W656" s="116">
        <f>S656-S655</f>
        <v>0.24</v>
      </c>
      <c r="X656" s="425">
        <f>P656-P644</f>
        <v>0.500205593665727</v>
      </c>
      <c r="Y656" s="425">
        <f>Q656-Q644</f>
        <v>-0.0476627210019043</v>
      </c>
      <c r="Z656" s="425">
        <f>R656-R644</f>
        <v>0.0973297893431706</v>
      </c>
      <c r="AA656" s="116">
        <f>S656-S644</f>
        <v>0.37</v>
      </c>
      <c r="AB656" s="425">
        <f>P656-P596</f>
        <v>0.689812209347349</v>
      </c>
      <c r="AC656" s="425">
        <f>Q656-Q596</f>
        <v>0.62282023872134</v>
      </c>
      <c r="AD656" s="425">
        <f>R656-R596</f>
        <v>0.452189941793611</v>
      </c>
      <c r="AE656" s="235">
        <f>S656-S596</f>
        <v>-1.36</v>
      </c>
      <c r="AG656" s="554">
        <f>N656</f>
        <v>44681.0</v>
      </c>
      <c r="AH656" s="435">
        <f>IFERROR(INDEX('RBA 5Y yield'!$B$5:$B$661,MATCH(N656,'RBA 5Y yield'!$A$5:$A$661,1))*100,"")</f>
        <v>2.774</v>
      </c>
      <c r="AI656" s="435">
        <f>IF(AND(ISNUMBER(AH656),ISNUMBER(AH655)),AH656-AH655,"")</f>
        <v>0.564</v>
      </c>
      <c r="AJ656" s="435">
        <f>IF(AND(ISNUMBER(AH656),ISNUMBER(AH644)),AH656-AH644,"")</f>
        <v>2.082</v>
      </c>
      <c r="AK656" s="435">
        <f>IF(AND(ISNUMBER(AH656),ISNUMBER(AH596)),AH656-AH596,"")</f>
        <v>0.686</v>
      </c>
      <c r="AL656" s="560">
        <f>IFERROR(LN(INDEX(Data!$B$2:$B$497,MATCH(N656,Data!$A$2:$A$497,1))/INDEX(Data!$B$2:$B$497,MATCH(N644,Data!$A$2:$A$497,1))),"")</f>
        <v>0.0973297893431706</v>
      </c>
      <c r="AM656" s="560">
        <f>IFERROR(LN(INDEX(Data!$C$2:$C$497,MATCH(N656,Data!$A$2:$A$497,1))/INDEX(Data!$C$2:$C$497,MATCH(N644,Data!$A$2:$A$497,1))),"")</f>
        <v>0.0866923841721166</v>
      </c>
      <c r="AN656" s="560">
        <f>IFERROR(LN(INDEX(Data!$D$2:$D$497,MATCH(N656,Data!$A$2:$A$497,1))/INDEX(Data!$D$2:$D$497,MATCH(N644,Data!$A$2:$A$497,1))),"")</f>
        <v>-0.0688743464290382</v>
      </c>
      <c r="AO656" s="560">
        <f>IFERROR(LN(INDEX(Data!$E$2:$E$497,MATCH(N656,Data!$A$2:$A$497,1))/INDEX(Data!$E$2:$E$497,MATCH(N644,Data!$A$2:$A$497,1))),"")</f>
        <v>0.180257074607985</v>
      </c>
      <c r="AP656" s="560">
        <f>IFERROR(LN(INDEX(Data!$F$2:$F$497,MATCH(N656,Data!$A$2:$A$497,1))/INDEX(Data!$F$2:$F$497,MATCH(N644,Data!$A$2:$A$497,1))),"")</f>
        <v>0.552268410144006</v>
      </c>
      <c r="AQ656" s="560">
        <f>IFERROR(LN(INDEX(Data!$G$2:$G$497,MATCH(N656,Data!$A$2:$A$497,1))/INDEX(Data!$G$2:$G$497,MATCH(N644,Data!$A$2:$A$497,1))),"")</f>
        <v>0.199151329209199</v>
      </c>
      <c r="AR656" s="560">
        <f>IFERROR(LN(INDEX(Data!$H$2:$H$497,MATCH(N656,Data!$A$2:$A$497,1))/INDEX(Data!$H$2:$H$497,MATCH(N644,Data!$A$2:$A$497,1))),"")</f>
        <v>0.00838051364923082</v>
      </c>
      <c r="AS656" s="560">
        <f>IFERROR(LN(INDEX(Data!$I$2:$I$497,MATCH(N656,Data!$A$2:$A$497,1))/INDEX(Data!$I$2:$I$497,MATCH(N644,Data!$A$2:$A$497,1))),"")</f>
        <v>0.309923912719286</v>
      </c>
      <c r="AT656" s="560">
        <f>IFERROR(LN(INDEX(Data!$J$2:$J$497,MATCH(N656,Data!$A$2:$A$497,1))/INDEX(Data!$J$2:$J$497,MATCH(N644,Data!$A$2:$A$497,1))),"")</f>
        <v>-0.0869438445061651</v>
      </c>
      <c r="AU656" s="560">
        <f>IFERROR(LN(INDEX(Data!$K$2:$K$497,MATCH(N656,Data!$A$2:$A$497,1))/INDEX(Data!$K$2:$K$497,MATCH(N644,Data!$A$2:$A$497,1))),"")</f>
        <v>-0.0672284612527692</v>
      </c>
      <c r="AV656" s="561">
        <f>IFERROR(LN(INDEX(Data!$L$2:$L$497,MATCH(N656,Data!$A$2:$A$497,1))/INDEX(Data!$L$2:$L$497,MATCH(N644,Data!$A$2:$A$497,1))),"")</f>
        <v>0.000214648341646564</v>
      </c>
    </row>
    <row r="657">
      <c r="N657" s="337" t="n">
        <v>44712</v>
      </c>
      <c r="O657" s="116">
        <f>INDEX('Additional data'!$B$2:$B$965,MATCH(DATE(YEAR(N657),MONTH(N657),1),'Additional data'!$A$2:$A$965,0))</f>
        <v>109.55</v>
      </c>
      <c r="P657" s="489">
        <f>LN(O657)</f>
        <v>4.69638106604148</v>
      </c>
      <c r="Q657" s="489">
        <f>Q656+LN(1+INDEX('Additional data'!$H$2:$H$1196,MATCH(N657,'Additional data'!$G$2:$G$1196,1))+INDEX('Additional data'!$I$2:$I$1196,MATCH(N657,'Additional data'!$G$2:$G$1196,1)))</f>
        <v>5.32664856024528</v>
      </c>
      <c r="R657" s="489">
        <f>LN(INDEX(Data!$B$2:$B$497,MATCH(N657,Data!$A$2:$A$497,1)))</f>
        <v>11.3569367572437</v>
      </c>
      <c r="S657" s="116">
        <f>IF(INDEX('Additional data'!$E$2:$E$699,MATCH(DATE(YEAR(N657),MONTH(N657),1),'Additional data'!$D$2:$D$699,0))=0,(INDEX('Additional data'!$E$2:$E$699,MATCH(DATE(YEAR(N657),MONTH(N657),1),'Additional data'!$D$2:$D$699,0)-1)+INDEX('Additional data'!$E$2:$E$699,MATCH(DATE(YEAR(N657),MONTH(N657),1),'Additional data'!$D$2:$D$699,0)+1))/2,INDEX('Additional data'!$E$2:$E$699,MATCH(DATE(YEAR(N657),MONTH(N657),1),'Additional data'!$D$2:$D$699,0)))</f>
        <v>1</v>
      </c>
      <c r="T657" s="425">
        <f>P657-P656</f>
        <v>0.0735674448807888</v>
      </c>
      <c r="U657" s="425">
        <f>Q657-Q656</f>
        <v>-0.00310481495347847</v>
      </c>
      <c r="V657" s="425">
        <f>R657-R656</f>
        <v>-0.0317828498327462</v>
      </c>
      <c r="W657" s="116">
        <f>S657-S656</f>
        <v>0.59</v>
      </c>
      <c r="X657" s="425">
        <f>P657-P645</f>
        <v>0.519381825697186</v>
      </c>
      <c r="Y657" s="425">
        <f>Q657-Q645</f>
        <v>-0.0537630449351809</v>
      </c>
      <c r="Z657" s="425">
        <f>R657-R645</f>
        <v>0.0461833758375292</v>
      </c>
      <c r="AA657" s="116">
        <f>S657-S645</f>
        <v>0.96</v>
      </c>
      <c r="AB657" s="425">
        <f>P657-P597</f>
        <v>0.815229724280416</v>
      </c>
      <c r="AC657" s="425">
        <f>Q657-Q597</f>
        <v>0.608478791841874</v>
      </c>
      <c r="AD657" s="425">
        <f>R657-R597</f>
        <v>0.446542237902827</v>
      </c>
      <c r="AE657" s="235">
        <f>S657-S597</f>
        <v>-0.73</v>
      </c>
      <c r="AG657" s="554">
        <f>N657</f>
        <v>44712.0</v>
      </c>
      <c r="AH657" s="435">
        <f>IFERROR(INDEX('RBA 5Y yield'!$B$5:$B$661,MATCH(N657,'RBA 5Y yield'!$A$5:$A$661,1))*100,"")</f>
        <v>3.091</v>
      </c>
      <c r="AI657" s="435">
        <f>IF(AND(ISNUMBER(AH657),ISNUMBER(AH656)),AH657-AH656,"")</f>
        <v>0.317</v>
      </c>
      <c r="AJ657" s="435">
        <f>IF(AND(ISNUMBER(AH657),ISNUMBER(AH645)),AH657-AH645,"")</f>
        <v>2.391</v>
      </c>
      <c r="AK657" s="435">
        <f>IF(AND(ISNUMBER(AH657),ISNUMBER(AH597)),AH657-AH597,"")</f>
        <v>1.041</v>
      </c>
      <c r="AL657" s="560">
        <f>IFERROR(LN(INDEX(Data!$B$2:$B$497,MATCH(N657,Data!$A$2:$A$497,1))/INDEX(Data!$B$2:$B$497,MATCH(N645,Data!$A$2:$A$497,1))),"")</f>
        <v>0.0461833758375301</v>
      </c>
      <c r="AM657" s="560">
        <f>IFERROR(LN(INDEX(Data!$C$2:$C$497,MATCH(N657,Data!$A$2:$A$497,1))/INDEX(Data!$C$2:$C$497,MATCH(N645,Data!$A$2:$A$497,1))),"")</f>
        <v>0.0669631988473596</v>
      </c>
      <c r="AN657" s="560">
        <f>IFERROR(LN(INDEX(Data!$D$2:$D$497,MATCH(N657,Data!$A$2:$A$497,1))/INDEX(Data!$D$2:$D$497,MATCH(N645,Data!$A$2:$A$497,1))),"")</f>
        <v>-0.0912456869740609</v>
      </c>
      <c r="AO657" s="560">
        <f>IFERROR(LN(INDEX(Data!$E$2:$E$497,MATCH(N657,Data!$A$2:$A$497,1))/INDEX(Data!$E$2:$E$497,MATCH(N645,Data!$A$2:$A$497,1))),"")</f>
        <v>0.109542520137026</v>
      </c>
      <c r="AP657" s="560">
        <f>IFERROR(LN(INDEX(Data!$F$2:$F$497,MATCH(N657,Data!$A$2:$A$497,1))/INDEX(Data!$F$2:$F$497,MATCH(N645,Data!$A$2:$A$497,1))),"")</f>
        <v>0.569503467904742</v>
      </c>
      <c r="AQ657" s="560">
        <f>IFERROR(LN(INDEX(Data!$G$2:$G$497,MATCH(N657,Data!$A$2:$A$497,1))/INDEX(Data!$G$2:$G$497,MATCH(N645,Data!$A$2:$A$497,1))),"")</f>
        <v>0.199151329209199</v>
      </c>
      <c r="AR657" s="560">
        <f>IFERROR(LN(INDEX(Data!$H$2:$H$497,MATCH(N657,Data!$A$2:$A$497,1))/INDEX(Data!$H$2:$H$497,MATCH(N645,Data!$A$2:$A$497,1))),"")</f>
        <v>-0.00995153125931753</v>
      </c>
      <c r="AS657" s="560">
        <f>IFERROR(LN(INDEX(Data!$I$2:$I$497,MATCH(N657,Data!$A$2:$A$497,1))/INDEX(Data!$I$2:$I$497,MATCH(N645,Data!$A$2:$A$497,1))),"")</f>
        <v>0.309923912719286</v>
      </c>
      <c r="AT657" s="560">
        <f>IFERROR(LN(INDEX(Data!$J$2:$J$497,MATCH(N657,Data!$A$2:$A$497,1))/INDEX(Data!$J$2:$J$497,MATCH(N645,Data!$A$2:$A$497,1))),"")</f>
        <v>-0.0990081217362518</v>
      </c>
      <c r="AU657" s="560">
        <f>IFERROR(LN(INDEX(Data!$K$2:$K$497,MATCH(N657,Data!$A$2:$A$497,1))/INDEX(Data!$K$2:$K$497,MATCH(N645,Data!$A$2:$A$497,1))),"")</f>
        <v>-0.0729993788397515</v>
      </c>
      <c r="AV657" s="561">
        <f>IFERROR(LN(INDEX(Data!$L$2:$L$497,MATCH(N657,Data!$A$2:$A$497,1))/INDEX(Data!$L$2:$L$497,MATCH(N645,Data!$A$2:$A$497,1))),"")</f>
        <v>0.00049712929214326</v>
      </c>
    </row>
    <row r="658">
      <c r="N658" s="337" t="n">
        <v>44742</v>
      </c>
      <c r="O658" s="116">
        <f>INDEX('Additional data'!$B$2:$B$965,MATCH(DATE(YEAR(N658),MONTH(N658),1),'Additional data'!$A$2:$A$965,0))</f>
        <v>114.84</v>
      </c>
      <c r="P658" s="489">
        <f>LN(O658)</f>
        <v>4.74353985525286</v>
      </c>
      <c r="Q658" s="489">
        <f>Q657+LN(1+INDEX('Additional data'!$H$2:$H$1196,MATCH(N658,'Additional data'!$G$2:$G$1196,1))+INDEX('Additional data'!$I$2:$I$1196,MATCH(N658,'Additional data'!$G$2:$G$1196,1)))</f>
        <v>5.23956445333817</v>
      </c>
      <c r="R658" s="489">
        <f>LN(INDEX(Data!$B$2:$B$497,MATCH(N658,Data!$A$2:$A$497,1)))</f>
        <v>11.2586898721431</v>
      </c>
      <c r="S658" s="116">
        <f>IF(INDEX('Additional data'!$E$2:$E$699,MATCH(DATE(YEAR(N658),MONTH(N658),1),'Additional data'!$D$2:$D$699,0))=0,(INDEX('Additional data'!$E$2:$E$699,MATCH(DATE(YEAR(N658),MONTH(N658),1),'Additional data'!$D$2:$D$699,0)-1)+INDEX('Additional data'!$E$2:$E$699,MATCH(DATE(YEAR(N658),MONTH(N658),1),'Additional data'!$D$2:$D$699,0)+1))/2,INDEX('Additional data'!$E$2:$E$699,MATCH(DATE(YEAR(N658),MONTH(N658),1),'Additional data'!$D$2:$D$699,0)))</f>
        <v>1.6</v>
      </c>
      <c r="T658" s="425">
        <f>P658-P657</f>
        <v>0.0471587892113883</v>
      </c>
      <c r="U658" s="425">
        <f>Q658-Q657</f>
        <v>-0.0870841069071133</v>
      </c>
      <c r="V658" s="425">
        <f>R658-R657</f>
        <v>-0.0982468851006448</v>
      </c>
      <c r="W658" s="116">
        <f>S658-S657</f>
        <v>0.6</v>
      </c>
      <c r="X658" s="425">
        <f>P658-P646</f>
        <v>0.47552213719085</v>
      </c>
      <c r="Y658" s="425">
        <f>Q658-Q646</f>
        <v>-0.167878490893325</v>
      </c>
      <c r="Z658" s="425">
        <f>R658-R646</f>
        <v>-0.0773351898742529</v>
      </c>
      <c r="AA658" s="116">
        <f>S658-S646</f>
        <v>1.57</v>
      </c>
      <c r="AB658" s="425">
        <f>P658-P598</f>
        <v>0.932885344213006</v>
      </c>
      <c r="AC658" s="425">
        <f>Q658-Q598</f>
        <v>0.512930606522631</v>
      </c>
      <c r="AD658" s="425">
        <f>R658-R598</f>
        <v>0.345473847423435</v>
      </c>
      <c r="AE658" s="235">
        <f>S658-S598</f>
        <v>-0.12</v>
      </c>
      <c r="AG658" s="554">
        <f>N658</f>
        <v>44742.0</v>
      </c>
      <c r="AH658" s="435">
        <f>IFERROR(INDEX('RBA 5Y yield'!$B$5:$B$661,MATCH(N658,'RBA 5Y yield'!$A$5:$A$661,1))*100,"")</f>
        <v>3.495</v>
      </c>
      <c r="AI658" s="435">
        <f>IF(AND(ISNUMBER(AH658),ISNUMBER(AH657)),AH658-AH657,"")</f>
        <v>0.404</v>
      </c>
      <c r="AJ658" s="435">
        <f>IF(AND(ISNUMBER(AH658),ISNUMBER(AH646)),AH658-AH646,"")</f>
        <v>2.763</v>
      </c>
      <c r="AK658" s="435">
        <f>IF(AND(ISNUMBER(AH658),ISNUMBER(AH598)),AH658-AH598,"")</f>
        <v>1.508</v>
      </c>
      <c r="AL658" s="560">
        <f>IFERROR(LN(INDEX(Data!$B$2:$B$497,MATCH(N658,Data!$A$2:$A$497,1))/INDEX(Data!$B$2:$B$497,MATCH(N646,Data!$A$2:$A$497,1))),"")</f>
        <v>-0.0773351898742529</v>
      </c>
      <c r="AM658" s="560">
        <f>IFERROR(LN(INDEX(Data!$C$2:$C$497,MATCH(N658,Data!$A$2:$A$497,1))/INDEX(Data!$C$2:$C$497,MATCH(N646,Data!$A$2:$A$497,1))),"")</f>
        <v>-0.0253256773701886</v>
      </c>
      <c r="AN658" s="560">
        <f>IFERROR(LN(INDEX(Data!$D$2:$D$497,MATCH(N658,Data!$A$2:$A$497,1))/INDEX(Data!$D$2:$D$497,MATCH(N646,Data!$A$2:$A$497,1))),"")</f>
        <v>-0.133905511202254</v>
      </c>
      <c r="AO658" s="560">
        <f>IFERROR(LN(INDEX(Data!$E$2:$E$497,MATCH(N658,Data!$A$2:$A$497,1))/INDEX(Data!$E$2:$E$497,MATCH(N646,Data!$A$2:$A$497,1))),"")</f>
        <v>0.0201452786854935</v>
      </c>
      <c r="AP658" s="560">
        <f>IFERROR(LN(INDEX(Data!$F$2:$F$497,MATCH(N658,Data!$A$2:$A$497,1))/INDEX(Data!$F$2:$F$497,MATCH(N646,Data!$A$2:$A$497,1))),"")</f>
        <v>0.459679395039256</v>
      </c>
      <c r="AQ658" s="560">
        <f>IFERROR(LN(INDEX(Data!$G$2:$G$497,MATCH(N658,Data!$A$2:$A$497,1))/INDEX(Data!$G$2:$G$497,MATCH(N646,Data!$A$2:$A$497,1))),"")</f>
        <v>0.137357737189426</v>
      </c>
      <c r="AR658" s="560">
        <f>IFERROR(LN(INDEX(Data!$H$2:$H$497,MATCH(N658,Data!$A$2:$A$497,1))/INDEX(Data!$H$2:$H$497,MATCH(N646,Data!$A$2:$A$497,1))),"")</f>
        <v>-0.00903735936746587</v>
      </c>
      <c r="AS658" s="560">
        <f>IFERROR(LN(INDEX(Data!$I$2:$I$497,MATCH(N658,Data!$A$2:$A$497,1))/INDEX(Data!$I$2:$I$497,MATCH(N646,Data!$A$2:$A$497,1))),"")</f>
        <v>0.125674455372504</v>
      </c>
      <c r="AT658" s="560">
        <f>IFERROR(LN(INDEX(Data!$J$2:$J$497,MATCH(N658,Data!$A$2:$A$497,1))/INDEX(Data!$J$2:$J$497,MATCH(N646,Data!$A$2:$A$497,1))),"")</f>
        <v>-0.124820052684821</v>
      </c>
      <c r="AU658" s="560">
        <f>IFERROR(LN(INDEX(Data!$K$2:$K$497,MATCH(N658,Data!$A$2:$A$497,1))/INDEX(Data!$K$2:$K$497,MATCH(N646,Data!$A$2:$A$497,1))),"")</f>
        <v>-0.0978488248909532</v>
      </c>
      <c r="AV658" s="561">
        <f>IFERROR(LN(INDEX(Data!$L$2:$L$497,MATCH(N658,Data!$A$2:$A$497,1))/INDEX(Data!$L$2:$L$497,MATCH(N646,Data!$A$2:$A$497,1))),"")</f>
        <v>0.000962708970810852</v>
      </c>
    </row>
    <row r="659">
      <c r="N659" s="337" t="n">
        <v>44773</v>
      </c>
      <c r="O659" s="116">
        <f>INDEX('Additional data'!$B$2:$B$965,MATCH(DATE(YEAR(N659),MONTH(N659),1),'Additional data'!$A$2:$A$965,0))</f>
        <v>101.62</v>
      </c>
      <c r="P659" s="489">
        <f>LN(O659)</f>
        <v>4.62124036616559</v>
      </c>
      <c r="Q659" s="489">
        <f>Q658+LN(1+INDEX('Additional data'!$H$2:$H$1196,MATCH(N659,'Additional data'!$G$2:$G$1196,1))+INDEX('Additional data'!$I$2:$I$1196,MATCH(N659,'Additional data'!$G$2:$G$1196,1)))</f>
        <v>5.33168774221397</v>
      </c>
      <c r="R659" s="489">
        <f>LN(INDEX(Data!$B$2:$B$497,MATCH(N659,Data!$A$2:$A$497,1)))</f>
        <v>11.3201735544646</v>
      </c>
      <c r="S659" s="116">
        <f>IF(INDEX('Additional data'!$E$2:$E$699,MATCH(DATE(YEAR(N659),MONTH(N659),1),'Additional data'!$D$2:$D$699,0))=0,(INDEX('Additional data'!$E$2:$E$699,MATCH(DATE(YEAR(N659),MONTH(N659),1),'Additional data'!$D$2:$D$699,0)-1)+INDEX('Additional data'!$E$2:$E$699,MATCH(DATE(YEAR(N659),MONTH(N659),1),'Additional data'!$D$2:$D$699,0)+1))/2,INDEX('Additional data'!$E$2:$E$699,MATCH(DATE(YEAR(N659),MONTH(N659),1),'Additional data'!$D$2:$D$699,0)))</f>
        <v>2.07</v>
      </c>
      <c r="T659" s="425">
        <f>P659-P658</f>
        <v>-0.122299489087277</v>
      </c>
      <c r="U659" s="425">
        <f>Q659-Q658</f>
        <v>0.0921232888758059</v>
      </c>
      <c r="V659" s="425">
        <f>R659-R658</f>
        <v>0.0614836823214962</v>
      </c>
      <c r="W659" s="116">
        <f>S659-S658</f>
        <v>0.47</v>
      </c>
      <c r="X659" s="425">
        <f>P659-P647</f>
        <v>0.3377917448528</v>
      </c>
      <c r="Y659" s="425">
        <f>Q659-Q647</f>
        <v>-0.0890662160771916</v>
      </c>
      <c r="Z659" s="425">
        <f>R659-R647</f>
        <v>-0.0263621862818226</v>
      </c>
      <c r="AA659" s="116">
        <f>S659-S647</f>
        <v>2.05</v>
      </c>
      <c r="AB659" s="425">
        <f>P659-P599</f>
        <v>0.778996255345357</v>
      </c>
      <c r="AC659" s="425">
        <f>Q659-Q599</f>
        <v>0.585741584366065</v>
      </c>
      <c r="AD659" s="425">
        <f>R659-R599</f>
        <v>0.405146056102389</v>
      </c>
      <c r="AE659" s="235">
        <f>S659-S599</f>
        <v>0.37</v>
      </c>
      <c r="AG659" s="554">
        <f>N659</f>
        <v>44773.0</v>
      </c>
      <c r="AH659" s="435">
        <f>IFERROR(INDEX('RBA 5Y yield'!$B$5:$B$661,MATCH(N659,'RBA 5Y yield'!$A$5:$A$661,1))*100,"")</f>
        <v>3.158</v>
      </c>
      <c r="AI659" s="435">
        <f>IF(AND(ISNUMBER(AH659),ISNUMBER(AH658)),AH659-AH658,"")</f>
        <v>-0.337000000000001</v>
      </c>
      <c r="AJ659" s="435">
        <f>IF(AND(ISNUMBER(AH659),ISNUMBER(AH647)),AH659-AH647,"")</f>
        <v>2.521</v>
      </c>
      <c r="AK659" s="435">
        <f>IF(AND(ISNUMBER(AH659),ISNUMBER(AH599)),AH659-AH599,"")</f>
        <v>0.945999999999999</v>
      </c>
      <c r="AL659" s="560">
        <f>IFERROR(LN(INDEX(Data!$B$2:$B$497,MATCH(N659,Data!$A$2:$A$497,1))/INDEX(Data!$B$2:$B$497,MATCH(N647,Data!$A$2:$A$497,1))),"")</f>
        <v>-0.0263621862818227</v>
      </c>
      <c r="AM659" s="560">
        <f>IFERROR(LN(INDEX(Data!$C$2:$C$497,MATCH(N659,Data!$A$2:$A$497,1))/INDEX(Data!$C$2:$C$497,MATCH(N647,Data!$A$2:$A$497,1))),"")</f>
        <v>-0.00135571739540789</v>
      </c>
      <c r="AN659" s="560">
        <f>IFERROR(LN(INDEX(Data!$D$2:$D$497,MATCH(N659,Data!$A$2:$A$497,1))/INDEX(Data!$D$2:$D$497,MATCH(N647,Data!$A$2:$A$497,1))),"")</f>
        <v>-0.105379345506619</v>
      </c>
      <c r="AO659" s="560">
        <f>IFERROR(LN(INDEX(Data!$E$2:$E$497,MATCH(N659,Data!$A$2:$A$497,1))/INDEX(Data!$E$2:$E$497,MATCH(N647,Data!$A$2:$A$497,1))),"")</f>
        <v>0.0236780049826162</v>
      </c>
      <c r="AP659" s="560">
        <f>IFERROR(LN(INDEX(Data!$F$2:$F$497,MATCH(N659,Data!$A$2:$A$497,1))/INDEX(Data!$F$2:$F$497,MATCH(N647,Data!$A$2:$A$497,1))),"")</f>
        <v>0.407849794681328</v>
      </c>
      <c r="AQ659" s="560">
        <f>IFERROR(LN(INDEX(Data!$G$2:$G$497,MATCH(N659,Data!$A$2:$A$497,1))/INDEX(Data!$G$2:$G$497,MATCH(N647,Data!$A$2:$A$497,1))),"")</f>
        <v>0.137357737189426</v>
      </c>
      <c r="AR659" s="560">
        <f>IFERROR(LN(INDEX(Data!$H$2:$H$497,MATCH(N659,Data!$A$2:$A$497,1))/INDEX(Data!$H$2:$H$497,MATCH(N647,Data!$A$2:$A$497,1))),"")</f>
        <v>-0.0997688305217544</v>
      </c>
      <c r="AS659" s="560">
        <f>IFERROR(LN(INDEX(Data!$I$2:$I$497,MATCH(N659,Data!$A$2:$A$497,1))/INDEX(Data!$I$2:$I$497,MATCH(N647,Data!$A$2:$A$497,1))),"")</f>
        <v>0.125674455372504</v>
      </c>
      <c r="AT659" s="560">
        <f>IFERROR(LN(INDEX(Data!$J$2:$J$497,MATCH(N659,Data!$A$2:$A$497,1))/INDEX(Data!$J$2:$J$497,MATCH(N647,Data!$A$2:$A$497,1))),"")</f>
        <v>-0.106761363240068</v>
      </c>
      <c r="AU659" s="560">
        <f>IFERROR(LN(INDEX(Data!$K$2:$K$497,MATCH(N659,Data!$A$2:$A$497,1))/INDEX(Data!$K$2:$K$497,MATCH(N647,Data!$A$2:$A$497,1))),"")</f>
        <v>-0.0855616851900166</v>
      </c>
      <c r="AV659" s="561">
        <f>IFERROR(LN(INDEX(Data!$L$2:$L$497,MATCH(N659,Data!$A$2:$A$497,1))/INDEX(Data!$L$2:$L$497,MATCH(N647,Data!$A$2:$A$497,1))),"")</f>
        <v>0.00220387021168002</v>
      </c>
    </row>
    <row r="660">
      <c r="N660" s="337" t="n">
        <v>44804</v>
      </c>
      <c r="O660" s="116">
        <f>INDEX('Additional data'!$B$2:$B$965,MATCH(DATE(YEAR(N660),MONTH(N660),1),'Additional data'!$A$2:$A$965,0))</f>
        <v>93.67</v>
      </c>
      <c r="P660" s="489">
        <f>LN(O660)</f>
        <v>4.53977796722104</v>
      </c>
      <c r="Q660" s="489">
        <f>Q659+LN(1+INDEX('Additional data'!$H$2:$H$1196,MATCH(N660,'Additional data'!$G$2:$G$1196,1))+INDEX('Additional data'!$I$2:$I$1196,MATCH(N660,'Additional data'!$G$2:$G$1196,1)))</f>
        <v>5.29523120520336</v>
      </c>
      <c r="R660" s="489">
        <f>LN(INDEX(Data!$B$2:$B$497,MATCH(N660,Data!$A$2:$A$497,1)))</f>
        <v>11.3328944064328</v>
      </c>
      <c r="S660" s="116">
        <f>IF(INDEX('Additional data'!$E$2:$E$699,MATCH(DATE(YEAR(N660),MONTH(N660),1),'Additional data'!$D$2:$D$699,0))=0,(INDEX('Additional data'!$E$2:$E$699,MATCH(DATE(YEAR(N660),MONTH(N660),1),'Additional data'!$D$2:$D$699,0)-1)+INDEX('Additional data'!$E$2:$E$699,MATCH(DATE(YEAR(N660),MONTH(N660),1),'Additional data'!$D$2:$D$699,0)+1))/2,INDEX('Additional data'!$E$2:$E$699,MATCH(DATE(YEAR(N660),MONTH(N660),1),'Additional data'!$D$2:$D$699,0)))</f>
        <v>2.31</v>
      </c>
      <c r="T660" s="425">
        <f>P660-P659</f>
        <v>-0.0814623989445469</v>
      </c>
      <c r="U660" s="425">
        <f>Q660-Q659</f>
        <v>-0.0364565370106149</v>
      </c>
      <c r="V660" s="425">
        <f>R660-R659</f>
        <v>0.0127208519682149</v>
      </c>
      <c r="W660" s="116">
        <f>S660-S659</f>
        <v>0.24</v>
      </c>
      <c r="X660" s="425">
        <f>P660-P648</f>
        <v>0.324248753994227</v>
      </c>
      <c r="Y660" s="425">
        <f>Q660-Q648</f>
        <v>-0.154498861324323</v>
      </c>
      <c r="Z660" s="425">
        <f>R660-R648</f>
        <v>-0.0393532982067075</v>
      </c>
      <c r="AA660" s="116">
        <f>S660-S648</f>
        <v>2.3</v>
      </c>
      <c r="AB660" s="425">
        <f>P660-P600</f>
        <v>0.667743970009256</v>
      </c>
      <c r="AC660" s="425">
        <f>Q660-Q600</f>
        <v>0.546588685807707</v>
      </c>
      <c r="AD660" s="425">
        <f>R660-R600</f>
        <v>0.409997157902362</v>
      </c>
      <c r="AE660" s="235">
        <f>S660-S600</f>
        <v>0.61</v>
      </c>
      <c r="AG660" s="554">
        <f>N660</f>
        <v>44804.0</v>
      </c>
      <c r="AH660" s="435">
        <f>IFERROR(INDEX('RBA 5Y yield'!$B$5:$B$661,MATCH(N660,'RBA 5Y yield'!$A$5:$A$661,1))*100,"")</f>
        <v>3.149</v>
      </c>
      <c r="AI660" s="435">
        <f>IF(AND(ISNUMBER(AH660),ISNUMBER(AH659)),AH660-AH659,"")</f>
        <v>-0.0089999999999999</v>
      </c>
      <c r="AJ660" s="435">
        <f>IF(AND(ISNUMBER(AH660),ISNUMBER(AH648)),AH660-AH648,"")</f>
        <v>2.574</v>
      </c>
      <c r="AK660" s="435">
        <f>IF(AND(ISNUMBER(AH660),ISNUMBER(AH600)),AH660-AH600,"")</f>
        <v>0.963</v>
      </c>
      <c r="AL660" s="560">
        <f>IFERROR(LN(INDEX(Data!$B$2:$B$497,MATCH(N660,Data!$A$2:$A$497,1))/INDEX(Data!$B$2:$B$497,MATCH(N648,Data!$A$2:$A$497,1))),"")</f>
        <v>-0.0393532982067079</v>
      </c>
      <c r="AM660" s="560">
        <f>IFERROR(LN(INDEX(Data!$C$2:$C$497,MATCH(N660,Data!$A$2:$A$497,1))/INDEX(Data!$C$2:$C$497,MATCH(N648,Data!$A$2:$A$497,1))),"")</f>
        <v>-0.0508406845537391</v>
      </c>
      <c r="AN660" s="560">
        <f>IFERROR(LN(INDEX(Data!$D$2:$D$497,MATCH(N660,Data!$A$2:$A$497,1))/INDEX(Data!$D$2:$D$497,MATCH(N648,Data!$A$2:$A$497,1))),"")</f>
        <v>-0.103679667951126</v>
      </c>
      <c r="AO660" s="560">
        <f>IFERROR(LN(INDEX(Data!$E$2:$E$497,MATCH(N660,Data!$A$2:$A$497,1))/INDEX(Data!$E$2:$E$497,MATCH(N648,Data!$A$2:$A$497,1))),"")</f>
        <v>-0.0382652358764843</v>
      </c>
      <c r="AP660" s="560">
        <f>IFERROR(LN(INDEX(Data!$F$2:$F$497,MATCH(N660,Data!$A$2:$A$497,1))/INDEX(Data!$F$2:$F$497,MATCH(N648,Data!$A$2:$A$497,1))),"")</f>
        <v>0.415966260141501</v>
      </c>
      <c r="AQ660" s="560">
        <f>IFERROR(LN(INDEX(Data!$G$2:$G$497,MATCH(N660,Data!$A$2:$A$497,1))/INDEX(Data!$G$2:$G$497,MATCH(N648,Data!$A$2:$A$497,1))),"")</f>
        <v>0.137357737189426</v>
      </c>
      <c r="AR660" s="560">
        <f>IFERROR(LN(INDEX(Data!$H$2:$H$497,MATCH(N660,Data!$A$2:$A$497,1))/INDEX(Data!$H$2:$H$497,MATCH(N648,Data!$A$2:$A$497,1))),"")</f>
        <v>-0.0796051085412064</v>
      </c>
      <c r="AS660" s="560">
        <f>IFERROR(LN(INDEX(Data!$I$2:$I$497,MATCH(N660,Data!$A$2:$A$497,1))/INDEX(Data!$I$2:$I$497,MATCH(N648,Data!$A$2:$A$497,1))),"")</f>
        <v>0.125674455372504</v>
      </c>
      <c r="AT660" s="560">
        <f>IFERROR(LN(INDEX(Data!$J$2:$J$497,MATCH(N660,Data!$A$2:$A$497,1))/INDEX(Data!$J$2:$J$497,MATCH(N648,Data!$A$2:$A$497,1))),"")</f>
        <v>-0.136474805261236</v>
      </c>
      <c r="AU660" s="560">
        <f>IFERROR(LN(INDEX(Data!$K$2:$K$497,MATCH(N660,Data!$A$2:$A$497,1))/INDEX(Data!$K$2:$K$497,MATCH(N648,Data!$A$2:$A$497,1))),"")</f>
        <v>-0.111185916273664</v>
      </c>
      <c r="AV660" s="561">
        <f>IFERROR(LN(INDEX(Data!$L$2:$L$497,MATCH(N660,Data!$A$2:$A$497,1))/INDEX(Data!$L$2:$L$497,MATCH(N648,Data!$A$2:$A$497,1))),"")</f>
        <v>0.00369527094330784</v>
      </c>
    </row>
    <row r="661">
      <c r="N661" s="337" t="n">
        <v>44834</v>
      </c>
      <c r="O661" s="116">
        <f>INDEX('Additional data'!$B$2:$B$965,MATCH(DATE(YEAR(N661),MONTH(N661),1),'Additional data'!$A$2:$A$965,0))</f>
        <v>84.26</v>
      </c>
      <c r="P661" s="489">
        <f>LN(O661)</f>
        <v>4.43390725655087</v>
      </c>
      <c r="Q661" s="489">
        <f>Q660+LN(1+INDEX('Additional data'!$H$2:$H$1196,MATCH(N661,'Additional data'!$G$2:$G$1196,1))+INDEX('Additional data'!$I$2:$I$1196,MATCH(N661,'Additional data'!$G$2:$G$1196,1)))</f>
        <v>5.19927081405745</v>
      </c>
      <c r="R661" s="489">
        <f>LN(INDEX(Data!$B$2:$B$497,MATCH(N661,Data!$A$2:$A$497,1)))</f>
        <v>11.2666928468299</v>
      </c>
      <c r="S661" s="116">
        <f>IF(INDEX('Additional data'!$E$2:$E$699,MATCH(DATE(YEAR(N661),MONTH(N661),1),'Additional data'!$D$2:$D$699,0))=0,(INDEX('Additional data'!$E$2:$E$699,MATCH(DATE(YEAR(N661),MONTH(N661),1),'Additional data'!$D$2:$D$699,0)-1)+INDEX('Additional data'!$E$2:$E$699,MATCH(DATE(YEAR(N661),MONTH(N661),1),'Additional data'!$D$2:$D$699,0)+1))/2,INDEX('Additional data'!$E$2:$E$699,MATCH(DATE(YEAR(N661),MONTH(N661),1),'Additional data'!$D$2:$D$699,0)))</f>
        <v>2.76</v>
      </c>
      <c r="T661" s="425">
        <f>P661-P660</f>
        <v>-0.105870710670168</v>
      </c>
      <c r="U661" s="425">
        <f>Q661-Q660</f>
        <v>-0.095960391145911</v>
      </c>
      <c r="V661" s="425">
        <f>R661-R660</f>
        <v>-0.0662015596028365</v>
      </c>
      <c r="W661" s="116">
        <f>S661-S660</f>
        <v>0.45</v>
      </c>
      <c r="X661" s="425">
        <f>P661-P649</f>
        <v>0.16211410227669</v>
      </c>
      <c r="Y661" s="425">
        <f>Q661-Q649</f>
        <v>-0.205461886539498</v>
      </c>
      <c r="Z661" s="425">
        <f>R661-R649</f>
        <v>-0.0896011312018565</v>
      </c>
      <c r="AA661" s="116">
        <f>S661-S649</f>
        <v>2.75</v>
      </c>
      <c r="AB661" s="425">
        <f>P661-P601</f>
        <v>0.525490746716836</v>
      </c>
      <c r="AC661" s="425">
        <f>Q661-Q601</f>
        <v>0.425155498688765</v>
      </c>
      <c r="AD661" s="425">
        <f>R661-R601</f>
        <v>0.343280087445114</v>
      </c>
      <c r="AE661" s="235">
        <f>S661-S601</f>
        <v>1.04</v>
      </c>
      <c r="AG661" s="554">
        <f>N661</f>
        <v>44834.0</v>
      </c>
      <c r="AH661" s="435">
        <f>IFERROR(INDEX('RBA 5Y yield'!$B$5:$B$661,MATCH(N661,'RBA 5Y yield'!$A$5:$A$661,1))*100,"")</f>
        <v>3.504</v>
      </c>
      <c r="AI661" s="435">
        <f>IF(AND(ISNUMBER(AH661),ISNUMBER(AH660)),AH661-AH660,"")</f>
        <v>0.355</v>
      </c>
      <c r="AJ661" s="435">
        <f>IF(AND(ISNUMBER(AH661),ISNUMBER(AH649)),AH661-AH649,"")</f>
        <v>2.84</v>
      </c>
      <c r="AK661" s="435">
        <f>IF(AND(ISNUMBER(AH661),ISNUMBER(AH601)),AH661-AH601,"")</f>
        <v>1.207</v>
      </c>
      <c r="AL661" s="560">
        <f>IFERROR(LN(INDEX(Data!$B$2:$B$497,MATCH(N661,Data!$A$2:$A$497,1))/INDEX(Data!$B$2:$B$497,MATCH(N649,Data!$A$2:$A$497,1))),"")</f>
        <v>-0.0896011312018569</v>
      </c>
      <c r="AM661" s="560">
        <f>IFERROR(LN(INDEX(Data!$C$2:$C$497,MATCH(N661,Data!$A$2:$A$497,1))/INDEX(Data!$C$2:$C$497,MATCH(N649,Data!$A$2:$A$497,1))),"")</f>
        <v>-0.0475252636472966</v>
      </c>
      <c r="AN661" s="560">
        <f>IFERROR(LN(INDEX(Data!$D$2:$D$497,MATCH(N661,Data!$A$2:$A$497,1))/INDEX(Data!$D$2:$D$497,MATCH(N649,Data!$A$2:$A$497,1))),"")</f>
        <v>-0.12092288512937</v>
      </c>
      <c r="AO661" s="560">
        <f>IFERROR(LN(INDEX(Data!$E$2:$E$497,MATCH(N661,Data!$A$2:$A$497,1))/INDEX(Data!$E$2:$E$497,MATCH(N649,Data!$A$2:$A$497,1))),"")</f>
        <v>-0.0560177524710386</v>
      </c>
      <c r="AP661" s="560">
        <f>IFERROR(LN(INDEX(Data!$F$2:$F$497,MATCH(N661,Data!$A$2:$A$497,1))/INDEX(Data!$F$2:$F$497,MATCH(N649,Data!$A$2:$A$497,1))),"")</f>
        <v>0.328615791087645</v>
      </c>
      <c r="AQ661" s="560">
        <f>IFERROR(LN(INDEX(Data!$G$2:$G$497,MATCH(N661,Data!$A$2:$A$497,1))/INDEX(Data!$G$2:$G$497,MATCH(N649,Data!$A$2:$A$497,1))),"")</f>
        <v>0.0531411057105759</v>
      </c>
      <c r="AR661" s="560">
        <f>IFERROR(LN(INDEX(Data!$H$2:$H$497,MATCH(N661,Data!$A$2:$A$497,1))/INDEX(Data!$H$2:$H$497,MATCH(N649,Data!$A$2:$A$497,1))),"")</f>
        <v>-0.0388227208779005</v>
      </c>
      <c r="AS661" s="560">
        <f>IFERROR(LN(INDEX(Data!$I$2:$I$497,MATCH(N661,Data!$A$2:$A$497,1))/INDEX(Data!$I$2:$I$497,MATCH(N649,Data!$A$2:$A$497,1))),"")</f>
        <v>0.010006292421571</v>
      </c>
      <c r="AT661" s="560">
        <f>IFERROR(LN(INDEX(Data!$J$2:$J$497,MATCH(N661,Data!$A$2:$A$497,1))/INDEX(Data!$J$2:$J$497,MATCH(N649,Data!$A$2:$A$497,1))),"")</f>
        <v>-0.13425313928443</v>
      </c>
      <c r="AU661" s="560">
        <f>IFERROR(LN(INDEX(Data!$K$2:$K$497,MATCH(N661,Data!$A$2:$A$497,1))/INDEX(Data!$K$2:$K$497,MATCH(N649,Data!$A$2:$A$497,1))),"")</f>
        <v>-0.135549990749176</v>
      </c>
      <c r="AV661" s="561">
        <f>IFERROR(LN(INDEX(Data!$L$2:$L$497,MATCH(N661,Data!$A$2:$A$497,1))/INDEX(Data!$L$2:$L$497,MATCH(N649,Data!$A$2:$A$497,1))),"")</f>
        <v>0.00513520950388314</v>
      </c>
    </row>
    <row r="662">
      <c r="N662" s="337" t="n">
        <v>44865</v>
      </c>
      <c r="O662" s="116">
        <f>INDEX('Additional data'!$B$2:$B$965,MATCH(DATE(YEAR(N662),MONTH(N662),1),'Additional data'!$A$2:$A$965,0))</f>
        <v>87.55</v>
      </c>
      <c r="P662" s="489">
        <f>LN(O662)</f>
        <v>4.47221005873186</v>
      </c>
      <c r="Q662" s="489">
        <f>Q661+LN(1+INDEX('Additional data'!$H$2:$H$1196,MATCH(N662,'Additional data'!$G$2:$G$1196,1))+INDEX('Additional data'!$I$2:$I$1196,MATCH(N662,'Additional data'!$G$2:$G$1196,1)))</f>
        <v>5.2769723217213</v>
      </c>
      <c r="R662" s="489">
        <f>LN(INDEX(Data!$B$2:$B$497,MATCH(N662,Data!$A$2:$A$497,1)))</f>
        <v>11.3219377630413</v>
      </c>
      <c r="S662" s="116">
        <f>IF(INDEX('Additional data'!$E$2:$E$699,MATCH(DATE(YEAR(N662),MONTH(N662),1),'Additional data'!$D$2:$D$699,0))=0,(INDEX('Additional data'!$E$2:$E$699,MATCH(DATE(YEAR(N662),MONTH(N662),1),'Additional data'!$D$2:$D$699,0)-1)+INDEX('Additional data'!$E$2:$E$699,MATCH(DATE(YEAR(N662),MONTH(N662),1),'Additional data'!$D$2:$D$699,0)+1))/2,INDEX('Additional data'!$E$2:$E$699,MATCH(DATE(YEAR(N662),MONTH(N662),1),'Additional data'!$D$2:$D$699,0)))</f>
        <v>2.95</v>
      </c>
      <c r="T662" s="425">
        <f>P662-P661</f>
        <v>0.0383028021809899</v>
      </c>
      <c r="U662" s="425">
        <f>Q662-Q661</f>
        <v>0.0777015076638516</v>
      </c>
      <c r="V662" s="425">
        <f>R662-R661</f>
        <v>0.0552449162113895</v>
      </c>
      <c r="W662" s="116">
        <f>S662-S661</f>
        <v>0.19</v>
      </c>
      <c r="X662" s="425">
        <f>P662-P650</f>
        <v>0.0718524673732555</v>
      </c>
      <c r="Y662" s="425">
        <f>Q662-Q650</f>
        <v>-0.191955090917643</v>
      </c>
      <c r="Z662" s="425">
        <f>R662-R650</f>
        <v>-0.03584852470226</v>
      </c>
      <c r="AA662" s="116">
        <f>S662-S650</f>
        <v>2.91</v>
      </c>
      <c r="AB662" s="425">
        <f>P662-P602</f>
        <v>0.529076058278662</v>
      </c>
      <c r="AC662" s="425">
        <f>Q662-Q602</f>
        <v>0.47962888023341</v>
      </c>
      <c r="AD662" s="425">
        <f>R662-R602</f>
        <v>0.358702478199859</v>
      </c>
      <c r="AE662" s="235">
        <f>S662-S602</f>
        <v>1.25</v>
      </c>
      <c r="AG662" s="554">
        <f>N662</f>
        <v>44865.0</v>
      </c>
      <c r="AH662" s="435">
        <f>IFERROR(INDEX('RBA 5Y yield'!$B$5:$B$661,MATCH(N662,'RBA 5Y yield'!$A$5:$A$661,1))*100,"")</f>
        <v>3.61</v>
      </c>
      <c r="AI662" s="435">
        <f>IF(AND(ISNUMBER(AH662),ISNUMBER(AH661)),AH662-AH661,"")</f>
        <v>0.106</v>
      </c>
      <c r="AJ662" s="435">
        <f>IF(AND(ISNUMBER(AH662),ISNUMBER(AH650)),AH662-AH650,"")</f>
        <v>2.505</v>
      </c>
      <c r="AK662" s="435">
        <f>IF(AND(ISNUMBER(AH662),ISNUMBER(AH602)),AH662-AH602,"")</f>
        <v>1.272</v>
      </c>
      <c r="AL662" s="560">
        <f>IFERROR(LN(INDEX(Data!$B$2:$B$497,MATCH(N662,Data!$A$2:$A$497,1))/INDEX(Data!$B$2:$B$497,MATCH(N650,Data!$A$2:$A$497,1))),"")</f>
        <v>-0.0358485247022594</v>
      </c>
      <c r="AM662" s="560">
        <f>IFERROR(LN(INDEX(Data!$C$2:$C$497,MATCH(N662,Data!$A$2:$A$497,1))/INDEX(Data!$C$2:$C$497,MATCH(N650,Data!$A$2:$A$497,1))),"")</f>
        <v>0.0123783423817856</v>
      </c>
      <c r="AN662" s="560">
        <f>IFERROR(LN(INDEX(Data!$D$2:$D$497,MATCH(N662,Data!$A$2:$A$497,1))/INDEX(Data!$D$2:$D$497,MATCH(N650,Data!$A$2:$A$497,1))),"")</f>
        <v>-0.11194224667472</v>
      </c>
      <c r="AO662" s="560">
        <f>IFERROR(LN(INDEX(Data!$E$2:$E$497,MATCH(N662,Data!$A$2:$A$497,1))/INDEX(Data!$E$2:$E$497,MATCH(N650,Data!$A$2:$A$497,1))),"")</f>
        <v>-0.0283130142851237</v>
      </c>
      <c r="AP662" s="560">
        <f>IFERROR(LN(INDEX(Data!$F$2:$F$497,MATCH(N662,Data!$A$2:$A$497,1))/INDEX(Data!$F$2:$F$497,MATCH(N650,Data!$A$2:$A$497,1))),"")</f>
        <v>0.381647846130363</v>
      </c>
      <c r="AQ662" s="560">
        <f>IFERROR(LN(INDEX(Data!$G$2:$G$497,MATCH(N662,Data!$A$2:$A$497,1))/INDEX(Data!$G$2:$G$497,MATCH(N650,Data!$A$2:$A$497,1))),"")</f>
        <v>0.0531411057105759</v>
      </c>
      <c r="AR662" s="560">
        <f>IFERROR(LN(INDEX(Data!$H$2:$H$497,MATCH(N662,Data!$A$2:$A$497,1))/INDEX(Data!$H$2:$H$497,MATCH(N650,Data!$A$2:$A$497,1))),"")</f>
        <v>-0.0039309764022276</v>
      </c>
      <c r="AS662" s="560">
        <f>IFERROR(LN(INDEX(Data!$I$2:$I$497,MATCH(N662,Data!$A$2:$A$497,1))/INDEX(Data!$I$2:$I$497,MATCH(N650,Data!$A$2:$A$497,1))),"")</f>
        <v>0.010006292421571</v>
      </c>
      <c r="AT662" s="560">
        <f>IFERROR(LN(INDEX(Data!$J$2:$J$497,MATCH(N662,Data!$A$2:$A$497,1))/INDEX(Data!$J$2:$J$497,MATCH(N650,Data!$A$2:$A$497,1))),"")</f>
        <v>-0.0914276011402836</v>
      </c>
      <c r="AU662" s="560">
        <f>IFERROR(LN(INDEX(Data!$K$2:$K$497,MATCH(N662,Data!$A$2:$A$497,1))/INDEX(Data!$K$2:$K$497,MATCH(N650,Data!$A$2:$A$497,1))),"")</f>
        <v>-0.13223310888804</v>
      </c>
      <c r="AV662" s="561">
        <f>IFERROR(LN(INDEX(Data!$L$2:$L$497,MATCH(N662,Data!$A$2:$A$497,1))/INDEX(Data!$L$2:$L$497,MATCH(N650,Data!$A$2:$A$497,1))),"")</f>
        <v>0.00756968423824536</v>
      </c>
    </row>
    <row r="663">
      <c r="N663" s="337" t="n">
        <v>44895</v>
      </c>
      <c r="O663" s="116">
        <f>INDEX('Additional data'!$B$2:$B$965,MATCH(DATE(YEAR(N663),MONTH(N663),1),'Additional data'!$A$2:$A$965,0))</f>
        <v>84.37</v>
      </c>
      <c r="P663" s="489">
        <f>LN(O663)</f>
        <v>4.43521188817754</v>
      </c>
      <c r="Q663" s="489">
        <f>Q662+LN(1+INDEX('Additional data'!$H$2:$H$1196,MATCH(N663,'Additional data'!$G$2:$G$1196,1))+INDEX('Additional data'!$I$2:$I$1196,MATCH(N663,'Additional data'!$G$2:$G$1196,1)))</f>
        <v>5.32519089399177</v>
      </c>
      <c r="R663" s="489">
        <f>LN(INDEX(Data!$B$2:$B$497,MATCH(N663,Data!$A$2:$A$497,1)))</f>
        <v>11.3843843648242</v>
      </c>
      <c r="S663" s="116">
        <f>IF(INDEX('Additional data'!$E$2:$E$699,MATCH(DATE(YEAR(N663),MONTH(N663),1),'Additional data'!$D$2:$D$699,0))=0,(INDEX('Additional data'!$E$2:$E$699,MATCH(DATE(YEAR(N663),MONTH(N663),1),'Additional data'!$D$2:$D$699,0)-1)+INDEX('Additional data'!$E$2:$E$699,MATCH(DATE(YEAR(N663),MONTH(N663),1),'Additional data'!$D$2:$D$699,0)+1))/2,INDEX('Additional data'!$E$2:$E$699,MATCH(DATE(YEAR(N663),MONTH(N663),1),'Additional data'!$D$2:$D$699,0)))</f>
        <v>3.06</v>
      </c>
      <c r="T663" s="425">
        <f>P663-P662</f>
        <v>-0.036998170554325</v>
      </c>
      <c r="U663" s="425">
        <f>Q663-Q662</f>
        <v>0.048218572270474</v>
      </c>
      <c r="V663" s="425">
        <f>R663-R662</f>
        <v>0.0624466017828542</v>
      </c>
      <c r="W663" s="116">
        <f>S663-S662</f>
        <v>0.11</v>
      </c>
      <c r="X663" s="425">
        <f>P663-P651</f>
        <v>0.0638671018505148</v>
      </c>
      <c r="Y663" s="425">
        <f>Q663-Q651</f>
        <v>-0.12781036809691</v>
      </c>
      <c r="Z663" s="425">
        <f>R663-R651</f>
        <v>0.0298978357313917</v>
      </c>
      <c r="AA663" s="116">
        <f>S663-S651</f>
        <v>3.02</v>
      </c>
      <c r="AB663" s="425">
        <f>P663-P603</f>
        <v>0.398496438792072</v>
      </c>
      <c r="AC663" s="425">
        <f>Q663-Q603</f>
        <v>0.496348785444513</v>
      </c>
      <c r="AD663" s="425">
        <f>R663-R603</f>
        <v>0.40225770226143</v>
      </c>
      <c r="AE663" s="235">
        <f>S663-S603</f>
        <v>1.34</v>
      </c>
      <c r="AG663" s="554">
        <f>N663</f>
        <v>44895.0</v>
      </c>
      <c r="AH663" s="435">
        <f>IFERROR(INDEX('RBA 5Y yield'!$B$5:$B$661,MATCH(N663,'RBA 5Y yield'!$A$5:$A$661,1))*100,"")</f>
        <v>3.421</v>
      </c>
      <c r="AI663" s="435">
        <f>IF(AND(ISNUMBER(AH663),ISNUMBER(AH662)),AH663-AH662,"")</f>
        <v>-0.189</v>
      </c>
      <c r="AJ663" s="435">
        <f>IF(AND(ISNUMBER(AH663),ISNUMBER(AH651)),AH663-AH651,"")</f>
        <v>2.045</v>
      </c>
      <c r="AK663" s="435">
        <f>IF(AND(ISNUMBER(AH663),ISNUMBER(AH603)),AH663-AH603,"")</f>
        <v>1.249</v>
      </c>
      <c r="AL663" s="560">
        <f>IFERROR(LN(INDEX(Data!$B$2:$B$497,MATCH(N663,Data!$A$2:$A$497,1))/INDEX(Data!$B$2:$B$497,MATCH(N651,Data!$A$2:$A$497,1))),"")</f>
        <v>0.0298978357313918</v>
      </c>
      <c r="AM663" s="560">
        <f>IFERROR(LN(INDEX(Data!$C$2:$C$497,MATCH(N663,Data!$A$2:$A$497,1))/INDEX(Data!$C$2:$C$497,MATCH(N651,Data!$A$2:$A$497,1))),"")</f>
        <v>-0.0215497108140742</v>
      </c>
      <c r="AN663" s="560">
        <f>IFERROR(LN(INDEX(Data!$D$2:$D$497,MATCH(N663,Data!$A$2:$A$497,1))/INDEX(Data!$D$2:$D$497,MATCH(N651,Data!$A$2:$A$497,1))),"")</f>
        <v>-0.0724926179046073</v>
      </c>
      <c r="AO663" s="560">
        <f>IFERROR(LN(INDEX(Data!$E$2:$E$497,MATCH(N663,Data!$A$2:$A$497,1))/INDEX(Data!$E$2:$E$497,MATCH(N651,Data!$A$2:$A$497,1))),"")</f>
        <v>-0.0761001083605977</v>
      </c>
      <c r="AP663" s="560">
        <f>IFERROR(LN(INDEX(Data!$F$2:$F$497,MATCH(N663,Data!$A$2:$A$497,1))/INDEX(Data!$F$2:$F$497,MATCH(N651,Data!$A$2:$A$497,1))),"")</f>
        <v>0.375165524434344</v>
      </c>
      <c r="AQ663" s="560">
        <f>IFERROR(LN(INDEX(Data!$G$2:$G$497,MATCH(N663,Data!$A$2:$A$497,1))/INDEX(Data!$G$2:$G$497,MATCH(N651,Data!$A$2:$A$497,1))),"")</f>
        <v>0.0531411057105759</v>
      </c>
      <c r="AR663" s="560">
        <f>IFERROR(LN(INDEX(Data!$H$2:$H$497,MATCH(N663,Data!$A$2:$A$497,1))/INDEX(Data!$H$2:$H$497,MATCH(N651,Data!$A$2:$A$497,1))),"")</f>
        <v>-0.0403515144771712</v>
      </c>
      <c r="AS663" s="560">
        <f>IFERROR(LN(INDEX(Data!$I$2:$I$497,MATCH(N663,Data!$A$2:$A$497,1))/INDEX(Data!$I$2:$I$497,MATCH(N651,Data!$A$2:$A$497,1))),"")</f>
        <v>0.010006292421571</v>
      </c>
      <c r="AT663" s="560">
        <f>IFERROR(LN(INDEX(Data!$J$2:$J$497,MATCH(N663,Data!$A$2:$A$497,1))/INDEX(Data!$J$2:$J$497,MATCH(N651,Data!$A$2:$A$497,1))),"")</f>
        <v>-0.0947421105270425</v>
      </c>
      <c r="AU663" s="560">
        <f>IFERROR(LN(INDEX(Data!$K$2:$K$497,MATCH(N663,Data!$A$2:$A$497,1))/INDEX(Data!$K$2:$K$497,MATCH(N651,Data!$A$2:$A$497,1))),"")</f>
        <v>-0.123159274270795</v>
      </c>
      <c r="AV663" s="561">
        <f>IFERROR(LN(INDEX(Data!$L$2:$L$497,MATCH(N663,Data!$A$2:$A$497,1))/INDEX(Data!$L$2:$L$497,MATCH(N651,Data!$A$2:$A$497,1))),"")</f>
        <v>0.0100081965408304</v>
      </c>
    </row>
    <row r="664">
      <c r="N664" s="337" t="n">
        <v>44926</v>
      </c>
      <c r="O664" s="116">
        <f>INDEX('Additional data'!$B$2:$B$965,MATCH(DATE(YEAR(N664),MONTH(N664),1),'Additional data'!$A$2:$A$965,0))</f>
        <v>76.44</v>
      </c>
      <c r="P664" s="489">
        <f>LN(O664)</f>
        <v>4.33650611937207</v>
      </c>
      <c r="Q664" s="489">
        <f>Q663+LN(1+INDEX('Additional data'!$H$2:$H$1196,MATCH(N664,'Additional data'!$G$2:$G$1196,1))+INDEX('Additional data'!$I$2:$I$1196,MATCH(N664,'Additional data'!$G$2:$G$1196,1)))</f>
        <v>5.26278343386316</v>
      </c>
      <c r="R664" s="489">
        <f>LN(INDEX(Data!$B$2:$B$497,MATCH(N664,Data!$A$2:$A$497,1)))</f>
        <v>11.3508008565429</v>
      </c>
      <c r="S664" s="116">
        <f>IF(INDEX('Additional data'!$E$2:$E$699,MATCH(DATE(YEAR(N664),MONTH(N664),1),'Additional data'!$D$2:$D$699,0))=0,(INDEX('Additional data'!$E$2:$E$699,MATCH(DATE(YEAR(N664),MONTH(N664),1),'Additional data'!$D$2:$D$699,0)-1)+INDEX('Additional data'!$E$2:$E$699,MATCH(DATE(YEAR(N664),MONTH(N664),1),'Additional data'!$D$2:$D$699,0)+1))/2,INDEX('Additional data'!$E$2:$E$699,MATCH(DATE(YEAR(N664),MONTH(N664),1),'Additional data'!$D$2:$D$699,0)))</f>
        <v>3.17</v>
      </c>
      <c r="T664" s="425">
        <f>P664-P663</f>
        <v>-0.0987057688054636</v>
      </c>
      <c r="U664" s="425">
        <f>Q664-Q663</f>
        <v>-0.0624074601286173</v>
      </c>
      <c r="V664" s="425">
        <f>R664-R663</f>
        <v>-0.0335835082812803</v>
      </c>
      <c r="W664" s="116">
        <f>S664-S663</f>
        <v>0.11</v>
      </c>
      <c r="X664" s="425">
        <f>P664-P652</f>
        <v>0.0638759114775889</v>
      </c>
      <c r="Y664" s="425">
        <f>Q664-Q652</f>
        <v>-0.222104017087848</v>
      </c>
      <c r="Z664" s="425">
        <f>R664-R652</f>
        <v>-0.0300331002813365</v>
      </c>
      <c r="AA664" s="116">
        <f>S664-S652</f>
        <v>3.11</v>
      </c>
      <c r="AB664" s="425">
        <f>P664-P604</f>
        <v>0.278134217608789</v>
      </c>
      <c r="AC664" s="425">
        <f>Q664-Q604</f>
        <v>0.422506947690233</v>
      </c>
      <c r="AD664" s="425">
        <f>R664-R604</f>
        <v>0.348571451240353</v>
      </c>
      <c r="AE664" s="235">
        <f>S664-S604</f>
        <v>1.4</v>
      </c>
      <c r="AG664" s="554">
        <f>N664</f>
        <v>44926.0</v>
      </c>
      <c r="AH664" s="435">
        <f>IFERROR(INDEX('RBA 5Y yield'!$B$5:$B$661,MATCH(N664,'RBA 5Y yield'!$A$5:$A$661,1))*100,"")</f>
        <v>3.306</v>
      </c>
      <c r="AI664" s="435">
        <f>IF(AND(ISNUMBER(AH664),ISNUMBER(AH663)),AH664-AH663,"")</f>
        <v>-0.115</v>
      </c>
      <c r="AJ664" s="435">
        <f>IF(AND(ISNUMBER(AH664),ISNUMBER(AH652)),AH664-AH652,"")</f>
        <v>1.982</v>
      </c>
      <c r="AK664" s="435">
        <f>IF(AND(ISNUMBER(AH664),ISNUMBER(AH604)),AH664-AH604,"")</f>
        <v>1.034</v>
      </c>
      <c r="AL664" s="560">
        <f>IFERROR(LN(INDEX(Data!$B$2:$B$497,MATCH(N664,Data!$A$2:$A$497,1))/INDEX(Data!$B$2:$B$497,MATCH(N652,Data!$A$2:$A$497,1))),"")</f>
        <v>-0.030033100281337</v>
      </c>
      <c r="AM664" s="560">
        <f>IFERROR(LN(INDEX(Data!$C$2:$C$497,MATCH(N664,Data!$A$2:$A$497,1))/INDEX(Data!$C$2:$C$497,MATCH(N652,Data!$A$2:$A$497,1))),"")</f>
        <v>-0.100234121573449</v>
      </c>
      <c r="AN664" s="560">
        <f>IFERROR(LN(INDEX(Data!$D$2:$D$497,MATCH(N664,Data!$A$2:$A$497,1))/INDEX(Data!$D$2:$D$497,MATCH(N652,Data!$A$2:$A$497,1))),"")</f>
        <v>-0.0948214100156813</v>
      </c>
      <c r="AO664" s="560">
        <f>IFERROR(LN(INDEX(Data!$E$2:$E$497,MATCH(N664,Data!$A$2:$A$497,1))/INDEX(Data!$E$2:$E$497,MATCH(N652,Data!$A$2:$A$497,1))),"")</f>
        <v>-0.174678312600051</v>
      </c>
      <c r="AP664" s="560">
        <f>IFERROR(LN(INDEX(Data!$F$2:$F$497,MATCH(N664,Data!$A$2:$A$497,1))/INDEX(Data!$F$2:$F$497,MATCH(N652,Data!$A$2:$A$497,1))),"")</f>
        <v>0.300626987360413</v>
      </c>
      <c r="AQ664" s="560">
        <f>IFERROR(LN(INDEX(Data!$G$2:$G$497,MATCH(N664,Data!$A$2:$A$497,1))/INDEX(Data!$G$2:$G$497,MATCH(N652,Data!$A$2:$A$497,1))),"")</f>
        <v>-0.0192429611469872</v>
      </c>
      <c r="AR664" s="560">
        <f>IFERROR(LN(INDEX(Data!$H$2:$H$497,MATCH(N664,Data!$A$2:$A$497,1))/INDEX(Data!$H$2:$H$497,MATCH(N652,Data!$A$2:$A$497,1))),"")</f>
        <v>0.0236303360848558</v>
      </c>
      <c r="AS664" s="560">
        <f>IFERROR(LN(INDEX(Data!$I$2:$I$497,MATCH(N664,Data!$A$2:$A$497,1))/INDEX(Data!$I$2:$I$497,MATCH(N652,Data!$A$2:$A$497,1))),"")</f>
        <v>0.0169125340495633</v>
      </c>
      <c r="AT664" s="560">
        <f>IFERROR(LN(INDEX(Data!$J$2:$J$497,MATCH(N664,Data!$A$2:$A$497,1))/INDEX(Data!$J$2:$J$497,MATCH(N652,Data!$A$2:$A$497,1))),"")</f>
        <v>-0.117460870767204</v>
      </c>
      <c r="AU664" s="560">
        <f>IFERROR(LN(INDEX(Data!$K$2:$K$497,MATCH(N664,Data!$A$2:$A$497,1))/INDEX(Data!$K$2:$K$497,MATCH(N652,Data!$A$2:$A$497,1))),"")</f>
        <v>-0.134571852081237</v>
      </c>
      <c r="AV664" s="561">
        <f>IFERROR(LN(INDEX(Data!$L$2:$L$497,MATCH(N664,Data!$A$2:$A$497,1))/INDEX(Data!$L$2:$L$497,MATCH(N652,Data!$A$2:$A$497,1))),"")</f>
        <v>0.0124770587332526</v>
      </c>
    </row>
    <row r="665">
      <c r="N665" s="337" t="n">
        <v>44957</v>
      </c>
      <c r="O665" s="116">
        <f>INDEX('Additional data'!$B$2:$B$965,MATCH(DATE(YEAR(N665),MONTH(N665),1),'Additional data'!$A$2:$A$965,0))</f>
        <v>78.12</v>
      </c>
      <c r="P665" s="489">
        <f>LN(O665)</f>
        <v>4.35824610600848</v>
      </c>
      <c r="Q665" s="489">
        <f>Q664+LN(1+INDEX('Additional data'!$H$2:$H$1196,MATCH(N665,'Additional data'!$G$2:$G$1196,1))+INDEX('Additional data'!$I$2:$I$1196,MATCH(N665,'Additional data'!$G$2:$G$1196,1)))</f>
        <v>5.33006818066875</v>
      </c>
      <c r="R665" s="489">
        <f>LN(INDEX(Data!$B$2:$B$497,MATCH(N665,Data!$A$2:$A$497,1)))</f>
        <v>11.4131687140397</v>
      </c>
      <c r="S665" s="116">
        <f>IF(INDEX('Additional data'!$E$2:$E$699,MATCH(DATE(YEAR(N665),MONTH(N665),1),'Additional data'!$D$2:$D$699,0))=0,(INDEX('Additional data'!$E$2:$E$699,MATCH(DATE(YEAR(N665),MONTH(N665),1),'Additional data'!$D$2:$D$699,0)-1)+INDEX('Additional data'!$E$2:$E$699,MATCH(DATE(YEAR(N665),MONTH(N665),1),'Additional data'!$D$2:$D$699,0)+1))/2,INDEX('Additional data'!$E$2:$E$699,MATCH(DATE(YEAR(N665),MONTH(N665),1),'Additional data'!$D$2:$D$699,0)))</f>
        <v>3.32</v>
      </c>
      <c r="T665" s="425">
        <f>P665-P664</f>
        <v>0.0217399866364056</v>
      </c>
      <c r="U665" s="425">
        <f>Q665-Q664</f>
        <v>0.0672847468055968</v>
      </c>
      <c r="V665" s="425">
        <f>R665-R664</f>
        <v>0.0623678574968345</v>
      </c>
      <c r="W665" s="116">
        <f>S665-S664</f>
        <v>0.15</v>
      </c>
      <c r="X665" s="425">
        <f>P665-P653</f>
        <v>-0.063241597546317</v>
      </c>
      <c r="Y665" s="425">
        <f>Q665-Q653</f>
        <v>-0.0912402886393799</v>
      </c>
      <c r="Z665" s="425">
        <f>R665-R653</f>
        <v>0.100238146524681</v>
      </c>
      <c r="AA665" s="116">
        <f>S665-S653</f>
        <v>3.25</v>
      </c>
      <c r="AB665" s="425">
        <f>P665-P605</f>
        <v>0.204061543430361</v>
      </c>
      <c r="AC665" s="425">
        <f>Q665-Q605</f>
        <v>0.434451599462665</v>
      </c>
      <c r="AD665" s="425">
        <f>R665-R605</f>
        <v>0.41425410815836</v>
      </c>
      <c r="AE665" s="235">
        <f>S665-S605</f>
        <v>1.53</v>
      </c>
      <c r="AG665" s="554">
        <f>N665</f>
        <v>44957.0</v>
      </c>
      <c r="AH665" s="435">
        <f>IFERROR(INDEX('RBA 5Y yield'!$B$5:$B$661,MATCH(N665,'RBA 5Y yield'!$A$5:$A$661,1))*100,"")</f>
        <v>3.329</v>
      </c>
      <c r="AI665" s="435">
        <f>IF(AND(ISNUMBER(AH665),ISNUMBER(AH664)),AH665-AH664,"")</f>
        <v>0.0230000000000001</v>
      </c>
      <c r="AJ665" s="435">
        <f>IF(AND(ISNUMBER(AH665),ISNUMBER(AH653)),AH665-AH653,"")</f>
        <v>1.786</v>
      </c>
      <c r="AK665" s="435">
        <f>IF(AND(ISNUMBER(AH665),ISNUMBER(AH605)),AH665-AH605,"")</f>
        <v>0.921</v>
      </c>
      <c r="AL665" s="560">
        <f>IFERROR(LN(INDEX(Data!$B$2:$B$497,MATCH(N665,Data!$A$2:$A$497,1))/INDEX(Data!$B$2:$B$497,MATCH(N653,Data!$A$2:$A$497,1))),"")</f>
        <v>0.100238146524681</v>
      </c>
      <c r="AM665" s="560">
        <f>IFERROR(LN(INDEX(Data!$C$2:$C$497,MATCH(N665,Data!$A$2:$A$497,1))/INDEX(Data!$C$2:$C$497,MATCH(N653,Data!$A$2:$A$497,1))),"")</f>
        <v>-0.0563887035568923</v>
      </c>
      <c r="AN665" s="560">
        <f>IFERROR(LN(INDEX(Data!$D$2:$D$497,MATCH(N665,Data!$A$2:$A$497,1))/INDEX(Data!$D$2:$D$497,MATCH(N653,Data!$A$2:$A$497,1))),"")</f>
        <v>-0.0831291053292883</v>
      </c>
      <c r="AO665" s="560">
        <f>IFERROR(LN(INDEX(Data!$E$2:$E$497,MATCH(N665,Data!$A$2:$A$497,1))/INDEX(Data!$E$2:$E$497,MATCH(N653,Data!$A$2:$A$497,1))),"")</f>
        <v>-0.0958717337457623</v>
      </c>
      <c r="AP665" s="560">
        <f>IFERROR(LN(INDEX(Data!$F$2:$F$497,MATCH(N665,Data!$A$2:$A$497,1))/INDEX(Data!$F$2:$F$497,MATCH(N653,Data!$A$2:$A$497,1))),"")</f>
        <v>0.119930763264656</v>
      </c>
      <c r="AQ665" s="560">
        <f>IFERROR(LN(INDEX(Data!$G$2:$G$497,MATCH(N665,Data!$A$2:$A$497,1))/INDEX(Data!$G$2:$G$497,MATCH(N653,Data!$A$2:$A$497,1))),"")</f>
        <v>-0.0192429611469872</v>
      </c>
      <c r="AR665" s="560">
        <f>IFERROR(LN(INDEX(Data!$H$2:$H$497,MATCH(N665,Data!$A$2:$A$497,1))/INDEX(Data!$H$2:$H$497,MATCH(N653,Data!$A$2:$A$497,1))),"")</f>
        <v>-0.0248461170820986</v>
      </c>
      <c r="AS665" s="560">
        <f>IFERROR(LN(INDEX(Data!$I$2:$I$497,MATCH(N665,Data!$A$2:$A$497,1))/INDEX(Data!$I$2:$I$497,MATCH(N653,Data!$A$2:$A$497,1))),"")</f>
        <v>0.0169125340495633</v>
      </c>
      <c r="AT665" s="560">
        <f>IFERROR(LN(INDEX(Data!$J$2:$J$497,MATCH(N665,Data!$A$2:$A$497,1))/INDEX(Data!$J$2:$J$497,MATCH(N653,Data!$A$2:$A$497,1))),"")</f>
        <v>-0.0757289870944527</v>
      </c>
      <c r="AU665" s="560">
        <f>IFERROR(LN(INDEX(Data!$K$2:$K$497,MATCH(N665,Data!$A$2:$A$497,1))/INDEX(Data!$K$2:$K$497,MATCH(N653,Data!$A$2:$A$497,1))),"")</f>
        <v>-0.104106185052347</v>
      </c>
      <c r="AV665" s="561">
        <f>IFERROR(LN(INDEX(Data!$L$2:$L$497,MATCH(N665,Data!$A$2:$A$497,1))/INDEX(Data!$L$2:$L$497,MATCH(N653,Data!$A$2:$A$497,1))),"")</f>
        <v>0.0150686213911594</v>
      </c>
    </row>
    <row r="666">
      <c r="N666" s="337" t="n">
        <v>44985</v>
      </c>
      <c r="O666" s="116">
        <f>INDEX('Additional data'!$B$2:$B$965,MATCH(DATE(YEAR(N666),MONTH(N666),1),'Additional data'!$A$2:$A$965,0))</f>
        <v>76.83</v>
      </c>
      <c r="P666" s="489">
        <f>LN(O666)</f>
        <v>4.34159518887954</v>
      </c>
      <c r="Q666" s="489">
        <f>Q665+LN(1+INDEX('Additional data'!$H$2:$H$1196,MATCH(N666,'Additional data'!$G$2:$G$1196,1))+INDEX('Additional data'!$I$2:$I$1196,MATCH(N666,'Additional data'!$G$2:$G$1196,1)))</f>
        <v>5.30751577619824</v>
      </c>
      <c r="R666" s="489">
        <f>LN(INDEX(Data!$B$2:$B$497,MATCH(N666,Data!$A$2:$A$497,1)))</f>
        <v>11.3880242331319</v>
      </c>
      <c r="S666" s="116">
        <f>IF(INDEX('Additional data'!$E$2:$E$699,MATCH(DATE(YEAR(N666),MONTH(N666),1),'Additional data'!$D$2:$D$699,0))=0,(INDEX('Additional data'!$E$2:$E$699,MATCH(DATE(YEAR(N666),MONTH(N666),1),'Additional data'!$D$2:$D$699,0)-1)+INDEX('Additional data'!$E$2:$E$699,MATCH(DATE(YEAR(N666),MONTH(N666),1),'Additional data'!$D$2:$D$699,0)+1))/2,INDEX('Additional data'!$E$2:$E$699,MATCH(DATE(YEAR(N666),MONTH(N666),1),'Additional data'!$D$2:$D$699,0)))</f>
        <v>3.46</v>
      </c>
      <c r="T666" s="425">
        <f>P666-P665</f>
        <v>-0.016650917128934</v>
      </c>
      <c r="U666" s="425">
        <f>Q666-Q665</f>
        <v>-0.0225524044705114</v>
      </c>
      <c r="V666" s="425">
        <f>R666-R665</f>
        <v>-0.0251444809078834</v>
      </c>
      <c r="W666" s="116">
        <f>S666-S665</f>
        <v>0.14</v>
      </c>
      <c r="X666" s="425">
        <f>P666-P654</f>
        <v>-0.176272668705751</v>
      </c>
      <c r="Y666" s="425">
        <f>Q666-Q654</f>
        <v>-0.0907287535113399</v>
      </c>
      <c r="Z666" s="425">
        <f>R666-R654</f>
        <v>0.057966583968426</v>
      </c>
      <c r="AA666" s="116">
        <f>S666-S654</f>
        <v>3.39</v>
      </c>
      <c r="AB666" s="425">
        <f>P666-P606</f>
        <v>0.210757990298418</v>
      </c>
      <c r="AC666" s="425">
        <f>Q666-Q606</f>
        <v>0.447837301797783</v>
      </c>
      <c r="AD666" s="425">
        <f>R666-R606</f>
        <v>0.387325176821058</v>
      </c>
      <c r="AE666" s="235">
        <f>S666-S606</f>
        <v>1.69</v>
      </c>
      <c r="AG666" s="554">
        <f>N666</f>
        <v>44985.0</v>
      </c>
      <c r="AH666" s="435">
        <f>IFERROR(INDEX('RBA 5Y yield'!$B$5:$B$661,MATCH(N666,'RBA 5Y yield'!$A$5:$A$661,1))*100,"")</f>
        <v>3.465</v>
      </c>
      <c r="AI666" s="435">
        <f>IF(AND(ISNUMBER(AH666),ISNUMBER(AH665)),AH666-AH665,"")</f>
        <v>0.136</v>
      </c>
      <c r="AJ666" s="435">
        <f>IF(AND(ISNUMBER(AH666),ISNUMBER(AH654)),AH666-AH654,"")</f>
        <v>1.652</v>
      </c>
      <c r="AK666" s="435">
        <f>IF(AND(ISNUMBER(AH666),ISNUMBER(AH606)),AH666-AH606,"")</f>
        <v>1.05</v>
      </c>
      <c r="AL666" s="560">
        <f>IFERROR(LN(INDEX(Data!$B$2:$B$497,MATCH(N666,Data!$A$2:$A$497,1))/INDEX(Data!$B$2:$B$497,MATCH(N654,Data!$A$2:$A$497,1))),"")</f>
        <v>0.0579665839684262</v>
      </c>
      <c r="AM666" s="560">
        <f>IFERROR(LN(INDEX(Data!$C$2:$C$497,MATCH(N666,Data!$A$2:$A$497,1))/INDEX(Data!$C$2:$C$497,MATCH(N654,Data!$A$2:$A$497,1))),"")</f>
        <v>0.0281916523748438</v>
      </c>
      <c r="AN666" s="560">
        <f>IFERROR(LN(INDEX(Data!$D$2:$D$497,MATCH(N666,Data!$A$2:$A$497,1))/INDEX(Data!$D$2:$D$497,MATCH(N654,Data!$A$2:$A$497,1))),"")</f>
        <v>-0.0332638399820094</v>
      </c>
      <c r="AO666" s="560">
        <f>IFERROR(LN(INDEX(Data!$E$2:$E$497,MATCH(N666,Data!$A$2:$A$497,1))/INDEX(Data!$E$2:$E$497,MATCH(N654,Data!$A$2:$A$497,1))),"")</f>
        <v>-0.0325668182424453</v>
      </c>
      <c r="AP666" s="560">
        <f>IFERROR(LN(INDEX(Data!$F$2:$F$497,MATCH(N666,Data!$A$2:$A$497,1))/INDEX(Data!$F$2:$F$497,MATCH(N654,Data!$A$2:$A$497,1))),"")</f>
        <v>0.0702802661646636</v>
      </c>
      <c r="AQ666" s="560">
        <f>IFERROR(LN(INDEX(Data!$G$2:$G$497,MATCH(N666,Data!$A$2:$A$497,1))/INDEX(Data!$G$2:$G$497,MATCH(N654,Data!$A$2:$A$497,1))),"")</f>
        <v>-0.0192429611469872</v>
      </c>
      <c r="AR666" s="560">
        <f>IFERROR(LN(INDEX(Data!$H$2:$H$497,MATCH(N666,Data!$A$2:$A$497,1))/INDEX(Data!$H$2:$H$497,MATCH(N654,Data!$A$2:$A$497,1))),"")</f>
        <v>0.0616804956501254</v>
      </c>
      <c r="AS666" s="560">
        <f>IFERROR(LN(INDEX(Data!$I$2:$I$497,MATCH(N666,Data!$A$2:$A$497,1))/INDEX(Data!$I$2:$I$497,MATCH(N654,Data!$A$2:$A$497,1))),"")</f>
        <v>0.0169125340495633</v>
      </c>
      <c r="AT666" s="560">
        <f>IFERROR(LN(INDEX(Data!$J$2:$J$497,MATCH(N666,Data!$A$2:$A$497,1))/INDEX(Data!$J$2:$J$497,MATCH(N654,Data!$A$2:$A$497,1))),"")</f>
        <v>-0.0758299774924138</v>
      </c>
      <c r="AU666" s="560">
        <f>IFERROR(LN(INDEX(Data!$K$2:$K$497,MATCH(N666,Data!$A$2:$A$497,1))/INDEX(Data!$K$2:$K$497,MATCH(N654,Data!$A$2:$A$497,1))),"")</f>
        <v>-0.107294133902643</v>
      </c>
      <c r="AV666" s="561">
        <f>IFERROR(LN(INDEX(Data!$L$2:$L$497,MATCH(N666,Data!$A$2:$A$497,1))/INDEX(Data!$L$2:$L$497,MATCH(N654,Data!$A$2:$A$497,1))),"")</f>
        <v>0.0173943040717822</v>
      </c>
    </row>
    <row r="667">
      <c r="N667" s="337" t="n">
        <v>45016</v>
      </c>
      <c r="O667" s="116">
        <f>INDEX('Additional data'!$B$2:$B$965,MATCH(DATE(YEAR(N667),MONTH(N667),1),'Additional data'!$A$2:$A$965,0))</f>
        <v>73.28</v>
      </c>
      <c r="P667" s="489">
        <f>LN(O667)</f>
        <v>4.29428772036588</v>
      </c>
      <c r="Q667" s="489">
        <f>Q666+LN(1+INDEX('Additional data'!$H$2:$H$1196,MATCH(N667,'Additional data'!$G$2:$G$1196,1))+INDEX('Additional data'!$I$2:$I$1196,MATCH(N667,'Additional data'!$G$2:$G$1196,1)))</f>
        <v>5.33551997260784</v>
      </c>
      <c r="R667" s="489">
        <f>LN(INDEX(Data!$B$2:$B$497,MATCH(N667,Data!$A$2:$A$497,1)))</f>
        <v>11.3862892533655</v>
      </c>
      <c r="S667" s="116">
        <f>IF(INDEX('Additional data'!$E$2:$E$699,MATCH(DATE(YEAR(N667),MONTH(N667),1),'Additional data'!$D$2:$D$699,0))=0,(INDEX('Additional data'!$E$2:$E$699,MATCH(DATE(YEAR(N667),MONTH(N667),1),'Additional data'!$D$2:$D$699,0)-1)+INDEX('Additional data'!$E$2:$E$699,MATCH(DATE(YEAR(N667),MONTH(N667),1),'Additional data'!$D$2:$D$699,0)+1))/2,INDEX('Additional data'!$E$2:$E$699,MATCH(DATE(YEAR(N667),MONTH(N667),1),'Additional data'!$D$2:$D$699,0)))</f>
        <v>3.64</v>
      </c>
      <c r="T667" s="425">
        <f>P667-P666</f>
        <v>-0.0473074685136687</v>
      </c>
      <c r="U667" s="425">
        <f>Q667-Q666</f>
        <v>0.0280041964095972</v>
      </c>
      <c r="V667" s="425">
        <f>R667-R666</f>
        <v>-0.00173497976636838</v>
      </c>
      <c r="W667" s="116">
        <f>S667-S666</f>
        <v>0.18</v>
      </c>
      <c r="X667" s="425">
        <f>P667-P655</f>
        <v>-0.392462452614639</v>
      </c>
      <c r="Y667" s="425">
        <f>Q667-Q655</f>
        <v>-0.0930597568978158</v>
      </c>
      <c r="Z667" s="425">
        <f>R667-R655</f>
        <v>-0.0106136822061682</v>
      </c>
      <c r="AA667" s="116">
        <f>S667-S655</f>
        <v>3.47</v>
      </c>
      <c r="AB667" s="425">
        <f>P667-P607</f>
        <v>0.155447918257224</v>
      </c>
      <c r="AC667" s="425">
        <f>Q667-Q607</f>
        <v>0.498393902677892</v>
      </c>
      <c r="AD667" s="425">
        <f>R667-R607</f>
        <v>0.421693855059454</v>
      </c>
      <c r="AE667" s="235">
        <f>S667-S607</f>
        <v>1.71</v>
      </c>
      <c r="AG667" s="554">
        <f>N667</f>
        <v>45016.0</v>
      </c>
      <c r="AH667" s="435">
        <f>IFERROR(INDEX('RBA 5Y yield'!$B$5:$B$661,MATCH(N667,'RBA 5Y yield'!$A$5:$A$661,1))*100,"")</f>
        <v>3.203</v>
      </c>
      <c r="AI667" s="435">
        <f>IF(AND(ISNUMBER(AH667),ISNUMBER(AH666)),AH667-AH666,"")</f>
        <v>-0.262</v>
      </c>
      <c r="AJ667" s="435">
        <f>IF(AND(ISNUMBER(AH667),ISNUMBER(AH655)),AH667-AH655,"")</f>
        <v>0.993</v>
      </c>
      <c r="AK667" s="435">
        <f>IF(AND(ISNUMBER(AH667),ISNUMBER(AH607)),AH667-AH607,"")</f>
        <v>0.846</v>
      </c>
      <c r="AL667" s="560">
        <f>IFERROR(LN(INDEX(Data!$B$2:$B$497,MATCH(N667,Data!$A$2:$A$497,1))/INDEX(Data!$B$2:$B$497,MATCH(N655,Data!$A$2:$A$497,1))),"")</f>
        <v>-0.0106136822061691</v>
      </c>
      <c r="AM667" s="560">
        <f>IFERROR(LN(INDEX(Data!$C$2:$C$497,MATCH(N667,Data!$A$2:$A$497,1))/INDEX(Data!$C$2:$C$497,MATCH(N655,Data!$A$2:$A$497,1))),"")</f>
        <v>0.0633458483009377</v>
      </c>
      <c r="AN667" s="560">
        <f>IFERROR(LN(INDEX(Data!$D$2:$D$497,MATCH(N667,Data!$A$2:$A$497,1))/INDEX(Data!$D$2:$D$497,MATCH(N655,Data!$A$2:$A$497,1))),"")</f>
        <v>0.0501347706632249</v>
      </c>
      <c r="AO667" s="560">
        <f>IFERROR(LN(INDEX(Data!$E$2:$E$497,MATCH(N667,Data!$A$2:$A$497,1))/INDEX(Data!$E$2:$E$497,MATCH(N655,Data!$A$2:$A$497,1))),"")</f>
        <v>-0.0810799683041468</v>
      </c>
      <c r="AP667" s="560">
        <f>IFERROR(LN(INDEX(Data!$F$2:$F$497,MATCH(N667,Data!$A$2:$A$497,1))/INDEX(Data!$F$2:$F$497,MATCH(N655,Data!$A$2:$A$497,1))),"")</f>
        <v>0.00862984086535437</v>
      </c>
      <c r="AQ667" s="560">
        <f>IFERROR(LN(INDEX(Data!$G$2:$G$497,MATCH(N667,Data!$A$2:$A$497,1))/INDEX(Data!$G$2:$G$497,MATCH(N655,Data!$A$2:$A$497,1))),"")</f>
        <v>-0.0512923622494765</v>
      </c>
      <c r="AR667" s="560">
        <f>IFERROR(LN(INDEX(Data!$H$2:$H$497,MATCH(N667,Data!$A$2:$A$497,1))/INDEX(Data!$H$2:$H$497,MATCH(N655,Data!$A$2:$A$497,1))),"")</f>
        <v>0.134773716936642</v>
      </c>
      <c r="AS667" s="560">
        <f>IFERROR(LN(INDEX(Data!$I$2:$I$497,MATCH(N667,Data!$A$2:$A$497,1))/INDEX(Data!$I$2:$I$497,MATCH(N655,Data!$A$2:$A$497,1))),"")</f>
        <v>0.0191495258575179</v>
      </c>
      <c r="AT667" s="560">
        <f>IFERROR(LN(INDEX(Data!$J$2:$J$497,MATCH(N667,Data!$A$2:$A$497,1))/INDEX(Data!$J$2:$J$497,MATCH(N655,Data!$A$2:$A$497,1))),"")</f>
        <v>-0.00202419405603417</v>
      </c>
      <c r="AU667" s="560">
        <f>IFERROR(LN(INDEX(Data!$K$2:$K$497,MATCH(N667,Data!$A$2:$A$497,1))/INDEX(Data!$K$2:$K$497,MATCH(N655,Data!$A$2:$A$497,1))),"")</f>
        <v>-0.0599849264740374</v>
      </c>
      <c r="AV667" s="561">
        <f>IFERROR(LN(INDEX(Data!$L$2:$L$497,MATCH(N667,Data!$A$2:$A$497,1))/INDEX(Data!$L$2:$L$497,MATCH(N655,Data!$A$2:$A$497,1))),"")</f>
        <v>0.0201872547868348</v>
      </c>
    </row>
    <row r="668">
      <c r="N668" s="337" t="n">
        <v>45046</v>
      </c>
      <c r="O668" s="116">
        <f>INDEX('Additional data'!$B$2:$B$965,MATCH(DATE(YEAR(N668),MONTH(N668),1),'Additional data'!$A$2:$A$965,0))</f>
        <v>79.45</v>
      </c>
      <c r="P668" s="489">
        <f>LN(O668)</f>
        <v>4.37512789298273</v>
      </c>
      <c r="Q668" s="489">
        <f>Q667+LN(1+INDEX('Additional data'!$H$2:$H$1196,MATCH(N668,'Additional data'!$G$2:$G$1196,1))+INDEX('Additional data'!$I$2:$I$1196,MATCH(N668,'Additional data'!$G$2:$G$1196,1)))</f>
        <v>5.34517322963598</v>
      </c>
      <c r="R668" s="489">
        <f>LN(INDEX(Data!$B$2:$B$497,MATCH(N668,Data!$A$2:$A$497,1)))</f>
        <v>11.403728816295</v>
      </c>
      <c r="S668" s="116">
        <f>IF(INDEX('Additional data'!$E$2:$E$699,MATCH(DATE(YEAR(N668),MONTH(N668),1),'Additional data'!$D$2:$D$699,0))=0,(INDEX('Additional data'!$E$2:$E$699,MATCH(DATE(YEAR(N668),MONTH(N668),1),'Additional data'!$D$2:$D$699,0)-1)+INDEX('Additional data'!$E$2:$E$699,MATCH(DATE(YEAR(N668),MONTH(N668),1),'Additional data'!$D$2:$D$699,0)+1))/2,INDEX('Additional data'!$E$2:$E$699,MATCH(DATE(YEAR(N668),MONTH(N668),1),'Additional data'!$D$2:$D$699,0)))</f>
        <v>3.66</v>
      </c>
      <c r="T668" s="425">
        <f>P668-P667</f>
        <v>0.08084017261685</v>
      </c>
      <c r="U668" s="425">
        <f>Q668-Q667</f>
        <v>0.00965325702813846</v>
      </c>
      <c r="V668" s="425">
        <f>R668-R667</f>
        <v>0.0174395629295105</v>
      </c>
      <c r="W668" s="116">
        <f>S668-S667</f>
        <v>0.02</v>
      </c>
      <c r="X668" s="425">
        <f>P668-P656</f>
        <v>-0.247685728177961</v>
      </c>
      <c r="Y668" s="425">
        <f>Q668-Q656</f>
        <v>0.0154198544372175</v>
      </c>
      <c r="Z668" s="425">
        <f>R668-R656</f>
        <v>0.0150092092185403</v>
      </c>
      <c r="AA668" s="116">
        <f>S668-S656</f>
        <v>3.25</v>
      </c>
      <c r="AB668" s="425">
        <f>P668-P608</f>
        <v>0.181692428116394</v>
      </c>
      <c r="AC668" s="425">
        <f>Q668-Q608</f>
        <v>0.503955541802776</v>
      </c>
      <c r="AD668" s="425">
        <f>R668-R608</f>
        <v>0.404799737249036</v>
      </c>
      <c r="AE668" s="235">
        <f>S668-S608</f>
        <v>1.6</v>
      </c>
      <c r="AG668" s="554">
        <f>N668</f>
        <v>45046.0</v>
      </c>
      <c r="AH668" s="435">
        <f>IFERROR(INDEX('RBA 5Y yield'!$B$5:$B$661,MATCH(N668,'RBA 5Y yield'!$A$5:$A$661,1))*100,"")</f>
        <v>3.055</v>
      </c>
      <c r="AI668" s="435">
        <f>IF(AND(ISNUMBER(AH668),ISNUMBER(AH667)),AH668-AH667,"")</f>
        <v>-0.148</v>
      </c>
      <c r="AJ668" s="435">
        <f>IF(AND(ISNUMBER(AH668),ISNUMBER(AH656)),AH668-AH656,"")</f>
        <v>0.281</v>
      </c>
      <c r="AK668" s="435">
        <f>IF(AND(ISNUMBER(AH668),ISNUMBER(AH608)),AH668-AH608,"")</f>
        <v>0.64</v>
      </c>
      <c r="AL668" s="560">
        <f>IFERROR(LN(INDEX(Data!$B$2:$B$497,MATCH(N668,Data!$A$2:$A$497,1))/INDEX(Data!$B$2:$B$497,MATCH(N656,Data!$A$2:$A$497,1))),"")</f>
        <v>0.0150092092185392</v>
      </c>
      <c r="AM668" s="560">
        <f>IFERROR(LN(INDEX(Data!$C$2:$C$497,MATCH(N668,Data!$A$2:$A$497,1))/INDEX(Data!$C$2:$C$497,MATCH(N656,Data!$A$2:$A$497,1))),"")</f>
        <v>0.108973567614775</v>
      </c>
      <c r="AN668" s="560">
        <f>IFERROR(LN(INDEX(Data!$D$2:$D$497,MATCH(N668,Data!$A$2:$A$497,1))/INDEX(Data!$D$2:$D$497,MATCH(N656,Data!$A$2:$A$497,1))),"")</f>
        <v>0.0372249259587153</v>
      </c>
      <c r="AO668" s="560">
        <f>IFERROR(LN(INDEX(Data!$E$2:$E$497,MATCH(N668,Data!$A$2:$A$497,1))/INDEX(Data!$E$2:$E$497,MATCH(N656,Data!$A$2:$A$497,1))),"")</f>
        <v>-0.0712622084279702</v>
      </c>
      <c r="AP668" s="560">
        <f>IFERROR(LN(INDEX(Data!$F$2:$F$497,MATCH(N668,Data!$A$2:$A$497,1))/INDEX(Data!$F$2:$F$497,MATCH(N656,Data!$A$2:$A$497,1))),"")</f>
        <v>-0.0906951303572958</v>
      </c>
      <c r="AQ668" s="560">
        <f>IFERROR(LN(INDEX(Data!$G$2:$G$497,MATCH(N668,Data!$A$2:$A$497,1))/INDEX(Data!$G$2:$G$497,MATCH(N656,Data!$A$2:$A$497,1))),"")</f>
        <v>-0.0512923622494765</v>
      </c>
      <c r="AR668" s="560">
        <f>IFERROR(LN(INDEX(Data!$H$2:$H$497,MATCH(N668,Data!$A$2:$A$497,1))/INDEX(Data!$H$2:$H$497,MATCH(N656,Data!$A$2:$A$497,1))),"")</f>
        <v>0.137495891859083</v>
      </c>
      <c r="AS668" s="560">
        <f>IFERROR(LN(INDEX(Data!$I$2:$I$497,MATCH(N668,Data!$A$2:$A$497,1))/INDEX(Data!$I$2:$I$497,MATCH(N656,Data!$A$2:$A$497,1))),"")</f>
        <v>0.0191495258575179</v>
      </c>
      <c r="AT668" s="560">
        <f>IFERROR(LN(INDEX(Data!$J$2:$J$497,MATCH(N668,Data!$A$2:$A$497,1))/INDEX(Data!$J$2:$J$497,MATCH(N656,Data!$A$2:$A$497,1))),"")</f>
        <v>0.019329463461021</v>
      </c>
      <c r="AU668" s="560">
        <f>IFERROR(LN(INDEX(Data!$K$2:$K$497,MATCH(N668,Data!$A$2:$A$497,1))/INDEX(Data!$K$2:$K$497,MATCH(N656,Data!$A$2:$A$497,1))),"")</f>
        <v>-0.0398481105368482</v>
      </c>
      <c r="AV668" s="561">
        <f>IFERROR(LN(INDEX(Data!$L$2:$L$497,MATCH(N668,Data!$A$2:$A$497,1))/INDEX(Data!$L$2:$L$497,MATCH(N656,Data!$A$2:$A$497,1))),"")</f>
        <v>0.02336919169294</v>
      </c>
    </row>
    <row r="669">
      <c r="N669" s="337" t="n">
        <v>45077</v>
      </c>
      <c r="O669" s="116">
        <f>INDEX('Additional data'!$B$2:$B$965,MATCH(DATE(YEAR(N669),MONTH(N669),1),'Additional data'!$A$2:$A$965,0))</f>
        <v>71.58</v>
      </c>
      <c r="P669" s="489">
        <f>LN(O669)</f>
        <v>4.27081570533788</v>
      </c>
      <c r="Q669" s="489">
        <f>Q668+LN(1+INDEX('Additional data'!$H$2:$H$1196,MATCH(N669,'Additional data'!$G$2:$G$1196,1))+INDEX('Additional data'!$I$2:$I$1196,MATCH(N669,'Additional data'!$G$2:$G$1196,1)))</f>
        <v>5.3521488433724</v>
      </c>
      <c r="R669" s="489">
        <f>LN(INDEX(Data!$B$2:$B$497,MATCH(N669,Data!$A$2:$A$497,1)))</f>
        <v>11.3771169796802</v>
      </c>
      <c r="S669" s="116">
        <f>IF(INDEX('Additional data'!$E$2:$E$699,MATCH(DATE(YEAR(N669),MONTH(N669),1),'Additional data'!$D$2:$D$699,0))=0,(INDEX('Additional data'!$E$2:$E$699,MATCH(DATE(YEAR(N669),MONTH(N669),1),'Additional data'!$D$2:$D$699,0)-1)+INDEX('Additional data'!$E$2:$E$699,MATCH(DATE(YEAR(N669),MONTH(N669),1),'Additional data'!$D$2:$D$699,0)+1))/2,INDEX('Additional data'!$E$2:$E$699,MATCH(DATE(YEAR(N669),MONTH(N669),1),'Additional data'!$D$2:$D$699,0)))</f>
        <v>3.9</v>
      </c>
      <c r="T669" s="425">
        <f>P669-P668</f>
        <v>-0.104312187644846</v>
      </c>
      <c r="U669" s="425">
        <f>Q669-Q668</f>
        <v>0.00697561373642497</v>
      </c>
      <c r="V669" s="425">
        <f>R669-R668</f>
        <v>-0.0266118366147996</v>
      </c>
      <c r="W669" s="116">
        <f>S669-S668</f>
        <v>0.24</v>
      </c>
      <c r="X669" s="425">
        <f>P669-P657</f>
        <v>-0.425565360703596</v>
      </c>
      <c r="Y669" s="425">
        <f>Q669-Q657</f>
        <v>0.0255002831271209</v>
      </c>
      <c r="Z669" s="425">
        <f>R669-R657</f>
        <v>0.0201802224364869</v>
      </c>
      <c r="AA669" s="116">
        <f>S669-S657</f>
        <v>2.9</v>
      </c>
      <c r="AB669" s="425">
        <f>P669-P609</f>
        <v>0.0226062183983373</v>
      </c>
      <c r="AC669" s="425">
        <f>Q669-Q609</f>
        <v>0.483315988506228</v>
      </c>
      <c r="AD669" s="425">
        <f>R669-R609</f>
        <v>0.364291093878839</v>
      </c>
      <c r="AE669" s="235">
        <f>S669-S609</f>
        <v>1.94</v>
      </c>
      <c r="AG669" s="554">
        <f>N669</f>
        <v>45077.0</v>
      </c>
      <c r="AH669" s="435">
        <f>IFERROR(INDEX('RBA 5Y yield'!$B$5:$B$661,MATCH(N669,'RBA 5Y yield'!$A$5:$A$661,1))*100,"")</f>
        <v>3.216</v>
      </c>
      <c r="AI669" s="435">
        <f>IF(AND(ISNUMBER(AH669),ISNUMBER(AH668)),AH669-AH668,"")</f>
        <v>0.161</v>
      </c>
      <c r="AJ669" s="435">
        <f>IF(AND(ISNUMBER(AH669),ISNUMBER(AH657)),AH669-AH657,"")</f>
        <v>0.125</v>
      </c>
      <c r="AK669" s="435">
        <f>IF(AND(ISNUMBER(AH669),ISNUMBER(AH609)),AH669-AH609,"")</f>
        <v>0.801</v>
      </c>
      <c r="AL669" s="560">
        <f>IFERROR(LN(INDEX(Data!$B$2:$B$497,MATCH(N669,Data!$A$2:$A$497,1))/INDEX(Data!$B$2:$B$497,MATCH(N657,Data!$A$2:$A$497,1))),"")</f>
        <v>0.0201802224364876</v>
      </c>
      <c r="AM669" s="560">
        <f>IFERROR(LN(INDEX(Data!$C$2:$C$497,MATCH(N669,Data!$A$2:$A$497,1))/INDEX(Data!$C$2:$C$497,MATCH(N657,Data!$A$2:$A$497,1))),"")</f>
        <v>0.139488622638724</v>
      </c>
      <c r="AN669" s="560">
        <f>IFERROR(LN(INDEX(Data!$D$2:$D$497,MATCH(N669,Data!$A$2:$A$497,1))/INDEX(Data!$D$2:$D$497,MATCH(N657,Data!$A$2:$A$497,1))),"")</f>
        <v>0.0593339595982954</v>
      </c>
      <c r="AO669" s="560">
        <f>IFERROR(LN(INDEX(Data!$E$2:$E$497,MATCH(N669,Data!$A$2:$A$497,1))/INDEX(Data!$E$2:$E$497,MATCH(N657,Data!$A$2:$A$497,1))),"")</f>
        <v>-0.0190975519960891</v>
      </c>
      <c r="AP669" s="560">
        <f>IFERROR(LN(INDEX(Data!$F$2:$F$497,MATCH(N669,Data!$A$2:$A$497,1))/INDEX(Data!$F$2:$F$497,MATCH(N657,Data!$A$2:$A$497,1))),"")</f>
        <v>-0.172834437667344</v>
      </c>
      <c r="AQ669" s="560">
        <f>IFERROR(LN(INDEX(Data!$G$2:$G$497,MATCH(N669,Data!$A$2:$A$497,1))/INDEX(Data!$G$2:$G$497,MATCH(N657,Data!$A$2:$A$497,1))),"")</f>
        <v>-0.0512923622494765</v>
      </c>
      <c r="AR669" s="560">
        <f>IFERROR(LN(INDEX(Data!$H$2:$H$497,MATCH(N669,Data!$A$2:$A$497,1))/INDEX(Data!$H$2:$H$497,MATCH(N657,Data!$A$2:$A$497,1))),"")</f>
        <v>0.0285672511366019</v>
      </c>
      <c r="AS669" s="560">
        <f>IFERROR(LN(INDEX(Data!$I$2:$I$497,MATCH(N669,Data!$A$2:$A$497,1))/INDEX(Data!$I$2:$I$497,MATCH(N657,Data!$A$2:$A$497,1))),"")</f>
        <v>0.0191495258575179</v>
      </c>
      <c r="AT669" s="560">
        <f>IFERROR(LN(INDEX(Data!$J$2:$J$497,MATCH(N669,Data!$A$2:$A$497,1))/INDEX(Data!$J$2:$J$497,MATCH(N657,Data!$A$2:$A$497,1))),"")</f>
        <v>0.0151117855375912</v>
      </c>
      <c r="AU669" s="560">
        <f>IFERROR(LN(INDEX(Data!$K$2:$K$497,MATCH(N669,Data!$A$2:$A$497,1))/INDEX(Data!$K$2:$K$497,MATCH(N657,Data!$A$2:$A$497,1))),"")</f>
        <v>-0.0375077202955022</v>
      </c>
      <c r="AV669" s="561">
        <f>IFERROR(LN(INDEX(Data!$L$2:$L$497,MATCH(N669,Data!$A$2:$A$497,1))/INDEX(Data!$L$2:$L$497,MATCH(N657,Data!$A$2:$A$497,1))),"")</f>
        <v>0.0259988584658498</v>
      </c>
    </row>
    <row r="670">
      <c r="N670" s="337" t="n">
        <v>45107</v>
      </c>
      <c r="O670" s="116">
        <f>INDEX('Additional data'!$B$2:$B$965,MATCH(DATE(YEAR(N670),MONTH(N670),1),'Additional data'!$A$2:$A$965,0))</f>
        <v>70.25</v>
      </c>
      <c r="P670" s="489">
        <f>LN(O670)</f>
        <v>4.25206030821386</v>
      </c>
      <c r="Q670" s="489">
        <f>Q669+LN(1+INDEX('Additional data'!$H$2:$H$1196,MATCH(N670,'Additional data'!$G$2:$G$1196,1))+INDEX('Additional data'!$I$2:$I$1196,MATCH(N670,'Additional data'!$G$2:$G$1196,1)))</f>
        <v>5.41849822391394</v>
      </c>
      <c r="R670" s="489">
        <f>LN(INDEX(Data!$B$2:$B$497,MATCH(N670,Data!$A$2:$A$497,1)))</f>
        <v>11.3962954984621</v>
      </c>
      <c r="S670" s="116">
        <f>IF(INDEX('Additional data'!$E$2:$E$699,MATCH(DATE(YEAR(N670),MONTH(N670),1),'Additional data'!$D$2:$D$699,0))=0,(INDEX('Additional data'!$E$2:$E$699,MATCH(DATE(YEAR(N670),MONTH(N670),1),'Additional data'!$D$2:$D$699,0)-1)+INDEX('Additional data'!$E$2:$E$699,MATCH(DATE(YEAR(N670),MONTH(N670),1),'Additional data'!$D$2:$D$699,0)+1))/2,INDEX('Additional data'!$E$2:$E$699,MATCH(DATE(YEAR(N670),MONTH(N670),1),'Additional data'!$D$2:$D$699,0)))</f>
        <v>4.25</v>
      </c>
      <c r="T670" s="425">
        <f>P670-P669</f>
        <v>-0.018755397124024</v>
      </c>
      <c r="U670" s="425">
        <f>Q670-Q669</f>
        <v>0.0663493805415341</v>
      </c>
      <c r="V670" s="425">
        <f>R670-R669</f>
        <v>0.0191785187819065</v>
      </c>
      <c r="W670" s="116">
        <f>S670-S669</f>
        <v>0.35</v>
      </c>
      <c r="X670" s="425">
        <f>P670-P658</f>
        <v>-0.491479547039008</v>
      </c>
      <c r="Y670" s="425">
        <f>Q670-Q658</f>
        <v>0.178933770575768</v>
      </c>
      <c r="Z670" s="425">
        <f>R670-R658</f>
        <v>0.137605626319038</v>
      </c>
      <c r="AA670" s="116">
        <f>S670-S658</f>
        <v>2.65</v>
      </c>
      <c r="AB670" s="425">
        <f>P670-P610</f>
        <v>0.0344661974981886</v>
      </c>
      <c r="AC670" s="425">
        <f>Q670-Q610</f>
        <v>0.543385131090612</v>
      </c>
      <c r="AD670" s="425">
        <f>R670-R610</f>
        <v>0.354415763304399</v>
      </c>
      <c r="AE670" s="235">
        <f>S670-S610</f>
        <v>2.18</v>
      </c>
      <c r="AG670" s="554">
        <f>N670</f>
        <v>45107.0</v>
      </c>
      <c r="AH670" s="435">
        <f>IFERROR(INDEX('RBA 5Y yield'!$B$5:$B$661,MATCH(N670,'RBA 5Y yield'!$A$5:$A$661,1))*100,"")</f>
        <v>3.78</v>
      </c>
      <c r="AI670" s="435">
        <f>IF(AND(ISNUMBER(AH670),ISNUMBER(AH669)),AH670-AH669,"")</f>
        <v>0.564</v>
      </c>
      <c r="AJ670" s="435">
        <f>IF(AND(ISNUMBER(AH670),ISNUMBER(AH658)),AH670-AH658,"")</f>
        <v>0.285</v>
      </c>
      <c r="AK670" s="435">
        <f>IF(AND(ISNUMBER(AH670),ISNUMBER(AH610)),AH670-AH610,"")</f>
        <v>1.423</v>
      </c>
      <c r="AL670" s="560">
        <f>IFERROR(LN(INDEX(Data!$B$2:$B$497,MATCH(N670,Data!$A$2:$A$497,1))/INDEX(Data!$B$2:$B$497,MATCH(N658,Data!$A$2:$A$497,1))),"")</f>
        <v>0.137605626319038</v>
      </c>
      <c r="AM670" s="560">
        <f>IFERROR(LN(INDEX(Data!$C$2:$C$497,MATCH(N670,Data!$A$2:$A$497,1))/INDEX(Data!$C$2:$C$497,MATCH(N658,Data!$A$2:$A$497,1))),"")</f>
        <v>0.205215720219143</v>
      </c>
      <c r="AN670" s="560">
        <f>IFERROR(LN(INDEX(Data!$D$2:$D$497,MATCH(N670,Data!$A$2:$A$497,1))/INDEX(Data!$D$2:$D$497,MATCH(N658,Data!$A$2:$A$497,1))),"")</f>
        <v>0.0694017368969001</v>
      </c>
      <c r="AO670" s="560">
        <f>IFERROR(LN(INDEX(Data!$E$2:$E$497,MATCH(N670,Data!$A$2:$A$497,1))/INDEX(Data!$E$2:$E$497,MATCH(N658,Data!$A$2:$A$497,1))),"")</f>
        <v>0.0169680413869004</v>
      </c>
      <c r="AP670" s="560">
        <f>IFERROR(LN(INDEX(Data!$F$2:$F$497,MATCH(N670,Data!$A$2:$A$497,1))/INDEX(Data!$F$2:$F$497,MATCH(N658,Data!$A$2:$A$497,1))),"")</f>
        <v>-0.120824715894055</v>
      </c>
      <c r="AQ670" s="560">
        <f>IFERROR(LN(INDEX(Data!$G$2:$G$497,MATCH(N670,Data!$A$2:$A$497,1))/INDEX(Data!$G$2:$G$497,MATCH(N658,Data!$A$2:$A$497,1))),"")</f>
        <v>-0.0268631169096425</v>
      </c>
      <c r="AR670" s="560">
        <f>IFERROR(LN(INDEX(Data!$H$2:$H$497,MATCH(N670,Data!$A$2:$A$497,1))/INDEX(Data!$H$2:$H$497,MATCH(N658,Data!$A$2:$A$497,1))),"")</f>
        <v>0.08385721065715</v>
      </c>
      <c r="AS670" s="560">
        <f>IFERROR(LN(INDEX(Data!$I$2:$I$497,MATCH(N670,Data!$A$2:$A$497,1))/INDEX(Data!$I$2:$I$497,MATCH(N658,Data!$A$2:$A$497,1))),"")</f>
        <v>0.13980285317361</v>
      </c>
      <c r="AT670" s="560">
        <f>IFERROR(LN(INDEX(Data!$J$2:$J$497,MATCH(N670,Data!$A$2:$A$497,1))/INDEX(Data!$J$2:$J$497,MATCH(N658,Data!$A$2:$A$497,1))),"")</f>
        <v>0.0120069138864166</v>
      </c>
      <c r="AU670" s="560">
        <f>IFERROR(LN(INDEX(Data!$K$2:$K$497,MATCH(N670,Data!$A$2:$A$497,1))/INDEX(Data!$K$2:$K$497,MATCH(N658,Data!$A$2:$A$497,1))),"")</f>
        <v>-0.0174789722073777</v>
      </c>
      <c r="AV670" s="561">
        <f>IFERROR(LN(INDEX(Data!$L$2:$L$497,MATCH(N670,Data!$A$2:$A$497,1))/INDEX(Data!$L$2:$L$497,MATCH(N658,Data!$A$2:$A$497,1))),"")</f>
        <v>0.0285180410237285</v>
      </c>
    </row>
    <row r="671">
      <c r="N671" s="337" t="n">
        <v>45138</v>
      </c>
      <c r="O671" s="116">
        <f>INDEX('Additional data'!$B$2:$B$965,MATCH(DATE(YEAR(N671),MONTH(N671),1),'Additional data'!$A$2:$A$965,0))</f>
        <v>76.07</v>
      </c>
      <c r="P671" s="489">
        <f>LN(O671)</f>
        <v>4.33165396900921</v>
      </c>
      <c r="Q671" s="489">
        <f>Q670+LN(1+INDEX('Additional data'!$H$2:$H$1196,MATCH(N671,'Additional data'!$G$2:$G$1196,1))+INDEX('Additional data'!$I$2:$I$1196,MATCH(N671,'Additional data'!$G$2:$G$1196,1)))</f>
        <v>5.45444435068741</v>
      </c>
      <c r="R671" s="489">
        <f>LN(INDEX(Data!$B$2:$B$497,MATCH(N671,Data!$A$2:$A$497,1)))</f>
        <v>11.4257528082484</v>
      </c>
      <c r="S671" s="116">
        <f>IF(INDEX('Additional data'!$E$2:$E$699,MATCH(DATE(YEAR(N671),MONTH(N671),1),'Additional data'!$D$2:$D$699,0))=0,(INDEX('Additional data'!$E$2:$E$699,MATCH(DATE(YEAR(N671),MONTH(N671),1),'Additional data'!$D$2:$D$699,0)-1)+INDEX('Additional data'!$E$2:$E$699,MATCH(DATE(YEAR(N671),MONTH(N671),1),'Additional data'!$D$2:$D$699,0)+1))/2,INDEX('Additional data'!$E$2:$E$699,MATCH(DATE(YEAR(N671),MONTH(N671),1),'Additional data'!$D$2:$D$699,0)))</f>
        <v>4.3</v>
      </c>
      <c r="T671" s="425">
        <f>P671-P670</f>
        <v>0.0795936607953545</v>
      </c>
      <c r="U671" s="425">
        <f>Q671-Q670</f>
        <v>0.0359461267734691</v>
      </c>
      <c r="V671" s="425">
        <f>R671-R670</f>
        <v>0.0294573097863342</v>
      </c>
      <c r="W671" s="116">
        <f>S671-S670</f>
        <v>0.0499999999999998</v>
      </c>
      <c r="X671" s="425">
        <f>P671-P659</f>
        <v>-0.289586397156376</v>
      </c>
      <c r="Y671" s="425">
        <f>Q671-Q659</f>
        <v>0.122756608473432</v>
      </c>
      <c r="Z671" s="425">
        <f>R671-R659</f>
        <v>0.105579253783876</v>
      </c>
      <c r="AA671" s="116">
        <f>S671-S659</f>
        <v>2.23</v>
      </c>
      <c r="AB671" s="425">
        <f>P671-P611</f>
        <v>0.0692558217908594</v>
      </c>
      <c r="AC671" s="425">
        <f>Q671-Q611</f>
        <v>0.54628340381788</v>
      </c>
      <c r="AD671" s="425">
        <f>R671-R611</f>
        <v>0.371713137305029</v>
      </c>
      <c r="AE671" s="235">
        <f>S671-S611</f>
        <v>2.28</v>
      </c>
      <c r="AG671" s="554">
        <f>N671</f>
        <v>45138.0</v>
      </c>
      <c r="AH671" s="435">
        <f>IFERROR(INDEX('RBA 5Y yield'!$B$5:$B$661,MATCH(N671,'RBA 5Y yield'!$A$5:$A$661,1))*100,"")</f>
        <v>3.909</v>
      </c>
      <c r="AI671" s="435">
        <f>IF(AND(ISNUMBER(AH671),ISNUMBER(AH670)),AH671-AH670,"")</f>
        <v>0.129</v>
      </c>
      <c r="AJ671" s="435">
        <f>IF(AND(ISNUMBER(AH671),ISNUMBER(AH659)),AH671-AH659,"")</f>
        <v>0.751</v>
      </c>
      <c r="AK671" s="435">
        <f>IF(AND(ISNUMBER(AH671),ISNUMBER(AH611)),AH671-AH611,"")</f>
        <v>1.619</v>
      </c>
      <c r="AL671" s="560">
        <f>IFERROR(LN(INDEX(Data!$B$2:$B$497,MATCH(N671,Data!$A$2:$A$497,1))/INDEX(Data!$B$2:$B$497,MATCH(N659,Data!$A$2:$A$497,1))),"")</f>
        <v>0.105579253783876</v>
      </c>
      <c r="AM671" s="560">
        <f>IFERROR(LN(INDEX(Data!$C$2:$C$497,MATCH(N671,Data!$A$2:$A$497,1))/INDEX(Data!$C$2:$C$497,MATCH(N659,Data!$A$2:$A$497,1))),"")</f>
        <v>0.159607424020815</v>
      </c>
      <c r="AN671" s="560">
        <f>IFERROR(LN(INDEX(Data!$D$2:$D$497,MATCH(N671,Data!$A$2:$A$497,1))/INDEX(Data!$D$2:$D$497,MATCH(N659,Data!$A$2:$A$497,1))),"")</f>
        <v>0.122188538796317</v>
      </c>
      <c r="AO671" s="560">
        <f>IFERROR(LN(INDEX(Data!$E$2:$E$497,MATCH(N671,Data!$A$2:$A$497,1))/INDEX(Data!$E$2:$E$497,MATCH(N659,Data!$A$2:$A$497,1))),"")</f>
        <v>-0.0308168851694354</v>
      </c>
      <c r="AP671" s="560">
        <f>IFERROR(LN(INDEX(Data!$F$2:$F$497,MATCH(N671,Data!$A$2:$A$497,1))/INDEX(Data!$F$2:$F$497,MATCH(N659,Data!$A$2:$A$497,1))),"")</f>
        <v>-0.016017638711362</v>
      </c>
      <c r="AQ671" s="560">
        <f>IFERROR(LN(INDEX(Data!$G$2:$G$497,MATCH(N671,Data!$A$2:$A$497,1))/INDEX(Data!$G$2:$G$497,MATCH(N659,Data!$A$2:$A$497,1))),"")</f>
        <v>-0.0268631169096425</v>
      </c>
      <c r="AR671" s="560">
        <f>IFERROR(LN(INDEX(Data!$H$2:$H$497,MATCH(N671,Data!$A$2:$A$497,1))/INDEX(Data!$H$2:$H$497,MATCH(N659,Data!$A$2:$A$497,1))),"")</f>
        <v>0.168011980511983</v>
      </c>
      <c r="AS671" s="560">
        <f>IFERROR(LN(INDEX(Data!$I$2:$I$497,MATCH(N671,Data!$A$2:$A$497,1))/INDEX(Data!$I$2:$I$497,MATCH(N659,Data!$A$2:$A$497,1))),"")</f>
        <v>0.13980285317361</v>
      </c>
      <c r="AT671" s="560">
        <f>IFERROR(LN(INDEX(Data!$J$2:$J$497,MATCH(N671,Data!$A$2:$A$497,1))/INDEX(Data!$J$2:$J$497,MATCH(N659,Data!$A$2:$A$497,1))),"")</f>
        <v>-0.0188851095520162</v>
      </c>
      <c r="AU671" s="560">
        <f>IFERROR(LN(INDEX(Data!$K$2:$K$497,MATCH(N671,Data!$A$2:$A$497,1))/INDEX(Data!$K$2:$K$497,MATCH(N659,Data!$A$2:$A$497,1))),"")</f>
        <v>-0.0509190311757324</v>
      </c>
      <c r="AV671" s="561">
        <f>IFERROR(LN(INDEX(Data!$L$2:$L$497,MATCH(N671,Data!$A$2:$A$497,1))/INDEX(Data!$L$2:$L$497,MATCH(N659,Data!$A$2:$A$497,1))),"")</f>
        <v>0.0309810334658492</v>
      </c>
    </row>
    <row r="672">
      <c r="N672" s="337" t="n">
        <v>45169</v>
      </c>
      <c r="O672" s="116">
        <f>INDEX('Additional data'!$B$2:$B$965,MATCH(DATE(YEAR(N672),MONTH(N672),1),'Additional data'!$A$2:$A$965,0))</f>
        <v>81.39</v>
      </c>
      <c r="P672" s="489">
        <f>LN(O672)</f>
        <v>4.39925241533895</v>
      </c>
      <c r="Q672" s="489">
        <f>Q671+LN(1+INDEX('Additional data'!$H$2:$H$1196,MATCH(N672,'Additional data'!$G$2:$G$1196,1))+INDEX('Additional data'!$I$2:$I$1196,MATCH(N672,'Additional data'!$G$2:$G$1196,1)))</f>
        <v>5.43515958927554</v>
      </c>
      <c r="R672" s="489">
        <f>LN(INDEX(Data!$B$2:$B$497,MATCH(N672,Data!$A$2:$A$497,1)))</f>
        <v>11.4183297469</v>
      </c>
      <c r="S672" s="116">
        <f>IF(INDEX('Additional data'!$E$2:$E$699,MATCH(DATE(YEAR(N672),MONTH(N672),1),'Additional data'!$D$2:$D$699,0))=0,(INDEX('Additional data'!$E$2:$E$699,MATCH(DATE(YEAR(N672),MONTH(N672),1),'Additional data'!$D$2:$D$699,0)-1)+INDEX('Additional data'!$E$2:$E$699,MATCH(DATE(YEAR(N672),MONTH(N672),1),'Additional data'!$D$2:$D$699,0)+1))/2,INDEX('Additional data'!$E$2:$E$699,MATCH(DATE(YEAR(N672),MONTH(N672),1),'Additional data'!$D$2:$D$699,0)))</f>
        <v>4.15</v>
      </c>
      <c r="T672" s="425">
        <f>P672-P671</f>
        <v>0.0675984463297406</v>
      </c>
      <c r="U672" s="425">
        <f>Q672-Q671</f>
        <v>-0.0192847614118667</v>
      </c>
      <c r="V672" s="425">
        <f>R672-R671</f>
        <v>-0.00742306134845805</v>
      </c>
      <c r="W672" s="116">
        <f>S672-S671</f>
        <v>-0.149999999999999</v>
      </c>
      <c r="X672" s="425">
        <f>P672-P660</f>
        <v>-0.140525551882089</v>
      </c>
      <c r="Y672" s="425">
        <f>Q672-Q660</f>
        <v>0.13992838407218</v>
      </c>
      <c r="Z672" s="425">
        <f>R672-R660</f>
        <v>0.0854353404672033</v>
      </c>
      <c r="AA672" s="116">
        <f>S672-S660</f>
        <v>1.84</v>
      </c>
      <c r="AB672" s="425">
        <f>P672-P612</f>
        <v>0.178862746266191</v>
      </c>
      <c r="AC672" s="425">
        <f>Q672-Q612</f>
        <v>0.491534978130445</v>
      </c>
      <c r="AD672" s="425">
        <f>R672-R612</f>
        <v>0.347343488153451</v>
      </c>
      <c r="AE672" s="235">
        <f>S672-S612</f>
        <v>2.19</v>
      </c>
      <c r="AG672" s="554">
        <f>N672</f>
        <v>45169.0</v>
      </c>
      <c r="AH672" s="435">
        <f>IFERROR(INDEX('RBA 5Y yield'!$B$5:$B$661,MATCH(N672,'RBA 5Y yield'!$A$5:$A$661,1))*100,"")</f>
        <v>3.858</v>
      </c>
      <c r="AI672" s="435">
        <f>IF(AND(ISNUMBER(AH672),ISNUMBER(AH671)),AH672-AH671,"")</f>
        <v>-0.0509999999999993</v>
      </c>
      <c r="AJ672" s="435">
        <f>IF(AND(ISNUMBER(AH672),ISNUMBER(AH660)),AH672-AH660,"")</f>
        <v>0.709000000000001</v>
      </c>
      <c r="AK672" s="435">
        <f>IF(AND(ISNUMBER(AH672),ISNUMBER(AH612)),AH672-AH612,"")</f>
        <v>1.619</v>
      </c>
      <c r="AL672" s="560">
        <f>IFERROR(LN(INDEX(Data!$B$2:$B$497,MATCH(N672,Data!$A$2:$A$497,1))/INDEX(Data!$B$2:$B$497,MATCH(N660,Data!$A$2:$A$497,1))),"")</f>
        <v>0.0854353404672033</v>
      </c>
      <c r="AM672" s="560">
        <f>IFERROR(LN(INDEX(Data!$C$2:$C$497,MATCH(N672,Data!$A$2:$A$497,1))/INDEX(Data!$C$2:$C$497,MATCH(N660,Data!$A$2:$A$497,1))),"")</f>
        <v>0.199045755749221</v>
      </c>
      <c r="AN672" s="560">
        <f>IFERROR(LN(INDEX(Data!$D$2:$D$497,MATCH(N672,Data!$A$2:$A$497,1))/INDEX(Data!$D$2:$D$497,MATCH(N660,Data!$A$2:$A$497,1))),"")</f>
        <v>0.0841346097433021</v>
      </c>
      <c r="AO672" s="560">
        <f>IFERROR(LN(INDEX(Data!$E$2:$E$497,MATCH(N672,Data!$A$2:$A$497,1))/INDEX(Data!$E$2:$E$497,MATCH(N660,Data!$A$2:$A$497,1))),"")</f>
        <v>0.021611205190616</v>
      </c>
      <c r="AP672" s="560">
        <f>IFERROR(LN(INDEX(Data!$F$2:$F$497,MATCH(N672,Data!$A$2:$A$497,1))/INDEX(Data!$F$2:$F$497,MATCH(N660,Data!$A$2:$A$497,1))),"")</f>
        <v>0.0390303094677396</v>
      </c>
      <c r="AQ672" s="560">
        <f>IFERROR(LN(INDEX(Data!$G$2:$G$497,MATCH(N672,Data!$A$2:$A$497,1))/INDEX(Data!$G$2:$G$497,MATCH(N660,Data!$A$2:$A$497,1))),"")</f>
        <v>-0.0268631169096425</v>
      </c>
      <c r="AR672" s="560">
        <f>IFERROR(LN(INDEX(Data!$H$2:$H$497,MATCH(N672,Data!$A$2:$A$497,1))/INDEX(Data!$H$2:$H$497,MATCH(N660,Data!$A$2:$A$497,1))),"")</f>
        <v>0.187716103295806</v>
      </c>
      <c r="AS672" s="560">
        <f>IFERROR(LN(INDEX(Data!$I$2:$I$497,MATCH(N672,Data!$A$2:$A$497,1))/INDEX(Data!$I$2:$I$497,MATCH(N660,Data!$A$2:$A$497,1))),"")</f>
        <v>0.13980285317361</v>
      </c>
      <c r="AT672" s="560">
        <f>IFERROR(LN(INDEX(Data!$J$2:$J$497,MATCH(N672,Data!$A$2:$A$497,1))/INDEX(Data!$J$2:$J$497,MATCH(N660,Data!$A$2:$A$497,1))),"")</f>
        <v>0.0179983719657412</v>
      </c>
      <c r="AU672" s="560">
        <f>IFERROR(LN(INDEX(Data!$K$2:$K$497,MATCH(N672,Data!$A$2:$A$497,1))/INDEX(Data!$K$2:$K$497,MATCH(N660,Data!$A$2:$A$497,1))),"")</f>
        <v>-0.028165114091879</v>
      </c>
      <c r="AV672" s="561">
        <f>IFERROR(LN(INDEX(Data!$L$2:$L$497,MATCH(N672,Data!$A$2:$A$497,1))/INDEX(Data!$L$2:$L$497,MATCH(N660,Data!$A$2:$A$497,1))),"")</f>
        <v>0.0331193522377459</v>
      </c>
    </row>
    <row r="673">
      <c r="N673" s="337" t="n">
        <v>45199</v>
      </c>
      <c r="O673" s="116">
        <f>INDEX('Additional data'!$B$2:$B$965,MATCH(DATE(YEAR(N673),MONTH(N673),1),'Additional data'!$A$2:$A$965,0))</f>
        <v>89.43</v>
      </c>
      <c r="P673" s="489">
        <f>LN(O673)</f>
        <v>4.49345619635809</v>
      </c>
      <c r="Q673" s="489">
        <f>Q672+LN(1+INDEX('Additional data'!$H$2:$H$1196,MATCH(N673,'Additional data'!$G$2:$G$1196,1))+INDEX('Additional data'!$I$2:$I$1196,MATCH(N673,'Additional data'!$G$2:$G$1196,1)))</f>
        <v>5.38596934508477</v>
      </c>
      <c r="R673" s="489">
        <f>LN(INDEX(Data!$B$2:$B$497,MATCH(N673,Data!$A$2:$A$497,1)))</f>
        <v>11.3896782932766</v>
      </c>
      <c r="S673" s="116">
        <f>IF(INDEX('Additional data'!$E$2:$E$699,MATCH(DATE(YEAR(N673),MONTH(N673),1),'Additional data'!$D$2:$D$699,0))=0,(INDEX('Additional data'!$E$2:$E$699,MATCH(DATE(YEAR(N673),MONTH(N673),1),'Additional data'!$D$2:$D$699,0)-1)+INDEX('Additional data'!$E$2:$E$699,MATCH(DATE(YEAR(N673),MONTH(N673),1),'Additional data'!$D$2:$D$699,0)+1))/2,INDEX('Additional data'!$E$2:$E$699,MATCH(DATE(YEAR(N673),MONTH(N673),1),'Additional data'!$D$2:$D$699,0)))</f>
        <v>4.13</v>
      </c>
      <c r="T673" s="425">
        <f>P673-P672</f>
        <v>0.0942037810191394</v>
      </c>
      <c r="U673" s="425">
        <f>Q673-Q672</f>
        <v>-0.0491902441907719</v>
      </c>
      <c r="V673" s="425">
        <f>R673-R672</f>
        <v>-0.0286514536234126</v>
      </c>
      <c r="W673" s="116">
        <f>S673-S672</f>
        <v>-0.0200000000000005</v>
      </c>
      <c r="X673" s="425">
        <f>P673-P661</f>
        <v>0.0595489398072191</v>
      </c>
      <c r="Y673" s="425">
        <f>Q673-Q661</f>
        <v>0.186698531027319</v>
      </c>
      <c r="Z673" s="425">
        <f>R673-R661</f>
        <v>0.122985446446627</v>
      </c>
      <c r="AA673" s="116">
        <f>S673-S661</f>
        <v>1.37</v>
      </c>
      <c r="AB673" s="425">
        <f>P673-P613</f>
        <v>0.24168062618716</v>
      </c>
      <c r="AC673" s="425">
        <f>Q673-Q613</f>
        <v>0.440246935857527</v>
      </c>
      <c r="AD673" s="425">
        <f>R673-R613</f>
        <v>0.329323328079314</v>
      </c>
      <c r="AE673" s="235">
        <f>S673-S613</f>
        <v>2.2</v>
      </c>
      <c r="AG673" s="554">
        <f>N673</f>
        <v>45199.0</v>
      </c>
      <c r="AH673" s="435">
        <f>IFERROR(INDEX('RBA 5Y yield'!$B$5:$B$661,MATCH(N673,'RBA 5Y yield'!$A$5:$A$661,1))*100,"")</f>
        <v>3.935</v>
      </c>
      <c r="AI673" s="435">
        <f>IF(AND(ISNUMBER(AH673),ISNUMBER(AH672)),AH673-AH672,"")</f>
        <v>0.077</v>
      </c>
      <c r="AJ673" s="435">
        <f>IF(AND(ISNUMBER(AH673),ISNUMBER(AH661)),AH673-AH661,"")</f>
        <v>0.431000000000001</v>
      </c>
      <c r="AK673" s="435">
        <f>IF(AND(ISNUMBER(AH673),ISNUMBER(AH613)),AH673-AH613,"")</f>
        <v>1.687</v>
      </c>
      <c r="AL673" s="560">
        <f>IFERROR(LN(INDEX(Data!$B$2:$B$497,MATCH(N673,Data!$A$2:$A$497,1))/INDEX(Data!$B$2:$B$497,MATCH(N661,Data!$A$2:$A$497,1))),"")</f>
        <v>0.122985446446628</v>
      </c>
      <c r="AM673" s="560">
        <f>IFERROR(LN(INDEX(Data!$C$2:$C$497,MATCH(N673,Data!$A$2:$A$497,1))/INDEX(Data!$C$2:$C$497,MATCH(N661,Data!$A$2:$A$497,1))),"")</f>
        <v>0.187338499156186</v>
      </c>
      <c r="AN673" s="560">
        <f>IFERROR(LN(INDEX(Data!$D$2:$D$497,MATCH(N673,Data!$A$2:$A$497,1))/INDEX(Data!$D$2:$D$497,MATCH(N661,Data!$A$2:$A$497,1))),"")</f>
        <v>0.103702656071356</v>
      </c>
      <c r="AO673" s="560">
        <f>IFERROR(LN(INDEX(Data!$E$2:$E$497,MATCH(N673,Data!$A$2:$A$497,1))/INDEX(Data!$E$2:$E$497,MATCH(N661,Data!$A$2:$A$497,1))),"")</f>
        <v>0.0216251645099435</v>
      </c>
      <c r="AP673" s="560">
        <f>IFERROR(LN(INDEX(Data!$F$2:$F$497,MATCH(N673,Data!$A$2:$A$497,1))/INDEX(Data!$F$2:$F$497,MATCH(N661,Data!$A$2:$A$497,1))),"")</f>
        <v>0.099913265799124</v>
      </c>
      <c r="AQ673" s="560">
        <f>IFERROR(LN(INDEX(Data!$G$2:$G$497,MATCH(N673,Data!$A$2:$A$497,1))/INDEX(Data!$G$2:$G$497,MATCH(N661,Data!$A$2:$A$497,1))),"")</f>
        <v>0.0352697111699275</v>
      </c>
      <c r="AR673" s="560">
        <f>IFERROR(LN(INDEX(Data!$H$2:$H$497,MATCH(N673,Data!$A$2:$A$497,1))/INDEX(Data!$H$2:$H$497,MATCH(N661,Data!$A$2:$A$497,1))),"")</f>
        <v>0.119229202465961</v>
      </c>
      <c r="AS673" s="560">
        <f>IFERROR(LN(INDEX(Data!$I$2:$I$497,MATCH(N673,Data!$A$2:$A$497,1))/INDEX(Data!$I$2:$I$497,MATCH(N661,Data!$A$2:$A$497,1))),"")</f>
        <v>0.224379610717022</v>
      </c>
      <c r="AT673" s="560">
        <f>IFERROR(LN(INDEX(Data!$J$2:$J$497,MATCH(N673,Data!$A$2:$A$497,1))/INDEX(Data!$J$2:$J$497,MATCH(N661,Data!$A$2:$A$497,1))),"")</f>
        <v>0.0152675036984286</v>
      </c>
      <c r="AU673" s="560">
        <f>IFERROR(LN(INDEX(Data!$K$2:$K$497,MATCH(N673,Data!$A$2:$A$497,1))/INDEX(Data!$K$2:$K$497,MATCH(N661,Data!$A$2:$A$497,1))),"")</f>
        <v>-0.00913389429737256</v>
      </c>
      <c r="AV673" s="561">
        <f>IFERROR(LN(INDEX(Data!$L$2:$L$497,MATCH(N673,Data!$A$2:$A$497,1))/INDEX(Data!$L$2:$L$497,MATCH(N661,Data!$A$2:$A$497,1))),"")</f>
        <v>0.0350393420845911</v>
      </c>
    </row>
    <row r="674">
      <c r="N674" s="337" t="n">
        <v>45230</v>
      </c>
      <c r="O674" s="116">
        <f>INDEX('Additional data'!$B$2:$B$965,MATCH(DATE(YEAR(N674),MONTH(N674),1),'Additional data'!$A$2:$A$965,0))</f>
        <v>85.64</v>
      </c>
      <c r="P674" s="489">
        <f>LN(O674)</f>
        <v>4.45015246372148</v>
      </c>
      <c r="Q674" s="489">
        <f>Q673+LN(1+INDEX('Additional data'!$H$2:$H$1196,MATCH(N674,'Additional data'!$G$2:$G$1196,1))+INDEX('Additional data'!$I$2:$I$1196,MATCH(N674,'Additional data'!$G$2:$G$1196,1)))</f>
        <v>5.358803677012</v>
      </c>
      <c r="R674" s="489">
        <f>LN(INDEX(Data!$B$2:$B$497,MATCH(N674,Data!$A$2:$A$497,1)))</f>
        <v>11.3504076091449</v>
      </c>
      <c r="S674" s="116">
        <f>IF(INDEX('Additional data'!$E$2:$E$699,MATCH(DATE(YEAR(N674),MONTH(N674),1),'Additional data'!$D$2:$D$699,0))=0,(INDEX('Additional data'!$E$2:$E$699,MATCH(DATE(YEAR(N674),MONTH(N674),1),'Additional data'!$D$2:$D$699,0)-1)+INDEX('Additional data'!$E$2:$E$699,MATCH(DATE(YEAR(N674),MONTH(N674),1),'Additional data'!$D$2:$D$699,0)+1))/2,INDEX('Additional data'!$E$2:$E$699,MATCH(DATE(YEAR(N674),MONTH(N674),1),'Additional data'!$D$2:$D$699,0)))</f>
        <v>4.21</v>
      </c>
      <c r="T674" s="425">
        <f>P674-P673</f>
        <v>-0.0433037326366081</v>
      </c>
      <c r="U674" s="425">
        <f>Q674-Q673</f>
        <v>-0.0271656680727697</v>
      </c>
      <c r="V674" s="425">
        <f>R674-R673</f>
        <v>-0.0392706841316919</v>
      </c>
      <c r="W674" s="116">
        <f>S674-S673</f>
        <v>0.0800000000000001</v>
      </c>
      <c r="X674" s="425">
        <f>P674-P662</f>
        <v>-0.022057595010379</v>
      </c>
      <c r="Y674" s="425">
        <f>Q674-Q662</f>
        <v>0.0818313552906975</v>
      </c>
      <c r="Z674" s="425">
        <f>R674-R662</f>
        <v>0.0284698461035458</v>
      </c>
      <c r="AA674" s="116">
        <f>S674-S662</f>
        <v>1.26</v>
      </c>
      <c r="AB674" s="425">
        <f>P674-P614</f>
        <v>0.190999927198135</v>
      </c>
      <c r="AC674" s="425">
        <f>Q674-Q614</f>
        <v>0.490610470293995</v>
      </c>
      <c r="AD674" s="425">
        <f>R674-R614</f>
        <v>0.356960324442342</v>
      </c>
      <c r="AE674" s="235">
        <f>S674-S614</f>
        <v>2.28</v>
      </c>
      <c r="AG674" s="554">
        <f>N674</f>
        <v>45230.0</v>
      </c>
      <c r="AH674" s="435">
        <f>IFERROR(INDEX('RBA 5Y yield'!$B$5:$B$661,MATCH(N674,'RBA 5Y yield'!$A$5:$A$661,1))*100,"")</f>
        <v>4.235</v>
      </c>
      <c r="AI674" s="435">
        <f>IF(AND(ISNUMBER(AH674),ISNUMBER(AH673)),AH674-AH673,"")</f>
        <v>0.299999999999999</v>
      </c>
      <c r="AJ674" s="435">
        <f>IF(AND(ISNUMBER(AH674),ISNUMBER(AH662)),AH674-AH662,"")</f>
        <v>0.625</v>
      </c>
      <c r="AK674" s="435">
        <f>IF(AND(ISNUMBER(AH674),ISNUMBER(AH614)),AH674-AH614,"")</f>
        <v>1.957</v>
      </c>
      <c r="AL674" s="560">
        <f>IFERROR(LN(INDEX(Data!$B$2:$B$497,MATCH(N674,Data!$A$2:$A$497,1))/INDEX(Data!$B$2:$B$497,MATCH(N662,Data!$A$2:$A$497,1))),"")</f>
        <v>0.0284698461035443</v>
      </c>
      <c r="AM674" s="560">
        <f>IFERROR(LN(INDEX(Data!$C$2:$C$497,MATCH(N674,Data!$A$2:$A$497,1))/INDEX(Data!$C$2:$C$497,MATCH(N662,Data!$A$2:$A$497,1))),"")</f>
        <v>0.105415527236375</v>
      </c>
      <c r="AN674" s="560">
        <f>IFERROR(LN(INDEX(Data!$D$2:$D$497,MATCH(N674,Data!$A$2:$A$497,1))/INDEX(Data!$D$2:$D$497,MATCH(N662,Data!$A$2:$A$497,1))),"")</f>
        <v>0.107402562534859</v>
      </c>
      <c r="AO674" s="560">
        <f>IFERROR(LN(INDEX(Data!$E$2:$E$497,MATCH(N674,Data!$A$2:$A$497,1))/INDEX(Data!$E$2:$E$497,MATCH(N662,Data!$A$2:$A$497,1))),"")</f>
        <v>-0.049200798097503</v>
      </c>
      <c r="AP674" s="560">
        <f>IFERROR(LN(INDEX(Data!$F$2:$F$497,MATCH(N674,Data!$A$2:$A$497,1))/INDEX(Data!$F$2:$F$497,MATCH(N662,Data!$A$2:$A$497,1))),"")</f>
        <v>0.00597229247588226</v>
      </c>
      <c r="AQ674" s="560">
        <f>IFERROR(LN(INDEX(Data!$G$2:$G$497,MATCH(N674,Data!$A$2:$A$497,1))/INDEX(Data!$G$2:$G$497,MATCH(N662,Data!$A$2:$A$497,1))),"")</f>
        <v>0.0352697111699275</v>
      </c>
      <c r="AR674" s="560">
        <f>IFERROR(LN(INDEX(Data!$H$2:$H$497,MATCH(N674,Data!$A$2:$A$497,1))/INDEX(Data!$H$2:$H$497,MATCH(N662,Data!$A$2:$A$497,1))),"")</f>
        <v>0.139084397432105</v>
      </c>
      <c r="AS674" s="560">
        <f>IFERROR(LN(INDEX(Data!$I$2:$I$497,MATCH(N674,Data!$A$2:$A$497,1))/INDEX(Data!$I$2:$I$497,MATCH(N662,Data!$A$2:$A$497,1))),"")</f>
        <v>0.224379610717022</v>
      </c>
      <c r="AT674" s="560">
        <f>IFERROR(LN(INDEX(Data!$J$2:$J$497,MATCH(N674,Data!$A$2:$A$497,1))/INDEX(Data!$J$2:$J$497,MATCH(N662,Data!$A$2:$A$497,1))),"")</f>
        <v>-0.0147808602578719</v>
      </c>
      <c r="AU674" s="560">
        <f>IFERROR(LN(INDEX(Data!$K$2:$K$497,MATCH(N674,Data!$A$2:$A$497,1))/INDEX(Data!$K$2:$K$497,MATCH(N662,Data!$A$2:$A$497,1))),"")</f>
        <v>-0.0157656544189256</v>
      </c>
      <c r="AV674" s="561">
        <f>IFERROR(LN(INDEX(Data!$L$2:$L$497,MATCH(N674,Data!$A$2:$A$497,1))/INDEX(Data!$L$2:$L$497,MATCH(N662,Data!$A$2:$A$497,1))),"")</f>
        <v>0.0359229720559474</v>
      </c>
    </row>
    <row r="675">
      <c r="N675" s="337" t="n">
        <v>45260</v>
      </c>
      <c r="O675" s="116">
        <f>INDEX('Additional data'!$B$2:$B$965,MATCH(DATE(YEAR(N675),MONTH(N675),1),'Additional data'!$A$2:$A$965,0))</f>
        <v>77.69</v>
      </c>
      <c r="P675" s="489">
        <f>LN(O675)</f>
        <v>4.35272654896233</v>
      </c>
      <c r="Q675" s="489">
        <f>Q674+LN(1+INDEX('Additional data'!$H$2:$H$1196,MATCH(N675,'Additional data'!$G$2:$G$1196,1))+INDEX('Additional data'!$I$2:$I$1196,MATCH(N675,'Additional data'!$G$2:$G$1196,1)))</f>
        <v>5.44791285208377</v>
      </c>
      <c r="R675" s="489">
        <f>LN(INDEX(Data!$B$2:$B$497,MATCH(N675,Data!$A$2:$A$497,1)))</f>
        <v>11.4010500117361</v>
      </c>
      <c r="S675" s="116">
        <f>IF(INDEX('Additional data'!$E$2:$E$699,MATCH(DATE(YEAR(N675),MONTH(N675),1),'Additional data'!$D$2:$D$699,0))=0,(INDEX('Additional data'!$E$2:$E$699,MATCH(DATE(YEAR(N675),MONTH(N675),1),'Additional data'!$D$2:$D$699,0)-1)+INDEX('Additional data'!$E$2:$E$699,MATCH(DATE(YEAR(N675),MONTH(N675),1),'Additional data'!$D$2:$D$699,0)+1))/2,INDEX('Additional data'!$E$2:$E$699,MATCH(DATE(YEAR(N675),MONTH(N675),1),'Additional data'!$D$2:$D$699,0)))</f>
        <v>4.38</v>
      </c>
      <c r="T675" s="425">
        <f>P675-P674</f>
        <v>-0.0974259147591523</v>
      </c>
      <c r="U675" s="425">
        <f>Q675-Q674</f>
        <v>0.0891091750717754</v>
      </c>
      <c r="V675" s="425">
        <f>R675-R674</f>
        <v>0.0506424025912082</v>
      </c>
      <c r="W675" s="116">
        <f>S675-S674</f>
        <v>0.17</v>
      </c>
      <c r="X675" s="425">
        <f>P675-P663</f>
        <v>-0.0824853392152063</v>
      </c>
      <c r="Y675" s="425">
        <f>Q675-Q663</f>
        <v>0.122721958091999</v>
      </c>
      <c r="Z675" s="425">
        <f>R675-R663</f>
        <v>0.0166656469118998</v>
      </c>
      <c r="AA675" s="116">
        <f>S675-S663</f>
        <v>1.32</v>
      </c>
      <c r="AB675" s="425">
        <f>P675-P615</f>
        <v>0.310377281858609</v>
      </c>
      <c r="AC675" s="425">
        <f>Q675-Q615</f>
        <v>0.560996031367668</v>
      </c>
      <c r="AD675" s="425">
        <f>R675-R615</f>
        <v>0.430282608713391</v>
      </c>
      <c r="AE675" s="235">
        <f>S675-S615</f>
        <v>2.44</v>
      </c>
      <c r="AG675" s="554">
        <f>N675</f>
        <v>45260.0</v>
      </c>
      <c r="AH675" s="435">
        <f>IFERROR(INDEX('RBA 5Y yield'!$B$5:$B$661,MATCH(N675,'RBA 5Y yield'!$A$5:$A$661,1))*100,"")</f>
        <v>4.253</v>
      </c>
      <c r="AI675" s="435">
        <f>IF(AND(ISNUMBER(AH675),ISNUMBER(AH674)),AH675-AH674,"")</f>
        <v>0.0180000000000007</v>
      </c>
      <c r="AJ675" s="435">
        <f>IF(AND(ISNUMBER(AH675),ISNUMBER(AH663)),AH675-AH663,"")</f>
        <v>0.832</v>
      </c>
      <c r="AK675" s="435">
        <f>IF(AND(ISNUMBER(AH675),ISNUMBER(AH615)),AH675-AH615,"")</f>
        <v>1.933</v>
      </c>
      <c r="AL675" s="560">
        <f>IFERROR(LN(INDEX(Data!$B$2:$B$497,MATCH(N675,Data!$A$2:$A$497,1))/INDEX(Data!$B$2:$B$497,MATCH(N663,Data!$A$2:$A$497,1))),"")</f>
        <v>0.0166656469119007</v>
      </c>
      <c r="AM675" s="560">
        <f>IFERROR(LN(INDEX(Data!$C$2:$C$497,MATCH(N675,Data!$A$2:$A$497,1))/INDEX(Data!$C$2:$C$497,MATCH(N663,Data!$A$2:$A$497,1))),"")</f>
        <v>0.130205417805858</v>
      </c>
      <c r="AN675" s="560">
        <f>IFERROR(LN(INDEX(Data!$D$2:$D$497,MATCH(N675,Data!$A$2:$A$497,1))/INDEX(Data!$D$2:$D$497,MATCH(N663,Data!$A$2:$A$497,1))),"")</f>
        <v>0.0569801189795636</v>
      </c>
      <c r="AO675" s="560">
        <f>IFERROR(LN(INDEX(Data!$E$2:$E$497,MATCH(N675,Data!$A$2:$A$497,1))/INDEX(Data!$E$2:$E$497,MATCH(N663,Data!$A$2:$A$497,1))),"")</f>
        <v>-0.00718922491508413</v>
      </c>
      <c r="AP675" s="560">
        <f>IFERROR(LN(INDEX(Data!$F$2:$F$497,MATCH(N675,Data!$A$2:$A$497,1))/INDEX(Data!$F$2:$F$497,MATCH(N663,Data!$A$2:$A$497,1))),"")</f>
        <v>-0.0138770726622818</v>
      </c>
      <c r="AQ675" s="560">
        <f>IFERROR(LN(INDEX(Data!$G$2:$G$497,MATCH(N675,Data!$A$2:$A$497,1))/INDEX(Data!$G$2:$G$497,MATCH(N663,Data!$A$2:$A$497,1))),"")</f>
        <v>0.0352697111699275</v>
      </c>
      <c r="AR675" s="560">
        <f>IFERROR(LN(INDEX(Data!$H$2:$H$497,MATCH(N675,Data!$A$2:$A$497,1))/INDEX(Data!$H$2:$H$497,MATCH(N663,Data!$A$2:$A$497,1))),"")</f>
        <v>0.104751071783404</v>
      </c>
      <c r="AS675" s="560">
        <f>IFERROR(LN(INDEX(Data!$I$2:$I$497,MATCH(N675,Data!$A$2:$A$497,1))/INDEX(Data!$I$2:$I$497,MATCH(N663,Data!$A$2:$A$497,1))),"")</f>
        <v>0.224379610717022</v>
      </c>
      <c r="AT675" s="560">
        <f>IFERROR(LN(INDEX(Data!$J$2:$J$497,MATCH(N675,Data!$A$2:$A$497,1))/INDEX(Data!$J$2:$J$497,MATCH(N663,Data!$A$2:$A$497,1))),"")</f>
        <v>0.000707671458704762</v>
      </c>
      <c r="AU675" s="560">
        <f>IFERROR(LN(INDEX(Data!$K$2:$K$497,MATCH(N675,Data!$A$2:$A$497,1))/INDEX(Data!$K$2:$K$497,MATCH(N663,Data!$A$2:$A$497,1))),"")</f>
        <v>-0.000732105024138435</v>
      </c>
      <c r="AV675" s="561">
        <f>IFERROR(LN(INDEX(Data!$L$2:$L$497,MATCH(N675,Data!$A$2:$A$497,1))/INDEX(Data!$L$2:$L$497,MATCH(N663,Data!$A$2:$A$497,1))),"")</f>
        <v>0.0369479250692934</v>
      </c>
    </row>
    <row r="676">
      <c r="N676" s="337" t="n">
        <v>45291</v>
      </c>
      <c r="O676" s="116">
        <f>INDEX('Additional data'!$B$2:$B$965,MATCH(DATE(YEAR(N676),MONTH(N676),1),'Additional data'!$A$2:$A$965,0))</f>
        <v>71.9</v>
      </c>
      <c r="P676" s="489">
        <f>LN(O676)</f>
        <v>4.275276264727</v>
      </c>
      <c r="Q676" s="489">
        <f>Q675+LN(1+INDEX('Additional data'!$H$2:$H$1196,MATCH(N676,'Additional data'!$G$2:$G$1196,1))+INDEX('Additional data'!$I$2:$I$1196,MATCH(N676,'Additional data'!$G$2:$G$1196,1)))</f>
        <v>5.49936613367269</v>
      </c>
      <c r="R676" s="489">
        <f>LN(INDEX(Data!$B$2:$B$497,MATCH(N676,Data!$A$2:$A$497,1)))</f>
        <v>11.4727980528095</v>
      </c>
      <c r="S676" s="116">
        <f>IF(INDEX('Additional data'!$E$2:$E$699,MATCH(DATE(YEAR(N676),MONTH(N676),1),'Additional data'!$D$2:$D$699,0))=0,(INDEX('Additional data'!$E$2:$E$699,MATCH(DATE(YEAR(N676),MONTH(N676),1),'Additional data'!$D$2:$D$699,0)-1)+INDEX('Additional data'!$E$2:$E$699,MATCH(DATE(YEAR(N676),MONTH(N676),1),'Additional data'!$D$2:$D$699,0)+1))/2,INDEX('Additional data'!$E$2:$E$699,MATCH(DATE(YEAR(N676),MONTH(N676),1),'Additional data'!$D$2:$D$699,0)))</f>
        <v>4.35</v>
      </c>
      <c r="T676" s="425">
        <f>P676-P675</f>
        <v>-0.0774502842353284</v>
      </c>
      <c r="U676" s="425">
        <f>Q676-Q675</f>
        <v>0.0514532815889153</v>
      </c>
      <c r="V676" s="425">
        <f>R676-R675</f>
        <v>0.0717480410734606</v>
      </c>
      <c r="W676" s="116">
        <f>S676-S675</f>
        <v>-0.0300000000000003</v>
      </c>
      <c r="X676" s="425">
        <f>P676-P664</f>
        <v>-0.0612298546450711</v>
      </c>
      <c r="Y676" s="425">
        <f>Q676-Q664</f>
        <v>0.236582699809532</v>
      </c>
      <c r="Z676" s="425">
        <f>R676-R664</f>
        <v>0.121997196266641</v>
      </c>
      <c r="AA676" s="116">
        <f>S676-S664</f>
        <v>1.18</v>
      </c>
      <c r="AB676" s="425">
        <f>P676-P616</f>
        <v>0.372899636350661</v>
      </c>
      <c r="AC676" s="425">
        <f>Q676-Q616</f>
        <v>0.710723882224924</v>
      </c>
      <c r="AD676" s="425">
        <f>R676-R616</f>
        <v>0.506534135880719</v>
      </c>
      <c r="AE676" s="235">
        <f>S676-S616</f>
        <v>2.33</v>
      </c>
      <c r="AG676" s="554">
        <f>N676</f>
        <v>45291.0</v>
      </c>
      <c r="AH676" s="435">
        <f>IFERROR(INDEX('RBA 5Y yield'!$B$5:$B$661,MATCH(N676,'RBA 5Y yield'!$A$5:$A$661,1))*100,"")</f>
        <v>3.86</v>
      </c>
      <c r="AI676" s="435">
        <f>IF(AND(ISNUMBER(AH676),ISNUMBER(AH675)),AH676-AH675,"")</f>
        <v>-0.393</v>
      </c>
      <c r="AJ676" s="435">
        <f>IF(AND(ISNUMBER(AH676),ISNUMBER(AH664)),AH676-AH664,"")</f>
        <v>0.554</v>
      </c>
      <c r="AK676" s="435">
        <f>IF(AND(ISNUMBER(AH676),ISNUMBER(AH616)),AH676-AH616,"")</f>
        <v>1.763</v>
      </c>
      <c r="AL676" s="560">
        <f>IFERROR(LN(INDEX(Data!$B$2:$B$497,MATCH(N676,Data!$A$2:$A$497,1))/INDEX(Data!$B$2:$B$497,MATCH(N664,Data!$A$2:$A$497,1))),"")</f>
        <v>0.12199719626664</v>
      </c>
      <c r="AM676" s="560">
        <f>IFERROR(LN(INDEX(Data!$C$2:$C$497,MATCH(N676,Data!$A$2:$A$497,1))/INDEX(Data!$C$2:$C$497,MATCH(N664,Data!$A$2:$A$497,1))),"")</f>
        <v>0.206891653473345</v>
      </c>
      <c r="AN676" s="560">
        <f>IFERROR(LN(INDEX(Data!$D$2:$D$497,MATCH(N676,Data!$A$2:$A$497,1))/INDEX(Data!$D$2:$D$497,MATCH(N664,Data!$A$2:$A$497,1))),"")</f>
        <v>0.0917678249235534</v>
      </c>
      <c r="AO676" s="560">
        <f>IFERROR(LN(INDEX(Data!$E$2:$E$497,MATCH(N676,Data!$A$2:$A$497,1))/INDEX(Data!$E$2:$E$497,MATCH(N664,Data!$A$2:$A$497,1))),"")</f>
        <v>0.103773754617002</v>
      </c>
      <c r="AP676" s="560">
        <f>IFERROR(LN(INDEX(Data!$F$2:$F$497,MATCH(N676,Data!$A$2:$A$497,1))/INDEX(Data!$F$2:$F$497,MATCH(N664,Data!$A$2:$A$497,1))),"")</f>
        <v>-0.0497862935745358</v>
      </c>
      <c r="AQ676" s="560">
        <f>IFERROR(LN(INDEX(Data!$G$2:$G$497,MATCH(N676,Data!$A$2:$A$497,1))/INDEX(Data!$G$2:$G$497,MATCH(N664,Data!$A$2:$A$497,1))),"")</f>
        <v>0.0614699628510245</v>
      </c>
      <c r="AR676" s="560">
        <f>IFERROR(LN(INDEX(Data!$H$2:$H$497,MATCH(N676,Data!$A$2:$A$497,1))/INDEX(Data!$H$2:$H$497,MATCH(N664,Data!$A$2:$A$497,1))),"")</f>
        <v>0.0786689922570948</v>
      </c>
      <c r="AS676" s="560">
        <f>IFERROR(LN(INDEX(Data!$I$2:$I$497,MATCH(N676,Data!$A$2:$A$497,1))/INDEX(Data!$I$2:$I$497,MATCH(N664,Data!$A$2:$A$497,1))),"")</f>
        <v>0.242744840828638</v>
      </c>
      <c r="AT676" s="560">
        <f>IFERROR(LN(INDEX(Data!$J$2:$J$497,MATCH(N676,Data!$A$2:$A$497,1))/INDEX(Data!$J$2:$J$497,MATCH(N664,Data!$A$2:$A$497,1))),"")</f>
        <v>0.0541388556883781</v>
      </c>
      <c r="AU676" s="560">
        <f>IFERROR(LN(INDEX(Data!$K$2:$K$497,MATCH(N676,Data!$A$2:$A$497,1))/INDEX(Data!$K$2:$K$497,MATCH(N664,Data!$A$2:$A$497,1))),"")</f>
        <v>0.0446679371073306</v>
      </c>
      <c r="AV676" s="561">
        <f>IFERROR(LN(INDEX(Data!$L$2:$L$497,MATCH(N676,Data!$A$2:$A$497,1))/INDEX(Data!$L$2:$L$497,MATCH(N664,Data!$A$2:$A$497,1))),"")</f>
        <v>0.038117595081785</v>
      </c>
    </row>
    <row r="677">
      <c r="N677" s="337" t="n">
        <v>45322</v>
      </c>
      <c r="O677" s="116">
        <f>INDEX('Additional data'!$B$2:$B$965,MATCH(DATE(YEAR(N677),MONTH(N677),1),'Additional data'!$A$2:$A$965,0))</f>
        <v>74.15</v>
      </c>
      <c r="P677" s="489">
        <f>LN(O677)</f>
        <v>4.30609006858394</v>
      </c>
      <c r="Q677" s="489">
        <f>Q676+LN(1+INDEX('Additional data'!$H$2:$H$1196,MATCH(N677,'Additional data'!$G$2:$G$1196,1))+INDEX('Additional data'!$I$2:$I$1196,MATCH(N677,'Additional data'!$G$2:$G$1196,1)))</f>
        <v>5.51129470453796</v>
      </c>
      <c r="R677" s="489">
        <f>LN(INDEX(Data!$B$2:$B$497,MATCH(N677,Data!$A$2:$A$497,1)))</f>
        <v>11.4834253008529</v>
      </c>
      <c r="S677" s="116">
        <f>IF(INDEX('Additional data'!$E$2:$E$699,MATCH(DATE(YEAR(N677),MONTH(N677),1),'Additional data'!$D$2:$D$699,0))=0,(INDEX('Additional data'!$E$2:$E$699,MATCH(DATE(YEAR(N677),MONTH(N677),1),'Additional data'!$D$2:$D$699,0)-1)+INDEX('Additional data'!$E$2:$E$699,MATCH(DATE(YEAR(N677),MONTH(N677),1),'Additional data'!$D$2:$D$699,0)+1))/2,INDEX('Additional data'!$E$2:$E$699,MATCH(DATE(YEAR(N677),MONTH(N677),1),'Additional data'!$D$2:$D$699,0)))</f>
        <v>4.35</v>
      </c>
      <c r="T677" s="425">
        <f>P677-P676</f>
        <v>0.0308138038569403</v>
      </c>
      <c r="U677" s="425">
        <f>Q677-Q676</f>
        <v>0.0119285708652734</v>
      </c>
      <c r="V677" s="425">
        <f>R677-R676</f>
        <v>0.0106272480433045</v>
      </c>
      <c r="W677" s="116">
        <f>S677-S676</f>
        <v>0</v>
      </c>
      <c r="X677" s="425">
        <f>P677-P665</f>
        <v>-0.0521560374245365</v>
      </c>
      <c r="Y677" s="425">
        <f>Q677-Q665</f>
        <v>0.181226523869208</v>
      </c>
      <c r="Z677" s="425">
        <f>R677-R665</f>
        <v>0.0702565868131106</v>
      </c>
      <c r="AA677" s="116">
        <f>S677-S665</f>
        <v>1.03</v>
      </c>
      <c r="AB677" s="425">
        <f>P677-P617</f>
        <v>0.366841076902204</v>
      </c>
      <c r="AC677" s="425">
        <f>Q677-Q617</f>
        <v>0.640335410600984</v>
      </c>
      <c r="AD677" s="425">
        <f>R677-R617</f>
        <v>0.478005895332231</v>
      </c>
      <c r="AE677" s="235">
        <f>S677-S617</f>
        <v>2.28</v>
      </c>
      <c r="AG677" s="554">
        <f>N677</f>
        <v>45322.0</v>
      </c>
      <c r="AH677" s="435">
        <f>IFERROR(INDEX('RBA 5Y yield'!$B$5:$B$661,MATCH(N677,'RBA 5Y yield'!$A$5:$A$661,1))*100,"")</f>
        <v>3.8</v>
      </c>
      <c r="AI677" s="435">
        <f>IF(AND(ISNUMBER(AH677),ISNUMBER(AH676)),AH677-AH676,"")</f>
        <v>-0.0600000000000005</v>
      </c>
      <c r="AJ677" s="435">
        <f>IF(AND(ISNUMBER(AH677),ISNUMBER(AH665)),AH677-AH665,"")</f>
        <v>0.471</v>
      </c>
      <c r="AK677" s="435">
        <f>IF(AND(ISNUMBER(AH677),ISNUMBER(AH617)),AH677-AH617,"")</f>
        <v>1.888</v>
      </c>
      <c r="AL677" s="560">
        <f>IFERROR(LN(INDEX(Data!$B$2:$B$497,MATCH(N677,Data!$A$2:$A$497,1))/INDEX(Data!$B$2:$B$497,MATCH(N665,Data!$A$2:$A$497,1))),"")</f>
        <v>0.0702565868131103</v>
      </c>
      <c r="AM677" s="560">
        <f>IFERROR(LN(INDEX(Data!$C$2:$C$497,MATCH(N677,Data!$A$2:$A$497,1))/INDEX(Data!$C$2:$C$497,MATCH(N665,Data!$A$2:$A$497,1))),"")</f>
        <v>0.231627559869801</v>
      </c>
      <c r="AN677" s="560">
        <f>IFERROR(LN(INDEX(Data!$D$2:$D$497,MATCH(N677,Data!$A$2:$A$497,1))/INDEX(Data!$D$2:$D$497,MATCH(N665,Data!$A$2:$A$497,1))),"")</f>
        <v>0.0629579056499605</v>
      </c>
      <c r="AO677" s="560">
        <f>IFERROR(LN(INDEX(Data!$E$2:$E$497,MATCH(N677,Data!$A$2:$A$497,1))/INDEX(Data!$E$2:$E$497,MATCH(N665,Data!$A$2:$A$497,1))),"")</f>
        <v>0.0557199513605803</v>
      </c>
      <c r="AP677" s="560">
        <f>IFERROR(LN(INDEX(Data!$F$2:$F$497,MATCH(N677,Data!$A$2:$A$497,1))/INDEX(Data!$F$2:$F$497,MATCH(N665,Data!$A$2:$A$497,1))),"")</f>
        <v>0.0648301262721956</v>
      </c>
      <c r="AQ677" s="560">
        <f>IFERROR(LN(INDEX(Data!$G$2:$G$497,MATCH(N677,Data!$A$2:$A$497,1))/INDEX(Data!$G$2:$G$497,MATCH(N665,Data!$A$2:$A$497,1))),"")</f>
        <v>0.0614699628510245</v>
      </c>
      <c r="AR677" s="560">
        <f>IFERROR(LN(INDEX(Data!$H$2:$H$497,MATCH(N677,Data!$A$2:$A$497,1))/INDEX(Data!$H$2:$H$497,MATCH(N665,Data!$A$2:$A$497,1))),"")</f>
        <v>0.144473652659627</v>
      </c>
      <c r="AS677" s="560">
        <f>IFERROR(LN(INDEX(Data!$I$2:$I$497,MATCH(N677,Data!$A$2:$A$497,1))/INDEX(Data!$I$2:$I$497,MATCH(N665,Data!$A$2:$A$497,1))),"")</f>
        <v>0.242744840828638</v>
      </c>
      <c r="AT677" s="560">
        <f>IFERROR(LN(INDEX(Data!$J$2:$J$497,MATCH(N677,Data!$A$2:$A$497,1))/INDEX(Data!$J$2:$J$497,MATCH(N665,Data!$A$2:$A$497,1))),"")</f>
        <v>0.0244010357104096</v>
      </c>
      <c r="AU677" s="560">
        <f>IFERROR(LN(INDEX(Data!$K$2:$K$497,MATCH(N677,Data!$A$2:$A$497,1))/INDEX(Data!$K$2:$K$497,MATCH(N665,Data!$A$2:$A$497,1))),"")</f>
        <v>0.0192435444321862</v>
      </c>
      <c r="AV677" s="561">
        <f>IFERROR(LN(INDEX(Data!$L$2:$L$497,MATCH(N677,Data!$A$2:$A$497,1))/INDEX(Data!$L$2:$L$497,MATCH(N665,Data!$A$2:$A$497,1))),"")</f>
        <v>0.039165653262047</v>
      </c>
    </row>
    <row r="678">
      <c r="N678" s="337" t="n">
        <v>45351</v>
      </c>
      <c r="O678" s="116">
        <f>INDEX('Additional data'!$B$2:$B$965,MATCH(DATE(YEAR(N678),MONTH(N678),1),'Additional data'!$A$2:$A$965,0))</f>
        <v>77.25</v>
      </c>
      <c r="P678" s="489">
        <f>LN(O678)</f>
        <v>4.34704691577786</v>
      </c>
      <c r="Q678" s="489">
        <f>Q677+LN(1+INDEX('Additional data'!$H$2:$H$1196,MATCH(N678,'Additional data'!$G$2:$G$1196,1))+INDEX('Additional data'!$I$2:$I$1196,MATCH(N678,'Additional data'!$G$2:$G$1196,1)))</f>
        <v>5.56474068024359</v>
      </c>
      <c r="R678" s="489">
        <f>LN(INDEX(Data!$B$2:$B$497,MATCH(N678,Data!$A$2:$A$497,1)))</f>
        <v>11.4950448909092</v>
      </c>
      <c r="S678" s="116">
        <f>IF(INDEX('Additional data'!$E$2:$E$699,MATCH(DATE(YEAR(N678),MONTH(N678),1),'Additional data'!$D$2:$D$699,0))=0,(INDEX('Additional data'!$E$2:$E$699,MATCH(DATE(YEAR(N678),MONTH(N678),1),'Additional data'!$D$2:$D$699,0)-1)+INDEX('Additional data'!$E$2:$E$699,MATCH(DATE(YEAR(N678),MONTH(N678),1),'Additional data'!$D$2:$D$699,0)+1))/2,INDEX('Additional data'!$E$2:$E$699,MATCH(DATE(YEAR(N678),MONTH(N678),1),'Additional data'!$D$2:$D$699,0)))</f>
        <v>4.34</v>
      </c>
      <c r="T678" s="425">
        <f>P678-P677</f>
        <v>0.0409568471939137</v>
      </c>
      <c r="U678" s="425">
        <f>Q678-Q677</f>
        <v>0.0534459757056256</v>
      </c>
      <c r="V678" s="425">
        <f>R678-R677</f>
        <v>0.0116195900563376</v>
      </c>
      <c r="W678" s="116">
        <f>S678-S677</f>
        <v>-0.00999999999999979</v>
      </c>
      <c r="X678" s="425">
        <f>P678-P666</f>
        <v>0.00545172689831119</v>
      </c>
      <c r="Y678" s="425">
        <f>Q678-Q666</f>
        <v>0.257224904045345</v>
      </c>
      <c r="Z678" s="425">
        <f>R678-R666</f>
        <v>0.107020657777332</v>
      </c>
      <c r="AA678" s="116">
        <f>S678-S666</f>
        <v>0.88</v>
      </c>
      <c r="AB678" s="425">
        <f>P678-P618</f>
        <v>0.340623234928224</v>
      </c>
      <c r="AC678" s="425">
        <f>Q678-Q618</f>
        <v>0.658414242469318</v>
      </c>
      <c r="AD678" s="425">
        <f>R678-R618</f>
        <v>0.430849827330556</v>
      </c>
      <c r="AE678" s="235">
        <f>S678-S618</f>
        <v>2.38</v>
      </c>
      <c r="AG678" s="554">
        <f>N678</f>
        <v>45351.0</v>
      </c>
      <c r="AH678" s="435">
        <f>IFERROR(INDEX('RBA 5Y yield'!$B$5:$B$661,MATCH(N678,'RBA 5Y yield'!$A$5:$A$661,1))*100,"")</f>
        <v>3.779</v>
      </c>
      <c r="AI678" s="435">
        <f>IF(AND(ISNUMBER(AH678),ISNUMBER(AH677)),AH678-AH677,"")</f>
        <v>-0.0209999999999999</v>
      </c>
      <c r="AJ678" s="435">
        <f>IF(AND(ISNUMBER(AH678),ISNUMBER(AH666)),AH678-AH666,"")</f>
        <v>0.314</v>
      </c>
      <c r="AK678" s="435">
        <f>IF(AND(ISNUMBER(AH678),ISNUMBER(AH618)),AH678-AH618,"")</f>
        <v>2.036</v>
      </c>
      <c r="AL678" s="560">
        <f>IFERROR(LN(INDEX(Data!$B$2:$B$497,MATCH(N678,Data!$A$2:$A$497,1))/INDEX(Data!$B$2:$B$497,MATCH(N666,Data!$A$2:$A$497,1))),"")</f>
        <v>0.107020657777332</v>
      </c>
      <c r="AM678" s="560">
        <f>IFERROR(LN(INDEX(Data!$C$2:$C$497,MATCH(N678,Data!$A$2:$A$497,1))/INDEX(Data!$C$2:$C$497,MATCH(N666,Data!$A$2:$A$497,1))),"")</f>
        <v>0.263607588955754</v>
      </c>
      <c r="AN678" s="560">
        <f>IFERROR(LN(INDEX(Data!$D$2:$D$497,MATCH(N678,Data!$A$2:$A$497,1))/INDEX(Data!$D$2:$D$497,MATCH(N666,Data!$A$2:$A$497,1))),"")</f>
        <v>0.13155231056037</v>
      </c>
      <c r="AO678" s="560">
        <f>IFERROR(LN(INDEX(Data!$E$2:$E$497,MATCH(N678,Data!$A$2:$A$497,1))/INDEX(Data!$E$2:$E$497,MATCH(N666,Data!$A$2:$A$497,1))),"")</f>
        <v>0.0694804552053972</v>
      </c>
      <c r="AP678" s="560">
        <f>IFERROR(LN(INDEX(Data!$F$2:$F$497,MATCH(N678,Data!$A$2:$A$497,1))/INDEX(Data!$F$2:$F$497,MATCH(N666,Data!$A$2:$A$497,1))),"")</f>
        <v>0.0836593390533456</v>
      </c>
      <c r="AQ678" s="560">
        <f>IFERROR(LN(INDEX(Data!$G$2:$G$497,MATCH(N678,Data!$A$2:$A$497,1))/INDEX(Data!$G$2:$G$497,MATCH(N666,Data!$A$2:$A$497,1))),"")</f>
        <v>0.0614699628510245</v>
      </c>
      <c r="AR678" s="560">
        <f>IFERROR(LN(INDEX(Data!$H$2:$H$497,MATCH(N678,Data!$A$2:$A$497,1))/INDEX(Data!$H$2:$H$497,MATCH(N666,Data!$A$2:$A$497,1))),"")</f>
        <v>0.129239257366103</v>
      </c>
      <c r="AS678" s="560">
        <f>IFERROR(LN(INDEX(Data!$I$2:$I$497,MATCH(N678,Data!$A$2:$A$497,1))/INDEX(Data!$I$2:$I$497,MATCH(N666,Data!$A$2:$A$497,1))),"")</f>
        <v>0.242744840828638</v>
      </c>
      <c r="AT678" s="560">
        <f>IFERROR(LN(INDEX(Data!$J$2:$J$497,MATCH(N678,Data!$A$2:$A$497,1))/INDEX(Data!$J$2:$J$497,MATCH(N666,Data!$A$2:$A$497,1))),"")</f>
        <v>0.0367922435580579</v>
      </c>
      <c r="AU678" s="560">
        <f>IFERROR(LN(INDEX(Data!$K$2:$K$497,MATCH(N678,Data!$A$2:$A$497,1))/INDEX(Data!$K$2:$K$497,MATCH(N666,Data!$A$2:$A$497,1))),"")</f>
        <v>0.0261144464152943</v>
      </c>
      <c r="AV678" s="561">
        <f>IFERROR(LN(INDEX(Data!$L$2:$L$497,MATCH(N678,Data!$A$2:$A$497,1))/INDEX(Data!$L$2:$L$497,MATCH(N666,Data!$A$2:$A$497,1))),"")</f>
        <v>0.0402254164021437</v>
      </c>
    </row>
    <row r="679">
      <c r="N679" s="337" t="n">
        <v>45382</v>
      </c>
      <c r="O679" s="116">
        <f>INDEX('Additional data'!$B$2:$B$965,MATCH(DATE(YEAR(N679),MONTH(N679),1),'Additional data'!$A$2:$A$965,0))</f>
        <v>81.28</v>
      </c>
      <c r="P679" s="489">
        <f>LN(O679)</f>
        <v>4.39789998383017</v>
      </c>
      <c r="Q679" s="489">
        <f>Q678+LN(1+INDEX('Additional data'!$H$2:$H$1196,MATCH(N679,'Additional data'!$G$2:$G$1196,1))+INDEX('Additional data'!$I$2:$I$1196,MATCH(N679,'Additional data'!$G$2:$G$1196,1)))</f>
        <v>5.59691741193881</v>
      </c>
      <c r="R679" s="489">
        <f>LN(INDEX(Data!$B$2:$B$497,MATCH(N679,Data!$A$2:$A$497,1)))</f>
        <v>11.5258857546172</v>
      </c>
      <c r="S679" s="116">
        <f>IF(INDEX('Additional data'!$E$2:$E$699,MATCH(DATE(YEAR(N679),MONTH(N679),1),'Additional data'!$D$2:$D$699,0))=0,(INDEX('Additional data'!$E$2:$E$699,MATCH(DATE(YEAR(N679),MONTH(N679),1),'Additional data'!$D$2:$D$699,0)-1)+INDEX('Additional data'!$E$2:$E$699,MATCH(DATE(YEAR(N679),MONTH(N679),1),'Additional data'!$D$2:$D$699,0)+1))/2,INDEX('Additional data'!$E$2:$E$699,MATCH(DATE(YEAR(N679),MONTH(N679),1),'Additional data'!$D$2:$D$699,0)))</f>
        <v>4.35</v>
      </c>
      <c r="T679" s="425">
        <f>P679-P678</f>
        <v>0.0508530680523167</v>
      </c>
      <c r="U679" s="425">
        <f>Q679-Q678</f>
        <v>0.0321767316952215</v>
      </c>
      <c r="V679" s="425">
        <f>R679-R678</f>
        <v>0.0308408637079989</v>
      </c>
      <c r="W679" s="116">
        <f>S679-S678</f>
        <v>0.00999999999999979</v>
      </c>
      <c r="X679" s="425">
        <f>P679-P667</f>
        <v>0.103612263464297</v>
      </c>
      <c r="Y679" s="425">
        <f>Q679-Q667</f>
        <v>0.26139743933097</v>
      </c>
      <c r="Z679" s="425">
        <f>R679-R667</f>
        <v>0.139596501251699</v>
      </c>
      <c r="AA679" s="116">
        <f>S679-S667</f>
        <v>0.71</v>
      </c>
      <c r="AB679" s="425">
        <f>P679-P619</f>
        <v>0.334874104865499</v>
      </c>
      <c r="AC679" s="425">
        <f>Q679-Q619</f>
        <v>0.677773470453925</v>
      </c>
      <c r="AD679" s="425">
        <f>R679-R619</f>
        <v>0.454691554951545</v>
      </c>
      <c r="AE679" s="235">
        <f>S679-S619</f>
        <v>2.52</v>
      </c>
      <c r="AG679" s="554">
        <f>N679</f>
        <v>45382.0</v>
      </c>
      <c r="AH679" s="435">
        <f>IFERROR(INDEX('RBA 5Y yield'!$B$5:$B$661,MATCH(N679,'RBA 5Y yield'!$A$5:$A$661,1))*100,"")</f>
        <v>3.714</v>
      </c>
      <c r="AI679" s="435">
        <f>IF(AND(ISNUMBER(AH679),ISNUMBER(AH678)),AH679-AH678,"")</f>
        <v>-0.065</v>
      </c>
      <c r="AJ679" s="435">
        <f>IF(AND(ISNUMBER(AH679),ISNUMBER(AH667)),AH679-AH667,"")</f>
        <v>0.511</v>
      </c>
      <c r="AK679" s="435">
        <f>IF(AND(ISNUMBER(AH679),ISNUMBER(AH619)),AH679-AH619,"")</f>
        <v>2.125</v>
      </c>
      <c r="AL679" s="560">
        <f>IFERROR(LN(INDEX(Data!$B$2:$B$497,MATCH(N679,Data!$A$2:$A$497,1))/INDEX(Data!$B$2:$B$497,MATCH(N667,Data!$A$2:$A$497,1))),"")</f>
        <v>0.139596501251699</v>
      </c>
      <c r="AM679" s="560">
        <f>IFERROR(LN(INDEX(Data!$C$2:$C$497,MATCH(N679,Data!$A$2:$A$497,1))/INDEX(Data!$C$2:$C$497,MATCH(N667,Data!$A$2:$A$497,1))),"")</f>
        <v>0.263497021066692</v>
      </c>
      <c r="AN679" s="560">
        <f>IFERROR(LN(INDEX(Data!$D$2:$D$497,MATCH(N679,Data!$A$2:$A$497,1))/INDEX(Data!$D$2:$D$497,MATCH(N667,Data!$A$2:$A$497,1))),"")</f>
        <v>0.131143063196998</v>
      </c>
      <c r="AO679" s="560">
        <f>IFERROR(LN(INDEX(Data!$E$2:$E$497,MATCH(N679,Data!$A$2:$A$497,1))/INDEX(Data!$E$2:$E$497,MATCH(N667,Data!$A$2:$A$497,1))),"")</f>
        <v>0.122263766512909</v>
      </c>
      <c r="AP679" s="560">
        <f>IFERROR(LN(INDEX(Data!$F$2:$F$497,MATCH(N679,Data!$A$2:$A$497,1))/INDEX(Data!$F$2:$F$497,MATCH(N667,Data!$A$2:$A$497,1))),"")</f>
        <v>0.131896472132666</v>
      </c>
      <c r="AQ679" s="560">
        <f>IFERROR(LN(INDEX(Data!$G$2:$G$497,MATCH(N679,Data!$A$2:$A$497,1))/INDEX(Data!$G$2:$G$497,MATCH(N667,Data!$A$2:$A$497,1))),"")</f>
        <v>0.0664092710027639</v>
      </c>
      <c r="AR679" s="560">
        <f>IFERROR(LN(INDEX(Data!$H$2:$H$497,MATCH(N679,Data!$A$2:$A$497,1))/INDEX(Data!$H$2:$H$497,MATCH(N667,Data!$A$2:$A$497,1))),"")</f>
        <v>0.121611574511784</v>
      </c>
      <c r="AS679" s="560">
        <f>IFERROR(LN(INDEX(Data!$I$2:$I$497,MATCH(N679,Data!$A$2:$A$497,1))/INDEX(Data!$I$2:$I$497,MATCH(N667,Data!$A$2:$A$497,1))),"")</f>
        <v>0.316569336692818</v>
      </c>
      <c r="AT679" s="560">
        <f>IFERROR(LN(INDEX(Data!$J$2:$J$497,MATCH(N679,Data!$A$2:$A$497,1))/INDEX(Data!$J$2:$J$497,MATCH(N667,Data!$A$2:$A$497,1))),"")</f>
        <v>0.0149260952601182</v>
      </c>
      <c r="AU679" s="560">
        <f>IFERROR(LN(INDEX(Data!$K$2:$K$497,MATCH(N679,Data!$A$2:$A$497,1))/INDEX(Data!$K$2:$K$497,MATCH(N667,Data!$A$2:$A$497,1))),"")</f>
        <v>0.0125136880862849</v>
      </c>
      <c r="AV679" s="561">
        <f>IFERROR(LN(INDEX(Data!$L$2:$L$497,MATCH(N679,Data!$A$2:$A$497,1))/INDEX(Data!$L$2:$L$497,MATCH(N667,Data!$A$2:$A$497,1))),"")</f>
        <v>0.0410521943185845</v>
      </c>
    </row>
    <row r="680">
      <c r="N680" s="337" t="n">
        <v>45412</v>
      </c>
      <c r="O680" s="116">
        <f>INDEX('Additional data'!$B$2:$B$965,MATCH(DATE(YEAR(N680),MONTH(N680),1),'Additional data'!$A$2:$A$965,0))</f>
        <v>85.35</v>
      </c>
      <c r="P680" s="489">
        <f>LN(O680)</f>
        <v>4.44676044924045</v>
      </c>
      <c r="Q680" s="489">
        <f>Q679+LN(1+INDEX('Additional data'!$H$2:$H$1196,MATCH(N680,'Additional data'!$G$2:$G$1196,1))+INDEX('Additional data'!$I$2:$I$1196,MATCH(N680,'Additional data'!$G$2:$G$1196,1)))</f>
        <v>5.55421865740569</v>
      </c>
      <c r="R680" s="489">
        <f>LN(INDEX(Data!$B$2:$B$497,MATCH(N680,Data!$A$2:$A$497,1)))</f>
        <v>11.4985370869802</v>
      </c>
      <c r="S680" s="116">
        <f>IF(INDEX('Additional data'!$E$2:$E$699,MATCH(DATE(YEAR(N680),MONTH(N680),1),'Additional data'!$D$2:$D$699,0))=0,(INDEX('Additional data'!$E$2:$E$699,MATCH(DATE(YEAR(N680),MONTH(N680),1),'Additional data'!$D$2:$D$699,0)-1)+INDEX('Additional data'!$E$2:$E$699,MATCH(DATE(YEAR(N680),MONTH(N680),1),'Additional data'!$D$2:$D$699,0)+1))/2,INDEX('Additional data'!$E$2:$E$699,MATCH(DATE(YEAR(N680),MONTH(N680),1),'Additional data'!$D$2:$D$699,0)))</f>
        <v>4.37</v>
      </c>
      <c r="T680" s="425">
        <f>P680-P679</f>
        <v>0.0488604654102778</v>
      </c>
      <c r="U680" s="425">
        <f>Q680-Q679</f>
        <v>-0.0426987545331157</v>
      </c>
      <c r="V680" s="425">
        <f>R680-R679</f>
        <v>-0.027348667636959</v>
      </c>
      <c r="W680" s="116">
        <f>S680-S679</f>
        <v>0.0200000000000005</v>
      </c>
      <c r="X680" s="425">
        <f>P680-P668</f>
        <v>0.0716325562577245</v>
      </c>
      <c r="Y680" s="425">
        <f>Q680-Q668</f>
        <v>0.209045427769715</v>
      </c>
      <c r="Z680" s="425">
        <f>R680-R668</f>
        <v>0.0948082706852294</v>
      </c>
      <c r="AA680" s="116">
        <f>S680-S668</f>
        <v>0.71</v>
      </c>
      <c r="AB680" s="425">
        <f>P680-P620</f>
        <v>0.290067261953814</v>
      </c>
      <c r="AC680" s="425">
        <f>Q680-Q620</f>
        <v>0.594124729591855</v>
      </c>
      <c r="AD680" s="425">
        <f>R680-R620</f>
        <v>0.402253927767454</v>
      </c>
      <c r="AE680" s="235">
        <f>S680-S620</f>
        <v>2.69</v>
      </c>
      <c r="AG680" s="554">
        <f>N680</f>
        <v>45412.0</v>
      </c>
      <c r="AH680" s="435">
        <f>IFERROR(INDEX('RBA 5Y yield'!$B$5:$B$661,MATCH(N680,'RBA 5Y yield'!$A$5:$A$661,1))*100,"")</f>
        <v>3.917</v>
      </c>
      <c r="AI680" s="435">
        <f>IF(AND(ISNUMBER(AH680),ISNUMBER(AH679)),AH680-AH679,"")</f>
        <v>0.203</v>
      </c>
      <c r="AJ680" s="435">
        <f>IF(AND(ISNUMBER(AH680),ISNUMBER(AH668)),AH680-AH668,"")</f>
        <v>0.862</v>
      </c>
      <c r="AK680" s="435">
        <f>IF(AND(ISNUMBER(AH680),ISNUMBER(AH620)),AH680-AH620,"")</f>
        <v>2.436</v>
      </c>
      <c r="AL680" s="560">
        <f>IFERROR(LN(INDEX(Data!$B$2:$B$497,MATCH(N680,Data!$A$2:$A$497,1))/INDEX(Data!$B$2:$B$497,MATCH(N668,Data!$A$2:$A$497,1))),"")</f>
        <v>0.0948082706852294</v>
      </c>
      <c r="AM680" s="560">
        <f>IFERROR(LN(INDEX(Data!$C$2:$C$497,MATCH(N680,Data!$A$2:$A$497,1))/INDEX(Data!$C$2:$C$497,MATCH(N668,Data!$A$2:$A$497,1))),"")</f>
        <v>0.205961229813111</v>
      </c>
      <c r="AN680" s="560">
        <f>IFERROR(LN(INDEX(Data!$D$2:$D$497,MATCH(N680,Data!$A$2:$A$497,1))/INDEX(Data!$D$2:$D$497,MATCH(N668,Data!$A$2:$A$497,1))),"")</f>
        <v>0.143397287821292</v>
      </c>
      <c r="AO680" s="560">
        <f>IFERROR(LN(INDEX(Data!$E$2:$E$497,MATCH(N680,Data!$A$2:$A$497,1))/INDEX(Data!$E$2:$E$497,MATCH(N668,Data!$A$2:$A$497,1))),"")</f>
        <v>0.0375797418044148</v>
      </c>
      <c r="AP680" s="560">
        <f>IFERROR(LN(INDEX(Data!$F$2:$F$497,MATCH(N680,Data!$A$2:$A$497,1))/INDEX(Data!$F$2:$F$497,MATCH(N668,Data!$A$2:$A$497,1))),"")</f>
        <v>0.1423500510858</v>
      </c>
      <c r="AQ680" s="560">
        <f>IFERROR(LN(INDEX(Data!$G$2:$G$497,MATCH(N680,Data!$A$2:$A$497,1))/INDEX(Data!$G$2:$G$497,MATCH(N668,Data!$A$2:$A$497,1))),"")</f>
        <v>0.0664092710027639</v>
      </c>
      <c r="AR680" s="560">
        <f>IFERROR(LN(INDEX(Data!$H$2:$H$497,MATCH(N680,Data!$A$2:$A$497,1))/INDEX(Data!$H$2:$H$497,MATCH(N668,Data!$A$2:$A$497,1))),"")</f>
        <v>0.117020309233148</v>
      </c>
      <c r="AS680" s="560">
        <f>IFERROR(LN(INDEX(Data!$I$2:$I$497,MATCH(N680,Data!$A$2:$A$497,1))/INDEX(Data!$I$2:$I$497,MATCH(N668,Data!$A$2:$A$497,1))),"")</f>
        <v>0.316569336692818</v>
      </c>
      <c r="AT680" s="560">
        <f>IFERROR(LN(INDEX(Data!$J$2:$J$497,MATCH(N680,Data!$A$2:$A$497,1))/INDEX(Data!$J$2:$J$497,MATCH(N668,Data!$A$2:$A$497,1))),"")</f>
        <v>-0.0103186194487674</v>
      </c>
      <c r="AU680" s="560">
        <f>IFERROR(LN(INDEX(Data!$K$2:$K$497,MATCH(N680,Data!$A$2:$A$497,1))/INDEX(Data!$K$2:$K$497,MATCH(N668,Data!$A$2:$A$497,1))),"")</f>
        <v>-0.000593262088877911</v>
      </c>
      <c r="AV680" s="561">
        <f>IFERROR(LN(INDEX(Data!$L$2:$L$497,MATCH(N680,Data!$A$2:$A$497,1))/INDEX(Data!$L$2:$L$497,MATCH(N668,Data!$A$2:$A$497,1))),"")</f>
        <v>0.0415297972673303</v>
      </c>
    </row>
    <row r="681">
      <c r="N681" s="337" t="n">
        <v>45443</v>
      </c>
      <c r="O681" s="116">
        <f>INDEX('Additional data'!$B$2:$B$965,MATCH(DATE(YEAR(N681),MONTH(N681),1),'Additional data'!$A$2:$A$965,0))</f>
        <v>80.02</v>
      </c>
      <c r="P681" s="489">
        <f>LN(O681)</f>
        <v>4.38227660342909</v>
      </c>
      <c r="Q681" s="489">
        <f>Q680+LN(1+INDEX('Additional data'!$H$2:$H$1196,MATCH(N681,'Additional data'!$G$2:$G$1196,1))+INDEX('Additional data'!$I$2:$I$1196,MATCH(N681,'Additional data'!$G$2:$G$1196,1)))</f>
        <v>5.60081594278248</v>
      </c>
      <c r="R681" s="489">
        <f>LN(INDEX(Data!$B$2:$B$497,MATCH(N681,Data!$A$2:$A$497,1)))</f>
        <v>11.5072204594827</v>
      </c>
      <c r="S681" s="116">
        <f>IF(INDEX('Additional data'!$E$2:$E$699,MATCH(DATE(YEAR(N681),MONTH(N681),1),'Additional data'!$D$2:$D$699,0))=0,(INDEX('Additional data'!$E$2:$E$699,MATCH(DATE(YEAR(N681),MONTH(N681),1),'Additional data'!$D$2:$D$699,0)-1)+INDEX('Additional data'!$E$2:$E$699,MATCH(DATE(YEAR(N681),MONTH(N681),1),'Additional data'!$D$2:$D$699,0)+1))/2,INDEX('Additional data'!$E$2:$E$699,MATCH(DATE(YEAR(N681),MONTH(N681),1),'Additional data'!$D$2:$D$699,0)))</f>
        <v>4.36</v>
      </c>
      <c r="T681" s="425">
        <f>P681-P680</f>
        <v>-0.0644838458113606</v>
      </c>
      <c r="U681" s="425">
        <f>Q681-Q680</f>
        <v>0.046597285376782</v>
      </c>
      <c r="V681" s="425">
        <f>R681-R680</f>
        <v>0.0086833725024249</v>
      </c>
      <c r="W681" s="116">
        <f>S681-S680</f>
        <v>-0.00999999999999979</v>
      </c>
      <c r="X681" s="425">
        <f>P681-P669</f>
        <v>0.11146089809121</v>
      </c>
      <c r="Y681" s="425">
        <f>Q681-Q669</f>
        <v>0.248667099410072</v>
      </c>
      <c r="Z681" s="425">
        <f>R681-R669</f>
        <v>0.130103479802454</v>
      </c>
      <c r="AA681" s="116">
        <f>S681-S669</f>
        <v>0.46</v>
      </c>
      <c r="AB681" s="425">
        <f>P681-P621</f>
        <v>0.274193515096475</v>
      </c>
      <c r="AC681" s="425">
        <f>Q681-Q621</f>
        <v>0.710179279983859</v>
      </c>
      <c r="AD681" s="425">
        <f>R681-R621</f>
        <v>0.394365445953984</v>
      </c>
      <c r="AE681" s="235">
        <f>S681-S621</f>
        <v>2.82</v>
      </c>
      <c r="AG681" s="554">
        <f>N681</f>
        <v>45443.0</v>
      </c>
      <c r="AH681" s="435">
        <f>IFERROR(INDEX('RBA 5Y yield'!$B$5:$B$661,MATCH(N681,'RBA 5Y yield'!$A$5:$A$661,1))*100,"")</f>
        <v>4.02</v>
      </c>
      <c r="AI681" s="435">
        <f>IF(AND(ISNUMBER(AH681),ISNUMBER(AH680)),AH681-AH680,"")</f>
        <v>0.102999999999999</v>
      </c>
      <c r="AJ681" s="435">
        <f>IF(AND(ISNUMBER(AH681),ISNUMBER(AH669)),AH681-AH669,"")</f>
        <v>0.803999999999999</v>
      </c>
      <c r="AK681" s="435">
        <f>IF(AND(ISNUMBER(AH681),ISNUMBER(AH621)),AH681-AH621,"")</f>
        <v>2.729</v>
      </c>
      <c r="AL681" s="560">
        <f>IFERROR(LN(INDEX(Data!$B$2:$B$497,MATCH(N681,Data!$A$2:$A$497,1))/INDEX(Data!$B$2:$B$497,MATCH(N669,Data!$A$2:$A$497,1))),"")</f>
        <v>0.130103479802453</v>
      </c>
      <c r="AM681" s="560">
        <f>IFERROR(LN(INDEX(Data!$C$2:$C$497,MATCH(N681,Data!$A$2:$A$497,1))/INDEX(Data!$C$2:$C$497,MATCH(N669,Data!$A$2:$A$497,1))),"")</f>
        <v>0.203019768381072</v>
      </c>
      <c r="AN681" s="560">
        <f>IFERROR(LN(INDEX(Data!$D$2:$D$497,MATCH(N681,Data!$A$2:$A$497,1))/INDEX(Data!$D$2:$D$497,MATCH(N669,Data!$A$2:$A$497,1))),"")</f>
        <v>0.113266738967643</v>
      </c>
      <c r="AO681" s="560">
        <f>IFERROR(LN(INDEX(Data!$E$2:$E$497,MATCH(N681,Data!$A$2:$A$497,1))/INDEX(Data!$E$2:$E$497,MATCH(N669,Data!$A$2:$A$497,1))),"")</f>
        <v>0.0588917652637668</v>
      </c>
      <c r="AP681" s="560">
        <f>IFERROR(LN(INDEX(Data!$F$2:$F$497,MATCH(N681,Data!$A$2:$A$497,1))/INDEX(Data!$F$2:$F$497,MATCH(N669,Data!$A$2:$A$497,1))),"")</f>
        <v>0.141330679728108</v>
      </c>
      <c r="AQ681" s="560">
        <f>IFERROR(LN(INDEX(Data!$G$2:$G$497,MATCH(N681,Data!$A$2:$A$497,1))/INDEX(Data!$G$2:$G$497,MATCH(N669,Data!$A$2:$A$497,1))),"")</f>
        <v>0.0664092710027639</v>
      </c>
      <c r="AR681" s="560">
        <f>IFERROR(LN(INDEX(Data!$H$2:$H$497,MATCH(N681,Data!$A$2:$A$497,1))/INDEX(Data!$H$2:$H$497,MATCH(N669,Data!$A$2:$A$497,1))),"")</f>
        <v>0.19669913244795</v>
      </c>
      <c r="AS681" s="560">
        <f>IFERROR(LN(INDEX(Data!$I$2:$I$497,MATCH(N681,Data!$A$2:$A$497,1))/INDEX(Data!$I$2:$I$497,MATCH(N669,Data!$A$2:$A$497,1))),"")</f>
        <v>0.316569336692818</v>
      </c>
      <c r="AT681" s="560">
        <f>IFERROR(LN(INDEX(Data!$J$2:$J$497,MATCH(N681,Data!$A$2:$A$497,1))/INDEX(Data!$J$2:$J$497,MATCH(N669,Data!$A$2:$A$497,1))),"")</f>
        <v>0.0064827316838342</v>
      </c>
      <c r="AU681" s="560">
        <f>IFERROR(LN(INDEX(Data!$K$2:$K$497,MATCH(N681,Data!$A$2:$A$497,1))/INDEX(Data!$K$2:$K$497,MATCH(N669,Data!$A$2:$A$497,1))),"")</f>
        <v>-0.00168664727188163</v>
      </c>
      <c r="AV681" s="561">
        <f>IFERROR(LN(INDEX(Data!$L$2:$L$497,MATCH(N681,Data!$A$2:$A$497,1))/INDEX(Data!$L$2:$L$497,MATCH(N669,Data!$A$2:$A$497,1))),"")</f>
        <v>0.0423252845352319</v>
      </c>
    </row>
    <row r="682">
      <c r="N682" s="337" t="n">
        <v>45473</v>
      </c>
      <c r="O682" s="116">
        <f>INDEX('Additional data'!$B$2:$B$965,MATCH(DATE(YEAR(N682),MONTH(N682),1),'Additional data'!$A$2:$A$965,0))</f>
        <v>79.77</v>
      </c>
      <c r="P682" s="489">
        <f>LN(O682)</f>
        <v>4.37914749392304</v>
      </c>
      <c r="Q682" s="489">
        <f>Q681+LN(1+INDEX('Additional data'!$H$2:$H$1196,MATCH(N682,'Additional data'!$G$2:$G$1196,1))+INDEX('Additional data'!$I$2:$I$1196,MATCH(N682,'Additional data'!$G$2:$G$1196,1)))</f>
        <v>5.63241150437223</v>
      </c>
      <c r="R682" s="489">
        <f>LN(INDEX(Data!$B$2:$B$497,MATCH(N682,Data!$A$2:$A$497,1)))</f>
        <v>11.5141752933422</v>
      </c>
      <c r="S682" s="116">
        <f>IF(INDEX('Additional data'!$E$2:$E$699,MATCH(DATE(YEAR(N682),MONTH(N682),1),'Additional data'!$D$2:$D$699,0))=0,(INDEX('Additional data'!$E$2:$E$699,MATCH(DATE(YEAR(N682),MONTH(N682),1),'Additional data'!$D$2:$D$699,0)-1)+INDEX('Additional data'!$E$2:$E$699,MATCH(DATE(YEAR(N682),MONTH(N682),1),'Additional data'!$D$2:$D$699,0)+1))/2,INDEX('Additional data'!$E$2:$E$699,MATCH(DATE(YEAR(N682),MONTH(N682),1),'Additional data'!$D$2:$D$699,0)))</f>
        <v>4.39</v>
      </c>
      <c r="T682" s="425">
        <f>P682-P681</f>
        <v>-0.00312910950605083</v>
      </c>
      <c r="U682" s="425">
        <f>Q682-Q681</f>
        <v>0.031595561589751</v>
      </c>
      <c r="V682" s="425">
        <f>R682-R681</f>
        <v>0.00695483385951512</v>
      </c>
      <c r="W682" s="116">
        <f>S682-S681</f>
        <v>0.0299999999999994</v>
      </c>
      <c r="X682" s="425">
        <f>P682-P670</f>
        <v>0.127087185709183</v>
      </c>
      <c r="Y682" s="425">
        <f>Q682-Q670</f>
        <v>0.213913280458289</v>
      </c>
      <c r="Z682" s="425">
        <f>R682-R670</f>
        <v>0.117879794880063</v>
      </c>
      <c r="AA682" s="116">
        <f>S682-S670</f>
        <v>0.14</v>
      </c>
      <c r="AB682" s="425">
        <f>P682-P622</f>
        <v>0.378015313423116</v>
      </c>
      <c r="AC682" s="425">
        <f>Q682-Q622</f>
        <v>0.672528668836796</v>
      </c>
      <c r="AD682" s="425">
        <f>R682-R622</f>
        <v>0.367586997295655</v>
      </c>
      <c r="AE682" s="235">
        <f>S682-S622</f>
        <v>3.1</v>
      </c>
      <c r="AG682" s="554">
        <f>N682</f>
        <v>45473.0</v>
      </c>
      <c r="AH682" s="435">
        <f>IFERROR(INDEX('RBA 5Y yield'!$B$5:$B$661,MATCH(N682,'RBA 5Y yield'!$A$5:$A$661,1))*100,"")</f>
        <v>3.976</v>
      </c>
      <c r="AI682" s="435">
        <f>IF(AND(ISNUMBER(AH682),ISNUMBER(AH681)),AH682-AH681,"")</f>
        <v>-0.044</v>
      </c>
      <c r="AJ682" s="435">
        <f>IF(AND(ISNUMBER(AH682),ISNUMBER(AH670)),AH682-AH670,"")</f>
        <v>0.195999999999999</v>
      </c>
      <c r="AK682" s="435">
        <f>IF(AND(ISNUMBER(AH682),ISNUMBER(AH622)),AH682-AH622,"")</f>
        <v>2.91</v>
      </c>
      <c r="AL682" s="560">
        <f>IFERROR(LN(INDEX(Data!$B$2:$B$497,MATCH(N682,Data!$A$2:$A$497,1))/INDEX(Data!$B$2:$B$497,MATCH(N670,Data!$A$2:$A$497,1))),"")</f>
        <v>0.117879794880063</v>
      </c>
      <c r="AM682" s="560">
        <f>IFERROR(LN(INDEX(Data!$C$2:$C$497,MATCH(N682,Data!$A$2:$A$497,1))/INDEX(Data!$C$2:$C$497,MATCH(N670,Data!$A$2:$A$497,1))),"")</f>
        <v>0.194615530182779</v>
      </c>
      <c r="AN682" s="560">
        <f>IFERROR(LN(INDEX(Data!$D$2:$D$497,MATCH(N682,Data!$A$2:$A$497,1))/INDEX(Data!$D$2:$D$497,MATCH(N670,Data!$A$2:$A$497,1))),"")</f>
        <v>0.144773274293983</v>
      </c>
      <c r="AO682" s="560">
        <f>IFERROR(LN(INDEX(Data!$E$2:$E$497,MATCH(N682,Data!$A$2:$A$497,1))/INDEX(Data!$E$2:$E$497,MATCH(N670,Data!$A$2:$A$497,1))),"")</f>
        <v>0.0674556429790453</v>
      </c>
      <c r="AP682" s="560">
        <f>IFERROR(LN(INDEX(Data!$F$2:$F$497,MATCH(N682,Data!$A$2:$A$497,1))/INDEX(Data!$F$2:$F$497,MATCH(N670,Data!$A$2:$A$497,1))),"")</f>
        <v>0.136514820344248</v>
      </c>
      <c r="AQ682" s="560">
        <f>IFERROR(LN(INDEX(Data!$G$2:$G$497,MATCH(N682,Data!$A$2:$A$497,1))/INDEX(Data!$G$2:$G$497,MATCH(N670,Data!$A$2:$A$497,1))),"")</f>
        <v>0.03891638791753</v>
      </c>
      <c r="AR682" s="560">
        <f>IFERROR(LN(INDEX(Data!$H$2:$H$497,MATCH(N682,Data!$A$2:$A$497,1))/INDEX(Data!$H$2:$H$497,MATCH(N670,Data!$A$2:$A$497,1))),"")</f>
        <v>0.128034112259604</v>
      </c>
      <c r="AS682" s="560">
        <f>IFERROR(LN(INDEX(Data!$I$2:$I$497,MATCH(N682,Data!$A$2:$A$497,1))/INDEX(Data!$I$2:$I$497,MATCH(N670,Data!$A$2:$A$497,1))),"")</f>
        <v>0.292626152605327</v>
      </c>
      <c r="AT682" s="560">
        <f>IFERROR(LN(INDEX(Data!$J$2:$J$497,MATCH(N682,Data!$A$2:$A$497,1))/INDEX(Data!$J$2:$J$497,MATCH(N670,Data!$A$2:$A$497,1))),"")</f>
        <v>0.0365066365409066</v>
      </c>
      <c r="AU682" s="560">
        <f>IFERROR(LN(INDEX(Data!$K$2:$K$497,MATCH(N682,Data!$A$2:$A$497,1))/INDEX(Data!$K$2:$K$497,MATCH(N670,Data!$A$2:$A$497,1))),"")</f>
        <v>0.011953658824501</v>
      </c>
      <c r="AV682" s="561">
        <f>IFERROR(LN(INDEX(Data!$L$2:$L$497,MATCH(N682,Data!$A$2:$A$497,1))/INDEX(Data!$L$2:$L$497,MATCH(N670,Data!$A$2:$A$497,1))),"")</f>
        <v>0.0428081148704162</v>
      </c>
    </row>
    <row r="683">
      <c r="N683" s="337" t="n">
        <v>45504</v>
      </c>
      <c r="O683" s="116">
        <f>INDEX('Additional data'!$B$2:$B$965,MATCH(DATE(YEAR(N683),MONTH(N683),1),'Additional data'!$A$2:$A$965,0))</f>
        <v>81.8</v>
      </c>
      <c r="P683" s="489">
        <f>LN(O683)</f>
        <v>4.4042772436087</v>
      </c>
      <c r="Q683" s="489">
        <f>Q682+LN(1+INDEX('Additional data'!$H$2:$H$1196,MATCH(N683,'Additional data'!$G$2:$G$1196,1))+INDEX('Additional data'!$I$2:$I$1196,MATCH(N683,'Additional data'!$G$2:$G$1196,1)))</f>
        <v>5.6489735926712</v>
      </c>
      <c r="R683" s="489">
        <f>LN(INDEX(Data!$B$2:$B$497,MATCH(N683,Data!$A$2:$A$497,1)))</f>
        <v>11.5518639657693</v>
      </c>
      <c r="S683" s="116">
        <f>IF(INDEX('Additional data'!$E$2:$E$699,MATCH(DATE(YEAR(N683),MONTH(N683),1),'Additional data'!$D$2:$D$699,0))=0,(INDEX('Additional data'!$E$2:$E$699,MATCH(DATE(YEAR(N683),MONTH(N683),1),'Additional data'!$D$2:$D$699,0)-1)+INDEX('Additional data'!$E$2:$E$699,MATCH(DATE(YEAR(N683),MONTH(N683),1),'Additional data'!$D$2:$D$699,0)+1))/2,INDEX('Additional data'!$E$2:$E$699,MATCH(DATE(YEAR(N683),MONTH(N683),1),'Additional data'!$D$2:$D$699,0)))</f>
        <v>4.46</v>
      </c>
      <c r="T683" s="425">
        <f>P683-P682</f>
        <v>0.0251297496856635</v>
      </c>
      <c r="U683" s="425">
        <f>Q683-Q682</f>
        <v>0.0165620882989783</v>
      </c>
      <c r="V683" s="425">
        <f>R683-R682</f>
        <v>0.0376886724270928</v>
      </c>
      <c r="W683" s="116">
        <f>S683-S682</f>
        <v>0.0700000000000003</v>
      </c>
      <c r="X683" s="425">
        <f>P683-P671</f>
        <v>0.0726232745994917</v>
      </c>
      <c r="Y683" s="425">
        <f>Q683-Q671</f>
        <v>0.194529241983799</v>
      </c>
      <c r="Z683" s="425">
        <f>R683-R671</f>
        <v>0.126111157520821</v>
      </c>
      <c r="AA683" s="116">
        <f>S683-S671</f>
        <v>0.16</v>
      </c>
      <c r="AB683" s="425">
        <f>P683-P623</f>
        <v>0.355104400033322</v>
      </c>
      <c r="AC683" s="425">
        <f>Q683-Q623</f>
        <v>0.674990632756992</v>
      </c>
      <c r="AD683" s="425">
        <f>R683-R623</f>
        <v>0.376112449644142</v>
      </c>
      <c r="AE683" s="235">
        <f>S683-S623</f>
        <v>3.35</v>
      </c>
      <c r="AG683" s="554">
        <f>N683</f>
        <v>45504.0</v>
      </c>
      <c r="AH683" s="435">
        <f>IFERROR(INDEX('RBA 5Y yield'!$B$5:$B$661,MATCH(N683,'RBA 5Y yield'!$A$5:$A$661,1))*100,"")</f>
        <v>4.055</v>
      </c>
      <c r="AI683" s="435">
        <f>IF(AND(ISNUMBER(AH683),ISNUMBER(AH682)),AH683-AH682,"")</f>
        <v>0.0790000000000011</v>
      </c>
      <c r="AJ683" s="435">
        <f>IF(AND(ISNUMBER(AH683),ISNUMBER(AH671)),AH683-AH671,"")</f>
        <v>0.146000000000001</v>
      </c>
      <c r="AK683" s="435">
        <f>IF(AND(ISNUMBER(AH683),ISNUMBER(AH623)),AH683-AH623,"")</f>
        <v>3.059</v>
      </c>
      <c r="AL683" s="560">
        <f>IFERROR(LN(INDEX(Data!$B$2:$B$497,MATCH(N683,Data!$A$2:$A$497,1))/INDEX(Data!$B$2:$B$497,MATCH(N671,Data!$A$2:$A$497,1))),"")</f>
        <v>0.12611115752082</v>
      </c>
      <c r="AM683" s="560">
        <f>IFERROR(LN(INDEX(Data!$C$2:$C$497,MATCH(N683,Data!$A$2:$A$497,1))/INDEX(Data!$C$2:$C$497,MATCH(N671,Data!$A$2:$A$497,1))),"")</f>
        <v>0.212975544171882</v>
      </c>
      <c r="AN683" s="560">
        <f>IFERROR(LN(INDEX(Data!$D$2:$D$497,MATCH(N683,Data!$A$2:$A$497,1))/INDEX(Data!$D$2:$D$497,MATCH(N671,Data!$A$2:$A$497,1))),"")</f>
        <v>0.133898928253236</v>
      </c>
      <c r="AO683" s="560">
        <f>IFERROR(LN(INDEX(Data!$E$2:$E$497,MATCH(N683,Data!$A$2:$A$497,1))/INDEX(Data!$E$2:$E$497,MATCH(N671,Data!$A$2:$A$497,1))),"")</f>
        <v>0.12852188461383</v>
      </c>
      <c r="AP683" s="560">
        <f>IFERROR(LN(INDEX(Data!$F$2:$F$497,MATCH(N683,Data!$A$2:$A$497,1))/INDEX(Data!$F$2:$F$497,MATCH(N671,Data!$A$2:$A$497,1))),"")</f>
        <v>0.0334048057873069</v>
      </c>
      <c r="AQ683" s="560">
        <f>IFERROR(LN(INDEX(Data!$G$2:$G$497,MATCH(N683,Data!$A$2:$A$497,1))/INDEX(Data!$G$2:$G$497,MATCH(N671,Data!$A$2:$A$497,1))),"")</f>
        <v>0.03891638791753</v>
      </c>
      <c r="AR683" s="560">
        <f>IFERROR(LN(INDEX(Data!$H$2:$H$497,MATCH(N683,Data!$A$2:$A$497,1))/INDEX(Data!$H$2:$H$497,MATCH(N671,Data!$A$2:$A$497,1))),"")</f>
        <v>0.115969509159925</v>
      </c>
      <c r="AS683" s="560">
        <f>IFERROR(LN(INDEX(Data!$I$2:$I$497,MATCH(N683,Data!$A$2:$A$497,1))/INDEX(Data!$I$2:$I$497,MATCH(N671,Data!$A$2:$A$497,1))),"")</f>
        <v>0.292626152605327</v>
      </c>
      <c r="AT683" s="560">
        <f>IFERROR(LN(INDEX(Data!$J$2:$J$497,MATCH(N683,Data!$A$2:$A$497,1))/INDEX(Data!$J$2:$J$497,MATCH(N671,Data!$A$2:$A$497,1))),"")</f>
        <v>0.0475838319347884</v>
      </c>
      <c r="AU683" s="560">
        <f>IFERROR(LN(INDEX(Data!$K$2:$K$497,MATCH(N683,Data!$A$2:$A$497,1))/INDEX(Data!$K$2:$K$497,MATCH(N671,Data!$A$2:$A$497,1))),"")</f>
        <v>0.0305512264651146</v>
      </c>
      <c r="AV683" s="561">
        <f>IFERROR(LN(INDEX(Data!$L$2:$L$497,MATCH(N683,Data!$A$2:$A$497,1))/INDEX(Data!$L$2:$L$497,MATCH(N671,Data!$A$2:$A$497,1))),"")</f>
        <v>0.042797596319385</v>
      </c>
    </row>
    <row r="684">
      <c r="N684" s="337" t="n">
        <v>45535</v>
      </c>
      <c r="O684" s="116">
        <f>INDEX('Additional data'!$B$2:$B$965,MATCH(DATE(YEAR(N684),MONTH(N684),1),'Additional data'!$A$2:$A$965,0))</f>
        <v>76.68</v>
      </c>
      <c r="P684" s="489">
        <f>LN(O684)</f>
        <v>4.33964091817744</v>
      </c>
      <c r="Q684" s="489">
        <f>Q683+LN(1+INDEX('Additional data'!$H$2:$H$1196,MATCH(N684,'Additional data'!$G$2:$G$1196,1))+INDEX('Additional data'!$I$2:$I$1196,MATCH(N684,'Additional data'!$G$2:$G$1196,1)))</f>
        <v>5.66956022627959</v>
      </c>
      <c r="R684" s="489">
        <f>LN(INDEX(Data!$B$2:$B$497,MATCH(N684,Data!$A$2:$A$497,1)))</f>
        <v>11.5558739210726</v>
      </c>
      <c r="S684" s="116">
        <f>IF(INDEX('Additional data'!$E$2:$E$699,MATCH(DATE(YEAR(N684),MONTH(N684),1),'Additional data'!$D$2:$D$699,0))=0,(INDEX('Additional data'!$E$2:$E$699,MATCH(DATE(YEAR(N684),MONTH(N684),1),'Additional data'!$D$2:$D$699,0)-1)+INDEX('Additional data'!$E$2:$E$699,MATCH(DATE(YEAR(N684),MONTH(N684),1),'Additional data'!$D$2:$D$699,0)+1))/2,INDEX('Additional data'!$E$2:$E$699,MATCH(DATE(YEAR(N684),MONTH(N684),1),'Additional data'!$D$2:$D$699,0)))</f>
        <v>4.38</v>
      </c>
      <c r="T684" s="425">
        <f>P684-P683</f>
        <v>-0.0646363254312581</v>
      </c>
      <c r="U684" s="425">
        <f>Q684-Q683</f>
        <v>0.0205866336083886</v>
      </c>
      <c r="V684" s="425">
        <f>R684-R683</f>
        <v>0.00400995530332793</v>
      </c>
      <c r="W684" s="116">
        <f>S684-S683</f>
        <v>-0.0800000000000001</v>
      </c>
      <c r="X684" s="425">
        <f>P684-P672</f>
        <v>-0.0596114971615069</v>
      </c>
      <c r="Y684" s="425">
        <f>Q684-Q672</f>
        <v>0.234400637004054</v>
      </c>
      <c r="Z684" s="425">
        <f>R684-R672</f>
        <v>0.137544174172607</v>
      </c>
      <c r="AA684" s="116">
        <f>S684-S672</f>
        <v>0.23</v>
      </c>
      <c r="AB684" s="425">
        <f>P684-P624</f>
        <v>0.335768259119418</v>
      </c>
      <c r="AC684" s="425">
        <f>Q684-Q624</f>
        <v>0.719767505166598</v>
      </c>
      <c r="AD684" s="425">
        <f>R684-R624</f>
        <v>0.402528052658665</v>
      </c>
      <c r="AE684" s="235">
        <f>S684-S624</f>
        <v>3.4</v>
      </c>
      <c r="AG684" s="554">
        <f>N684</f>
        <v>45535.0</v>
      </c>
      <c r="AH684" s="435">
        <f>IFERROR(INDEX('RBA 5Y yield'!$B$5:$B$661,MATCH(N684,'RBA 5Y yield'!$A$5:$A$661,1))*100,"")</f>
        <v>3.64</v>
      </c>
      <c r="AI684" s="435">
        <f>IF(AND(ISNUMBER(AH684),ISNUMBER(AH683)),AH684-AH683,"")</f>
        <v>-0.415000000000001</v>
      </c>
      <c r="AJ684" s="435">
        <f>IF(AND(ISNUMBER(AH684),ISNUMBER(AH672)),AH684-AH672,"")</f>
        <v>-0.218</v>
      </c>
      <c r="AK684" s="435">
        <f>IF(AND(ISNUMBER(AH684),ISNUMBER(AH624)),AH684-AH624,"")</f>
        <v>2.927</v>
      </c>
      <c r="AL684" s="560">
        <f>IFERROR(LN(INDEX(Data!$B$2:$B$497,MATCH(N684,Data!$A$2:$A$497,1))/INDEX(Data!$B$2:$B$497,MATCH(N672,Data!$A$2:$A$497,1))),"")</f>
        <v>0.137544174172607</v>
      </c>
      <c r="AM684" s="560">
        <f>IFERROR(LN(INDEX(Data!$C$2:$C$497,MATCH(N684,Data!$A$2:$A$497,1))/INDEX(Data!$C$2:$C$497,MATCH(N672,Data!$A$2:$A$497,1))),"")</f>
        <v>0.171123382463992</v>
      </c>
      <c r="AN684" s="560">
        <f>IFERROR(LN(INDEX(Data!$D$2:$D$497,MATCH(N684,Data!$A$2:$A$497,1))/INDEX(Data!$D$2:$D$497,MATCH(N672,Data!$A$2:$A$497,1))),"")</f>
        <v>0.1079043459874</v>
      </c>
      <c r="AO684" s="560">
        <f>IFERROR(LN(INDEX(Data!$E$2:$E$497,MATCH(N684,Data!$A$2:$A$497,1))/INDEX(Data!$E$2:$E$497,MATCH(N672,Data!$A$2:$A$497,1))),"")</f>
        <v>0.126957668997836</v>
      </c>
      <c r="AP684" s="560">
        <f>IFERROR(LN(INDEX(Data!$F$2:$F$497,MATCH(N684,Data!$A$2:$A$497,1))/INDEX(Data!$F$2:$F$497,MATCH(N672,Data!$A$2:$A$497,1))),"")</f>
        <v>-0.0678932496444037</v>
      </c>
      <c r="AQ684" s="560">
        <f>IFERROR(LN(INDEX(Data!$G$2:$G$497,MATCH(N684,Data!$A$2:$A$497,1))/INDEX(Data!$G$2:$G$497,MATCH(N672,Data!$A$2:$A$497,1))),"")</f>
        <v>0.03891638791753</v>
      </c>
      <c r="AR684" s="560">
        <f>IFERROR(LN(INDEX(Data!$H$2:$H$497,MATCH(N684,Data!$A$2:$A$497,1))/INDEX(Data!$H$2:$H$497,MATCH(N672,Data!$A$2:$A$497,1))),"")</f>
        <v>0.0847047018488646</v>
      </c>
      <c r="AS684" s="560">
        <f>IFERROR(LN(INDEX(Data!$I$2:$I$497,MATCH(N684,Data!$A$2:$A$497,1))/INDEX(Data!$I$2:$I$497,MATCH(N672,Data!$A$2:$A$497,1))),"")</f>
        <v>0.292626152605327</v>
      </c>
      <c r="AT684" s="560">
        <f>IFERROR(LN(INDEX(Data!$J$2:$J$497,MATCH(N684,Data!$A$2:$A$497,1))/INDEX(Data!$J$2:$J$497,MATCH(N672,Data!$A$2:$A$497,1))),"")</f>
        <v>0.051336914161654</v>
      </c>
      <c r="AU684" s="560">
        <f>IFERROR(LN(INDEX(Data!$K$2:$K$497,MATCH(N684,Data!$A$2:$A$497,1))/INDEX(Data!$K$2:$K$497,MATCH(N672,Data!$A$2:$A$497,1))),"")</f>
        <v>0.0483920718128099</v>
      </c>
      <c r="AV684" s="561">
        <f>IFERROR(LN(INDEX(Data!$L$2:$L$497,MATCH(N684,Data!$A$2:$A$497,1))/INDEX(Data!$L$2:$L$497,MATCH(N672,Data!$A$2:$A$497,1))),"")</f>
        <v>0.0429281089073881</v>
      </c>
    </row>
    <row r="685">
      <c r="N685" s="337" t="n">
        <v>45565</v>
      </c>
      <c r="O685" s="116">
        <f>INDEX('Additional data'!$B$2:$B$965,MATCH(DATE(YEAR(N685),MONTH(N685),1),'Additional data'!$A$2:$A$965,0))</f>
        <v>70.24</v>
      </c>
      <c r="P685" s="489">
        <f>LN(O685)</f>
        <v>4.25191794932686</v>
      </c>
      <c r="Q685" s="489">
        <f>Q684+LN(1+INDEX('Additional data'!$H$2:$H$1196,MATCH(N685,'Additional data'!$G$2:$G$1196,1))+INDEX('Additional data'!$I$2:$I$1196,MATCH(N685,'Additional data'!$G$2:$G$1196,1)))</f>
        <v>5.69053863266479</v>
      </c>
      <c r="R685" s="489">
        <f>LN(INDEX(Data!$B$2:$B$497,MATCH(N685,Data!$A$2:$A$497,1)))</f>
        <v>11.5897861427374</v>
      </c>
      <c r="S685" s="116">
        <f>IF(INDEX('Additional data'!$E$2:$E$699,MATCH(DATE(YEAR(N685),MONTH(N685),1),'Additional data'!$D$2:$D$699,0))=0,(INDEX('Additional data'!$E$2:$E$699,MATCH(DATE(YEAR(N685),MONTH(N685),1),'Additional data'!$D$2:$D$699,0)-1)+INDEX('Additional data'!$E$2:$E$699,MATCH(DATE(YEAR(N685),MONTH(N685),1),'Additional data'!$D$2:$D$699,0)+1))/2,INDEX('Additional data'!$E$2:$E$699,MATCH(DATE(YEAR(N685),MONTH(N685),1),'Additional data'!$D$2:$D$699,0)))</f>
        <v>4.42</v>
      </c>
      <c r="T685" s="425">
        <f>P685-P684</f>
        <v>-0.0877229688505823</v>
      </c>
      <c r="U685" s="425">
        <f>Q685-Q684</f>
        <v>0.0209784063851917</v>
      </c>
      <c r="V685" s="425">
        <f>R685-R684</f>
        <v>0.0339122216647994</v>
      </c>
      <c r="W685" s="116">
        <f>S685-S684</f>
        <v>0.04</v>
      </c>
      <c r="X685" s="425">
        <f>P685-P673</f>
        <v>-0.241538247031229</v>
      </c>
      <c r="Y685" s="425">
        <f>Q685-Q673</f>
        <v>0.304569287580017</v>
      </c>
      <c r="Z685" s="425">
        <f>R685-R673</f>
        <v>0.200107849460819</v>
      </c>
      <c r="AA685" s="116">
        <f>S685-S673</f>
        <v>0.29</v>
      </c>
      <c r="AB685" s="425">
        <f>P685-P625</f>
        <v>0.20974425943367</v>
      </c>
      <c r="AC685" s="425">
        <f>Q685-Q625</f>
        <v>0.724970992436428</v>
      </c>
      <c r="AD685" s="425">
        <f>R685-R625</f>
        <v>0.415379310407166</v>
      </c>
      <c r="AE685" s="235">
        <f>S685-S625</f>
        <v>3.44</v>
      </c>
      <c r="AG685" s="554">
        <f>N685</f>
        <v>45565.0</v>
      </c>
      <c r="AH685" s="435">
        <f>IFERROR(INDEX('RBA 5Y yield'!$B$5:$B$661,MATCH(N685,'RBA 5Y yield'!$A$5:$A$661,1))*100,"")</f>
        <v>3.559</v>
      </c>
      <c r="AI685" s="435">
        <f>IF(AND(ISNUMBER(AH685),ISNUMBER(AH684)),AH685-AH684,"")</f>
        <v>-0.0810000000000004</v>
      </c>
      <c r="AJ685" s="435">
        <f>IF(AND(ISNUMBER(AH685),ISNUMBER(AH673)),AH685-AH673,"")</f>
        <v>-0.376000000000001</v>
      </c>
      <c r="AK685" s="435">
        <f>IF(AND(ISNUMBER(AH685),ISNUMBER(AH625)),AH685-AH625,"")</f>
        <v>2.749</v>
      </c>
      <c r="AL685" s="560">
        <f>IFERROR(LN(INDEX(Data!$B$2:$B$497,MATCH(N685,Data!$A$2:$A$497,1))/INDEX(Data!$B$2:$B$497,MATCH(N673,Data!$A$2:$A$497,1))),"")</f>
        <v>0.200107849460819</v>
      </c>
      <c r="AM685" s="560">
        <f>IFERROR(LN(INDEX(Data!$C$2:$C$497,MATCH(N685,Data!$A$2:$A$497,1))/INDEX(Data!$C$2:$C$497,MATCH(N673,Data!$A$2:$A$497,1))),"")</f>
        <v>0.197994435847911</v>
      </c>
      <c r="AN685" s="560">
        <f>IFERROR(LN(INDEX(Data!$D$2:$D$497,MATCH(N685,Data!$A$2:$A$497,1))/INDEX(Data!$D$2:$D$497,MATCH(N673,Data!$A$2:$A$497,1))),"")</f>
        <v>0.154374259002142</v>
      </c>
      <c r="AO685" s="560">
        <f>IFERROR(LN(INDEX(Data!$E$2:$E$497,MATCH(N685,Data!$A$2:$A$497,1))/INDEX(Data!$E$2:$E$497,MATCH(N673,Data!$A$2:$A$497,1))),"")</f>
        <v>0.190357250171425</v>
      </c>
      <c r="AP685" s="560">
        <f>IFERROR(LN(INDEX(Data!$F$2:$F$497,MATCH(N685,Data!$A$2:$A$497,1))/INDEX(Data!$F$2:$F$497,MATCH(N673,Data!$A$2:$A$497,1))),"")</f>
        <v>-0.134746034225002</v>
      </c>
      <c r="AQ685" s="560">
        <f>IFERROR(LN(INDEX(Data!$G$2:$G$497,MATCH(N685,Data!$A$2:$A$497,1))/INDEX(Data!$G$2:$G$497,MATCH(N673,Data!$A$2:$A$497,1))),"")</f>
        <v>0.0119820359191934</v>
      </c>
      <c r="AR685" s="560">
        <f>IFERROR(LN(INDEX(Data!$H$2:$H$497,MATCH(N685,Data!$A$2:$A$497,1))/INDEX(Data!$H$2:$H$497,MATCH(N673,Data!$A$2:$A$497,1))),"")</f>
        <v>0.10144560025482</v>
      </c>
      <c r="AS685" s="560">
        <f>IFERROR(LN(INDEX(Data!$I$2:$I$497,MATCH(N685,Data!$A$2:$A$497,1))/INDEX(Data!$I$2:$I$497,MATCH(N673,Data!$A$2:$A$497,1))),"")</f>
        <v>0.318113587726817</v>
      </c>
      <c r="AT685" s="560">
        <f>IFERROR(LN(INDEX(Data!$J$2:$J$497,MATCH(N685,Data!$A$2:$A$497,1))/INDEX(Data!$J$2:$J$497,MATCH(N673,Data!$A$2:$A$497,1))),"")</f>
        <v>0.0720666888499874</v>
      </c>
      <c r="AU685" s="560">
        <f>IFERROR(LN(INDEX(Data!$K$2:$K$497,MATCH(N685,Data!$A$2:$A$497,1))/INDEX(Data!$K$2:$K$497,MATCH(N673,Data!$A$2:$A$497,1))),"")</f>
        <v>0.0766560717209103</v>
      </c>
      <c r="AV685" s="561">
        <f>IFERROR(LN(INDEX(Data!$L$2:$L$497,MATCH(N685,Data!$A$2:$A$497,1))/INDEX(Data!$L$2:$L$497,MATCH(N673,Data!$A$2:$A$497,1))),"")</f>
        <v>0.0431491648015597</v>
      </c>
    </row>
    <row r="686">
      <c r="N686" s="337" t="n">
        <v>45596</v>
      </c>
      <c r="O686" s="116">
        <f>INDEX('Additional data'!$B$2:$B$965,MATCH(DATE(YEAR(N686),MONTH(N686),1),'Additional data'!$A$2:$A$965,0))</f>
        <v>71.99</v>
      </c>
      <c r="P686" s="489">
        <f>LN(O686)</f>
        <v>4.27652722048121</v>
      </c>
      <c r="Q686" s="489">
        <f>Q685+LN(1+INDEX('Additional data'!$H$2:$H$1196,MATCH(N686,'Additional data'!$G$2:$G$1196,1))+INDEX('Additional data'!$I$2:$I$1196,MATCH(N686,'Additional data'!$G$2:$G$1196,1)))</f>
        <v>5.68441995165661</v>
      </c>
      <c r="R686" s="489">
        <f>LN(INDEX(Data!$B$2:$B$497,MATCH(N686,Data!$A$2:$A$497,1)))</f>
        <v>11.576418190554</v>
      </c>
      <c r="S686" s="116">
        <f>IF(INDEX('Additional data'!$E$2:$E$699,MATCH(DATE(YEAR(N686),MONTH(N686),1),'Additional data'!$D$2:$D$699,0))=0,(INDEX('Additional data'!$E$2:$E$699,MATCH(DATE(YEAR(N686),MONTH(N686),1),'Additional data'!$D$2:$D$699,0)-1)+INDEX('Additional data'!$E$2:$E$699,MATCH(DATE(YEAR(N686),MONTH(N686),1),'Additional data'!$D$2:$D$699,0)+1))/2,INDEX('Additional data'!$E$2:$E$699,MATCH(DATE(YEAR(N686),MONTH(N686),1),'Additional data'!$D$2:$D$699,0)))</f>
        <v>4.41</v>
      </c>
      <c r="T686" s="425">
        <f>P686-P685</f>
        <v>0.0246092711543504</v>
      </c>
      <c r="U686" s="425">
        <f>Q686-Q685</f>
        <v>-0.00611868100817681</v>
      </c>
      <c r="V686" s="425">
        <f>R686-R685</f>
        <v>-0.0133679521833567</v>
      </c>
      <c r="W686" s="116">
        <f>S686-S685</f>
        <v>-0.00999999999999979</v>
      </c>
      <c r="X686" s="425">
        <f>P686-P674</f>
        <v>-0.17362524324027</v>
      </c>
      <c r="Y686" s="425">
        <f>Q686-Q674</f>
        <v>0.32561627464461</v>
      </c>
      <c r="Z686" s="425">
        <f>R686-R674</f>
        <v>0.226010581409154</v>
      </c>
      <c r="AA686" s="116">
        <f>S686-S674</f>
        <v>0.2</v>
      </c>
      <c r="AB686" s="425">
        <f>P686-P626</f>
        <v>0.288284189141657</v>
      </c>
      <c r="AC686" s="425">
        <f>Q686-Q626</f>
        <v>0.696895144076209</v>
      </c>
      <c r="AD686" s="425">
        <f>R686-R626</f>
        <v>0.405724121795883</v>
      </c>
      <c r="AE686" s="235">
        <f>S686-S626</f>
        <v>3.53</v>
      </c>
      <c r="AG686" s="554">
        <f>N686</f>
        <v>45596.0</v>
      </c>
      <c r="AH686" s="435">
        <f>IFERROR(INDEX('RBA 5Y yield'!$B$5:$B$661,MATCH(N686,'RBA 5Y yield'!$A$5:$A$661,1))*100,"")</f>
        <v>3.892</v>
      </c>
      <c r="AI686" s="435">
        <f>IF(AND(ISNUMBER(AH686),ISNUMBER(AH685)),AH686-AH685,"")</f>
        <v>0.333000000000001</v>
      </c>
      <c r="AJ686" s="435">
        <f>IF(AND(ISNUMBER(AH686),ISNUMBER(AH674)),AH686-AH674,"")</f>
        <v>-0.342999999999999</v>
      </c>
      <c r="AK686" s="435">
        <f>IF(AND(ISNUMBER(AH686),ISNUMBER(AH626)),AH686-AH626,"")</f>
        <v>3.126</v>
      </c>
      <c r="AL686" s="560">
        <f>IFERROR(LN(INDEX(Data!$B$2:$B$497,MATCH(N686,Data!$A$2:$A$497,1))/INDEX(Data!$B$2:$B$497,MATCH(N674,Data!$A$2:$A$497,1))),"")</f>
        <v>0.226010581409156</v>
      </c>
      <c r="AM686" s="560">
        <f>IFERROR(LN(INDEX(Data!$C$2:$C$497,MATCH(N686,Data!$A$2:$A$497,1))/INDEX(Data!$C$2:$C$497,MATCH(N674,Data!$A$2:$A$497,1))),"")</f>
        <v>0.253680563708389</v>
      </c>
      <c r="AN686" s="560">
        <f>IFERROR(LN(INDEX(Data!$D$2:$D$497,MATCH(N686,Data!$A$2:$A$497,1))/INDEX(Data!$D$2:$D$497,MATCH(N674,Data!$A$2:$A$497,1))),"")</f>
        <v>0.201312580394312</v>
      </c>
      <c r="AO686" s="560">
        <f>IFERROR(LN(INDEX(Data!$E$2:$E$497,MATCH(N686,Data!$A$2:$A$497,1))/INDEX(Data!$E$2:$E$497,MATCH(N674,Data!$A$2:$A$497,1))),"")</f>
        <v>0.239002149941978</v>
      </c>
      <c r="AP686" s="560">
        <f>IFERROR(LN(INDEX(Data!$F$2:$F$497,MATCH(N686,Data!$A$2:$A$497,1))/INDEX(Data!$F$2:$F$497,MATCH(N674,Data!$A$2:$A$497,1))),"")</f>
        <v>-0.0491445735140856</v>
      </c>
      <c r="AQ686" s="560">
        <f>IFERROR(LN(INDEX(Data!$G$2:$G$497,MATCH(N686,Data!$A$2:$A$497,1))/INDEX(Data!$G$2:$G$497,MATCH(N674,Data!$A$2:$A$497,1))),"")</f>
        <v>0.0119820359191934</v>
      </c>
      <c r="AR686" s="560">
        <f>IFERROR(LN(INDEX(Data!$H$2:$H$497,MATCH(N686,Data!$A$2:$A$497,1))/INDEX(Data!$H$2:$H$497,MATCH(N674,Data!$A$2:$A$497,1))),"")</f>
        <v>0.116340676195732</v>
      </c>
      <c r="AS686" s="560">
        <f>IFERROR(LN(INDEX(Data!$I$2:$I$497,MATCH(N686,Data!$A$2:$A$497,1))/INDEX(Data!$I$2:$I$497,MATCH(N674,Data!$A$2:$A$497,1))),"")</f>
        <v>0.318113587726817</v>
      </c>
      <c r="AT686" s="560">
        <f>IFERROR(LN(INDEX(Data!$J$2:$J$497,MATCH(N686,Data!$A$2:$A$497,1))/INDEX(Data!$J$2:$J$497,MATCH(N674,Data!$A$2:$A$497,1))),"")</f>
        <v>0.0748028594344899</v>
      </c>
      <c r="AU686" s="560">
        <f>IFERROR(LN(INDEX(Data!$K$2:$K$497,MATCH(N686,Data!$A$2:$A$497,1))/INDEX(Data!$K$2:$K$497,MATCH(N674,Data!$A$2:$A$497,1))),"")</f>
        <v>0.0650587022273547</v>
      </c>
      <c r="AV686" s="561">
        <f>IFERROR(LN(INDEX(Data!$L$2:$L$497,MATCH(N686,Data!$A$2:$A$497,1))/INDEX(Data!$L$2:$L$497,MATCH(N674,Data!$A$2:$A$497,1))),"")</f>
        <v>0.0435551082089459</v>
      </c>
    </row>
    <row r="687">
      <c r="N687" s="337" t="n">
        <v>45626</v>
      </c>
      <c r="O687" s="116">
        <f>INDEX('Additional data'!$B$2:$B$965,MATCH(DATE(YEAR(N687),MONTH(N687),1),'Additional data'!$A$2:$A$965,0))</f>
        <v>69.95</v>
      </c>
      <c r="P687" s="489">
        <f>LN(O687)</f>
        <v>4.24778070111149</v>
      </c>
      <c r="Q687" s="489">
        <f>Q686+LN(1+INDEX('Additional data'!$H$2:$H$1196,MATCH(N687,'Additional data'!$G$2:$G$1196,1))+INDEX('Additional data'!$I$2:$I$1196,MATCH(N687,'Additional data'!$G$2:$G$1196,1)))</f>
        <v>5.75105003395437</v>
      </c>
      <c r="R687" s="489">
        <f>LN(INDEX(Data!$B$2:$B$497,MATCH(N687,Data!$A$2:$A$497,1)))</f>
        <v>11.6123354796652</v>
      </c>
      <c r="S687" s="116">
        <f>IF(INDEX('Additional data'!$E$2:$E$699,MATCH(DATE(YEAR(N687),MONTH(N687),1),'Additional data'!$D$2:$D$699,0))=0,(INDEX('Additional data'!$E$2:$E$699,MATCH(DATE(YEAR(N687),MONTH(N687),1),'Additional data'!$D$2:$D$699,0)-1)+INDEX('Additional data'!$E$2:$E$699,MATCH(DATE(YEAR(N687),MONTH(N687),1),'Additional data'!$D$2:$D$699,0)+1))/2,INDEX('Additional data'!$E$2:$E$699,MATCH(DATE(YEAR(N687),MONTH(N687),1),'Additional data'!$D$2:$D$699,0)))</f>
        <v>4.42</v>
      </c>
      <c r="T687" s="425">
        <f>P687-P686</f>
        <v>-0.0287465193697214</v>
      </c>
      <c r="U687" s="425">
        <f>Q687-Q686</f>
        <v>0.0666300822977632</v>
      </c>
      <c r="V687" s="425">
        <f>R687-R686</f>
        <v>0.0359172891111541</v>
      </c>
      <c r="W687" s="116">
        <f>S687-S686</f>
        <v>0.00999999999999979</v>
      </c>
      <c r="X687" s="425">
        <f>P687-P675</f>
        <v>-0.104945847850839</v>
      </c>
      <c r="Y687" s="425">
        <f>Q687-Q675</f>
        <v>0.303137181870598</v>
      </c>
      <c r="Z687" s="425">
        <f>R687-R675</f>
        <v>0.2112854679291</v>
      </c>
      <c r="AA687" s="116">
        <f>S687-S675</f>
        <v>0.04</v>
      </c>
      <c r="AB687" s="425">
        <f>P687-P627</f>
        <v>0.204203255943042</v>
      </c>
      <c r="AC687" s="425">
        <f>Q687-Q627</f>
        <v>0.724400671689923</v>
      </c>
      <c r="AD687" s="425">
        <f>R687-R627</f>
        <v>0.411364985267676</v>
      </c>
      <c r="AE687" s="235">
        <f>S687-S627</f>
        <v>3.51</v>
      </c>
      <c r="AG687" s="554">
        <f>N687</f>
        <v>45626.0</v>
      </c>
      <c r="AH687" s="435">
        <f>IFERROR(INDEX('RBA 5Y yield'!$B$5:$B$661,MATCH(N687,'RBA 5Y yield'!$A$5:$A$661,1))*100,"")</f>
        <v>4.168</v>
      </c>
      <c r="AI687" s="435">
        <f>IF(AND(ISNUMBER(AH687),ISNUMBER(AH686)),AH687-AH686,"")</f>
        <v>0.276</v>
      </c>
      <c r="AJ687" s="435">
        <f>IF(AND(ISNUMBER(AH687),ISNUMBER(AH675)),AH687-AH675,"")</f>
        <v>-0.085</v>
      </c>
      <c r="AK687" s="435">
        <f>IF(AND(ISNUMBER(AH687),ISNUMBER(AH627)),AH687-AH627,"")</f>
        <v>3.31</v>
      </c>
      <c r="AL687" s="560">
        <f>IFERROR(LN(INDEX(Data!$B$2:$B$497,MATCH(N687,Data!$A$2:$A$497,1))/INDEX(Data!$B$2:$B$497,MATCH(N675,Data!$A$2:$A$497,1))),"")</f>
        <v>0.2112854679291</v>
      </c>
      <c r="AM687" s="560">
        <f>IFERROR(LN(INDEX(Data!$C$2:$C$497,MATCH(N687,Data!$A$2:$A$497,1))/INDEX(Data!$C$2:$C$497,MATCH(N675,Data!$A$2:$A$497,1))),"")</f>
        <v>0.273075414793139</v>
      </c>
      <c r="AN687" s="560">
        <f>IFERROR(LN(INDEX(Data!$D$2:$D$497,MATCH(N687,Data!$A$2:$A$497,1))/INDEX(Data!$D$2:$D$497,MATCH(N675,Data!$A$2:$A$497,1))),"")</f>
        <v>0.165074555764722</v>
      </c>
      <c r="AO687" s="560">
        <f>IFERROR(LN(INDEX(Data!$E$2:$E$497,MATCH(N687,Data!$A$2:$A$497,1))/INDEX(Data!$E$2:$E$497,MATCH(N675,Data!$A$2:$A$497,1))),"")</f>
        <v>0.228203565297763</v>
      </c>
      <c r="AP687" s="560">
        <f>IFERROR(LN(INDEX(Data!$F$2:$F$497,MATCH(N687,Data!$A$2:$A$497,1))/INDEX(Data!$F$2:$F$497,MATCH(N675,Data!$A$2:$A$497,1))),"")</f>
        <v>0.0401727424182117</v>
      </c>
      <c r="AQ687" s="560">
        <f>IFERROR(LN(INDEX(Data!$G$2:$G$497,MATCH(N687,Data!$A$2:$A$497,1))/INDEX(Data!$G$2:$G$497,MATCH(N675,Data!$A$2:$A$497,1))),"")</f>
        <v>0.0119820359191934</v>
      </c>
      <c r="AR687" s="560">
        <f>IFERROR(LN(INDEX(Data!$H$2:$H$497,MATCH(N687,Data!$A$2:$A$497,1))/INDEX(Data!$H$2:$H$497,MATCH(N675,Data!$A$2:$A$497,1))),"")</f>
        <v>0.129332671711623</v>
      </c>
      <c r="AS687" s="560">
        <f>IFERROR(LN(INDEX(Data!$I$2:$I$497,MATCH(N687,Data!$A$2:$A$497,1))/INDEX(Data!$I$2:$I$497,MATCH(N675,Data!$A$2:$A$497,1))),"")</f>
        <v>0.318113587726817</v>
      </c>
      <c r="AT687" s="560">
        <f>IFERROR(LN(INDEX(Data!$J$2:$J$497,MATCH(N687,Data!$A$2:$A$497,1))/INDEX(Data!$J$2:$J$497,MATCH(N675,Data!$A$2:$A$497,1))),"")</f>
        <v>0.0522436209760351</v>
      </c>
      <c r="AU687" s="560">
        <f>IFERROR(LN(INDEX(Data!$K$2:$K$497,MATCH(N687,Data!$A$2:$A$497,1))/INDEX(Data!$K$2:$K$497,MATCH(N675,Data!$A$2:$A$497,1))),"")</f>
        <v>0.0405373766909474</v>
      </c>
      <c r="AV687" s="561">
        <f>IFERROR(LN(INDEX(Data!$L$2:$L$497,MATCH(N687,Data!$A$2:$A$497,1))/INDEX(Data!$L$2:$L$497,MATCH(N675,Data!$A$2:$A$497,1))),"")</f>
        <v>0.043655400043336</v>
      </c>
    </row>
    <row r="688">
      <c r="N688" s="337" t="n">
        <v>45657</v>
      </c>
      <c r="O688" s="116">
        <f>INDEX('Additional data'!$B$2:$B$965,MATCH(DATE(YEAR(N688),MONTH(N688),1),'Additional data'!$A$2:$A$965,0))</f>
        <v>70.12</v>
      </c>
      <c r="P688" s="489">
        <f>LN(O688)</f>
        <v>4.25020806005303</v>
      </c>
      <c r="Q688" s="489">
        <f>Q687+LN(1+INDEX('Additional data'!$H$2:$H$1196,MATCH(N688,'Additional data'!$G$2:$G$1196,1))+INDEX('Additional data'!$I$2:$I$1196,MATCH(N688,'Additional data'!$G$2:$G$1196,1)))</f>
        <v>5.72265055943267</v>
      </c>
      <c r="R688" s="489">
        <f>LN(INDEX(Data!$B$2:$B$497,MATCH(N688,Data!$A$2:$A$497,1)))</f>
        <v>11.5811484090296</v>
      </c>
      <c r="S688" s="116">
        <f>IF(INDEX('Additional data'!$E$2:$E$699,MATCH(DATE(YEAR(N688),MONTH(N688),1),'Additional data'!$D$2:$D$699,0))=0,(INDEX('Additional data'!$E$2:$E$699,MATCH(DATE(YEAR(N688),MONTH(N688),1),'Additional data'!$D$2:$D$699,0)-1)+INDEX('Additional data'!$E$2:$E$699,MATCH(DATE(YEAR(N688),MONTH(N688),1),'Additional data'!$D$2:$D$699,0)+1))/2,INDEX('Additional data'!$E$2:$E$699,MATCH(DATE(YEAR(N688),MONTH(N688),1),'Additional data'!$D$2:$D$699,0)))</f>
        <v>4.44</v>
      </c>
      <c r="T688" s="425">
        <f>P688-P687</f>
        <v>0.00242735894154311</v>
      </c>
      <c r="U688" s="425">
        <f>Q688-Q687</f>
        <v>-0.0283994745216978</v>
      </c>
      <c r="V688" s="425">
        <f>R688-R687</f>
        <v>-0.0311870706355801</v>
      </c>
      <c r="W688" s="116">
        <f>S688-S687</f>
        <v>0.0200000000000005</v>
      </c>
      <c r="X688" s="425">
        <f>P688-P676</f>
        <v>-0.0250682046739676</v>
      </c>
      <c r="Y688" s="425">
        <f>Q688-Q676</f>
        <v>0.223284425759985</v>
      </c>
      <c r="Z688" s="425">
        <f>R688-R676</f>
        <v>0.108350356220059</v>
      </c>
      <c r="AA688" s="116">
        <f>S688-S676</f>
        <v>0.0900000000000008</v>
      </c>
      <c r="AB688" s="425">
        <f>P688-P628</f>
        <v>0.157865500501606</v>
      </c>
      <c r="AC688" s="425">
        <f>Q688-Q628</f>
        <v>0.667316563308316</v>
      </c>
      <c r="AD688" s="425">
        <f>R688-R628</f>
        <v>0.399315435249648</v>
      </c>
      <c r="AE688" s="235">
        <f>S688-S628</f>
        <v>3.54</v>
      </c>
      <c r="AG688" s="554">
        <f>N688</f>
        <v>45657.0</v>
      </c>
      <c r="AH688" s="435">
        <f>IFERROR(INDEX('RBA 5Y yield'!$B$5:$B$661,MATCH(N688,'RBA 5Y yield'!$A$5:$A$661,1))*100,"")</f>
        <v>3.934</v>
      </c>
      <c r="AI688" s="435">
        <f>IF(AND(ISNUMBER(AH688),ISNUMBER(AH687)),AH688-AH687,"")</f>
        <v>-0.234</v>
      </c>
      <c r="AJ688" s="435">
        <f>IF(AND(ISNUMBER(AH688),ISNUMBER(AH676)),AH688-AH676,"")</f>
        <v>0.0739999999999998</v>
      </c>
      <c r="AK688" s="435">
        <f>IF(AND(ISNUMBER(AH688),ISNUMBER(AH628)),AH688-AH628,"")</f>
        <v>3.06</v>
      </c>
      <c r="AL688" s="560">
        <f>IFERROR(LN(INDEX(Data!$B$2:$B$497,MATCH(N688,Data!$A$2:$A$497,1))/INDEX(Data!$B$2:$B$497,MATCH(N676,Data!$A$2:$A$497,1))),"")</f>
        <v>0.108350356220061</v>
      </c>
      <c r="AM688" s="560">
        <f>IFERROR(LN(INDEX(Data!$C$2:$C$497,MATCH(N688,Data!$A$2:$A$497,1))/INDEX(Data!$C$2:$C$497,MATCH(N676,Data!$A$2:$A$497,1))),"")</f>
        <v>0.292504562996534</v>
      </c>
      <c r="AN688" s="560">
        <f>IFERROR(LN(INDEX(Data!$D$2:$D$497,MATCH(N688,Data!$A$2:$A$497,1))/INDEX(Data!$D$2:$D$497,MATCH(N676,Data!$A$2:$A$497,1))),"")</f>
        <v>0.225575097023291</v>
      </c>
      <c r="AO688" s="560">
        <f>IFERROR(LN(INDEX(Data!$E$2:$E$497,MATCH(N688,Data!$A$2:$A$497,1))/INDEX(Data!$E$2:$E$497,MATCH(N676,Data!$A$2:$A$497,1))),"")</f>
        <v>0.155963171449912</v>
      </c>
      <c r="AP688" s="560">
        <f>IFERROR(LN(INDEX(Data!$F$2:$F$497,MATCH(N688,Data!$A$2:$A$497,1))/INDEX(Data!$F$2:$F$497,MATCH(N676,Data!$A$2:$A$497,1))),"")</f>
        <v>0.185621371903647</v>
      </c>
      <c r="AQ688" s="560">
        <f>IFERROR(LN(INDEX(Data!$G$2:$G$497,MATCH(N688,Data!$A$2:$A$497,1))/INDEX(Data!$G$2:$G$497,MATCH(N676,Data!$A$2:$A$497,1))),"")</f>
        <v>0.0139740684504342</v>
      </c>
      <c r="AR688" s="560">
        <f>IFERROR(LN(INDEX(Data!$H$2:$H$497,MATCH(N688,Data!$A$2:$A$497,1))/INDEX(Data!$H$2:$H$497,MATCH(N676,Data!$A$2:$A$497,1))),"")</f>
        <v>0.134632682826472</v>
      </c>
      <c r="AS688" s="560">
        <f>IFERROR(LN(INDEX(Data!$I$2:$I$497,MATCH(N688,Data!$A$2:$A$497,1))/INDEX(Data!$I$2:$I$497,MATCH(N676,Data!$A$2:$A$497,1))),"")</f>
        <v>0.230503489224846</v>
      </c>
      <c r="AT688" s="560">
        <f>IFERROR(LN(INDEX(Data!$J$2:$J$497,MATCH(N688,Data!$A$2:$A$497,1))/INDEX(Data!$J$2:$J$497,MATCH(N676,Data!$A$2:$A$497,1))),"")</f>
        <v>0.0266040837914437</v>
      </c>
      <c r="AU688" s="560">
        <f>IFERROR(LN(INDEX(Data!$K$2:$K$497,MATCH(N688,Data!$A$2:$A$497,1))/INDEX(Data!$K$2:$K$497,MATCH(N676,Data!$A$2:$A$497,1))),"")</f>
        <v>0.00773032861173147</v>
      </c>
      <c r="AV688" s="561">
        <f>IFERROR(LN(INDEX(Data!$L$2:$L$497,MATCH(N688,Data!$A$2:$A$497,1))/INDEX(Data!$L$2:$L$497,MATCH(N676,Data!$A$2:$A$497,1))),"")</f>
        <v>0.0437153261317226</v>
      </c>
    </row>
    <row r="689">
      <c r="N689" s="337" t="n">
        <v>45688</v>
      </c>
      <c r="O689" s="116">
        <f>INDEX('Additional data'!$B$2:$B$965,MATCH(DATE(YEAR(N689),MONTH(N689),1),'Additional data'!$A$2:$A$965,0))</f>
        <v>75.74</v>
      </c>
      <c r="P689" s="489">
        <f>LN(O689)</f>
        <v>4.32730642247365</v>
      </c>
      <c r="Q689" s="489">
        <f>Q688+LN(1+INDEX('Additional data'!$H$2:$H$1196,MATCH(N689,'Additional data'!$G$2:$G$1196,1))+INDEX('Additional data'!$I$2:$I$1196,MATCH(N689,'Additional data'!$G$2:$G$1196,1)))</f>
        <v>5.75385848655687</v>
      </c>
      <c r="R689" s="489">
        <f>LN(INDEX(Data!$B$2:$B$497,MATCH(N689,Data!$A$2:$A$497,1)))</f>
        <v>11.6240595501287</v>
      </c>
      <c r="S689" s="116">
        <f>IF(INDEX('Additional data'!$E$2:$E$699,MATCH(DATE(YEAR(N689),MONTH(N689),1),'Additional data'!$D$2:$D$699,0))=0,(INDEX('Additional data'!$E$2:$E$699,MATCH(DATE(YEAR(N689),MONTH(N689),1),'Additional data'!$D$2:$D$699,0)-1)+INDEX('Additional data'!$E$2:$E$699,MATCH(DATE(YEAR(N689),MONTH(N689),1),'Additional data'!$D$2:$D$699,0)+1))/2,INDEX('Additional data'!$E$2:$E$699,MATCH(DATE(YEAR(N689),MONTH(N689),1),'Additional data'!$D$2:$D$699,0)))</f>
        <v>4.33</v>
      </c>
      <c r="T689" s="425">
        <f>P689-P688</f>
        <v>0.0770983624206156</v>
      </c>
      <c r="U689" s="425">
        <f>Q689-Q688</f>
        <v>0.0312079271241936</v>
      </c>
      <c r="V689" s="425">
        <f>R689-R688</f>
        <v>0.0429111410991059</v>
      </c>
      <c r="W689" s="116">
        <f>S689-S688</f>
        <v>-0.11</v>
      </c>
      <c r="X689" s="425">
        <f>P689-P677</f>
        <v>0.0212163538897077</v>
      </c>
      <c r="Y689" s="425">
        <f>Q689-Q677</f>
        <v>0.242563782018905</v>
      </c>
      <c r="Z689" s="425">
        <f>R689-R677</f>
        <v>0.140634249275861</v>
      </c>
      <c r="AA689" s="116">
        <f>S689-S677</f>
        <v>-0.0199999999999996</v>
      </c>
      <c r="AB689" s="425">
        <f>P689-P629</f>
        <v>0.275173709060858</v>
      </c>
      <c r="AC689" s="425">
        <f>Q689-Q629</f>
        <v>0.698324510429844</v>
      </c>
      <c r="AD689" s="425">
        <f>R689-R629</f>
        <v>0.396426880412461</v>
      </c>
      <c r="AE689" s="235">
        <f>S689-S629</f>
        <v>3.44</v>
      </c>
      <c r="AG689" s="554">
        <f>N689</f>
        <v>45688.0</v>
      </c>
      <c r="AH689" s="435">
        <f>IFERROR(INDEX('RBA 5Y yield'!$B$5:$B$661,MATCH(N689,'RBA 5Y yield'!$A$5:$A$661,1))*100,"")</f>
        <v>4.038</v>
      </c>
      <c r="AI689" s="435">
        <f>IF(AND(ISNUMBER(AH689),ISNUMBER(AH688)),AH689-AH688,"")</f>
        <v>0.104</v>
      </c>
      <c r="AJ689" s="435">
        <f>IF(AND(ISNUMBER(AH689),ISNUMBER(AH677)),AH689-AH677,"")</f>
        <v>0.238</v>
      </c>
      <c r="AK689" s="435">
        <f>IF(AND(ISNUMBER(AH689),ISNUMBER(AH629)),AH689-AH629,"")</f>
        <v>3.185</v>
      </c>
      <c r="AL689" s="560">
        <f>IFERROR(LN(INDEX(Data!$B$2:$B$497,MATCH(N689,Data!$A$2:$A$497,1))/INDEX(Data!$B$2:$B$497,MATCH(N677,Data!$A$2:$A$497,1))),"")</f>
        <v>0.140634249275862</v>
      </c>
      <c r="AM689" s="560">
        <f>IFERROR(LN(INDEX(Data!$C$2:$C$497,MATCH(N689,Data!$A$2:$A$497,1))/INDEX(Data!$C$2:$C$497,MATCH(N677,Data!$A$2:$A$497,1))),"")</f>
        <v>0.269654056417631</v>
      </c>
      <c r="AN689" s="560">
        <f>IFERROR(LN(INDEX(Data!$D$2:$D$497,MATCH(N689,Data!$A$2:$A$497,1))/INDEX(Data!$D$2:$D$497,MATCH(N677,Data!$A$2:$A$497,1))),"")</f>
        <v>0.237900541664013</v>
      </c>
      <c r="AO689" s="560">
        <f>IFERROR(LN(INDEX(Data!$E$2:$E$497,MATCH(N689,Data!$A$2:$A$497,1))/INDEX(Data!$E$2:$E$497,MATCH(N677,Data!$A$2:$A$497,1))),"")</f>
        <v>0.167036906344623</v>
      </c>
      <c r="AP689" s="560">
        <f>IFERROR(LN(INDEX(Data!$F$2:$F$497,MATCH(N689,Data!$A$2:$A$497,1))/INDEX(Data!$F$2:$F$497,MATCH(N677,Data!$A$2:$A$497,1))),"")</f>
        <v>0.135434189270476</v>
      </c>
      <c r="AQ689" s="560">
        <f>IFERROR(LN(INDEX(Data!$G$2:$G$497,MATCH(N689,Data!$A$2:$A$497,1))/INDEX(Data!$G$2:$G$497,MATCH(N677,Data!$A$2:$A$497,1))),"")</f>
        <v>0.0139740684504342</v>
      </c>
      <c r="AR689" s="560">
        <f>IFERROR(LN(INDEX(Data!$H$2:$H$497,MATCH(N689,Data!$A$2:$A$497,1))/INDEX(Data!$H$2:$H$497,MATCH(N677,Data!$A$2:$A$497,1))),"")</f>
        <v>0.0919235922823239</v>
      </c>
      <c r="AS689" s="560">
        <f>IFERROR(LN(INDEX(Data!$I$2:$I$497,MATCH(N689,Data!$A$2:$A$497,1))/INDEX(Data!$I$2:$I$497,MATCH(N677,Data!$A$2:$A$497,1))),"")</f>
        <v>0.230503489224846</v>
      </c>
      <c r="AT689" s="560">
        <f>IFERROR(LN(INDEX(Data!$J$2:$J$497,MATCH(N689,Data!$A$2:$A$497,1))/INDEX(Data!$J$2:$J$497,MATCH(N677,Data!$A$2:$A$497,1))),"")</f>
        <v>0.0283823237311751</v>
      </c>
      <c r="AU689" s="560">
        <f>IFERROR(LN(INDEX(Data!$K$2:$K$497,MATCH(N689,Data!$A$2:$A$497,1))/INDEX(Data!$K$2:$K$497,MATCH(N677,Data!$A$2:$A$497,1))),"")</f>
        <v>0.0155217741727524</v>
      </c>
      <c r="AV689" s="561">
        <f>IFERROR(LN(INDEX(Data!$L$2:$L$497,MATCH(N689,Data!$A$2:$A$497,1))/INDEX(Data!$L$2:$L$497,MATCH(N677,Data!$A$2:$A$497,1))),"")</f>
        <v>0.0438479201611081</v>
      </c>
    </row>
    <row r="690">
      <c r="N690" s="337" t="n">
        <v>45716</v>
      </c>
      <c r="O690" s="116">
        <f>INDEX('Additional data'!$B$2:$B$965,MATCH(DATE(YEAR(N690),MONTH(N690),1),'Additional data'!$A$2:$A$965,0))</f>
        <v>71.53</v>
      </c>
      <c r="P690" s="489">
        <f>LN(O690)</f>
        <v>4.27011694212029</v>
      </c>
      <c r="Q690" s="489">
        <f>Q689+LN(1+INDEX('Additional data'!$H$2:$H$1196,MATCH(N690,'Additional data'!$G$2:$G$1196,1))+INDEX('Additional data'!$I$2:$I$1196,MATCH(N690,'Additional data'!$G$2:$G$1196,1)))</f>
        <v>5.73253269984212</v>
      </c>
      <c r="R690" s="489">
        <f>LN(INDEX(Data!$B$2:$B$497,MATCH(N690,Data!$A$2:$A$497,1)))</f>
        <v>11.5836514894341</v>
      </c>
      <c r="S690" s="116">
        <f>IF(INDEX('Additional data'!$E$2:$E$699,MATCH(DATE(YEAR(N690),MONTH(N690),1),'Additional data'!$D$2:$D$699,0))=0,(INDEX('Additional data'!$E$2:$E$699,MATCH(DATE(YEAR(N690),MONTH(N690),1),'Additional data'!$D$2:$D$699,0)-1)+INDEX('Additional data'!$E$2:$E$699,MATCH(DATE(YEAR(N690),MONTH(N690),1),'Additional data'!$D$2:$D$699,0)+1))/2,INDEX('Additional data'!$E$2:$E$699,MATCH(DATE(YEAR(N690),MONTH(N690),1),'Additional data'!$D$2:$D$699,0)))</f>
        <v>4.17</v>
      </c>
      <c r="T690" s="425">
        <f>P690-P689</f>
        <v>-0.0571894803533564</v>
      </c>
      <c r="U690" s="425">
        <f>Q690-Q689</f>
        <v>-0.0213257867147521</v>
      </c>
      <c r="V690" s="425">
        <f>R690-R689</f>
        <v>-0.040408060694622</v>
      </c>
      <c r="W690" s="116">
        <f>S690-S689</f>
        <v>-0.16</v>
      </c>
      <c r="X690" s="425">
        <f>P690-P678</f>
        <v>-0.0769299736575624</v>
      </c>
      <c r="Y690" s="425">
        <f>Q690-Q678</f>
        <v>0.167792019598528</v>
      </c>
      <c r="Z690" s="425">
        <f>R690-R678</f>
        <v>0.0886065985249012</v>
      </c>
      <c r="AA690" s="116">
        <f>S690-S678</f>
        <v>-0.17</v>
      </c>
      <c r="AB690" s="425">
        <f>P690-P630</f>
        <v>0.347351840160245</v>
      </c>
      <c r="AC690" s="425">
        <f>Q690-Q630</f>
        <v>0.760706472788577</v>
      </c>
      <c r="AD690" s="425">
        <f>R690-R630</f>
        <v>0.440249794383506</v>
      </c>
      <c r="AE690" s="235">
        <f>S690-S630</f>
        <v>3.28</v>
      </c>
      <c r="AG690" s="554">
        <f>N690</f>
        <v>45716.0</v>
      </c>
      <c r="AH690" s="435">
        <f>IFERROR(INDEX('RBA 5Y yield'!$B$5:$B$661,MATCH(N690,'RBA 5Y yield'!$A$5:$A$661,1))*100,"")</f>
        <v>3.963</v>
      </c>
      <c r="AI690" s="435">
        <f>IF(AND(ISNUMBER(AH690),ISNUMBER(AH689)),AH690-AH689,"")</f>
        <v>-0.0750000000000002</v>
      </c>
      <c r="AJ690" s="435">
        <f>IF(AND(ISNUMBER(AH690),ISNUMBER(AH678)),AH690-AH678,"")</f>
        <v>0.184</v>
      </c>
      <c r="AK690" s="435">
        <f>IF(AND(ISNUMBER(AH690),ISNUMBER(AH630)),AH690-AH630,"")</f>
        <v>3.225</v>
      </c>
      <c r="AL690" s="560">
        <f>IFERROR(LN(INDEX(Data!$B$2:$B$497,MATCH(N690,Data!$A$2:$A$497,1))/INDEX(Data!$B$2:$B$497,MATCH(N678,Data!$A$2:$A$497,1))),"")</f>
        <v>0.0886065985249017</v>
      </c>
      <c r="AM690" s="560">
        <f>IFERROR(LN(INDEX(Data!$C$2:$C$497,MATCH(N690,Data!$A$2:$A$497,1))/INDEX(Data!$C$2:$C$497,MATCH(N678,Data!$A$2:$A$497,1))),"")</f>
        <v>0.202873249204851</v>
      </c>
      <c r="AN690" s="560">
        <f>IFERROR(LN(INDEX(Data!$D$2:$D$497,MATCH(N690,Data!$A$2:$A$497,1))/INDEX(Data!$D$2:$D$497,MATCH(N678,Data!$A$2:$A$497,1))),"")</f>
        <v>0.183504585899095</v>
      </c>
      <c r="AO690" s="560">
        <f>IFERROR(LN(INDEX(Data!$E$2:$E$497,MATCH(N690,Data!$A$2:$A$497,1))/INDEX(Data!$E$2:$E$497,MATCH(N678,Data!$A$2:$A$497,1))),"")</f>
        <v>0.170289494146273</v>
      </c>
      <c r="AP690" s="560">
        <f>IFERROR(LN(INDEX(Data!$F$2:$F$497,MATCH(N690,Data!$A$2:$A$497,1))/INDEX(Data!$F$2:$F$497,MATCH(N678,Data!$A$2:$A$497,1))),"")</f>
        <v>0.101181555785135</v>
      </c>
      <c r="AQ690" s="560">
        <f>IFERROR(LN(INDEX(Data!$G$2:$G$497,MATCH(N690,Data!$A$2:$A$497,1))/INDEX(Data!$G$2:$G$497,MATCH(N678,Data!$A$2:$A$497,1))),"")</f>
        <v>0.0139740684504342</v>
      </c>
      <c r="AR690" s="560">
        <f>IFERROR(LN(INDEX(Data!$H$2:$H$497,MATCH(N690,Data!$A$2:$A$497,1))/INDEX(Data!$H$2:$H$497,MATCH(N678,Data!$A$2:$A$497,1))),"")</f>
        <v>0.0852893723374084</v>
      </c>
      <c r="AS690" s="560">
        <f>IFERROR(LN(INDEX(Data!$I$2:$I$497,MATCH(N690,Data!$A$2:$A$497,1))/INDEX(Data!$I$2:$I$497,MATCH(N678,Data!$A$2:$A$497,1))),"")</f>
        <v>0.230503489224846</v>
      </c>
      <c r="AT690" s="560">
        <f>IFERROR(LN(INDEX(Data!$J$2:$J$497,MATCH(N690,Data!$A$2:$A$497,1))/INDEX(Data!$J$2:$J$497,MATCH(N678,Data!$A$2:$A$497,1))),"")</f>
        <v>0.041491894990126</v>
      </c>
      <c r="AU690" s="560">
        <f>IFERROR(LN(INDEX(Data!$K$2:$K$497,MATCH(N690,Data!$A$2:$A$497,1))/INDEX(Data!$K$2:$K$497,MATCH(N678,Data!$A$2:$A$497,1))),"")</f>
        <v>0.0359676858503328</v>
      </c>
      <c r="AV690" s="561">
        <f>IFERROR(LN(INDEX(Data!$L$2:$L$497,MATCH(N690,Data!$A$2:$A$497,1))/INDEX(Data!$L$2:$L$497,MATCH(N678,Data!$A$2:$A$497,1))),"")</f>
        <v>0.0437919601788893</v>
      </c>
    </row>
    <row r="691">
      <c r="N691" s="337" t="n">
        <v>45747</v>
      </c>
      <c r="O691" s="116">
        <f>INDEX('Additional data'!$B$2:$B$965,MATCH(DATE(YEAR(N691),MONTH(N691),1),'Additional data'!$A$2:$A$965,0))</f>
        <v>68.24</v>
      </c>
      <c r="P691" s="489">
        <f>LN(O691)</f>
        <v>4.22303090318342</v>
      </c>
      <c r="Q691" s="489">
        <f>Q690+LN(1+INDEX('Additional data'!$H$2:$H$1196,MATCH(N691,'Additional data'!$G$2:$G$1196,1))+INDEX('Additional data'!$I$2:$I$1196,MATCH(N691,'Additional data'!$G$2:$G$1196,1)))</f>
        <v>5.6701252397135</v>
      </c>
      <c r="R691" s="489">
        <f>LN(INDEX(Data!$B$2:$B$497,MATCH(N691,Data!$A$2:$A$497,1)))</f>
        <v>11.5476483709197</v>
      </c>
      <c r="S691" s="116">
        <f>IF(INDEX('Additional data'!$E$2:$E$699,MATCH(DATE(YEAR(N691),MONTH(N691),1),'Additional data'!$D$2:$D$699,0))=0,(INDEX('Additional data'!$E$2:$E$699,MATCH(DATE(YEAR(N691),MONTH(N691),1),'Additional data'!$D$2:$D$699,0)-1)+INDEX('Additional data'!$E$2:$E$699,MATCH(DATE(YEAR(N691),MONTH(N691),1),'Additional data'!$D$2:$D$699,0)+1))/2,INDEX('Additional data'!$E$2:$E$699,MATCH(DATE(YEAR(N691),MONTH(N691),1),'Additional data'!$D$2:$D$699,0)))</f>
        <v>4.12</v>
      </c>
      <c r="T691" s="425">
        <f>P691-P690</f>
        <v>-0.047086038936869</v>
      </c>
      <c r="U691" s="425">
        <f>Q691-Q690</f>
        <v>-0.0624074601286173</v>
      </c>
      <c r="V691" s="425">
        <f>R691-R690</f>
        <v>-0.0360031185144205</v>
      </c>
      <c r="W691" s="116">
        <f>S691-S690</f>
        <v>-0.0499999999999998</v>
      </c>
      <c r="X691" s="425">
        <f>P691-P679</f>
        <v>-0.174869080646748</v>
      </c>
      <c r="Y691" s="425">
        <f>Q691-Q679</f>
        <v>0.0732078277746888</v>
      </c>
      <c r="Z691" s="425">
        <f>R691-R679</f>
        <v>0.0217626163024818</v>
      </c>
      <c r="AA691" s="116">
        <f>S691-S679</f>
        <v>-0.23</v>
      </c>
      <c r="AB691" s="425">
        <f>P691-P631</f>
        <v>0.848519786783774</v>
      </c>
      <c r="AC691" s="425">
        <f>Q691-Q631</f>
        <v>0.840438779821083</v>
      </c>
      <c r="AD691" s="425">
        <f>R691-R631</f>
        <v>0.639239876906341</v>
      </c>
      <c r="AE691" s="235">
        <f>S691-S631</f>
        <v>3.59</v>
      </c>
      <c r="AG691" s="554">
        <f>N691</f>
        <v>45747.0</v>
      </c>
      <c r="AH691" s="435">
        <f>IFERROR(INDEX('RBA 5Y yield'!$B$5:$B$661,MATCH(N691,'RBA 5Y yield'!$A$5:$A$661,1))*100,"")</f>
        <v>3.905</v>
      </c>
      <c r="AI691" s="435">
        <f>IF(AND(ISNUMBER(AH691),ISNUMBER(AH690)),AH691-AH690,"")</f>
        <v>-0.0579999999999998</v>
      </c>
      <c r="AJ691" s="435">
        <f>IF(AND(ISNUMBER(AH691),ISNUMBER(AH679)),AH691-AH679,"")</f>
        <v>0.191</v>
      </c>
      <c r="AK691" s="435">
        <f>IF(AND(ISNUMBER(AH691),ISNUMBER(AH631)),AH691-AH631,"")</f>
        <v>3.405</v>
      </c>
      <c r="AL691" s="560">
        <f>IFERROR(LN(INDEX(Data!$B$2:$B$497,MATCH(N691,Data!$A$2:$A$497,1))/INDEX(Data!$B$2:$B$497,MATCH(N679,Data!$A$2:$A$497,1))),"")</f>
        <v>0.021762616302482</v>
      </c>
      <c r="AM691" s="560">
        <f>IFERROR(LN(INDEX(Data!$C$2:$C$497,MATCH(N691,Data!$A$2:$A$497,1))/INDEX(Data!$C$2:$C$497,MATCH(N679,Data!$A$2:$A$497,1))),"")</f>
        <v>0.117917492311925</v>
      </c>
      <c r="AN691" s="560">
        <f>IFERROR(LN(INDEX(Data!$D$2:$D$497,MATCH(N691,Data!$A$2:$A$497,1))/INDEX(Data!$D$2:$D$497,MATCH(N679,Data!$A$2:$A$497,1))),"")</f>
        <v>0.156544658933072</v>
      </c>
      <c r="AO691" s="560">
        <f>IFERROR(LN(INDEX(Data!$E$2:$E$497,MATCH(N691,Data!$A$2:$A$497,1))/INDEX(Data!$E$2:$E$497,MATCH(N679,Data!$A$2:$A$497,1))),"")</f>
        <v>0.113381201109698</v>
      </c>
      <c r="AP691" s="560">
        <f>IFERROR(LN(INDEX(Data!$F$2:$F$497,MATCH(N691,Data!$A$2:$A$497,1))/INDEX(Data!$F$2:$F$497,MATCH(N679,Data!$A$2:$A$497,1))),"")</f>
        <v>0.0834351127611813</v>
      </c>
      <c r="AQ691" s="560">
        <f>IFERROR(LN(INDEX(Data!$G$2:$G$497,MATCH(N691,Data!$A$2:$A$497,1))/INDEX(Data!$G$2:$G$497,MATCH(N679,Data!$A$2:$A$497,1))),"")</f>
        <v>0.0159661009816746</v>
      </c>
      <c r="AR691" s="560">
        <f>IFERROR(LN(INDEX(Data!$H$2:$H$497,MATCH(N691,Data!$A$2:$A$497,1))/INDEX(Data!$H$2:$H$497,MATCH(N679,Data!$A$2:$A$497,1))),"")</f>
        <v>0.0685542290884118</v>
      </c>
      <c r="AS691" s="560">
        <f>IFERROR(LN(INDEX(Data!$I$2:$I$497,MATCH(N691,Data!$A$2:$A$497,1))/INDEX(Data!$I$2:$I$497,MATCH(N679,Data!$A$2:$A$497,1))),"")</f>
        <v>0.0525193433093407</v>
      </c>
      <c r="AT691" s="560">
        <f>IFERROR(LN(INDEX(Data!$J$2:$J$497,MATCH(N691,Data!$A$2:$A$497,1))/INDEX(Data!$J$2:$J$497,MATCH(N679,Data!$A$2:$A$497,1))),"")</f>
        <v>0.0309671001668747</v>
      </c>
      <c r="AU691" s="560">
        <f>IFERROR(LN(INDEX(Data!$K$2:$K$497,MATCH(N691,Data!$A$2:$A$497,1))/INDEX(Data!$K$2:$K$497,MATCH(N679,Data!$A$2:$A$497,1))),"")</f>
        <v>0.0222401109696054</v>
      </c>
      <c r="AV691" s="561">
        <f>IFERROR(LN(INDEX(Data!$L$2:$L$497,MATCH(N691,Data!$A$2:$A$497,1))/INDEX(Data!$L$2:$L$497,MATCH(N679,Data!$A$2:$A$497,1))),"")</f>
        <v>0.043591485215521</v>
      </c>
    </row>
    <row r="692">
      <c r="N692" s="337" t="n">
        <v>45777</v>
      </c>
      <c r="O692" s="116">
        <f>INDEX('Additional data'!$B$2:$B$965,MATCH(DATE(YEAR(N692),MONTH(N692),1),'Additional data'!$A$2:$A$965,0))</f>
        <v>63.54</v>
      </c>
      <c r="P692" s="489">
        <f>LN(O692)</f>
        <v>4.15166962884137</v>
      </c>
      <c r="Q692" s="489">
        <f>Q691+LN(1+INDEX('Additional data'!$H$2:$H$1196,MATCH(N692,'Additional data'!$G$2:$G$1196,1))+INDEX('Additional data'!$I$2:$I$1196,MATCH(N692,'Additional data'!$G$2:$G$1196,1)))</f>
        <v>5.66521319535248</v>
      </c>
      <c r="R692" s="489">
        <f>LN(INDEX(Data!$B$2:$B$497,MATCH(N692,Data!$A$2:$A$497,1)))</f>
        <v>11.5830070552683</v>
      </c>
      <c r="S692" s="116">
        <f>IF(INDEX('Additional data'!$E$2:$E$699,MATCH(DATE(YEAR(N692),MONTH(N692),1),'Additional data'!$D$2:$D$699,0))=0,(INDEX('Additional data'!$E$2:$E$699,MATCH(DATE(YEAR(N692),MONTH(N692),1),'Additional data'!$D$2:$D$699,0)-1)+INDEX('Additional data'!$E$2:$E$699,MATCH(DATE(YEAR(N692),MONTH(N692),1),'Additional data'!$D$2:$D$699,0)+1))/2,INDEX('Additional data'!$E$2:$E$699,MATCH(DATE(YEAR(N692),MONTH(N692),1),'Additional data'!$D$2:$D$699,0)))</f>
        <v>4.02</v>
      </c>
      <c r="T692" s="425">
        <f>P692-P691</f>
        <v>-0.0713612743420535</v>
      </c>
      <c r="U692" s="425">
        <f>Q692-Q691</f>
        <v>-0.00491204436102066</v>
      </c>
      <c r="V692" s="425">
        <f>R692-R691</f>
        <v>0.0353586843486688</v>
      </c>
      <c r="W692" s="116">
        <f>S692-S691</f>
        <v>-0.100000000000001</v>
      </c>
      <c r="X692" s="425">
        <f>P692-P680</f>
        <v>-0.295090820399079</v>
      </c>
      <c r="Y692" s="425">
        <f>Q692-Q680</f>
        <v>0.110994537946784</v>
      </c>
      <c r="Z692" s="425">
        <f>R692-R680</f>
        <v>0.0844699682881096</v>
      </c>
      <c r="AA692" s="116">
        <f>S692-S680</f>
        <v>-0.350000000000001</v>
      </c>
      <c r="AB692" s="425">
        <f>P692-P632</f>
        <v>1.3452835270183</v>
      </c>
      <c r="AC692" s="425">
        <f>Q692-Q632</f>
        <v>0.708013415161103</v>
      </c>
      <c r="AD692" s="425">
        <f>R692-R632</f>
        <v>0.583457862398772</v>
      </c>
      <c r="AE692" s="235">
        <f>S692-S632</f>
        <v>3.85</v>
      </c>
      <c r="AG692" s="554">
        <f>N692</f>
        <v>45777.0</v>
      </c>
      <c r="AH692" s="435">
        <f>IFERROR(INDEX('RBA 5Y yield'!$B$5:$B$661,MATCH(N692,'RBA 5Y yield'!$A$5:$A$661,1))*100,"")</f>
        <v>3.6</v>
      </c>
      <c r="AI692" s="435">
        <f>IF(AND(ISNUMBER(AH692),ISNUMBER(AH691)),AH692-AH691,"")</f>
        <v>-0.305000000000001</v>
      </c>
      <c r="AJ692" s="435">
        <f>IF(AND(ISNUMBER(AH692),ISNUMBER(AH680)),AH692-AH680,"")</f>
        <v>-0.317000000000001</v>
      </c>
      <c r="AK692" s="435">
        <f>IF(AND(ISNUMBER(AH692),ISNUMBER(AH632)),AH692-AH632,"")</f>
        <v>3.179</v>
      </c>
      <c r="AL692" s="560">
        <f>IFERROR(LN(INDEX(Data!$B$2:$B$497,MATCH(N692,Data!$A$2:$A$497,1))/INDEX(Data!$B$2:$B$497,MATCH(N680,Data!$A$2:$A$497,1))),"")</f>
        <v>0.0844699682881105</v>
      </c>
      <c r="AM692" s="560">
        <f>IFERROR(LN(INDEX(Data!$C$2:$C$497,MATCH(N692,Data!$A$2:$A$497,1))/INDEX(Data!$C$2:$C$497,MATCH(N680,Data!$A$2:$A$497,1))),"")</f>
        <v>0.115932142002369</v>
      </c>
      <c r="AN692" s="560">
        <f>IFERROR(LN(INDEX(Data!$D$2:$D$497,MATCH(N692,Data!$A$2:$A$497,1))/INDEX(Data!$D$2:$D$497,MATCH(N680,Data!$A$2:$A$497,1))),"")</f>
        <v>0.109434912651612</v>
      </c>
      <c r="AO692" s="560">
        <f>IFERROR(LN(INDEX(Data!$E$2:$E$497,MATCH(N692,Data!$A$2:$A$497,1))/INDEX(Data!$E$2:$E$497,MATCH(N680,Data!$A$2:$A$497,1))),"")</f>
        <v>0.130464186267178</v>
      </c>
      <c r="AP692" s="560">
        <f>IFERROR(LN(INDEX(Data!$F$2:$F$497,MATCH(N692,Data!$A$2:$A$497,1))/INDEX(Data!$F$2:$F$497,MATCH(N680,Data!$A$2:$A$497,1))),"")</f>
        <v>-0.0473456590392662</v>
      </c>
      <c r="AQ692" s="560">
        <f>IFERROR(LN(INDEX(Data!$G$2:$G$497,MATCH(N692,Data!$A$2:$A$497,1))/INDEX(Data!$G$2:$G$497,MATCH(N680,Data!$A$2:$A$497,1))),"")</f>
        <v>0.0159661009816746</v>
      </c>
      <c r="AR692" s="560">
        <f>IFERROR(LN(INDEX(Data!$H$2:$H$497,MATCH(N692,Data!$A$2:$A$497,1))/INDEX(Data!$H$2:$H$497,MATCH(N680,Data!$A$2:$A$497,1))),"")</f>
        <v>0.046487202246906</v>
      </c>
      <c r="AS692" s="560">
        <f>IFERROR(LN(INDEX(Data!$I$2:$I$497,MATCH(N692,Data!$A$2:$A$497,1))/INDEX(Data!$I$2:$I$497,MATCH(N680,Data!$A$2:$A$497,1))),"")</f>
        <v>0.0525193433093407</v>
      </c>
      <c r="AT692" s="560">
        <f>IFERROR(LN(INDEX(Data!$J$2:$J$497,MATCH(N692,Data!$A$2:$A$497,1))/INDEX(Data!$J$2:$J$497,MATCH(N680,Data!$A$2:$A$497,1))),"")</f>
        <v>0.0690310439246208</v>
      </c>
      <c r="AU692" s="560">
        <f>IFERROR(LN(INDEX(Data!$K$2:$K$497,MATCH(N692,Data!$A$2:$A$497,1))/INDEX(Data!$K$2:$K$497,MATCH(N680,Data!$A$2:$A$497,1))),"")</f>
        <v>0.0453667615850538</v>
      </c>
      <c r="AV692" s="561">
        <f>IFERROR(LN(INDEX(Data!$L$2:$L$497,MATCH(N692,Data!$A$2:$A$497,1))/INDEX(Data!$L$2:$L$497,MATCH(N680,Data!$A$2:$A$497,1))),"")</f>
        <v>0.0435978035399009</v>
      </c>
    </row>
    <row r="693">
      <c r="N693" s="337" t="n">
        <v>45808</v>
      </c>
      <c r="O693" s="116">
        <f>INDEX('Additional data'!$B$2:$B$965,MATCH(DATE(YEAR(N693),MONTH(N693),1),'Additional data'!$A$2:$A$965,0))</f>
        <v>62.17</v>
      </c>
      <c r="P693" s="489">
        <f>LN(O693)</f>
        <v>4.12987256828125</v>
      </c>
      <c r="Q693" s="489">
        <f>Q692+LN(1+INDEX('Additional data'!$H$2:$H$1196,MATCH(N693,'Additional data'!$G$2:$G$1196,1))+INDEX('Additional data'!$I$2:$I$1196,MATCH(N693,'Additional data'!$G$2:$G$1196,1)))</f>
        <v>5.72762445547387</v>
      </c>
      <c r="R693" s="489">
        <f>LN(INDEX(Data!$B$2:$B$497,MATCH(N693,Data!$A$2:$A$497,1)))</f>
        <v>11.6241379881946</v>
      </c>
      <c r="S693" s="116">
        <f>IF(INDEX('Additional data'!$E$2:$E$699,MATCH(DATE(YEAR(N693),MONTH(N693),1),'Additional data'!$D$2:$D$699,0))=0,(INDEX('Additional data'!$E$2:$E$699,MATCH(DATE(YEAR(N693),MONTH(N693),1),'Additional data'!$D$2:$D$699,0)-1)+INDEX('Additional data'!$E$2:$E$699,MATCH(DATE(YEAR(N693),MONTH(N693),1),'Additional data'!$D$2:$D$699,0)+1))/2,INDEX('Additional data'!$E$2:$E$699,MATCH(DATE(YEAR(N693),MONTH(N693),1),'Additional data'!$D$2:$D$699,0)))</f>
        <v>3.78</v>
      </c>
      <c r="T693" s="425">
        <f>P693-P692</f>
        <v>-0.0217970605601243</v>
      </c>
      <c r="U693" s="425">
        <f>Q693-Q692</f>
        <v>0.0624112601213973</v>
      </c>
      <c r="V693" s="425">
        <f>R693-R692</f>
        <v>0.0411309329262668</v>
      </c>
      <c r="W693" s="116">
        <f>S693-S692</f>
        <v>-0.24</v>
      </c>
      <c r="X693" s="425">
        <f>P693-P681</f>
        <v>-0.252404035147843</v>
      </c>
      <c r="Y693" s="425">
        <f>Q693-Q681</f>
        <v>0.126808512691399</v>
      </c>
      <c r="Z693" s="425">
        <f>R693-R681</f>
        <v>0.116917528711951</v>
      </c>
      <c r="AA693" s="116">
        <f>S693-S681</f>
        <v>-0.580000000000001</v>
      </c>
      <c r="AB693" s="425">
        <f>P693-P633</f>
        <v>0.777865430809862</v>
      </c>
      <c r="AC693" s="425">
        <f>Q693-Q633</f>
        <v>0.716125901875121</v>
      </c>
      <c r="AD693" s="425">
        <f>R693-R633</f>
        <v>0.575444516171828</v>
      </c>
      <c r="AE693" s="235">
        <f>S693-S633</f>
        <v>3.68</v>
      </c>
      <c r="AG693" s="554">
        <f>N693</f>
        <v>45808.0</v>
      </c>
      <c r="AH693" s="435">
        <f>IFERROR(INDEX('RBA 5Y yield'!$B$5:$B$661,MATCH(N693,'RBA 5Y yield'!$A$5:$A$661,1))*100,"")</f>
        <v>3.668</v>
      </c>
      <c r="AI693" s="435">
        <f>IF(AND(ISNUMBER(AH693),ISNUMBER(AH692)),AH693-AH692,"")</f>
        <v>0.0680000000000001</v>
      </c>
      <c r="AJ693" s="435">
        <f>IF(AND(ISNUMBER(AH693),ISNUMBER(AH681)),AH693-AH681,"")</f>
        <v>-0.352</v>
      </c>
      <c r="AK693" s="435">
        <f>IF(AND(ISNUMBER(AH693),ISNUMBER(AH633)),AH693-AH633,"")</f>
        <v>3.273</v>
      </c>
      <c r="AL693" s="560">
        <f>IFERROR(LN(INDEX(Data!$B$2:$B$497,MATCH(N693,Data!$A$2:$A$497,1))/INDEX(Data!$B$2:$B$497,MATCH(N681,Data!$A$2:$A$497,1))),"")</f>
        <v>0.116917528711951</v>
      </c>
      <c r="AM693" s="560">
        <f>IFERROR(LN(INDEX(Data!$C$2:$C$497,MATCH(N693,Data!$A$2:$A$497,1))/INDEX(Data!$C$2:$C$497,MATCH(N681,Data!$A$2:$A$497,1))),"")</f>
        <v>0.151787514603726</v>
      </c>
      <c r="AN693" s="560">
        <f>IFERROR(LN(INDEX(Data!$D$2:$D$497,MATCH(N693,Data!$A$2:$A$497,1))/INDEX(Data!$D$2:$D$497,MATCH(N681,Data!$A$2:$A$497,1))),"")</f>
        <v>0.153707014385232</v>
      </c>
      <c r="AO693" s="560">
        <f>IFERROR(LN(INDEX(Data!$E$2:$E$497,MATCH(N693,Data!$A$2:$A$497,1))/INDEX(Data!$E$2:$E$497,MATCH(N681,Data!$A$2:$A$497,1))),"")</f>
        <v>0.139447525986158</v>
      </c>
      <c r="AP693" s="560">
        <f>IFERROR(LN(INDEX(Data!$F$2:$F$497,MATCH(N693,Data!$A$2:$A$497,1))/INDEX(Data!$F$2:$F$497,MATCH(N681,Data!$A$2:$A$497,1))),"")</f>
        <v>0.00575524994247713</v>
      </c>
      <c r="AQ693" s="560">
        <f>IFERROR(LN(INDEX(Data!$G$2:$G$497,MATCH(N693,Data!$A$2:$A$497,1))/INDEX(Data!$G$2:$G$497,MATCH(N681,Data!$A$2:$A$497,1))),"")</f>
        <v>0.0159661009816746</v>
      </c>
      <c r="AR693" s="560">
        <f>IFERROR(LN(INDEX(Data!$H$2:$H$497,MATCH(N693,Data!$A$2:$A$497,1))/INDEX(Data!$H$2:$H$497,MATCH(N681,Data!$A$2:$A$497,1))),"")</f>
        <v>0.0946090990662677</v>
      </c>
      <c r="AS693" s="560">
        <f>IFERROR(LN(INDEX(Data!$I$2:$I$497,MATCH(N693,Data!$A$2:$A$497,1))/INDEX(Data!$I$2:$I$497,MATCH(N681,Data!$A$2:$A$497,1))),"")</f>
        <v>0.0525193433093407</v>
      </c>
      <c r="AT693" s="560">
        <f>IFERROR(LN(INDEX(Data!$J$2:$J$497,MATCH(N693,Data!$A$2:$A$497,1))/INDEX(Data!$J$2:$J$497,MATCH(N681,Data!$A$2:$A$497,1))),"")</f>
        <v>0.0656508333995562</v>
      </c>
      <c r="AU693" s="560">
        <f>IFERROR(LN(INDEX(Data!$K$2:$K$497,MATCH(N693,Data!$A$2:$A$497,1))/INDEX(Data!$K$2:$K$497,MATCH(N681,Data!$A$2:$A$497,1))),"")</f>
        <v>0.0433923814036705</v>
      </c>
      <c r="AV693" s="561">
        <f>IFERROR(LN(INDEX(Data!$L$2:$L$497,MATCH(N693,Data!$A$2:$A$497,1))/INDEX(Data!$L$2:$L$497,MATCH(N681,Data!$A$2:$A$497,1))),"")</f>
        <v>0.043262769318714</v>
      </c>
    </row>
    <row r="694">
      <c r="N694" s="337" t="n">
        <v>45838</v>
      </c>
      <c r="O694" s="116">
        <f>INDEX('Additional data'!$B$2:$B$965,MATCH(DATE(YEAR(N694),MONTH(N694),1),'Additional data'!$A$2:$A$965,0))</f>
        <v>68.17</v>
      </c>
      <c r="P694" s="489">
        <f>LN(O694)</f>
        <v>4.22200458537469</v>
      </c>
      <c r="Q694" s="489">
        <f>Q693+LN(1+INDEX('Additional data'!$H$2:$H$1196,MATCH(N694,'Additional data'!$G$2:$G$1196,1))+INDEX('Additional data'!$I$2:$I$1196,MATCH(N694,'Additional data'!$G$2:$G$1196,1)))</f>
        <v>5.77831756978939</v>
      </c>
      <c r="R694" s="489">
        <f>LN(INDEX(Data!$B$2:$B$497,MATCH(N694,Data!$A$2:$A$497,1)))</f>
        <v>11.6384340386164</v>
      </c>
      <c r="S694" s="116">
        <f>IF(INDEX('Additional data'!$E$2:$E$699,MATCH(DATE(YEAR(N694),MONTH(N694),1),'Additional data'!$D$2:$D$699,0))=0,(INDEX('Additional data'!$E$2:$E$699,MATCH(DATE(YEAR(N694),MONTH(N694),1),'Additional data'!$D$2:$D$699,0)-1)+INDEX('Additional data'!$E$2:$E$699,MATCH(DATE(YEAR(N694),MONTH(N694),1),'Additional data'!$D$2:$D$699,0)+1))/2,INDEX('Additional data'!$E$2:$E$699,MATCH(DATE(YEAR(N694),MONTH(N694),1),'Additional data'!$D$2:$D$699,0)))</f>
        <v>3.69</v>
      </c>
      <c r="T694" s="425">
        <f>P694-P693</f>
        <v>0.0921320170934479</v>
      </c>
      <c r="U694" s="425">
        <f>Q694-Q693</f>
        <v>0.0506931143155178</v>
      </c>
      <c r="V694" s="425">
        <f>R694-R693</f>
        <v>0.0142960504218266</v>
      </c>
      <c r="W694" s="116">
        <f>S694-S693</f>
        <v>-0.0899999999999999</v>
      </c>
      <c r="X694" s="425">
        <f>P694-P682</f>
        <v>-0.157142908548344</v>
      </c>
      <c r="Y694" s="425">
        <f>Q694-Q682</f>
        <v>0.145906065417166</v>
      </c>
      <c r="Z694" s="425">
        <f>R694-R682</f>
        <v>0.124258745274263</v>
      </c>
      <c r="AA694" s="116">
        <f>S694-S682</f>
        <v>-0.7</v>
      </c>
      <c r="AB694" s="425">
        <f>P694-P634</f>
        <v>0.576293626662136</v>
      </c>
      <c r="AC694" s="425">
        <f>Q694-Q634</f>
        <v>0.742516723667674</v>
      </c>
      <c r="AD694" s="425">
        <f>R694-R634</f>
        <v>0.566626637092409</v>
      </c>
      <c r="AE694" s="235">
        <f>S694-S634</f>
        <v>3.59</v>
      </c>
      <c r="AG694" s="554">
        <f>N694</f>
        <v>45838.0</v>
      </c>
      <c r="AH694" s="435">
        <f>IFERROR(INDEX('RBA 5Y yield'!$B$5:$B$661,MATCH(N694,'RBA 5Y yield'!$A$5:$A$661,1))*100,"")</f>
        <v>3.523</v>
      </c>
      <c r="AI694" s="435">
        <f>IF(AND(ISNUMBER(AH694),ISNUMBER(AH693)),AH694-AH693,"")</f>
        <v>-0.145</v>
      </c>
      <c r="AJ694" s="435">
        <f>IF(AND(ISNUMBER(AH694),ISNUMBER(AH682)),AH694-AH682,"")</f>
        <v>-0.453</v>
      </c>
      <c r="AK694" s="435">
        <f>IF(AND(ISNUMBER(AH694),ISNUMBER(AH634)),AH694-AH634,"")</f>
        <v>3.12</v>
      </c>
      <c r="AL694" s="560">
        <f>IFERROR(LN(INDEX(Data!$B$2:$B$497,MATCH(N694,Data!$A$2:$A$497,1))/INDEX(Data!$B$2:$B$497,MATCH(N682,Data!$A$2:$A$497,1))),"")</f>
        <v>0.124258745274262</v>
      </c>
      <c r="AM694" s="560">
        <f>IFERROR(LN(INDEX(Data!$C$2:$C$497,MATCH(N694,Data!$A$2:$A$497,1))/INDEX(Data!$C$2:$C$497,MATCH(N682,Data!$A$2:$A$497,1))),"")</f>
        <v>0.151919338592333</v>
      </c>
      <c r="AN694" s="560">
        <f>IFERROR(LN(INDEX(Data!$D$2:$D$497,MATCH(N694,Data!$A$2:$A$497,1))/INDEX(Data!$D$2:$D$497,MATCH(N682,Data!$A$2:$A$497,1))),"")</f>
        <v>0.14626657928456</v>
      </c>
      <c r="AO694" s="560">
        <f>IFERROR(LN(INDEX(Data!$E$2:$E$497,MATCH(N694,Data!$A$2:$A$497,1))/INDEX(Data!$E$2:$E$497,MATCH(N682,Data!$A$2:$A$497,1))),"")</f>
        <v>0.111077523015192</v>
      </c>
      <c r="AP694" s="560">
        <f>IFERROR(LN(INDEX(Data!$F$2:$F$497,MATCH(N694,Data!$A$2:$A$497,1))/INDEX(Data!$F$2:$F$497,MATCH(N682,Data!$A$2:$A$497,1))),"")</f>
        <v>0.0214360018354958</v>
      </c>
      <c r="AQ694" s="560">
        <f>IFERROR(LN(INDEX(Data!$G$2:$G$497,MATCH(N694,Data!$A$2:$A$497,1))/INDEX(Data!$G$2:$G$497,MATCH(N682,Data!$A$2:$A$497,1))),"")</f>
        <v>0.0189526636794237</v>
      </c>
      <c r="AR694" s="560">
        <f>IFERROR(LN(INDEX(Data!$H$2:$H$497,MATCH(N694,Data!$A$2:$A$497,1))/INDEX(Data!$H$2:$H$497,MATCH(N682,Data!$A$2:$A$497,1))),"")</f>
        <v>0.11411828267706</v>
      </c>
      <c r="AS694" s="560">
        <f>IFERROR(LN(INDEX(Data!$I$2:$I$497,MATCH(N694,Data!$A$2:$A$497,1))/INDEX(Data!$I$2:$I$497,MATCH(N682,Data!$A$2:$A$497,1))),"")</f>
        <v>0.133385961673204</v>
      </c>
      <c r="AT694" s="560">
        <f>IFERROR(LN(INDEX(Data!$J$2:$J$497,MATCH(N694,Data!$A$2:$A$497,1))/INDEX(Data!$J$2:$J$497,MATCH(N682,Data!$A$2:$A$497,1))),"")</f>
        <v>0.0668316788871114</v>
      </c>
      <c r="AU694" s="560">
        <f>IFERROR(LN(INDEX(Data!$K$2:$K$497,MATCH(N694,Data!$A$2:$A$497,1))/INDEX(Data!$K$2:$K$497,MATCH(N682,Data!$A$2:$A$497,1))),"")</f>
        <v>0.0387687108023541</v>
      </c>
      <c r="AV694" s="561">
        <f>IFERROR(LN(INDEX(Data!$L$2:$L$497,MATCH(N694,Data!$A$2:$A$497,1))/INDEX(Data!$L$2:$L$497,MATCH(N682,Data!$A$2:$A$497,1))),"")</f>
        <v>0.0429527041393925</v>
      </c>
    </row>
    <row r="695">
      <c r="N695" s="337" t="n">
        <v>45869</v>
      </c>
      <c r="O695" s="116">
        <f>INDEX('Additional data'!$B$2:$B$965,MATCH(DATE(YEAR(N695),MONTH(N695),1),'Additional data'!$A$2:$A$965,0))</f>
        <v>68.39</v>
      </c>
      <c r="P695" s="489">
        <f>LN(O695)</f>
        <v>4.22522661511001</v>
      </c>
      <c r="Q695" s="489">
        <f>Q694+LN(1+INDEX('Additional data'!$H$2:$H$1196,MATCH(N695,'Additional data'!$G$2:$G$1196,1))+INDEX('Additional data'!$I$2:$I$1196,MATCH(N695,'Additional data'!$G$2:$G$1196,1)))</f>
        <v>5.80125254107189</v>
      </c>
      <c r="R695" s="489">
        <f>LN(INDEX(Data!$B$2:$B$497,MATCH(N695,Data!$A$2:$A$497,1)))</f>
        <v>11.6639985159549</v>
      </c>
      <c r="S695" s="116">
        <f>IF(INDEX('Additional data'!$E$2:$E$699,MATCH(DATE(YEAR(N695),MONTH(N695),1),'Additional data'!$D$2:$D$699,0))=0,(INDEX('Additional data'!$E$2:$E$699,MATCH(DATE(YEAR(N695),MONTH(N695),1),'Additional data'!$D$2:$D$699,0)-1)+INDEX('Additional data'!$E$2:$E$699,MATCH(DATE(YEAR(N695),MONTH(N695),1),'Additional data'!$D$2:$D$699,0)+1))/2,INDEX('Additional data'!$E$2:$E$699,MATCH(DATE(YEAR(N695),MONTH(N695),1),'Additional data'!$D$2:$D$699,0)))</f>
        <v>3.68</v>
      </c>
      <c r="T695" s="425">
        <f>P695-P694</f>
        <v>0.00322202973531116</v>
      </c>
      <c r="U695" s="425">
        <f>Q695-Q694</f>
        <v>0.0229349712824956</v>
      </c>
      <c r="V695" s="425">
        <f>R695-R694</f>
        <v>0.0255644773384986</v>
      </c>
      <c r="W695" s="116">
        <f>S695-S694</f>
        <v>-0.00999999999999979</v>
      </c>
      <c r="X695" s="425">
        <f>P695-P683</f>
        <v>-0.179050628498697</v>
      </c>
      <c r="Y695" s="425">
        <f>Q695-Q683</f>
        <v>0.152278948400683</v>
      </c>
      <c r="Z695" s="425">
        <f>R695-R683</f>
        <v>0.112134550185669</v>
      </c>
      <c r="AA695" s="116">
        <f>S695-S683</f>
        <v>-0.78</v>
      </c>
      <c r="AB695" s="425">
        <f>P695-P635</f>
        <v>0.518752852595117</v>
      </c>
      <c r="AC695" s="425">
        <f>Q695-Q635</f>
        <v>0.708693361131561</v>
      </c>
      <c r="AD695" s="425">
        <f>R695-R635</f>
        <v>0.582753209389635</v>
      </c>
      <c r="AE695" s="235">
        <f>S695-S635</f>
        <v>3.58</v>
      </c>
      <c r="AG695" s="554">
        <f>N695</f>
        <v>45869.0</v>
      </c>
      <c r="AH695" s="435">
        <f>IFERROR(INDEX('RBA 5Y yield'!$B$5:$B$661,MATCH(N695,'RBA 5Y yield'!$A$5:$A$661,1))*100,"")</f>
        <v>3.604</v>
      </c>
      <c r="AI695" s="435">
        <f>IF(AND(ISNUMBER(AH695),ISNUMBER(AH694)),AH695-AH694,"")</f>
        <v>0.0810000000000004</v>
      </c>
      <c r="AJ695" s="435">
        <f>IF(AND(ISNUMBER(AH695),ISNUMBER(AH683)),AH695-AH683,"")</f>
        <v>-0.451000000000001</v>
      </c>
      <c r="AK695" s="435">
        <f>IF(AND(ISNUMBER(AH695),ISNUMBER(AH635)),AH695-AH635,"")</f>
        <v>3.179</v>
      </c>
      <c r="AL695" s="560">
        <f>IFERROR(LN(INDEX(Data!$B$2:$B$497,MATCH(N695,Data!$A$2:$A$497,1))/INDEX(Data!$B$2:$B$497,MATCH(N683,Data!$A$2:$A$497,1))),"")</f>
        <v>0.112134550185669</v>
      </c>
      <c r="AM695" s="560">
        <f>IFERROR(LN(INDEX(Data!$C$2:$C$497,MATCH(N695,Data!$A$2:$A$497,1))/INDEX(Data!$C$2:$C$497,MATCH(N683,Data!$A$2:$A$497,1))),"")</f>
        <v>0.154793316616585</v>
      </c>
      <c r="AN695" s="560">
        <f>IFERROR(LN(INDEX(Data!$D$2:$D$497,MATCH(N695,Data!$A$2:$A$497,1))/INDEX(Data!$D$2:$D$497,MATCH(N683,Data!$A$2:$A$497,1))),"")</f>
        <v>0.168605786194309</v>
      </c>
      <c r="AO695" s="560">
        <f>IFERROR(LN(INDEX(Data!$E$2:$E$497,MATCH(N695,Data!$A$2:$A$497,1))/INDEX(Data!$E$2:$E$497,MATCH(N683,Data!$A$2:$A$497,1))),"")</f>
        <v>0.0514228693989669</v>
      </c>
      <c r="AP695" s="560">
        <f>IFERROR(LN(INDEX(Data!$F$2:$F$497,MATCH(N695,Data!$A$2:$A$497,1))/INDEX(Data!$F$2:$F$497,MATCH(N683,Data!$A$2:$A$497,1))),"")</f>
        <v>0.0880327736571561</v>
      </c>
      <c r="AQ695" s="560">
        <f>IFERROR(LN(INDEX(Data!$G$2:$G$497,MATCH(N695,Data!$A$2:$A$497,1))/INDEX(Data!$G$2:$G$497,MATCH(N683,Data!$A$2:$A$497,1))),"")</f>
        <v>0.0189526636794237</v>
      </c>
      <c r="AR695" s="560">
        <f>IFERROR(LN(INDEX(Data!$H$2:$H$497,MATCH(N695,Data!$A$2:$A$497,1))/INDEX(Data!$H$2:$H$497,MATCH(N683,Data!$A$2:$A$497,1))),"")</f>
        <v>0.125991158697065</v>
      </c>
      <c r="AS695" s="560">
        <f>IFERROR(LN(INDEX(Data!$I$2:$I$497,MATCH(N695,Data!$A$2:$A$497,1))/INDEX(Data!$I$2:$I$497,MATCH(N683,Data!$A$2:$A$497,1))),"")</f>
        <v>0.133385961673204</v>
      </c>
      <c r="AT695" s="560">
        <f>IFERROR(LN(INDEX(Data!$J$2:$J$497,MATCH(N695,Data!$A$2:$A$497,1))/INDEX(Data!$J$2:$J$497,MATCH(N683,Data!$A$2:$A$497,1))),"")</f>
        <v>0.0483885871195166</v>
      </c>
      <c r="AU695" s="560">
        <f>IFERROR(LN(INDEX(Data!$K$2:$K$497,MATCH(N695,Data!$A$2:$A$497,1))/INDEX(Data!$K$2:$K$497,MATCH(N683,Data!$A$2:$A$497,1))),"")</f>
        <v>0.0224528008861367</v>
      </c>
      <c r="AV695" s="561">
        <f>IFERROR(LN(INDEX(Data!$L$2:$L$497,MATCH(N695,Data!$A$2:$A$497,1))/INDEX(Data!$L$2:$L$497,MATCH(N683,Data!$A$2:$A$497,1))),"")</f>
        <v>0.0422392064249172</v>
      </c>
    </row>
    <row r="696">
      <c r="N696" s="337" t="n">
        <v>45900</v>
      </c>
      <c r="O696" s="116">
        <f>INDEX('Additional data'!$B$2:$B$965,MATCH(DATE(YEAR(N696),MONTH(N696),1),'Additional data'!$A$2:$A$965,0))</f>
        <v>64.86</v>
      </c>
      <c r="P696" s="489">
        <f>LN(O696)</f>
        <v>4.17223110087917</v>
      </c>
      <c r="Q696" s="489">
        <f>Q695+LN(1+INDEX('Additional data'!$H$2:$H$1196,MATCH(N696,'Additional data'!$G$2:$G$1196,1))+INDEX('Additional data'!$I$2:$I$1196,MATCH(N696,'Additional data'!$G$2:$G$1196,1)))</f>
        <v>5.82320970842393</v>
      </c>
      <c r="R696" s="489">
        <f>LN(INDEX(Data!$B$2:$B$497,MATCH(N696,Data!$A$2:$A$497,1)))</f>
        <v>11.6950466043038</v>
      </c>
      <c r="S696" s="116">
        <f>IF(INDEX('Additional data'!$E$2:$E$699,MATCH(DATE(YEAR(N696),MONTH(N696),1),'Additional data'!$D$2:$D$699,0))=0,(INDEX('Additional data'!$E$2:$E$699,MATCH(DATE(YEAR(N696),MONTH(N696),1),'Additional data'!$D$2:$D$699,0)-1)+INDEX('Additional data'!$E$2:$E$699,MATCH(DATE(YEAR(N696),MONTH(N696),1),'Additional data'!$D$2:$D$699,0)+1))/2,INDEX('Additional data'!$E$2:$E$699,MATCH(DATE(YEAR(N696),MONTH(N696),1),'Additional data'!$D$2:$D$699,0)))</f>
        <v>3.61</v>
      </c>
      <c r="T696" s="425">
        <f>P696-P695</f>
        <v>-0.0529955142308332</v>
      </c>
      <c r="U696" s="425">
        <f>Q696-Q695</f>
        <v>0.021957167352042</v>
      </c>
      <c r="V696" s="425">
        <f>R696-R695</f>
        <v>0.0310480883488644</v>
      </c>
      <c r="W696" s="116">
        <f>S696-S695</f>
        <v>-0.0700000000000003</v>
      </c>
      <c r="X696" s="425">
        <f>P696-P684</f>
        <v>-0.167409817298272</v>
      </c>
      <c r="Y696" s="425">
        <f>Q696-Q684</f>
        <v>0.153649482144337</v>
      </c>
      <c r="Z696" s="425">
        <f>R696-R684</f>
        <v>0.139172683231205</v>
      </c>
      <c r="AA696" s="116">
        <f>S696-S684</f>
        <v>-0.77</v>
      </c>
      <c r="AB696" s="425">
        <f>P696-P636</f>
        <v>0.426498835172453</v>
      </c>
      <c r="AC696" s="425">
        <f>Q696-Q636</f>
        <v>0.657121295195488</v>
      </c>
      <c r="AD696" s="425">
        <f>R696-R636</f>
        <v>0.577416906540414</v>
      </c>
      <c r="AE696" s="235">
        <f>S696-S636</f>
        <v>3.51</v>
      </c>
      <c r="AG696" s="554">
        <f>N696</f>
        <v>45900.0</v>
      </c>
      <c r="AH696" s="435">
        <f>IFERROR(INDEX('RBA 5Y yield'!$B$5:$B$661,MATCH(N696,'RBA 5Y yield'!$A$5:$A$661,1))*100,"")</f>
        <v>3.591</v>
      </c>
      <c r="AI696" s="435">
        <f>IF(AND(ISNUMBER(AH696),ISNUMBER(AH695)),AH696-AH695,"")</f>
        <v>-0.0130000000000003</v>
      </c>
      <c r="AJ696" s="435">
        <f>IF(AND(ISNUMBER(AH696),ISNUMBER(AH684)),AH696-AH684,"")</f>
        <v>-0.0490000000000004</v>
      </c>
      <c r="AK696" s="435">
        <f>IF(AND(ISNUMBER(AH696),ISNUMBER(AH636)),AH696-AH636,"")</f>
        <v>3.166</v>
      </c>
      <c r="AL696" s="560">
        <f>IFERROR(LN(INDEX(Data!$B$2:$B$497,MATCH(N696,Data!$A$2:$A$497,1))/INDEX(Data!$B$2:$B$497,MATCH(N684,Data!$A$2:$A$497,1))),"")</f>
        <v>0.139172683231205</v>
      </c>
      <c r="AM696" s="560">
        <f>IFERROR(LN(INDEX(Data!$C$2:$C$497,MATCH(N696,Data!$A$2:$A$497,1))/INDEX(Data!$C$2:$C$497,MATCH(N684,Data!$A$2:$A$497,1))),"")</f>
        <v>0.178561276210094</v>
      </c>
      <c r="AN696" s="560">
        <f>IFERROR(LN(INDEX(Data!$D$2:$D$497,MATCH(N696,Data!$A$2:$A$497,1))/INDEX(Data!$D$2:$D$497,MATCH(N684,Data!$A$2:$A$497,1))),"")</f>
        <v>0.201603173629044</v>
      </c>
      <c r="AO696" s="560">
        <f>IFERROR(LN(INDEX(Data!$E$2:$E$497,MATCH(N696,Data!$A$2:$A$497,1))/INDEX(Data!$E$2:$E$497,MATCH(N684,Data!$A$2:$A$497,1))),"")</f>
        <v>0.057532044788808</v>
      </c>
      <c r="AP696" s="560">
        <f>IFERROR(LN(INDEX(Data!$F$2:$F$497,MATCH(N696,Data!$A$2:$A$497,1))/INDEX(Data!$F$2:$F$497,MATCH(N684,Data!$A$2:$A$497,1))),"")</f>
        <v>0.125274011740541</v>
      </c>
      <c r="AQ696" s="560">
        <f>IFERROR(LN(INDEX(Data!$G$2:$G$497,MATCH(N696,Data!$A$2:$A$497,1))/INDEX(Data!$G$2:$G$497,MATCH(N684,Data!$A$2:$A$497,1))),"")</f>
        <v>0.0189526636794237</v>
      </c>
      <c r="AR696" s="560">
        <f>IFERROR(LN(INDEX(Data!$H$2:$H$497,MATCH(N696,Data!$A$2:$A$497,1))/INDEX(Data!$H$2:$H$497,MATCH(N684,Data!$A$2:$A$497,1))),"")</f>
        <v>0.125205800734422</v>
      </c>
      <c r="AS696" s="560">
        <f>IFERROR(LN(INDEX(Data!$I$2:$I$497,MATCH(N696,Data!$A$2:$A$497,1))/INDEX(Data!$I$2:$I$497,MATCH(N684,Data!$A$2:$A$497,1))),"")</f>
        <v>0.133385961673204</v>
      </c>
      <c r="AT696" s="560">
        <f>IFERROR(LN(INDEX(Data!$J$2:$J$497,MATCH(N696,Data!$A$2:$A$497,1))/INDEX(Data!$J$2:$J$497,MATCH(N684,Data!$A$2:$A$497,1))),"")</f>
        <v>0.0401767313161364</v>
      </c>
      <c r="AU696" s="560">
        <f>IFERROR(LN(INDEX(Data!$K$2:$K$497,MATCH(N696,Data!$A$2:$A$497,1))/INDEX(Data!$K$2:$K$497,MATCH(N684,Data!$A$2:$A$497,1))),"")</f>
        <v>0.0124302226384701</v>
      </c>
      <c r="AV696" s="561">
        <f>IFERROR(LN(INDEX(Data!$L$2:$L$497,MATCH(N696,Data!$A$2:$A$497,1))/INDEX(Data!$L$2:$L$497,MATCH(N684,Data!$A$2:$A$497,1))),"")</f>
        <v>0.0416496852056198</v>
      </c>
    </row>
    <row r="697">
      <c r="N697" s="337" t="n">
        <v>45930</v>
      </c>
      <c r="O697" s="116">
        <f>INDEX('Additional data'!$B$2:$B$965,MATCH(DATE(YEAR(N697),MONTH(N697),1),'Additional data'!$A$2:$A$965,0))</f>
        <v>63.96</v>
      </c>
      <c r="P697" s="489">
        <f>LN(O697)</f>
        <v>4.15825788796575</v>
      </c>
      <c r="Q697" s="489">
        <f>Q696+LN(1+INDEX('Additional data'!$H$2:$H$1196,MATCH(N697,'Additional data'!$G$2:$G$1196,1))+INDEX('Additional data'!$I$2:$I$1196,MATCH(N697,'Additional data'!$G$2:$G$1196,1)))</f>
        <v>5.8597344831063</v>
      </c>
      <c r="R697" s="489">
        <f>LN(INDEX(Data!$B$2:$B$497,MATCH(N697,Data!$A$2:$A$497,1)))</f>
        <v>11.6896237752849</v>
      </c>
      <c r="S697" s="116">
        <f>IF(INDEX('Additional data'!$E$2:$E$699,MATCH(DATE(YEAR(N697),MONTH(N697),1),'Additional data'!$D$2:$D$699,0))=0,(INDEX('Additional data'!$E$2:$E$699,MATCH(DATE(YEAR(N697),MONTH(N697),1),'Additional data'!$D$2:$D$699,0)-1)+INDEX('Additional data'!$E$2:$E$699,MATCH(DATE(YEAR(N697),MONTH(N697),1),'Additional data'!$D$2:$D$699,0)+1))/2,INDEX('Additional data'!$E$2:$E$699,MATCH(DATE(YEAR(N697),MONTH(N697),1),'Additional data'!$D$2:$D$699,0)))</f>
        <v>3.58</v>
      </c>
      <c r="T697" s="425">
        <f>P697-P696</f>
        <v>-0.0139732129134185</v>
      </c>
      <c r="U697" s="425">
        <f>Q697-Q696</f>
        <v>0.0365247746823725</v>
      </c>
      <c r="V697" s="425">
        <f>R697-R696</f>
        <v>-0.00542282901891689</v>
      </c>
      <c r="W697" s="116">
        <f>S697-S696</f>
        <v>-0.0299999999999998</v>
      </c>
      <c r="X697" s="425">
        <f>P697-P685</f>
        <v>-0.0936600613611081</v>
      </c>
      <c r="Y697" s="425">
        <f>Q697-Q685</f>
        <v>0.169195850441517</v>
      </c>
      <c r="Z697" s="425">
        <f>R697-R685</f>
        <v>0.099837632547489</v>
      </c>
      <c r="AA697" s="116">
        <f>S697-S685</f>
        <v>-0.84</v>
      </c>
      <c r="AB697" s="425">
        <f>P697-P637</f>
        <v>0.478671480763409</v>
      </c>
      <c r="AC697" s="425">
        <f>Q697-Q637</f>
        <v>0.730621306002756</v>
      </c>
      <c r="AD697" s="425">
        <f>R697-R637</f>
        <v>0.606866609991922</v>
      </c>
      <c r="AE697" s="235">
        <f>S697-S637</f>
        <v>3.49</v>
      </c>
      <c r="AG697" s="554">
        <f>N697</f>
        <v>45930.0</v>
      </c>
      <c r="AH697" s="435">
        <f>IFERROR(INDEX('RBA 5Y yield'!$B$5:$B$661,MATCH(N697,'RBA 5Y yield'!$A$5:$A$661,1))*100,"")</f>
        <v>3.654</v>
      </c>
      <c r="AI697" s="435">
        <f>IF(AND(ISNUMBER(AH697),ISNUMBER(AH696)),AH697-AH696,"")</f>
        <v>0.0630000000000006</v>
      </c>
      <c r="AJ697" s="435">
        <f>IF(AND(ISNUMBER(AH697),ISNUMBER(AH685)),AH697-AH685,"")</f>
        <v>0.0950000000000006</v>
      </c>
      <c r="AK697" s="435">
        <f>IF(AND(ISNUMBER(AH697),ISNUMBER(AH637)),AH697-AH637,"")</f>
        <v>3.261</v>
      </c>
      <c r="AL697" s="560">
        <f>IFERROR(LN(INDEX(Data!$B$2:$B$497,MATCH(N697,Data!$A$2:$A$497,1))/INDEX(Data!$B$2:$B$497,MATCH(N685,Data!$A$2:$A$497,1))),"")</f>
        <v>0.0998376325474889</v>
      </c>
      <c r="AM697" s="560">
        <f>IFERROR(LN(INDEX(Data!$C$2:$C$497,MATCH(N697,Data!$A$2:$A$497,1))/INDEX(Data!$C$2:$C$497,MATCH(N685,Data!$A$2:$A$497,1))),"")</f>
        <v>0.205139403886789</v>
      </c>
      <c r="AN697" s="560">
        <f>IFERROR(LN(INDEX(Data!$D$2:$D$497,MATCH(N697,Data!$A$2:$A$497,1))/INDEX(Data!$D$2:$D$497,MATCH(N685,Data!$A$2:$A$497,1))),"")</f>
        <v>0.225231999646625</v>
      </c>
      <c r="AO697" s="560">
        <f>IFERROR(LN(INDEX(Data!$E$2:$E$497,MATCH(N697,Data!$A$2:$A$497,1))/INDEX(Data!$E$2:$E$497,MATCH(N685,Data!$A$2:$A$497,1))),"")</f>
        <v>0.0480387801673321</v>
      </c>
      <c r="AP697" s="560">
        <f>IFERROR(LN(INDEX(Data!$F$2:$F$497,MATCH(N697,Data!$A$2:$A$497,1))/INDEX(Data!$F$2:$F$497,MATCH(N685,Data!$A$2:$A$497,1))),"")</f>
        <v>0.142245497085107</v>
      </c>
      <c r="AQ697" s="560">
        <f>IFERROR(LN(INDEX(Data!$G$2:$G$497,MATCH(N697,Data!$A$2:$A$497,1))/INDEX(Data!$G$2:$G$497,MATCH(N685,Data!$A$2:$A$497,1))),"")</f>
        <v>0.0363797718093856</v>
      </c>
      <c r="AR697" s="560">
        <f>IFERROR(LN(INDEX(Data!$H$2:$H$497,MATCH(N697,Data!$A$2:$A$497,1))/INDEX(Data!$H$2:$H$497,MATCH(N685,Data!$A$2:$A$497,1))),"")</f>
        <v>0.148079075774476</v>
      </c>
      <c r="AS697" s="560">
        <f>IFERROR(LN(INDEX(Data!$I$2:$I$497,MATCH(N697,Data!$A$2:$A$497,1))/INDEX(Data!$I$2:$I$497,MATCH(N685,Data!$A$2:$A$497,1))),"")</f>
        <v>0.0427559101144467</v>
      </c>
      <c r="AT697" s="560">
        <f>IFERROR(LN(INDEX(Data!$J$2:$J$497,MATCH(N697,Data!$A$2:$A$497,1))/INDEX(Data!$J$2:$J$497,MATCH(N685,Data!$A$2:$A$497,1))),"")</f>
        <v>0.0374392293176021</v>
      </c>
      <c r="AU697" s="560">
        <f>IFERROR(LN(INDEX(Data!$K$2:$K$497,MATCH(N697,Data!$A$2:$A$497,1))/INDEX(Data!$K$2:$K$497,MATCH(N685,Data!$A$2:$A$497,1))),"")</f>
        <v>0.00867560629338104</v>
      </c>
      <c r="AV697" s="561">
        <f>IFERROR(LN(INDEX(Data!$L$2:$L$497,MATCH(N697,Data!$A$2:$A$497,1))/INDEX(Data!$L$2:$L$497,MATCH(N685,Data!$A$2:$A$497,1))),"")</f>
        <v>0.0410047398389455</v>
      </c>
    </row>
    <row r="698">
      <c r="N698" s="337" t="n">
        <v>45961</v>
      </c>
      <c r="O698" s="116">
        <f>INDEX('Additional data'!$B$2:$B$965,MATCH(DATE(YEAR(N698),MONTH(N698),1),'Additional data'!$A$2:$A$965,0))</f>
        <v>60.89</v>
      </c>
      <c r="P698" s="489">
        <f>LN(O698)</f>
        <v>4.10906895762048</v>
      </c>
      <c r="Q698" s="489">
        <f>Q697+LN(1+INDEX('Additional data'!$H$2:$H$1196,MATCH(N698,'Additional data'!$G$2:$G$1196,1))+INDEX('Additional data'!$I$2:$I$1196,MATCH(N698,'Additional data'!$G$2:$G$1196,1)))</f>
        <v>5.88276718221688</v>
      </c>
      <c r="R698" s="489">
        <f>LN(INDEX(Data!$B$2:$B$497,MATCH(N698,Data!$A$2:$A$497,1)))</f>
        <v>11.6944790968892</v>
      </c>
      <c r="S698" s="116">
        <f>IF(INDEX('Additional data'!$E$2:$E$699,MATCH(DATE(YEAR(N698),MONTH(N698),1),'Additional data'!$D$2:$D$699,0))=0,(INDEX('Additional data'!$E$2:$E$699,MATCH(DATE(YEAR(N698),MONTH(N698),1),'Additional data'!$D$2:$D$699,0)-1)+INDEX('Additional data'!$E$2:$E$699,MATCH(DATE(YEAR(N698),MONTH(N698),1),'Additional data'!$D$2:$D$699,0)+1))/2,INDEX('Additional data'!$E$2:$E$699,MATCH(DATE(YEAR(N698),MONTH(N698),1),'Additional data'!$D$2:$D$699,0)))</f>
        <v>3.56</v>
      </c>
      <c r="T698" s="425">
        <f>P698-P697</f>
        <v>-0.0491889303452702</v>
      </c>
      <c r="U698" s="425">
        <f>Q698-Q697</f>
        <v>0.0230326991105727</v>
      </c>
      <c r="V698" s="425">
        <f>R698-R697</f>
        <v>0.00485532160430857</v>
      </c>
      <c r="W698" s="116">
        <f>S698-S697</f>
        <v>-0.02</v>
      </c>
      <c r="X698" s="425">
        <f>P698-P686</f>
        <v>-0.167458262860729</v>
      </c>
      <c r="Y698" s="425">
        <f>Q698-Q686</f>
        <v>0.198347230560267</v>
      </c>
      <c r="Z698" s="425">
        <f>R698-R686</f>
        <v>0.118060906335154</v>
      </c>
      <c r="AA698" s="116">
        <f>S698-S686</f>
        <v>-0.85</v>
      </c>
      <c r="AB698" s="425">
        <f>P698-P638</f>
        <v>0.435303141316595</v>
      </c>
      <c r="AC698" s="425">
        <f>Q698-Q638</f>
        <v>0.774571253368717</v>
      </c>
      <c r="AD698" s="425">
        <f>R698-R638</f>
        <v>0.591103962668742</v>
      </c>
      <c r="AE698" s="235">
        <f>S698-S638</f>
        <v>3.49</v>
      </c>
      <c r="AG698" s="554">
        <f>N698</f>
        <v>45961.0</v>
      </c>
      <c r="AH698" s="435">
        <f>IFERROR(INDEX('RBA 5Y yield'!$B$5:$B$661,MATCH(N698,'RBA 5Y yield'!$A$5:$A$661,1))*100,"")</f>
        <v>3.646</v>
      </c>
      <c r="AI698" s="435">
        <f>IF(AND(ISNUMBER(AH698),ISNUMBER(AH697)),AH698-AH697,"")</f>
        <v>-0.00800000000000045</v>
      </c>
      <c r="AJ698" s="435">
        <f>IF(AND(ISNUMBER(AH698),ISNUMBER(AH686)),AH698-AH686,"")</f>
        <v>-0.246</v>
      </c>
      <c r="AK698" s="435">
        <f>IF(AND(ISNUMBER(AH698),ISNUMBER(AH638)),AH698-AH638,"")</f>
        <v>3.355</v>
      </c>
      <c r="AL698" s="560">
        <f>IFERROR(LN(INDEX(Data!$B$2:$B$497,MATCH(N698,Data!$A$2:$A$497,1))/INDEX(Data!$B$2:$B$497,MATCH(N686,Data!$A$2:$A$497,1))),"")</f>
        <v>0.118060906335153</v>
      </c>
      <c r="AM698" s="560">
        <f>IFERROR(LN(INDEX(Data!$C$2:$C$497,MATCH(N698,Data!$A$2:$A$497,1))/INDEX(Data!$C$2:$C$497,MATCH(N686,Data!$A$2:$A$497,1))),"")</f>
        <v>0.194525888229657</v>
      </c>
      <c r="AN698" s="560">
        <f>IFERROR(LN(INDEX(Data!$D$2:$D$497,MATCH(N698,Data!$A$2:$A$497,1))/INDEX(Data!$D$2:$D$497,MATCH(N686,Data!$A$2:$A$497,1))),"")</f>
        <v>0.253106574150666</v>
      </c>
      <c r="AO698" s="560">
        <f>IFERROR(LN(INDEX(Data!$E$2:$E$497,MATCH(N698,Data!$A$2:$A$497,1))/INDEX(Data!$E$2:$E$497,MATCH(N686,Data!$A$2:$A$497,1))),"")</f>
        <v>0.0300748202520491</v>
      </c>
      <c r="AP698" s="560">
        <f>IFERROR(LN(INDEX(Data!$F$2:$F$497,MATCH(N698,Data!$A$2:$A$497,1))/INDEX(Data!$F$2:$F$497,MATCH(N686,Data!$A$2:$A$497,1))),"")</f>
        <v>0.105936204032627</v>
      </c>
      <c r="AQ698" s="560">
        <f>IFERROR(LN(INDEX(Data!$G$2:$G$497,MATCH(N698,Data!$A$2:$A$497,1))/INDEX(Data!$G$2:$G$497,MATCH(N686,Data!$A$2:$A$497,1))),"")</f>
        <v>0.0363797718093856</v>
      </c>
      <c r="AR698" s="560">
        <f>IFERROR(LN(INDEX(Data!$H$2:$H$497,MATCH(N698,Data!$A$2:$A$497,1))/INDEX(Data!$H$2:$H$497,MATCH(N686,Data!$A$2:$A$497,1))),"")</f>
        <v>0.145497969362176</v>
      </c>
      <c r="AS698" s="560">
        <f>IFERROR(LN(INDEX(Data!$I$2:$I$497,MATCH(N698,Data!$A$2:$A$497,1))/INDEX(Data!$I$2:$I$497,MATCH(N686,Data!$A$2:$A$497,1))),"")</f>
        <v>0.0427559101144467</v>
      </c>
      <c r="AT698" s="560">
        <f>IFERROR(LN(INDEX(Data!$J$2:$J$497,MATCH(N698,Data!$A$2:$A$497,1))/INDEX(Data!$J$2:$J$497,MATCH(N686,Data!$A$2:$A$497,1))),"")</f>
        <v>0.0613875134647207</v>
      </c>
      <c r="AU698" s="560">
        <f>IFERROR(LN(INDEX(Data!$K$2:$K$497,MATCH(N698,Data!$A$2:$A$497,1))/INDEX(Data!$K$2:$K$497,MATCH(N686,Data!$A$2:$A$497,1))),"")</f>
        <v>0.0333976044226243</v>
      </c>
      <c r="AV698" s="561">
        <f>IFERROR(LN(INDEX(Data!$L$2:$L$497,MATCH(N698,Data!$A$2:$A$497,1))/INDEX(Data!$L$2:$L$497,MATCH(N686,Data!$A$2:$A$497,1))),"")</f>
        <v>0.0402278257217337</v>
      </c>
    </row>
    <row r="699">
      <c r="N699" s="337" t="n">
        <v>45991</v>
      </c>
      <c r="O699" s="116">
        <f>INDEX('Additional data'!$B$2:$B$965,MATCH(DATE(YEAR(N699),MONTH(N699),1),'Additional data'!$A$2:$A$965,0))</f>
        <v>60.06</v>
      </c>
      <c r="P699" s="489">
        <f>LN(O699)</f>
        <v>4.09534406255518</v>
      </c>
      <c r="Q699" s="489">
        <f>Q698+LN(1+INDEX('Additional data'!$H$2:$H$1196,MATCH(N699,'Additional data'!$G$2:$G$1196,1))+INDEX('Additional data'!$I$2:$I$1196,MATCH(N699,'Additional data'!$G$2:$G$1196,1)))</f>
        <v>5.88446573885246</v>
      </c>
      <c r="R699" s="489">
        <f>LN(INDEX(Data!$B$2:$B$497,MATCH(N699,Data!$A$2:$A$497,1)))</f>
        <v>11.6690720669521</v>
      </c>
      <c r="S699" s="116">
        <f>IF(INDEX('Additional data'!$E$2:$E$699,MATCH(DATE(YEAR(N699),MONTH(N699),1),'Additional data'!$D$2:$D$699,0))=0,(INDEX('Additional data'!$E$2:$E$699,MATCH(DATE(YEAR(N699),MONTH(N699),1),'Additional data'!$D$2:$D$699,0)-1)+INDEX('Additional data'!$E$2:$E$699,MATCH(DATE(YEAR(N699),MONTH(N699),1),'Additional data'!$D$2:$D$699,0)+1))/2,INDEX('Additional data'!$E$2:$E$699,MATCH(DATE(YEAR(N699),MONTH(N699),1),'Additional data'!$D$2:$D$699,0)))</f>
        <v>3.65</v>
      </c>
      <c r="T699" s="425">
        <f>P699-P698</f>
        <v>-0.0137248950652991</v>
      </c>
      <c r="U699" s="425">
        <f>Q699-Q698</f>
        <v>0.00169855663558138</v>
      </c>
      <c r="V699" s="425">
        <f>R699-R698</f>
        <v>-0.0254070299370603</v>
      </c>
      <c r="W699" s="116">
        <f>S699-S698</f>
        <v>0.0899999999999999</v>
      </c>
      <c r="X699" s="425">
        <f>P699-P687</f>
        <v>-0.152436638556306</v>
      </c>
      <c r="Y699" s="425">
        <f>Q699-Q687</f>
        <v>0.133415704898085</v>
      </c>
      <c r="Z699" s="425">
        <f>R699-R687</f>
        <v>0.0567365872869399</v>
      </c>
      <c r="AA699" s="116">
        <f>S699-S687</f>
        <v>-0.77</v>
      </c>
      <c r="AB699" s="425">
        <f>P699-P639</f>
        <v>0.383236482322041</v>
      </c>
      <c r="AC699" s="425">
        <f>Q699-Q639</f>
        <v>0.658842393128334</v>
      </c>
      <c r="AD699" s="425">
        <f>R699-R639</f>
        <v>0.468928576597769</v>
      </c>
      <c r="AE699" s="235">
        <f>S699-S639</f>
        <v>3.63</v>
      </c>
      <c r="AG699" s="554">
        <f>N699</f>
        <v>45991.0</v>
      </c>
      <c r="AH699" s="435">
        <f>IFERROR(INDEX('RBA 5Y yield'!$B$5:$B$661,MATCH(N699,'RBA 5Y yield'!$A$5:$A$661,1))*100,"")</f>
        <v>3.904</v>
      </c>
      <c r="AI699" s="435">
        <f>IF(AND(ISNUMBER(AH699),ISNUMBER(AH698)),AH699-AH698,"")</f>
        <v>0.258</v>
      </c>
      <c r="AJ699" s="435">
        <f>IF(AND(ISNUMBER(AH699),ISNUMBER(AH687)),AH699-AH687,"")</f>
        <v>-0.264</v>
      </c>
      <c r="AK699" s="435">
        <f>IF(AND(ISNUMBER(AH699),ISNUMBER(AH639)),AH699-AH639,"")</f>
        <v>3.618</v>
      </c>
      <c r="AL699" s="560">
        <f>IFERROR(LN(INDEX(Data!$B$2:$B$497,MATCH(N699,Data!$A$2:$A$497,1))/INDEX(Data!$B$2:$B$497,MATCH(N687,Data!$A$2:$A$497,1))),"")</f>
        <v>0.0567365872869394</v>
      </c>
      <c r="AM699" s="560">
        <f>IFERROR(LN(INDEX(Data!$C$2:$C$497,MATCH(N699,Data!$A$2:$A$497,1))/INDEX(Data!$C$2:$C$497,MATCH(N687,Data!$A$2:$A$497,1))),"")</f>
        <v>0.142127550811003</v>
      </c>
      <c r="AN699" s="560">
        <f>IFERROR(LN(INDEX(Data!$D$2:$D$497,MATCH(N699,Data!$A$2:$A$497,1))/INDEX(Data!$D$2:$D$497,MATCH(N687,Data!$A$2:$A$497,1))),"")</f>
        <v>0.257578872499097</v>
      </c>
      <c r="AO699" s="560">
        <f>IFERROR(LN(INDEX(Data!$E$2:$E$497,MATCH(N699,Data!$A$2:$A$497,1))/INDEX(Data!$E$2:$E$497,MATCH(N687,Data!$A$2:$A$497,1))),"")</f>
        <v>0.0105264761283489</v>
      </c>
      <c r="AP699" s="560">
        <f>IFERROR(LN(INDEX(Data!$F$2:$F$497,MATCH(N699,Data!$A$2:$A$497,1))/INDEX(Data!$F$2:$F$497,MATCH(N687,Data!$A$2:$A$497,1))),"")</f>
        <v>0.0973865977765058</v>
      </c>
      <c r="AQ699" s="560">
        <f>IFERROR(LN(INDEX(Data!$G$2:$G$497,MATCH(N699,Data!$A$2:$A$497,1))/INDEX(Data!$G$2:$G$497,MATCH(N687,Data!$A$2:$A$497,1))),"")</f>
        <v>0.0363797718093856</v>
      </c>
      <c r="AR699" s="560">
        <f>IFERROR(LN(INDEX(Data!$H$2:$H$497,MATCH(N699,Data!$A$2:$A$497,1))/INDEX(Data!$H$2:$H$497,MATCH(N687,Data!$A$2:$A$497,1))),"")</f>
        <v>0.153928934720026</v>
      </c>
      <c r="AS699" s="560">
        <f>IFERROR(LN(INDEX(Data!$I$2:$I$497,MATCH(N699,Data!$A$2:$A$497,1))/INDEX(Data!$I$2:$I$497,MATCH(N687,Data!$A$2:$A$497,1))),"")</f>
        <v>0.0427559101144467</v>
      </c>
      <c r="AT699" s="560">
        <f>IFERROR(LN(INDEX(Data!$J$2:$J$497,MATCH(N699,Data!$A$2:$A$497,1))/INDEX(Data!$J$2:$J$497,MATCH(N687,Data!$A$2:$A$497,1))),"")</f>
        <v>0.0412314872201928</v>
      </c>
      <c r="AU699" s="560">
        <f>IFERROR(LN(INDEX(Data!$K$2:$K$497,MATCH(N699,Data!$A$2:$A$497,1))/INDEX(Data!$K$2:$K$497,MATCH(N687,Data!$A$2:$A$497,1))),"")</f>
        <v>0.0228695401592723</v>
      </c>
      <c r="AV699" s="561">
        <f>IFERROR(LN(INDEX(Data!$L$2:$L$497,MATCH(N699,Data!$A$2:$A$497,1))/INDEX(Data!$L$2:$L$497,MATCH(N687,Data!$A$2:$A$497,1))),"")</f>
        <v>0.0395837638132159</v>
      </c>
    </row>
    <row r="700">
      <c r="N700" s="337" t="n">
        <v>46022</v>
      </c>
      <c r="O700" s="116">
        <f>INDEX('Additional data'!$B$2:$B$965,MATCH(DATE(YEAR(N700),MONTH(N700),1),'Additional data'!$A$2:$A$965,0))</f>
        <v>57.97</v>
      </c>
      <c r="P700" s="489">
        <f>LN(O700)</f>
        <v>4.05992563535164</v>
      </c>
      <c r="Q700" s="489">
        <f>Q699+LN(1+INDEX('Additional data'!$H$2:$H$1196,MATCH(N700,'Additional data'!$G$2:$G$1196,1))+INDEX('Additional data'!$I$2:$I$1196,MATCH(N700,'Additional data'!$G$2:$G$1196,1)))</f>
        <v>5.88426571884979</v>
      </c>
      <c r="R700" s="489">
        <f>LN(INDEX(Data!$B$2:$B$497,MATCH(N700,Data!$A$2:$A$497,1)))</f>
        <v>11.6815547500745</v>
      </c>
      <c r="S700" s="116">
        <f>IF(INDEX('Additional data'!$E$2:$E$699,MATCH(DATE(YEAR(N700),MONTH(N700),1),'Additional data'!$D$2:$D$699,0))=0,(INDEX('Additional data'!$E$2:$E$699,MATCH(DATE(YEAR(N700),MONTH(N700),1),'Additional data'!$D$2:$D$699,0)-1)+INDEX('Additional data'!$E$2:$E$699,MATCH(DATE(YEAR(N700),MONTH(N700),1),'Additional data'!$D$2:$D$699,0)+1))/2,INDEX('Additional data'!$E$2:$E$699,MATCH(DATE(YEAR(N700),MONTH(N700),1),'Additional data'!$D$2:$D$699,0)))</f>
        <v>3.71</v>
      </c>
      <c r="T700" s="425">
        <f>P700-P699</f>
        <v>-0.0354184272035427</v>
      </c>
      <c r="U700" s="425">
        <f>Q700-Q699</f>
        <v>-0.0002000200026675</v>
      </c>
      <c r="V700" s="425">
        <f>R700-R699</f>
        <v>0.0124826831224194</v>
      </c>
      <c r="W700" s="116">
        <f>S700-S699</f>
        <v>0.0600000000000001</v>
      </c>
      <c r="X700" s="425">
        <f>P700-P688</f>
        <v>-0.190282424701392</v>
      </c>
      <c r="Y700" s="425">
        <f>Q700-Q688</f>
        <v>0.161615159417115</v>
      </c>
      <c r="Z700" s="425">
        <f>R700-R688</f>
        <v>0.100406341044939</v>
      </c>
      <c r="AA700" s="116">
        <f>S700-S688</f>
        <v>-0.73</v>
      </c>
      <c r="AB700" s="425">
        <f>P700-P640</f>
        <v>0.209352592239718</v>
      </c>
      <c r="AC700" s="425">
        <f>Q700-Q640</f>
        <v>0.61328667140487</v>
      </c>
      <c r="AD700" s="425">
        <f>R700-R640</f>
        <v>0.464013543620817</v>
      </c>
      <c r="AE700" s="235">
        <f>S700-S640</f>
        <v>3.69</v>
      </c>
      <c r="AG700" s="554">
        <f>N700</f>
        <v>46022.0</v>
      </c>
      <c r="AH700" s="435">
        <f>IFERROR(INDEX('RBA 5Y yield'!$B$5:$B$661,MATCH(N700,'RBA 5Y yield'!$A$5:$A$661,1))*100,"")</f>
        <v>4.254</v>
      </c>
      <c r="AI700" s="435">
        <f>IF(AND(ISNUMBER(AH700),ISNUMBER(AH699)),AH700-AH699,"")</f>
        <v>0.350000000000001</v>
      </c>
      <c r="AJ700" s="435">
        <f>IF(AND(ISNUMBER(AH700),ISNUMBER(AH688)),AH700-AH688,"")</f>
        <v>0.32</v>
      </c>
      <c r="AK700" s="435">
        <f>IF(AND(ISNUMBER(AH700),ISNUMBER(AH640)),AH700-AH640,"")</f>
        <v>3.911</v>
      </c>
      <c r="AL700" s="560">
        <f>IFERROR(LN(INDEX(Data!$B$2:$B$497,MATCH(N700,Data!$A$2:$A$497,1))/INDEX(Data!$B$2:$B$497,MATCH(N688,Data!$A$2:$A$497,1))),"")</f>
        <v>0.100406341044939</v>
      </c>
      <c r="AM700" s="560">
        <f>IFERROR(LN(INDEX(Data!$C$2:$C$497,MATCH(N700,Data!$A$2:$A$497,1))/INDEX(Data!$C$2:$C$497,MATCH(N688,Data!$A$2:$A$497,1))),"")</f>
        <v>0.0991926157117584</v>
      </c>
      <c r="AN700" s="560">
        <f>IFERROR(LN(INDEX(Data!$D$2:$D$497,MATCH(N700,Data!$A$2:$A$497,1))/INDEX(Data!$D$2:$D$497,MATCH(N688,Data!$A$2:$A$497,1))),"")</f>
        <v>0.20384288577787</v>
      </c>
      <c r="AO700" s="560">
        <f>IFERROR(LN(INDEX(Data!$E$2:$E$497,MATCH(N700,Data!$A$2:$A$497,1))/INDEX(Data!$E$2:$E$497,MATCH(N688,Data!$A$2:$A$497,1))),"")</f>
        <v>-0.00488280630169823</v>
      </c>
      <c r="AP700" s="560">
        <f>IFERROR(LN(INDEX(Data!$F$2:$F$497,MATCH(N700,Data!$A$2:$A$497,1))/INDEX(Data!$F$2:$F$497,MATCH(N688,Data!$A$2:$A$497,1))),"")</f>
        <v>-0.00545722958088504</v>
      </c>
      <c r="AQ700" s="560">
        <f>IFERROR(LN(INDEX(Data!$G$2:$G$497,MATCH(N700,Data!$A$2:$A$497,1))/INDEX(Data!$G$2:$G$497,MATCH(N688,Data!$A$2:$A$497,1))),"")</f>
        <v>0.0633150888763583</v>
      </c>
      <c r="AR700" s="560">
        <f>IFERROR(LN(INDEX(Data!$H$2:$H$497,MATCH(N700,Data!$A$2:$A$497,1))/INDEX(Data!$H$2:$H$497,MATCH(N688,Data!$A$2:$A$497,1))),"")</f>
        <v>0.129995740765443</v>
      </c>
      <c r="AS700" s="560">
        <f>IFERROR(LN(INDEX(Data!$I$2:$I$497,MATCH(N700,Data!$A$2:$A$497,1))/INDEX(Data!$I$2:$I$497,MATCH(N688,Data!$A$2:$A$497,1))),"")</f>
        <v>0.00440706842025364</v>
      </c>
      <c r="AT700" s="560">
        <f>IFERROR(LN(INDEX(Data!$J$2:$J$497,MATCH(N700,Data!$A$2:$A$497,1))/INDEX(Data!$J$2:$J$497,MATCH(N688,Data!$A$2:$A$497,1))),"")</f>
        <v>0.032349729367817</v>
      </c>
      <c r="AU700" s="560">
        <f>IFERROR(LN(INDEX(Data!$K$2:$K$497,MATCH(N700,Data!$A$2:$A$497,1))/INDEX(Data!$K$2:$K$497,MATCH(N688,Data!$A$2:$A$497,1))),"")</f>
        <v>0.0254468846615072</v>
      </c>
      <c r="AV700" s="561">
        <f>IFERROR(LN(INDEX(Data!$L$2:$L$497,MATCH(N700,Data!$A$2:$A$497,1))/INDEX(Data!$L$2:$L$497,MATCH(N688,Data!$A$2:$A$497,1))),"")</f>
        <v>0.0389333095012338</v>
      </c>
    </row>
    <row r="701">
      <c r="N701" s="359" t="n">
        <v>46053</v>
      </c>
      <c r="O701" s="360">
        <f>INDEX('Additional data'!$B$2:$B$965,MATCH(DATE(YEAR(N701),MONTH(N701),1),'Additional data'!$A$2:$A$965,0))</f>
        <v>60.04</v>
      </c>
      <c r="P701" s="612">
        <f>LN(O701)</f>
        <v>4.09501100676526</v>
      </c>
      <c r="Q701" s="612">
        <f>Q700+LN(1+INDEX('Additional data'!$H$2:$H$1196,MATCH(N701,'Additional data'!$G$2:$G$1196,1))+INDEX('Additional data'!$I$2:$I$1196,MATCH(N701,'Additional data'!$G$2:$G$1196,1)))</f>
        <v>5.89737935799517</v>
      </c>
      <c r="R701" s="612">
        <f>LN(INDEX(Data!$B$2:$B$497,MATCH(N701,Data!$A$2:$A$497,1)))</f>
        <v>11.6976200753079</v>
      </c>
      <c r="S701" s="360">
        <f>IF(INDEX('Additional data'!$E$2:$E$699,MATCH(DATE(YEAR(N701),MONTH(N701),1),'Additional data'!$D$2:$D$699,0))=0,(INDEX('Additional data'!$E$2:$E$699,MATCH(DATE(YEAR(N701),MONTH(N701),1),'Additional data'!$D$2:$D$699,0)-1)+INDEX('Additional data'!$E$2:$E$699,MATCH(DATE(YEAR(N701),MONTH(N701),1),'Additional data'!$D$2:$D$699,0)+1))/2,INDEX('Additional data'!$E$2:$E$699,MATCH(DATE(YEAR(N701),MONTH(N701),1),'Additional data'!$D$2:$D$699,0)))</f>
        <v>3.77</v>
      </c>
      <c r="T701" s="613">
        <f>P701-P700</f>
        <v>0.0350853714136195</v>
      </c>
      <c r="U701" s="613">
        <f>Q701-Q700</f>
        <v>0.0131136391453826</v>
      </c>
      <c r="V701" s="613">
        <f>R701-R700</f>
        <v>0.0160653252333329</v>
      </c>
      <c r="W701" s="360">
        <f>S701-S700</f>
        <v>0.0600000000000001</v>
      </c>
      <c r="X701" s="613">
        <f>P701-P689</f>
        <v>-0.232295415708388</v>
      </c>
      <c r="Y701" s="613">
        <f>Q701-Q689</f>
        <v>0.143520871438304</v>
      </c>
      <c r="Z701" s="613">
        <f>R701-R689</f>
        <v>0.0735605251791665</v>
      </c>
      <c r="AA701" s="360">
        <f>S701-S689</f>
        <v>-0.56</v>
      </c>
      <c r="AB701" s="613">
        <f>P701-P641</f>
        <v>0.143767288183833</v>
      </c>
      <c r="AC701" s="613">
        <f>Q701-Q641</f>
        <v>0.627100555664646</v>
      </c>
      <c r="AD701" s="613">
        <f>R701-R641</f>
        <v>0.477067671224873</v>
      </c>
      <c r="AE701" s="363">
        <f>S701-S641</f>
        <v>3.76</v>
      </c>
      <c r="AG701" s="614">
        <f>N701</f>
        <v>46053.0</v>
      </c>
      <c r="AH701" s="615">
        <f>IFERROR(INDEX('RBA 5Y yield'!$B$5:$B$661,MATCH(N701,'RBA 5Y yield'!$A$5:$A$661,1))*100,"")</f>
        <v>4.301</v>
      </c>
      <c r="AI701" s="615">
        <f>IF(AND(ISNUMBER(AH701),ISNUMBER(AH700)),AH701-AH700,"")</f>
        <v>0.0469999999999997</v>
      </c>
      <c r="AJ701" s="615">
        <f>IF(AND(ISNUMBER(AH701),ISNUMBER(AH689)),AH701-AH689,"")</f>
        <v>0.263</v>
      </c>
      <c r="AK701" s="615">
        <f>IF(AND(ISNUMBER(AH701),ISNUMBER(AH641)),AH701-AH641,"")</f>
        <v>3.928</v>
      </c>
      <c r="AL701" s="616">
        <f>IFERROR(LN(INDEX(Data!$B$2:$B$497,MATCH(N701,Data!$A$2:$A$497,1))/INDEX(Data!$B$2:$B$497,MATCH(N689,Data!$A$2:$A$497,1))),"")</f>
        <v>0.0735605251791658</v>
      </c>
      <c r="AM701" s="616">
        <f>IFERROR(LN(INDEX(Data!$C$2:$C$497,MATCH(N701,Data!$A$2:$A$497,1))/INDEX(Data!$C$2:$C$497,MATCH(N689,Data!$A$2:$A$497,1))),"")</f>
        <v>0.0401680421009289</v>
      </c>
      <c r="AN701" s="616">
        <f>IFERROR(LN(INDEX(Data!$D$2:$D$497,MATCH(N701,Data!$A$2:$A$497,1))/INDEX(Data!$D$2:$D$497,MATCH(N689,Data!$A$2:$A$497,1))),"")</f>
        <v>0.230114836172714</v>
      </c>
      <c r="AO701" s="616">
        <f>IFERROR(LN(INDEX(Data!$E$2:$E$497,MATCH(N701,Data!$A$2:$A$497,1))/INDEX(Data!$E$2:$E$497,MATCH(N689,Data!$A$2:$A$497,1))),"")</f>
        <v>-0.0397894735986455</v>
      </c>
      <c r="AP701" s="616">
        <f>IFERROR(LN(INDEX(Data!$F$2:$F$497,MATCH(N701,Data!$A$2:$A$497,1))/INDEX(Data!$F$2:$F$497,MATCH(N689,Data!$A$2:$A$497,1))),"")</f>
        <v>0.0137680205172483</v>
      </c>
      <c r="AQ701" s="616">
        <f>IFERROR(LN(INDEX(Data!$G$2:$G$497,MATCH(N701,Data!$A$2:$A$497,1))/INDEX(Data!$G$2:$G$497,MATCH(N689,Data!$A$2:$A$497,1))),"")</f>
        <v>0.0633150888763583</v>
      </c>
      <c r="AR701" s="616">
        <f>IFERROR(LN(INDEX(Data!$H$2:$H$497,MATCH(N701,Data!$A$2:$A$497,1))/INDEX(Data!$H$2:$H$497,MATCH(N689,Data!$A$2:$A$497,1))),"")</f>
        <v>0.114269851812824</v>
      </c>
      <c r="AS701" s="616">
        <f>IFERROR(LN(INDEX(Data!$I$2:$I$497,MATCH(N701,Data!$A$2:$A$497,1))/INDEX(Data!$I$2:$I$497,MATCH(N689,Data!$A$2:$A$497,1))),"")</f>
        <v>0.00440706842025364</v>
      </c>
      <c r="AT701" s="616">
        <f>IFERROR(LN(INDEX(Data!$J$2:$J$497,MATCH(N701,Data!$A$2:$A$497,1))/INDEX(Data!$J$2:$J$497,MATCH(N689,Data!$A$2:$A$497,1))),"")</f>
        <v>0.030681876830799</v>
      </c>
      <c r="AU701" s="616">
        <f>IFERROR(LN(INDEX(Data!$K$2:$K$497,MATCH(N701,Data!$A$2:$A$497,1))/INDEX(Data!$K$2:$K$497,MATCH(N689,Data!$A$2:$A$497,1))),"")</f>
        <v>0.0267615746474423</v>
      </c>
      <c r="AV701" s="617">
        <f>IFERROR(LN(INDEX(Data!$L$2:$L$497,MATCH(N701,Data!$A$2:$A$497,1))/INDEX(Data!$L$2:$L$497,MATCH(N689,Data!$A$2:$A$497,1))),"")</f>
        <v>0.0381489544329372</v>
      </c>
    </row>
  </sheetData>
  <mergeCells count="14">
    <mergeCell ref="B179:E179"/>
    <mergeCell ref="B181:E181"/>
    <mergeCell ref="F179:I179"/>
    <mergeCell ref="B184:E184"/>
    <mergeCell ref="F181:I181"/>
    <mergeCell ref="B180:E180"/>
    <mergeCell ref="F184:I184"/>
    <mergeCell ref="B182:E182"/>
    <mergeCell ref="B183:E183"/>
    <mergeCell ref="F182:I182"/>
    <mergeCell ref="B185:E185"/>
    <mergeCell ref="F185:I185"/>
    <mergeCell ref="F180:I180"/>
    <mergeCell ref="F183:I183"/>
  </mergeCells>
  <conditionalFormatting sqref="I150:I156">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fRule type="cellIs" priority="7" operator="equal" dxfId="0">
      <formula>"REVIEW"</formula>
    </cfRule>
  </conditionalFormatting>
  <pageMargins left="0.75" right="0.75" top="1" bottom="1" header="0.5" footer="0.5"/>
  <pageSetup orientation="landscape" fitToHeight="0"/>
  <drawing xmlns:r="http://schemas.openxmlformats.org/officeDocument/2006/relationships" r:id="rId1"/>
</worksheet>
</file>

<file path=xl/worksheets/sheet11.xml><?xml version="1.0" encoding="utf-8"?>
<worksheet xmlns="http://schemas.openxmlformats.org/spreadsheetml/2006/main">
  <sheetPr>
    <tabColor rgb="FF4F6228"/>
    <outlinePr summaryBelow="1" summaryRight="1"/>
    <pageSetUpPr fitToPage="1"/>
  </sheetPr>
  <dimension ref="A1:K144"/>
  <sheetViews>
    <sheetView showGridLines="0" workbookViewId="0">
      <selection activeCell="A1" sqref="A1"/>
    </sheetView>
  </sheetViews>
  <sheetFormatPr baseColWidth="10" defaultColWidth="8.83203125" defaultRowHeight="15"/>
  <cols>
    <col width="34" customWidth="1" min="1" max="1"/>
    <col width="14" customWidth="1" min="2" max="8"/>
    <col width="11" customWidth="1" min="9" max="11"/>
  </cols>
  <sheetData>
    <row r="1" ht="19" customHeight="1">
      <c r="A1" s="53" t="inlineStr">
        <is>
          <t>Validation</t>
        </is>
      </c>
    </row>
    <row r="3">
      <c r="A3" s="121" t="inlineStr">
        <is>
          <t>1. Historical backtest (annualised, net of fees)</t>
        </is>
      </c>
      <c r="B3" s="122" t="n"/>
      <c r="C3" s="122" t="n"/>
      <c r="D3" s="122" t="n"/>
      <c r="E3" s="122" t="n"/>
      <c r="F3" s="122" t="n"/>
      <c r="G3" s="123" t="n"/>
    </row>
    <row r="4">
      <c r="A4" s="227" t="n"/>
      <c r="B4" s="77" t="n"/>
      <c r="C4" s="77" t="n"/>
      <c r="D4" s="77" t="n"/>
      <c r="E4" s="77" t="n"/>
      <c r="F4" s="77" t="n"/>
      <c r="G4" s="222" t="n"/>
    </row>
    <row r="5" ht="42" customHeight="1">
      <c r="A5" s="124" t="inlineStr">
        <is>
          <t>Horizon (years)</t>
        </is>
      </c>
      <c r="B5" s="125" t="inlineStr">
        <is>
          <t>Quarters</t>
        </is>
      </c>
      <c r="C5" s="125" t="inlineStr">
        <is>
          <t>Current fund</t>
        </is>
      </c>
      <c r="D5" s="125" t="inlineStr">
        <is>
          <t>Benchmark</t>
        </is>
      </c>
      <c r="E5" s="125" t="inlineStr">
        <is>
          <t>Recommended</t>
        </is>
      </c>
      <c r="F5" s="125" t="inlineStr">
        <is>
          <t>Rec. less current</t>
        </is>
      </c>
      <c r="G5" s="126" t="inlineStr">
        <is>
          <t>Rec. less benchmark</t>
        </is>
      </c>
    </row>
    <row r="6">
      <c r="A6" s="364" t="n">
        <v>5</v>
      </c>
      <c r="B6" s="342">
        <f>A6*4</f>
        <v>20</v>
      </c>
      <c r="C6" s="72">
        <f>EXP(SUMPRODUCT(LN(1+INDEX('Quarterly returns'!Z$6:Z$85,80-$B6+1):INDEX('Quarterly returns'!Z$6:Z$85,80)))*4/$B6)-1</f>
        <v>0.0690594602203125</v>
      </c>
      <c r="D6" s="72">
        <f>EXP(SUMPRODUCT(LN(1+INDEX('Quarterly returns'!AA$6:AA$85,80-$B6+1):INDEX('Quarterly returns'!AA$6:AA$85,80)))*4/$B6)-1</f>
        <v>0.0721947041348132</v>
      </c>
      <c r="E6" s="72">
        <f>EXP(SUMPRODUCT(LN(1+INDEX('Quarterly returns'!AB$6:AB$85,80-$B6+1):INDEX('Quarterly returns'!AB$6:AB$85,80)))*4/$B6)-1</f>
        <v>0.0785360132940838</v>
      </c>
      <c r="F6" s="72">
        <f>E6-C6</f>
        <v>0.00947655307377127</v>
      </c>
      <c r="G6" s="128">
        <f>E6-D6</f>
        <v>0.00634130915927056</v>
      </c>
    </row>
    <row r="7">
      <c r="A7" s="364" t="n">
        <v>10</v>
      </c>
      <c r="B7" s="342">
        <f>A7*4</f>
        <v>40</v>
      </c>
      <c r="C7" s="72">
        <f>EXP(SUMPRODUCT(LN(1+INDEX('Quarterly returns'!Z$6:Z$85,80-$B7+1):INDEX('Quarterly returns'!Z$6:Z$85,80)))*4/$B7)-1</f>
        <v>0.0777619511169776</v>
      </c>
      <c r="D7" s="72">
        <f>EXP(SUMPRODUCT(LN(1+INDEX('Quarterly returns'!AA$6:AA$85,80-$B7+1):INDEX('Quarterly returns'!AA$6:AA$85,80)))*4/$B7)-1</f>
        <v>0.0790360374289978</v>
      </c>
      <c r="E7" s="72">
        <f>EXP(SUMPRODUCT(LN(1+INDEX('Quarterly returns'!AB$6:AB$85,80-$B7+1):INDEX('Quarterly returns'!AB$6:AB$85,80)))*4/$B7)-1</f>
        <v>0.0855200753194352</v>
      </c>
      <c r="F7" s="72">
        <f>E7-C7</f>
        <v>0.00775812420245758</v>
      </c>
      <c r="G7" s="128">
        <f>E7-D7</f>
        <v>0.00648403789043739</v>
      </c>
    </row>
    <row r="8">
      <c r="A8" s="364" t="n">
        <v>15</v>
      </c>
      <c r="B8" s="342">
        <f>A8*4</f>
        <v>60</v>
      </c>
      <c r="C8" s="72">
        <f>EXP(SUMPRODUCT(LN(1+INDEX('Quarterly returns'!Z$6:Z$85,80-$B8+1):INDEX('Quarterly returns'!Z$6:Z$85,80)))*4/$B8)-1</f>
        <v>0.0823273415849066</v>
      </c>
      <c r="D8" s="72">
        <f>EXP(SUMPRODUCT(LN(1+INDEX('Quarterly returns'!AA$6:AA$85,80-$B8+1):INDEX('Quarterly returns'!AA$6:AA$85,80)))*4/$B8)-1</f>
        <v>0.0830268516654036</v>
      </c>
      <c r="E8" s="72">
        <f>EXP(SUMPRODUCT(LN(1+INDEX('Quarterly returns'!AB$6:AB$85,80-$B8+1):INDEX('Quarterly returns'!AB$6:AB$85,80)))*4/$B8)-1</f>
        <v>0.0892302784583055</v>
      </c>
      <c r="F8" s="72">
        <f>E8-C8</f>
        <v>0.00690293687339882</v>
      </c>
      <c r="G8" s="128">
        <f>E8-D8</f>
        <v>0.00620342679290187</v>
      </c>
    </row>
    <row r="9">
      <c r="A9" s="364" t="n">
        <v>20</v>
      </c>
      <c r="B9" s="342">
        <f>A9*4</f>
        <v>80</v>
      </c>
      <c r="C9" s="72">
        <f>EXP(SUMPRODUCT(LN(1+INDEX('Quarterly returns'!Z$6:Z$85,80-$B9+1):INDEX('Quarterly returns'!Z$6:Z$85,80)))*4/$B9)-1</f>
        <v>0.0656065117326772</v>
      </c>
      <c r="D9" s="72">
        <f>EXP(SUMPRODUCT(LN(1+INDEX('Quarterly returns'!AA$6:AA$85,80-$B9+1):INDEX('Quarterly returns'!AA$6:AA$85,80)))*4/$B9)-1</f>
        <v>0.0656172685638206</v>
      </c>
      <c r="E9" s="72">
        <f>EXP(SUMPRODUCT(LN(1+INDEX('Quarterly returns'!AB$6:AB$85,80-$B9+1):INDEX('Quarterly returns'!AB$6:AB$85,80)))*4/$B9)-1</f>
        <v>0.0677608782686425</v>
      </c>
      <c r="F9" s="72">
        <f>E9-C9</f>
        <v>0.00215436653596535</v>
      </c>
      <c r="G9" s="128">
        <f>E9-D9</f>
        <v>0.00214360970482197</v>
      </c>
    </row>
    <row r="10">
      <c r="A10" s="221" t="inlineStr">
        <is>
          <t>Volatility, 20 years</t>
        </is>
      </c>
      <c r="B10" s="77" t="n"/>
      <c r="C10" s="96">
        <f>STDEV('Quarterly returns'!Z6:Z85)*2</f>
        <v>0.0882984005597939</v>
      </c>
      <c r="D10" s="96">
        <f>STDEV('Quarterly returns'!AA6:AA85)*2</f>
        <v>0.074878374691591</v>
      </c>
      <c r="E10" s="96">
        <f>STDEV('Quarterly returns'!AB6:AB85)*2</f>
        <v>0.0841671130150388</v>
      </c>
      <c r="F10" s="77" t="n"/>
      <c r="G10" s="222" t="n"/>
    </row>
    <row r="11">
      <c r="A11" s="365" t="inlineStr">
        <is>
          <t>Worst four-quarter return</t>
        </is>
      </c>
      <c r="B11" s="131" t="n"/>
      <c r="C11" s="366">
        <f>MIN(Bootstrap!Z21:Z97)</f>
        <v>-0.201946593092547</v>
      </c>
      <c r="D11" s="366">
        <f>MIN(Bootstrap!AA21:AA97)</f>
        <v>-0.171800554835405</v>
      </c>
      <c r="E11" s="366">
        <f>MIN(Bootstrap!AB21:AB97)</f>
        <v>-0.200263603508416</v>
      </c>
      <c r="F11" s="131" t="n"/>
      <c r="G11" s="367" t="n"/>
    </row>
    <row r="14">
      <c r="A14" s="247" t="inlineStr">
        <is>
          <t>2. Out-of-sample: weights fitted on 2006-16 (pasted)</t>
        </is>
      </c>
      <c r="B14" s="248" t="n"/>
      <c r="C14" s="248" t="n"/>
      <c r="D14" s="248" t="n"/>
      <c r="E14" s="249" t="n"/>
    </row>
    <row r="15">
      <c r="A15" s="257" t="n"/>
      <c r="B15" s="77" t="n"/>
      <c r="C15" s="77" t="n"/>
      <c r="D15" s="77" t="n"/>
      <c r="E15" s="251" t="n"/>
    </row>
    <row r="16" ht="30" customHeight="1">
      <c r="A16" s="252" t="inlineStr">
        <is>
          <t>Asset class</t>
        </is>
      </c>
      <c r="B16" s="253" t="inlineStr">
        <is>
          <t>Robust method</t>
        </is>
      </c>
      <c r="C16" s="253" t="inlineStr">
        <is>
          <t>Naive MVO</t>
        </is>
      </c>
      <c r="D16" s="253" t="inlineStr">
        <is>
          <t>Current fund</t>
        </is>
      </c>
      <c r="E16" s="254" t="inlineStr">
        <is>
          <t>Benchmark</t>
        </is>
      </c>
    </row>
    <row r="17">
      <c r="A17" s="255" t="inlineStr">
        <is>
          <t>Australian Equities</t>
        </is>
      </c>
      <c r="B17" s="173" t="n">
        <v>0.2744</v>
      </c>
      <c r="C17" s="173" t="n">
        <v>0.2332</v>
      </c>
      <c r="D17" s="68">
        <f>Inputs!B5</f>
        <v>0.4</v>
      </c>
      <c r="E17" s="256">
        <f>Inputs!C5</f>
        <v>0.25</v>
      </c>
    </row>
    <row r="18">
      <c r="A18" s="255" t="inlineStr">
        <is>
          <t>World Equities</t>
        </is>
      </c>
      <c r="B18" s="173" t="n">
        <v>0.2734</v>
      </c>
      <c r="C18" s="173" t="n">
        <v>0.15</v>
      </c>
      <c r="D18" s="68">
        <f>Inputs!B6</f>
        <v>0.2</v>
      </c>
      <c r="E18" s="256">
        <f>Inputs!C6</f>
        <v>0.24</v>
      </c>
    </row>
    <row r="19">
      <c r="A19" s="255" t="inlineStr">
        <is>
          <t>Emerging Markets</t>
        </is>
      </c>
      <c r="B19" s="173" t="n">
        <v>0.0603</v>
      </c>
      <c r="C19" s="173" t="n">
        <v>0.0516</v>
      </c>
      <c r="D19" s="68">
        <f>Inputs!B7</f>
        <v>0</v>
      </c>
      <c r="E19" s="256">
        <f>Inputs!C7</f>
        <v>0.03</v>
      </c>
    </row>
    <row r="20">
      <c r="A20" s="255" t="inlineStr">
        <is>
          <t>Listed Property</t>
        </is>
      </c>
      <c r="B20" s="173" t="n">
        <v>0.08459999999999999</v>
      </c>
      <c r="C20" s="173" t="n">
        <v>0.0927</v>
      </c>
      <c r="D20" s="68">
        <f>Inputs!B8</f>
        <v>0.1</v>
      </c>
      <c r="E20" s="256">
        <f>Inputs!C8</f>
        <v>0.07</v>
      </c>
    </row>
    <row r="21">
      <c r="A21" s="255" t="inlineStr">
        <is>
          <t>Commodities</t>
        </is>
      </c>
      <c r="B21" s="173" t="n">
        <v>0.03</v>
      </c>
      <c r="C21" s="173" t="n">
        <v>0.03</v>
      </c>
      <c r="D21" s="68">
        <f>Inputs!B9</f>
        <v>0</v>
      </c>
      <c r="E21" s="256">
        <f>Inputs!C9</f>
        <v>0.02</v>
      </c>
    </row>
    <row r="22">
      <c r="A22" s="255" t="inlineStr">
        <is>
          <t>Direct Property</t>
        </is>
      </c>
      <c r="B22" s="173" t="n">
        <v>0.05</v>
      </c>
      <c r="C22" s="173" t="n">
        <v>0.05</v>
      </c>
      <c r="D22" s="68">
        <f>Inputs!B10</f>
        <v>0</v>
      </c>
      <c r="E22" s="256">
        <f>Inputs!C10</f>
        <v>0.05</v>
      </c>
    </row>
    <row r="23">
      <c r="A23" s="255" t="inlineStr">
        <is>
          <t>Hedge Funds</t>
        </is>
      </c>
      <c r="B23" s="173" t="n">
        <v>0</v>
      </c>
      <c r="C23" s="173" t="n">
        <v>0</v>
      </c>
      <c r="D23" s="68">
        <f>Inputs!B11</f>
        <v>0</v>
      </c>
      <c r="E23" s="256">
        <f>Inputs!C11</f>
        <v>0.03</v>
      </c>
    </row>
    <row r="24">
      <c r="A24" s="255" t="inlineStr">
        <is>
          <t>Private Equity</t>
        </is>
      </c>
      <c r="B24" s="173" t="n">
        <v>0.01</v>
      </c>
      <c r="C24" s="173" t="n">
        <v>0.01</v>
      </c>
      <c r="D24" s="68">
        <f>Inputs!B12</f>
        <v>0</v>
      </c>
      <c r="E24" s="256">
        <f>Inputs!C12</f>
        <v>0.03</v>
      </c>
    </row>
    <row r="25">
      <c r="A25" s="255" t="inlineStr">
        <is>
          <t>Australian Fixed Income</t>
        </is>
      </c>
      <c r="B25" s="173" t="n">
        <v>0.1473</v>
      </c>
      <c r="C25" s="173" t="n">
        <v>0.1625</v>
      </c>
      <c r="D25" s="68">
        <f>Inputs!B13</f>
        <v>0.15</v>
      </c>
      <c r="E25" s="256">
        <f>Inputs!C13</f>
        <v>0.14</v>
      </c>
    </row>
    <row r="26">
      <c r="A26" s="255" t="inlineStr">
        <is>
          <t>World Fixed Income</t>
        </is>
      </c>
      <c r="B26" s="173" t="n">
        <v>0.05</v>
      </c>
      <c r="C26" s="173" t="n">
        <v>0.2</v>
      </c>
      <c r="D26" s="68">
        <f>Inputs!B14</f>
        <v>0.08</v>
      </c>
      <c r="E26" s="256">
        <f>Inputs!C14</f>
        <v>0.11</v>
      </c>
    </row>
    <row r="27">
      <c r="A27" s="258" t="inlineStr">
        <is>
          <t>Cash</t>
        </is>
      </c>
      <c r="B27" s="368" t="n">
        <v>0.02</v>
      </c>
      <c r="C27" s="368" t="n">
        <v>0.02</v>
      </c>
      <c r="D27" s="259">
        <f>Inputs!B15</f>
        <v>0.07</v>
      </c>
      <c r="E27" s="369">
        <f>Inputs!C15</f>
        <v>0.03</v>
      </c>
    </row>
    <row r="28">
      <c r="A28" s="181" t="inlineStr">
        <is>
          <t>3. Sensitivity portfolios (pasted Solver output)</t>
        </is>
      </c>
      <c r="B28" s="182" t="n"/>
      <c r="C28" s="182" t="n"/>
      <c r="D28" s="182" t="n"/>
      <c r="E28" s="183" t="n"/>
    </row>
    <row r="29" ht="30" customHeight="1">
      <c r="A29" s="184" t="inlineStr">
        <is>
          <t>Asset class</t>
        </is>
      </c>
      <c r="B29" s="185" t="inlineStr">
        <is>
          <t>Naive MVO</t>
        </is>
      </c>
      <c r="C29" s="185" t="inlineStr">
        <is>
          <t>Unshrunk covariance</t>
        </is>
      </c>
      <c r="D29" s="185" t="inlineStr">
        <is>
          <t>Tight TE (0.75%)</t>
        </is>
      </c>
      <c r="E29" s="186" t="inlineStr">
        <is>
          <t>Loose TE (1.5%)</t>
        </is>
      </c>
    </row>
    <row r="30">
      <c r="A30" s="187" t="inlineStr">
        <is>
          <t>Australian Equities</t>
        </is>
      </c>
      <c r="B30" s="173" t="n">
        <v>0.2149</v>
      </c>
      <c r="C30" s="173" t="n">
        <v>0.2732</v>
      </c>
      <c r="D30" s="173" t="n">
        <v>0.2638</v>
      </c>
      <c r="E30" s="209" t="n">
        <v>0.2803</v>
      </c>
    </row>
    <row r="31">
      <c r="A31" s="187" t="inlineStr">
        <is>
          <t>World Equities</t>
        </is>
      </c>
      <c r="B31" s="173" t="n">
        <v>0.35</v>
      </c>
      <c r="C31" s="173" t="n">
        <v>0.2879</v>
      </c>
      <c r="D31" s="173" t="n">
        <v>0.2667</v>
      </c>
      <c r="E31" s="209" t="n">
        <v>0.2809</v>
      </c>
    </row>
    <row r="32">
      <c r="A32" s="187" t="inlineStr">
        <is>
          <t>Emerging Markets</t>
        </is>
      </c>
      <c r="B32" s="173" t="n">
        <v>0.0551</v>
      </c>
      <c r="C32" s="173" t="n">
        <v>0.0589</v>
      </c>
      <c r="D32" s="173" t="n">
        <v>0.0569</v>
      </c>
      <c r="E32" s="209" t="n">
        <v>0.0588</v>
      </c>
    </row>
    <row r="33">
      <c r="A33" s="187" t="inlineStr">
        <is>
          <t>Listed Property</t>
        </is>
      </c>
      <c r="B33" s="173" t="n">
        <v>0.0372</v>
      </c>
      <c r="C33" s="173" t="n">
        <v>0.08</v>
      </c>
      <c r="D33" s="173" t="n">
        <v>0.078</v>
      </c>
      <c r="E33" s="209" t="n">
        <v>0.1165</v>
      </c>
    </row>
    <row r="34">
      <c r="A34" s="187" t="inlineStr">
        <is>
          <t>Commodities</t>
        </is>
      </c>
      <c r="B34" s="173" t="n">
        <v>0.03</v>
      </c>
      <c r="C34" s="173" t="n">
        <v>0.0243</v>
      </c>
      <c r="D34" s="173" t="n">
        <v>0.0237</v>
      </c>
      <c r="E34" s="209" t="n">
        <v>0.0292</v>
      </c>
    </row>
    <row r="35">
      <c r="A35" s="187" t="inlineStr">
        <is>
          <t>Direct Property</t>
        </is>
      </c>
      <c r="B35" s="173" t="n">
        <v>0.05</v>
      </c>
      <c r="C35" s="173" t="n">
        <v>0</v>
      </c>
      <c r="D35" s="173" t="n">
        <v>0.0128</v>
      </c>
      <c r="E35" s="209" t="n">
        <v>0</v>
      </c>
    </row>
    <row r="36">
      <c r="A36" s="187" t="inlineStr">
        <is>
          <t>Hedge Funds</t>
        </is>
      </c>
      <c r="B36" s="173" t="n">
        <v>0</v>
      </c>
      <c r="C36" s="173" t="n">
        <v>0</v>
      </c>
      <c r="D36" s="173" t="n">
        <v>0</v>
      </c>
      <c r="E36" s="209" t="n">
        <v>0</v>
      </c>
    </row>
    <row r="37">
      <c r="A37" s="187" t="inlineStr">
        <is>
          <t>Private Equity</t>
        </is>
      </c>
      <c r="B37" s="173" t="n">
        <v>0.01</v>
      </c>
      <c r="C37" s="173" t="n">
        <v>0</v>
      </c>
      <c r="D37" s="173" t="n">
        <v>0.0097</v>
      </c>
      <c r="E37" s="209" t="n">
        <v>0</v>
      </c>
    </row>
    <row r="38">
      <c r="A38" s="187" t="inlineStr">
        <is>
          <t>Australian Fixed Income</t>
        </is>
      </c>
      <c r="B38" s="173" t="n">
        <v>0.05</v>
      </c>
      <c r="C38" s="173" t="n">
        <v>0.12</v>
      </c>
      <c r="D38" s="173" t="n">
        <v>0.12</v>
      </c>
      <c r="E38" s="209" t="n">
        <v>0.12</v>
      </c>
    </row>
    <row r="39">
      <c r="A39" s="187" t="inlineStr">
        <is>
          <t>World Fixed Income</t>
        </is>
      </c>
      <c r="B39" s="173" t="n">
        <v>0.1828</v>
      </c>
      <c r="C39" s="173" t="n">
        <v>0.1357</v>
      </c>
      <c r="D39" s="173" t="n">
        <v>0.1484</v>
      </c>
      <c r="E39" s="209" t="n">
        <v>0.09429999999999999</v>
      </c>
    </row>
    <row r="40">
      <c r="A40" s="190" t="inlineStr">
        <is>
          <t>Cash</t>
        </is>
      </c>
      <c r="B40" s="191" t="n">
        <v>0.02</v>
      </c>
      <c r="C40" s="191" t="n">
        <v>0.02</v>
      </c>
      <c r="D40" s="191" t="n">
        <v>0.02</v>
      </c>
      <c r="E40" s="219" t="n">
        <v>0.02</v>
      </c>
    </row>
    <row r="43">
      <c r="A43" s="247" t="inlineStr">
        <is>
          <t>4. Out-of-sample result (test window 2016-26)</t>
        </is>
      </c>
      <c r="B43" s="248" t="n"/>
      <c r="C43" s="248" t="n"/>
      <c r="D43" s="248" t="n"/>
      <c r="E43" s="249" t="n"/>
    </row>
    <row r="44">
      <c r="A44" s="257" t="n"/>
      <c r="B44" s="77" t="n"/>
      <c r="C44" s="77" t="n"/>
      <c r="D44" s="77" t="n"/>
      <c r="E44" s="251" t="n"/>
    </row>
    <row r="45">
      <c r="A45" s="252" t="inlineStr">
        <is>
          <t>Measure</t>
        </is>
      </c>
      <c r="B45" s="253" t="inlineStr">
        <is>
          <t>Robust method</t>
        </is>
      </c>
      <c r="C45" s="253" t="inlineStr">
        <is>
          <t>Naive MVO</t>
        </is>
      </c>
      <c r="D45" s="253" t="inlineStr">
        <is>
          <t>Current fund</t>
        </is>
      </c>
      <c r="E45" s="254" t="inlineStr">
        <is>
          <t>Benchmark</t>
        </is>
      </c>
    </row>
    <row r="46">
      <c r="A46" s="255" t="inlineStr">
        <is>
          <t>Predicted return at fit date</t>
        </is>
      </c>
      <c r="B46" s="189" t="n">
        <v>0.03858489304533398</v>
      </c>
      <c r="C46" s="189" t="n">
        <v>0.04874364856030009</v>
      </c>
      <c r="D46" s="77" t="n"/>
      <c r="E46" s="251" t="n"/>
    </row>
    <row r="47">
      <c r="A47" s="255" t="inlineStr">
        <is>
          <t>Realised return, annualised</t>
        </is>
      </c>
      <c r="B47" s="72">
        <f>EXP(SUMPRODUCT(LN(1+'Quarterly returns'!AC$46:AC$85))*4/40)-1</f>
        <v>0.0877436646069423</v>
      </c>
      <c r="C47" s="72">
        <f>EXP(SUMPRODUCT(LN(1+'Quarterly returns'!AD$46:AD$85))*4/40)-1</f>
        <v>0.0676808469047507</v>
      </c>
      <c r="D47" s="72">
        <f>EXP(SUMPRODUCT(LN(1+'Quarterly returns'!Z$46:Z$85))*4/40)-1</f>
        <v>0.0777619511169776</v>
      </c>
      <c r="E47" s="263">
        <f>EXP(SUMPRODUCT(LN(1+'Quarterly returns'!AA$46:AA$85))*4/40)-1</f>
        <v>0.0790360374289978</v>
      </c>
    </row>
    <row r="48">
      <c r="A48" s="255" t="inlineStr">
        <is>
          <t>Forecast error</t>
        </is>
      </c>
      <c r="B48" s="72">
        <f>B47-B46</f>
        <v>0.0491587715616083</v>
      </c>
      <c r="C48" s="72">
        <f>C47-C46</f>
        <v>0.0189371983444506</v>
      </c>
      <c r="D48" s="77" t="n"/>
      <c r="E48" s="251" t="n"/>
    </row>
    <row r="49">
      <c r="A49" s="255" t="inlineStr">
        <is>
          <t>Realised volatility</t>
        </is>
      </c>
      <c r="B49" s="72">
        <f>STDEV('Quarterly returns'!AC$46:AC$85)*2</f>
        <v>0.0813803431559554</v>
      </c>
      <c r="C49" s="72">
        <f>STDEV('Quarterly returns'!AD$46:AD$85)*2</f>
        <v>0.0664881814328467</v>
      </c>
      <c r="D49" s="72">
        <f>STDEV('Quarterly returns'!Z$46:Z$85)*2</f>
        <v>0.0853317910838487</v>
      </c>
      <c r="E49" s="263">
        <f>STDEV('Quarterly returns'!AA$46:AA$85)*2</f>
        <v>0.0732041136727284</v>
      </c>
    </row>
    <row r="50">
      <c r="A50" s="258" t="inlineStr">
        <is>
          <t>Return per unit of risk</t>
        </is>
      </c>
      <c r="B50" s="297">
        <f>B47/B49</f>
        <v>1.07819236444841</v>
      </c>
      <c r="C50" s="297">
        <f>C47/C49</f>
        <v>1.01793800711949</v>
      </c>
      <c r="D50" s="297">
        <f>D47/D49</f>
        <v>0.911289334599424</v>
      </c>
      <c r="E50" s="370">
        <f>E47/E49</f>
        <v>1.07966661248495</v>
      </c>
    </row>
    <row r="53">
      <c r="A53" s="181" t="inlineStr">
        <is>
          <t>5. Sensitivity result</t>
        </is>
      </c>
      <c r="B53" s="182" t="n"/>
      <c r="C53" s="182" t="n"/>
      <c r="D53" s="182" t="n"/>
      <c r="E53" s="183" t="n"/>
    </row>
    <row r="54">
      <c r="A54" s="268" t="n"/>
      <c r="B54" s="77" t="n"/>
      <c r="C54" s="77" t="n"/>
      <c r="D54" s="77" t="n"/>
      <c r="E54" s="269" t="n"/>
    </row>
    <row r="55" ht="30" customHeight="1">
      <c r="A55" s="184" t="inlineStr">
        <is>
          <t>Portfolio</t>
        </is>
      </c>
      <c r="B55" s="185" t="inlineStr">
        <is>
          <t>Expected return (arithmetic)</t>
        </is>
      </c>
      <c r="C55" s="185" t="inlineStr">
        <is>
          <t>Volatility</t>
        </is>
      </c>
      <c r="D55" s="185" t="inlineStr">
        <is>
          <t>Tracking error</t>
        </is>
      </c>
      <c r="E55" s="186" t="inlineStr">
        <is>
          <t>Max weight gap vs rec.</t>
        </is>
      </c>
    </row>
    <row r="56">
      <c r="A56" s="371" t="inlineStr">
        <is>
          <t>Recommended</t>
        </is>
      </c>
      <c r="B56" s="72">
        <f>Risk!N58</f>
        <v>0.0700321062587087</v>
      </c>
      <c r="C56" s="72">
        <f>Risk!M58</f>
        <v>0.0783891281769718</v>
      </c>
      <c r="D56" s="72">
        <f>Risk!O58</f>
        <v>0.0110023822192608</v>
      </c>
      <c r="E56" s="272" t="n">
        <v>0</v>
      </c>
    </row>
    <row r="57">
      <c r="A57" s="187" t="inlineStr">
        <is>
          <t>Naive MVO</t>
        </is>
      </c>
      <c r="B57" s="72">
        <f>Risk!N59</f>
        <v>0.068641850609891</v>
      </c>
      <c r="C57" s="72">
        <f>Risk!M59</f>
        <v>0.0753415012314277</v>
      </c>
      <c r="D57" s="72">
        <f>Risk!O59</f>
        <v>0.0134776833832313</v>
      </c>
      <c r="E57" s="272">
        <f>Risk!P59</f>
        <v>0.071</v>
      </c>
    </row>
    <row r="58">
      <c r="A58" s="187" t="inlineStr">
        <is>
          <t>Unshrunk covariance</t>
        </is>
      </c>
      <c r="B58" s="72">
        <f>Risk!N60</f>
        <v>0.0699118836330803</v>
      </c>
      <c r="C58" s="72">
        <f>Risk!M60</f>
        <v>0.078033812785194</v>
      </c>
      <c r="D58" s="72">
        <f>Risk!O60</f>
        <v>0.01063713359279</v>
      </c>
      <c r="E58" s="272">
        <f>Risk!P60</f>
        <v>0.00889999999999996</v>
      </c>
    </row>
    <row r="59">
      <c r="A59" s="187" t="inlineStr">
        <is>
          <t>Tight TE (0.75%)</t>
        </is>
      </c>
      <c r="B59" s="72">
        <f>Risk!N61</f>
        <v>0.0689428060606464</v>
      </c>
      <c r="C59" s="72">
        <f>Risk!M61</f>
        <v>0.0752445449879719</v>
      </c>
      <c r="D59" s="72">
        <f>Risk!O61</f>
        <v>0.00749916013685738</v>
      </c>
      <c r="E59" s="272">
        <f>Risk!P61</f>
        <v>0.0195</v>
      </c>
    </row>
    <row r="60">
      <c r="A60" s="187" t="inlineStr">
        <is>
          <t>Loose TE (1.5%)</t>
        </is>
      </c>
      <c r="B60" s="72">
        <f>Risk!N62</f>
        <v>0.0709403093080447</v>
      </c>
      <c r="C60" s="72">
        <f>Risk!M62</f>
        <v>0.0822387146606363</v>
      </c>
      <c r="D60" s="72">
        <f>Risk!O62</f>
        <v>0.0150036465123069</v>
      </c>
      <c r="E60" s="272">
        <f>Risk!P62</f>
        <v>0.0346</v>
      </c>
    </row>
    <row r="61">
      <c r="A61" s="190" t="inlineStr">
        <is>
          <t>Current fund</t>
        </is>
      </c>
      <c r="B61" s="372">
        <f>Risk!N56</f>
        <v>0.069624614709126</v>
      </c>
      <c r="C61" s="372">
        <f>Risk!M56</f>
        <v>0.0838339641597338</v>
      </c>
      <c r="D61" s="372">
        <f>Risk!O56</f>
        <v>0.0215850264140928</v>
      </c>
      <c r="E61" s="373">
        <f>MAX(ABS(Risk!B56-Risk!$B$58),ABS(Risk!C56-Risk!$C$58),ABS(Risk!D56-Risk!$D$58),ABS(Risk!E56-Risk!$E$58),ABS(Risk!F56-Risk!$F$58),ABS(Risk!G56-Risk!$G$58),ABS(Risk!H56-Risk!$H$58),ABS(Risk!I56-Risk!$I$58),ABS(Risk!J56-Risk!$J$58),ABS(Risk!K56-Risk!$K$58),ABS(Risk!L56-Risk!$L$58))</f>
        <v>0.1262</v>
      </c>
    </row>
    <row r="64">
      <c r="A64" s="86" t="inlineStr">
        <is>
          <t>6. Forecast stress test: what if a forecast is wrong?</t>
        </is>
      </c>
      <c r="B64" s="87" t="n"/>
      <c r="C64" s="87" t="n"/>
      <c r="D64" s="87" t="n"/>
      <c r="E64" s="87" t="n"/>
      <c r="F64" s="87" t="n"/>
      <c r="G64" s="87" t="n"/>
      <c r="H64" s="88" t="n"/>
    </row>
    <row r="65">
      <c r="A65" s="98" t="inlineStr">
        <is>
          <t>Forecast error (+/-)</t>
        </is>
      </c>
      <c r="B65" s="189" t="n">
        <v>0.01</v>
      </c>
      <c r="C65" s="77" t="n"/>
      <c r="D65" s="77" t="n"/>
      <c r="E65" s="77" t="n"/>
      <c r="F65" s="77" t="n"/>
      <c r="G65" s="77" t="n"/>
      <c r="H65" s="282" t="n"/>
    </row>
    <row r="66">
      <c r="A66" s="283" t="inlineStr">
        <is>
          <t>Base advantage vs current (compound)</t>
        </is>
      </c>
      <c r="B66" s="96">
        <f>(Risk!$N$58-Risk!$M$58^2/2)-(Risk!$N$56-Risk!$M$56^2/2)</f>
        <v>0.000849130614777691</v>
      </c>
      <c r="C66" s="77" t="n"/>
      <c r="D66" s="77" t="n"/>
      <c r="E66" s="77" t="n"/>
      <c r="F66" s="77" t="n"/>
      <c r="G66" s="77" t="n"/>
      <c r="H66" s="282" t="n"/>
    </row>
    <row r="67" ht="42" customHeight="1">
      <c r="A67" s="92" t="inlineStr">
        <is>
          <t>Asset class</t>
        </is>
      </c>
      <c r="B67" s="93" t="inlineStr">
        <is>
          <t>Recommended weight</t>
        </is>
      </c>
      <c r="C67" s="93" t="inlineStr">
        <is>
          <t>Current weight</t>
        </is>
      </c>
      <c r="D67" s="93" t="inlineStr">
        <is>
          <t>Rec. return (+)</t>
        </is>
      </c>
      <c r="E67" s="93" t="inlineStr">
        <is>
          <t>Rec. return (-)</t>
        </is>
      </c>
      <c r="F67" s="93" t="inlineStr">
        <is>
          <t>Advantage (+)</t>
        </is>
      </c>
      <c r="G67" s="93" t="inlineStr">
        <is>
          <t>Advantage (-)</t>
        </is>
      </c>
      <c r="H67" s="94" t="inlineStr">
        <is>
          <t>Error that removes advantage</t>
        </is>
      </c>
    </row>
    <row r="68">
      <c r="A68" s="98" t="inlineStr">
        <is>
          <t>Australian Equities</t>
        </is>
      </c>
      <c r="B68" s="68">
        <f>Portfolio!E6</f>
        <v>0.2738</v>
      </c>
      <c r="C68" s="68">
        <f>Portfolio!C6</f>
        <v>0.4</v>
      </c>
      <c r="D68" s="72">
        <f>Risk!$N$58+B68*$B$65</f>
        <v>0.0727701062587087</v>
      </c>
      <c r="E68" s="72">
        <f>Risk!$N$58-B68*$B$65</f>
        <v>0.0672941062587087</v>
      </c>
      <c r="F68" s="72">
        <f>$B$66+(B68-C68)*$B$65</f>
        <v>-0.00041286938522231</v>
      </c>
      <c r="G68" s="72">
        <f>$B$66-(B68-C68)*$B$65</f>
        <v>0.00211113061477769</v>
      </c>
      <c r="H68" s="284">
        <f>IF(ABS(B68-C68)&lt;0.0001,"n/a",-$B$66/(B68-C68))</f>
        <v>0.00672845178112274</v>
      </c>
      <c r="I68" s="374">
        <f>IF(ISNUMBER(H68),ABS(H68),"")</f>
        <v>0.00672845178112274</v>
      </c>
    </row>
    <row r="69">
      <c r="A69" s="98" t="inlineStr">
        <is>
          <t>World Equities</t>
        </is>
      </c>
      <c r="B69" s="68">
        <f>Portfolio!E7</f>
        <v>0.279</v>
      </c>
      <c r="C69" s="68">
        <f>Portfolio!C7</f>
        <v>0.2</v>
      </c>
      <c r="D69" s="72">
        <f>Risk!$N$58+B69*$B$65</f>
        <v>0.0728221062587087</v>
      </c>
      <c r="E69" s="72">
        <f>Risk!$N$58-B69*$B$65</f>
        <v>0.0672421062587087</v>
      </c>
      <c r="F69" s="72">
        <f>$B$66+(B69-C69)*$B$65</f>
        <v>0.00163913061477769</v>
      </c>
      <c r="G69" s="72">
        <f>$B$66-(B69-C69)*$B$65</f>
        <v>5.91306147776905e-05</v>
      </c>
      <c r="H69" s="284">
        <f>IF(ABS(B69-C69)&lt;0.0001,"n/a",-$B$66/(B69-C69))</f>
        <v>-0.0107484887946543</v>
      </c>
      <c r="I69" s="374">
        <f>IF(ISNUMBER(H69),ABS(H69),"")</f>
        <v>0.0107484887946543</v>
      </c>
    </row>
    <row r="70">
      <c r="A70" s="98" t="inlineStr">
        <is>
          <t>Emerging Markets</t>
        </is>
      </c>
      <c r="B70" s="68">
        <f>Portfolio!E8</f>
        <v>0.0672</v>
      </c>
      <c r="C70" s="68">
        <f>Portfolio!C8</f>
        <v>0</v>
      </c>
      <c r="D70" s="72">
        <f>Risk!$N$58+B70*$B$65</f>
        <v>0.0707041062587087</v>
      </c>
      <c r="E70" s="72">
        <f>Risk!$N$58-B70*$B$65</f>
        <v>0.0693601062587087</v>
      </c>
      <c r="F70" s="72">
        <f>$B$66+(B70-C70)*$B$65</f>
        <v>0.00152113061477769</v>
      </c>
      <c r="G70" s="72">
        <f>$B$66-(B70-C70)*$B$65</f>
        <v>0.000177130614777691</v>
      </c>
      <c r="H70" s="284">
        <f>IF(ABS(B70-C70)&lt;0.0001,"n/a",-$B$66/(B70-C70))</f>
        <v>-0.0126358722437156</v>
      </c>
      <c r="I70" s="374">
        <f>IF(ISNUMBER(H70),ABS(H70),"")</f>
        <v>0.0126358722437156</v>
      </c>
    </row>
    <row r="71">
      <c r="A71" s="98" t="inlineStr">
        <is>
          <t>Listed Property</t>
        </is>
      </c>
      <c r="B71" s="68">
        <f>Portfolio!E9</f>
        <v>0.0867</v>
      </c>
      <c r="C71" s="68">
        <f>Portfolio!C9</f>
        <v>0.1</v>
      </c>
      <c r="D71" s="72">
        <f>Risk!$N$58+B71*$B$65</f>
        <v>0.0708991062587087</v>
      </c>
      <c r="E71" s="72">
        <f>Risk!$N$58-B71*$B$65</f>
        <v>0.0691651062587087</v>
      </c>
      <c r="F71" s="72">
        <f>$B$66+(B71-C71)*$B$65</f>
        <v>0.000716130614777691</v>
      </c>
      <c r="G71" s="72">
        <f>$B$66-(B71-C71)*$B$65</f>
        <v>0.000982130614777691</v>
      </c>
      <c r="H71" s="284">
        <f>IF(ABS(B71-C71)&lt;0.0001,"n/a",-$B$66/(B71-C71))</f>
        <v>0.0638444071261421</v>
      </c>
      <c r="I71" s="374">
        <f>IF(ISNUMBER(H71),ABS(H71),"")</f>
        <v>0.0638444071261421</v>
      </c>
    </row>
    <row r="72">
      <c r="A72" s="98" t="inlineStr">
        <is>
          <t>Commodities</t>
        </is>
      </c>
      <c r="B72" s="68">
        <f>Portfolio!E10</f>
        <v>0.0244</v>
      </c>
      <c r="C72" s="68">
        <f>Portfolio!C10</f>
        <v>0</v>
      </c>
      <c r="D72" s="72">
        <f>Risk!$N$58+B72*$B$65</f>
        <v>0.0702761062587087</v>
      </c>
      <c r="E72" s="72">
        <f>Risk!$N$58-B72*$B$65</f>
        <v>0.0697881062587087</v>
      </c>
      <c r="F72" s="72">
        <f>$B$66+(B72-C72)*$B$65</f>
        <v>0.00109313061477769</v>
      </c>
      <c r="G72" s="72">
        <f>$B$66-(B72-C72)*$B$65</f>
        <v>0.000605130614777691</v>
      </c>
      <c r="H72" s="284">
        <f>IF(ABS(B72-C72)&lt;0.0001,"n/a",-$B$66/(B72-C72))</f>
        <v>-0.0348004350318726</v>
      </c>
      <c r="I72" s="374">
        <f>IF(ISNUMBER(H72),ABS(H72),"")</f>
        <v>0.0348004350318726</v>
      </c>
    </row>
    <row r="73">
      <c r="A73" s="98" t="inlineStr">
        <is>
          <t>Direct Property</t>
        </is>
      </c>
      <c r="B73" s="68">
        <f>Portfolio!E11</f>
        <v>0</v>
      </c>
      <c r="C73" s="68">
        <f>Portfolio!C11</f>
        <v>0</v>
      </c>
      <c r="D73" s="72">
        <f>Risk!$N$58+B73*$B$65</f>
        <v>0.0700321062587087</v>
      </c>
      <c r="E73" s="72">
        <f>Risk!$N$58-B73*$B$65</f>
        <v>0.0700321062587087</v>
      </c>
      <c r="F73" s="72">
        <f>$B$66+(B73-C73)*$B$65</f>
        <v>0.000849130614777691</v>
      </c>
      <c r="G73" s="72">
        <f>$B$66-(B73-C73)*$B$65</f>
        <v>0.000849130614777691</v>
      </c>
      <c r="H73" s="284" t="str">
        <f>IF(ABS(B73-C73)&lt;0.0001,"n/a",-$B$66/(B73-C73))</f>
        <v>n/a</v>
      </c>
      <c r="I73" s="374">
        <f>IF(ISNUMBER(H73),ABS(H73),"")</f>
      </c>
    </row>
    <row r="74">
      <c r="A74" s="98" t="inlineStr">
        <is>
          <t>Hedge Funds</t>
        </is>
      </c>
      <c r="B74" s="68">
        <f>Portfolio!E12</f>
        <v>0</v>
      </c>
      <c r="C74" s="68">
        <f>Portfolio!C12</f>
        <v>0</v>
      </c>
      <c r="D74" s="72">
        <f>Risk!$N$58+B74*$B$65</f>
        <v>0.0700321062587087</v>
      </c>
      <c r="E74" s="72">
        <f>Risk!$N$58-B74*$B$65</f>
        <v>0.0700321062587087</v>
      </c>
      <c r="F74" s="72">
        <f>$B$66+(B74-C74)*$B$65</f>
        <v>0.000849130614777691</v>
      </c>
      <c r="G74" s="72">
        <f>$B$66-(B74-C74)*$B$65</f>
        <v>0.000849130614777691</v>
      </c>
      <c r="H74" s="284" t="str">
        <f>IF(ABS(B74-C74)&lt;0.0001,"n/a",-$B$66/(B74-C74))</f>
        <v>n/a</v>
      </c>
      <c r="I74" s="374">
        <f>IF(ISNUMBER(H74),ABS(H74),"")</f>
      </c>
    </row>
    <row r="75">
      <c r="A75" s="98" t="inlineStr">
        <is>
          <t>Private Equity</t>
        </is>
      </c>
      <c r="B75" s="68">
        <f>Portfolio!E13</f>
        <v>0</v>
      </c>
      <c r="C75" s="68">
        <f>Portfolio!C13</f>
        <v>0</v>
      </c>
      <c r="D75" s="72">
        <f>Risk!$N$58+B75*$B$65</f>
        <v>0.0700321062587087</v>
      </c>
      <c r="E75" s="72">
        <f>Risk!$N$58-B75*$B$65</f>
        <v>0.0700321062587087</v>
      </c>
      <c r="F75" s="72">
        <f>$B$66+(B75-C75)*$B$65</f>
        <v>0.000849130614777691</v>
      </c>
      <c r="G75" s="72">
        <f>$B$66-(B75-C75)*$B$65</f>
        <v>0.000849130614777691</v>
      </c>
      <c r="H75" s="284" t="str">
        <f>IF(ABS(B75-C75)&lt;0.0001,"n/a",-$B$66/(B75-C75))</f>
        <v>n/a</v>
      </c>
      <c r="I75" s="374">
        <f>IF(ISNUMBER(H75),ABS(H75),"")</f>
      </c>
    </row>
    <row r="76">
      <c r="A76" s="98" t="inlineStr">
        <is>
          <t>Australian Fixed Income</t>
        </is>
      </c>
      <c r="B76" s="68">
        <f>Portfolio!E14</f>
        <v>0.12</v>
      </c>
      <c r="C76" s="68">
        <f>Portfolio!C14</f>
        <v>0.15</v>
      </c>
      <c r="D76" s="72">
        <f>Risk!$N$58+B76*$B$65</f>
        <v>0.0712321062587087</v>
      </c>
      <c r="E76" s="72">
        <f>Risk!$N$58-B76*$B$65</f>
        <v>0.0688321062587087</v>
      </c>
      <c r="F76" s="72">
        <f>$B$66+(B76-C76)*$B$65</f>
        <v>0.000549130614777691</v>
      </c>
      <c r="G76" s="72">
        <f>$B$66-(B76-C76)*$B$65</f>
        <v>0.00114913061477769</v>
      </c>
      <c r="H76" s="284">
        <f>IF(ABS(B76-C76)&lt;0.0001,"n/a",-$B$66/(B76-C76))</f>
        <v>0.028304353825923</v>
      </c>
      <c r="I76" s="374">
        <f>IF(ISNUMBER(H76),ABS(H76),"")</f>
        <v>0.028304353825923</v>
      </c>
    </row>
    <row r="77">
      <c r="A77" s="98" t="inlineStr">
        <is>
          <t>World Fixed Income</t>
        </is>
      </c>
      <c r="B77" s="68">
        <f>Portfolio!E15</f>
        <v>0.1289</v>
      </c>
      <c r="C77" s="68">
        <f>Portfolio!C15</f>
        <v>0.08</v>
      </c>
      <c r="D77" s="72">
        <f>Risk!$N$58+B77*$B$65</f>
        <v>0.0713211062587087</v>
      </c>
      <c r="E77" s="72">
        <f>Risk!$N$58-B77*$B$65</f>
        <v>0.0687431062587087</v>
      </c>
      <c r="F77" s="72">
        <f>$B$66+(B77-C77)*$B$65</f>
        <v>0.00133813061477769</v>
      </c>
      <c r="G77" s="72">
        <f>$B$66-(B77-C77)*$B$65</f>
        <v>0.000360130614777691</v>
      </c>
      <c r="H77" s="284">
        <f>IF(ABS(B77-C77)&lt;0.0001,"n/a",-$B$66/(B77-C77))</f>
        <v>-0.0173646342490325</v>
      </c>
      <c r="I77" s="374">
        <f>IF(ISNUMBER(H77),ABS(H77),"")</f>
        <v>0.0173646342490325</v>
      </c>
    </row>
    <row r="78">
      <c r="A78" s="98" t="inlineStr">
        <is>
          <t>Cash</t>
        </is>
      </c>
      <c r="B78" s="68">
        <f>Portfolio!E16</f>
        <v>0.02</v>
      </c>
      <c r="C78" s="68">
        <f>Portfolio!C16</f>
        <v>0.07</v>
      </c>
      <c r="D78" s="72">
        <f>Risk!$N$58+B78*$B$65</f>
        <v>0.0702321062587087</v>
      </c>
      <c r="E78" s="72">
        <f>Risk!$N$58-B78*$B$65</f>
        <v>0.0698321062587087</v>
      </c>
      <c r="F78" s="72">
        <f>$B$66+(B78-C78)*$B$65</f>
        <v>0.000349130614777691</v>
      </c>
      <c r="G78" s="72">
        <f>$B$66-(B78-C78)*$B$65</f>
        <v>0.00134913061477769</v>
      </c>
      <c r="H78" s="284">
        <f>IF(ABS(B78-C78)&lt;0.0001,"n/a",-$B$66/(B78-C78))</f>
        <v>0.0169826122955538</v>
      </c>
      <c r="I78" s="374">
        <f>IF(ISNUMBER(H78),ABS(H78),"")</f>
        <v>0.0169826122955538</v>
      </c>
    </row>
    <row r="79">
      <c r="A79" s="283" t="inlineStr">
        <is>
          <t>Smallest error that removes advantage</t>
        </is>
      </c>
      <c r="B79" s="77" t="n"/>
      <c r="C79" s="77" t="n"/>
      <c r="D79" s="77" t="n"/>
      <c r="E79" s="77" t="n"/>
      <c r="F79" s="77" t="n"/>
      <c r="G79" s="77" t="n"/>
      <c r="H79" s="375">
        <f>MIN(I68:I78)</f>
        <v>0.00672845178112274</v>
      </c>
    </row>
    <row r="80" ht="30" customHeight="1">
      <c r="A80" s="92" t="inlineStr">
        <is>
          <t>Scenario</t>
        </is>
      </c>
      <c r="B80" s="93" t="inlineStr">
        <is>
          <t>Rec. return</t>
        </is>
      </c>
      <c r="C80" s="93" t="inlineStr">
        <is>
          <t>Current return</t>
        </is>
      </c>
      <c r="D80" s="93" t="inlineStr">
        <is>
          <t>Advantage</t>
        </is>
      </c>
      <c r="E80" s="93" t="inlineStr">
        <is>
          <t>Rec. loss prob. (normal)</t>
        </is>
      </c>
      <c r="F80" s="93" t="inlineStr">
        <is>
          <t>Current loss prob. (normal)</t>
        </is>
      </c>
      <c r="G80" s="77" t="n"/>
      <c r="H80" s="282" t="n"/>
    </row>
    <row r="81">
      <c r="A81" s="98" t="inlineStr">
        <is>
          <t>All equities down by the error</t>
        </is>
      </c>
      <c r="B81" s="72">
        <f>Risk!$N$58-$B$65*SUMPRODUCT(Portfolio!E6:E16,Inputs!$G$5:$G$15)</f>
        <v>0.0638321062587087</v>
      </c>
      <c r="C81" s="72">
        <f>Risk!$N$56-$B$65*SUMPRODUCT(Portfolio!C6:C16,Inputs!$G$5:$G$15)</f>
        <v>0.063624614709126</v>
      </c>
      <c r="D81" s="72">
        <f>B81-C81</f>
        <v>0.000207491549582786</v>
      </c>
      <c r="E81" s="68">
        <f>NORMSDIST(-(B81-Risk!$M$58^2/2)*SQRT(5)/Risk!$M$58)</f>
        <v>0.0415314976560059</v>
      </c>
      <c r="F81" s="68">
        <f>NORMSDIST(-(C81-Risk!$M$56^2/2)*SQRT(5)/Risk!$M$56)</f>
        <v>0.0544338541954218</v>
      </c>
      <c r="G81" s="77" t="n"/>
      <c r="H81" s="282" t="n"/>
    </row>
    <row r="82">
      <c r="A82" s="98" t="inlineStr">
        <is>
          <t>All growth assets down by the error</t>
        </is>
      </c>
      <c r="B82" s="72">
        <f>Risk!$N$58-$B$65*SUM(Portfolio!E6:E13)</f>
        <v>0.0627211062587087</v>
      </c>
      <c r="C82" s="72">
        <f>Risk!$N$56-$B$65*SUM(Portfolio!C6:C13)</f>
        <v>0.062624614709126</v>
      </c>
      <c r="D82" s="72">
        <f>B82-C82</f>
        <v>9.64915495827862e-05</v>
      </c>
      <c r="E82" s="68">
        <f>NORMSDIST(-(B82-Risk!$M$58^2/2)*SQRT(5)/Risk!$M$58)</f>
        <v>0.0444252888431927</v>
      </c>
      <c r="F82" s="68">
        <f>NORMSDIST(-(C82-Risk!$M$56^2/2)*SQRT(5)/Risk!$M$56)</f>
        <v>0.0574402598209126</v>
      </c>
      <c r="G82" s="77" t="n"/>
      <c r="H82" s="282" t="n"/>
    </row>
    <row r="83">
      <c r="A83" s="100" t="inlineStr">
        <is>
          <t>All assets down by the error</t>
        </is>
      </c>
      <c r="B83" s="376">
        <f>Risk!$N$58-$B$65*1</f>
        <v>0.0600321062587087</v>
      </c>
      <c r="C83" s="376">
        <f>Risk!$N$56-$B$65*1</f>
        <v>0.059624614709126</v>
      </c>
      <c r="D83" s="376">
        <f>B83-C83</f>
        <v>0.000407491549582778</v>
      </c>
      <c r="E83" s="101">
        <f>NORMSDIST(-(B83-Risk!$M$58^2/2)*SQRT(5)/Risk!$M$58)</f>
        <v>0.0521038715626541</v>
      </c>
      <c r="F83" s="101">
        <f>NORMSDIST(-(C83-Risk!$M$56^2/2)*SQRT(5)/Risk!$M$56)</f>
        <v>0.0672469945672007</v>
      </c>
      <c r="G83" s="377" t="n"/>
      <c r="H83" s="378" t="n"/>
    </row>
    <row r="85">
      <c r="A85" s="531" t="inlineStr">
        <is>
          <t>7. Integrity of pasted Solver outputs (re-tested against current inputs)</t>
        </is>
      </c>
      <c r="B85" s="532" t="n"/>
      <c r="C85" s="532" t="n"/>
      <c r="D85" s="532" t="n"/>
      <c r="E85" s="532" t="n"/>
      <c r="F85" s="532" t="n"/>
      <c r="G85" s="532" t="n"/>
      <c r="H85" s="533" t="n"/>
    </row>
    <row r="86" ht="40" customHeight="1">
      <c r="A86" s="534" t="inlineStr">
        <is>
          <t>Weight set</t>
        </is>
      </c>
      <c r="B86" s="535" t="inlineStr">
        <is>
          <t>Sum of weights</t>
        </is>
      </c>
      <c r="C86" s="535" t="inlineStr">
        <is>
          <t>Smallest weight</t>
        </is>
      </c>
      <c r="D86" s="535" t="inlineStr">
        <is>
          <t>Cash</t>
        </is>
      </c>
      <c r="E86" s="535" t="inlineStr">
        <is>
          <t>Equity (worst point)</t>
        </is>
      </c>
      <c r="F86" s="535" t="inlineStr">
        <is>
          <t>Tracking error (worst point)</t>
        </is>
      </c>
      <c r="G86" s="535" t="inlineStr">
        <is>
          <t>TE limit</t>
        </is>
      </c>
      <c r="H86" s="536" t="inlineStr">
        <is>
          <t>Status</t>
        </is>
      </c>
    </row>
    <row r="87">
      <c r="A87" s="537" t="inlineStr">
        <is>
          <t>Methods: Robust MVO</t>
        </is>
      </c>
      <c r="B87" s="618">
        <f>SUM(Methods!D6:D16)</f>
        <v>1</v>
      </c>
      <c r="C87" s="433">
        <f>MIN(Methods!D6:D16)</f>
        <v>0</v>
      </c>
      <c r="D87" s="483">
        <f>Methods!D16</f>
        <v>0.02</v>
      </c>
      <c r="E87" s="483">
        <f>SUMPRODUCT(Methods!D6:D16,Inputs!$G$5:$G$15)</f>
        <v>0.62</v>
      </c>
      <c r="F87" s="433">
        <f>SQRT(SUMPRODUCT(MMULT(Risk!$B$41:$L$51,Methods!D6:D16-Portfolio!$D$6:$D$16),Methods!D6:D16-Portfolio!$D$6:$D$16))</f>
        <v>0.0110023822192608</v>
      </c>
      <c r="G87" s="433">
        <f>Inputs!$B$45</f>
        <v>0.011</v>
      </c>
      <c r="H87" s="619" t="str">
        <f>IF(AND(ABS(B87-1)&lt;0.0005,C87&gt;=-0.000001,D87&gt;=Inputs!$B$34-0.00001,E87&gt;=Inputs!$B$31-0.00001,E87&lt;=Inputs!$B$32+0.0005,F87&lt;=G87+0.0002),"PASS","REVIEW")</f>
        <v>PASS</v>
      </c>
    </row>
    <row r="88">
      <c r="A88" s="537" t="inlineStr">
        <is>
          <t>Methods: Sample MVO</t>
        </is>
      </c>
      <c r="B88" s="618">
        <f>SUM(Methods!E6:E16)</f>
        <v>1</v>
      </c>
      <c r="C88" s="433">
        <f>MIN(Methods!E6:E16)</f>
        <v>0</v>
      </c>
      <c r="D88" s="483">
        <f>Methods!E16</f>
        <v>0.02</v>
      </c>
      <c r="E88" s="483">
        <f>SUMPRODUCT(Methods!E6:E16,Inputs!$G$5:$G$15)</f>
        <v>0.62</v>
      </c>
      <c r="F88" s="433">
        <f>SQRT(SUMPRODUCT(MMULT(Risk!$B$41:$L$51,Methods!E6:E16-Portfolio!$D$6:$D$16),Methods!E6:E16-Portfolio!$D$6:$D$16))</f>
        <v>0.01063713359279</v>
      </c>
      <c r="G88" s="433">
        <f>Inputs!$B$45</f>
        <v>0.011</v>
      </c>
      <c r="H88" s="619" t="str">
        <f>IF(AND(ABS(B88-1)&lt;0.0005,C88&gt;=-0.000001,D88&gt;=Inputs!$B$34-0.00001,E88&gt;=Inputs!$B$31-0.00001,E88&lt;=Inputs!$B$32+0.0005,F88&lt;=G88+0.0002),"PASS","REVIEW")</f>
        <v>PASS</v>
      </c>
    </row>
    <row r="89">
      <c r="A89" s="537" t="inlineStr">
        <is>
          <t>Methods: Resampled MVO</t>
        </is>
      </c>
      <c r="B89" s="618">
        <f>SUM(Methods!F6:F16)</f>
        <v>1</v>
      </c>
      <c r="C89" s="433">
        <f>MIN(Methods!F6:F16)</f>
        <v>0.0106</v>
      </c>
      <c r="D89" s="483">
        <f>Methods!F16</f>
        <v>0.0279</v>
      </c>
      <c r="E89" s="483">
        <f>SUMPRODUCT(Methods!F6:F16,Inputs!$G$5:$G$15)</f>
        <v>0.5666</v>
      </c>
      <c r="F89" s="433">
        <f>SQRT(SUMPRODUCT(MMULT(Risk!$B$41:$L$51,Methods!F6:F16-Portfolio!$D$6:$D$16),Methods!F6:F16-Portfolio!$D$6:$D$16))</f>
        <v>0.00549254498116541</v>
      </c>
      <c r="G89" s="433">
        <f>Inputs!$B$45</f>
        <v>0.011</v>
      </c>
      <c r="H89" s="619" t="str">
        <f>IF(AND(ABS(B89-1)&lt;0.0005,C89&gt;=-0.000001,D89&gt;=Inputs!$B$34-0.00001,E89&gt;=Inputs!$B$31-0.00001,E89&lt;=Inputs!$B$32+0.0005,F89&lt;=G89+0.0002),"PASS","REVIEW")</f>
        <v>PASS</v>
      </c>
    </row>
    <row r="90">
      <c r="A90" s="537" t="inlineStr">
        <is>
          <t>Methods: Minimum variance</t>
        </is>
      </c>
      <c r="B90" s="618">
        <f>SUM(Methods!G6:G16)</f>
        <v>1</v>
      </c>
      <c r="C90" s="433">
        <f>MIN(Methods!G6:G16)</f>
        <v>0.0208</v>
      </c>
      <c r="D90" s="483">
        <f>Methods!G16</f>
        <v>0.1</v>
      </c>
      <c r="E90" s="483">
        <f>SUMPRODUCT(Methods!G6:G16,Inputs!$G$5:$G$15)</f>
        <v>0.439</v>
      </c>
      <c r="F90" s="433">
        <f>SQRT(SUMPRODUCT(MMULT(Risk!$B$41:$L$51,Methods!G6:G16-Portfolio!$D$6:$D$16),Methods!G6:G16-Portfolio!$D$6:$D$16))</f>
        <v>0.0110070692691524</v>
      </c>
      <c r="G90" s="433">
        <f>Inputs!$B$45</f>
        <v>0.011</v>
      </c>
      <c r="H90" s="619" t="str">
        <f>IF(AND(ABS(B90-1)&lt;0.0005,C90&gt;=-0.000001,D90&gt;=Inputs!$B$34-0.00001,E90&gt;=Inputs!$B$31-0.00001,E90&lt;=Inputs!$B$32+0.0005,F90&lt;=G90+0.0002),"PASS","REVIEW")</f>
        <v>PASS</v>
      </c>
    </row>
    <row r="91">
      <c r="A91" s="537" t="inlineStr">
        <is>
          <t>Methods: Risk parity</t>
        </is>
      </c>
      <c r="B91" s="618">
        <f>SUM(Methods!H6:H16)</f>
        <v>1</v>
      </c>
      <c r="C91" s="433">
        <f>MIN(Methods!H6:H16)</f>
        <v>0</v>
      </c>
      <c r="D91" s="483">
        <f>Methods!H16</f>
        <v>0.02</v>
      </c>
      <c r="E91" s="483">
        <f>SUMPRODUCT(Methods!H6:H16,Inputs!$G$5:$G$15)</f>
        <v>0.4723</v>
      </c>
      <c r="F91" s="433">
        <f>SQRT(SUMPRODUCT(MMULT(Risk!$B$41:$L$51,Methods!H6:H16-Portfolio!$D$6:$D$16),Methods!H6:H16-Portfolio!$D$6:$D$16))</f>
        <v>0.010999556058269</v>
      </c>
      <c r="G91" s="433">
        <f>Inputs!$B$45</f>
        <v>0.011</v>
      </c>
      <c r="H91" s="619" t="str">
        <f>IF(AND(ABS(B91-1)&lt;0.0005,C91&gt;=-0.000001,D91&gt;=Inputs!$B$34-0.00001,E91&gt;=Inputs!$B$31-0.00001,E91&lt;=Inputs!$B$32+0.0005,F91&lt;=G91+0.0002),"PASS","REVIEW")</f>
        <v>PASS</v>
      </c>
    </row>
    <row r="92">
      <c r="A92" s="537" t="inlineStr">
        <is>
          <t>Sensitivity: Naive MVO</t>
        </is>
      </c>
      <c r="B92" s="618">
        <f>SUM(Validation!B30:B40)</f>
        <v>1</v>
      </c>
      <c r="C92" s="433">
        <f>MIN(Validation!B30:B40)</f>
        <v>0</v>
      </c>
      <c r="D92" s="483">
        <f>Validation!B40</f>
        <v>0.02</v>
      </c>
      <c r="E92" s="483">
        <f>SUMPRODUCT(Validation!B30:B40,Inputs!$G$5:$G$15)</f>
        <v>0.62</v>
      </c>
      <c r="F92" s="433">
        <f>SQRT(SUMPRODUCT(MMULT(Risk!$B$41:$L$51,Validation!B30:B40-Portfolio!$D$6:$D$16),Validation!B30:B40-Portfolio!$D$6:$D$16))</f>
        <v>0.0134776833832313</v>
      </c>
      <c r="G92" s="620" t="inlineStr">
        <is>
          <t>n/a</t>
        </is>
      </c>
      <c r="H92" s="619" t="str">
        <f>IF(AND(ABS(B92-1)&lt;0.0005,C92&gt;=-0.000001,D92&gt;=Inputs!$B$34-0.00001,E92&gt;=Inputs!$B$31-0.00001,E92&lt;=Inputs!$B$32+0.0005,TRUE),"PASS","REVIEW")</f>
        <v>PASS</v>
      </c>
    </row>
    <row r="93">
      <c r="A93" s="537" t="inlineStr">
        <is>
          <t>Sensitivity: Unshrunk covariance</t>
        </is>
      </c>
      <c r="B93" s="618">
        <f>SUM(Validation!C30:C40)</f>
        <v>1</v>
      </c>
      <c r="C93" s="433">
        <f>MIN(Validation!C30:C40)</f>
        <v>0</v>
      </c>
      <c r="D93" s="483">
        <f>Validation!C40</f>
        <v>0.02</v>
      </c>
      <c r="E93" s="483">
        <f>SUMPRODUCT(Validation!C30:C40,Inputs!$G$5:$G$15)</f>
        <v>0.62</v>
      </c>
      <c r="F93" s="433">
        <f>SQRT(SUMPRODUCT(MMULT(Risk!$B$41:$L$51,Validation!C30:C40-Portfolio!$D$6:$D$16),Validation!C30:C40-Portfolio!$D$6:$D$16))</f>
        <v>0.01063713359279</v>
      </c>
      <c r="G93" s="433">
        <f>Inputs!$B$45</f>
        <v>0.011</v>
      </c>
      <c r="H93" s="619" t="str">
        <f>IF(AND(ABS(B93-1)&lt;0.0005,C93&gt;=-0.000001,D93&gt;=Inputs!$B$34-0.00001,E93&gt;=Inputs!$B$31-0.00001,E93&lt;=Inputs!$B$32+0.0005,F93&lt;=G93+0.0002),"PASS","REVIEW")</f>
        <v>PASS</v>
      </c>
    </row>
    <row r="94">
      <c r="A94" s="537" t="inlineStr">
        <is>
          <t>Sensitivity: Tight TE (0.75%)</t>
        </is>
      </c>
      <c r="B94" s="618">
        <f>SUM(Validation!D30:D40)</f>
        <v>1</v>
      </c>
      <c r="C94" s="433">
        <f>MIN(Validation!D30:D40)</f>
        <v>0</v>
      </c>
      <c r="D94" s="483">
        <f>Validation!D40</f>
        <v>0.02</v>
      </c>
      <c r="E94" s="483">
        <f>SUMPRODUCT(Validation!D30:D40,Inputs!$G$5:$G$15)</f>
        <v>0.5874</v>
      </c>
      <c r="F94" s="433">
        <f>SQRT(SUMPRODUCT(MMULT(Risk!$B$41:$L$51,Validation!D30:D40-Portfolio!$D$6:$D$16),Validation!D30:D40-Portfolio!$D$6:$D$16))</f>
        <v>0.00749916013685738</v>
      </c>
      <c r="G94" s="433" t="n">
        <v>0.0075</v>
      </c>
      <c r="H94" s="619" t="str">
        <f>IF(AND(ABS(B94-1)&lt;0.0005,C94&gt;=-0.000001,D94&gt;=Inputs!$B$34-0.00001,E94&gt;=Inputs!$B$31-0.00001,E94&lt;=Inputs!$B$32+0.0005,F94&lt;=G94+0.0002),"PASS","REVIEW")</f>
        <v>PASS</v>
      </c>
    </row>
    <row r="95">
      <c r="A95" s="537" t="inlineStr">
        <is>
          <t>Sensitivity: Loose TE (1.5%)</t>
        </is>
      </c>
      <c r="B95" s="618">
        <f>SUM(Validation!E30:E40)</f>
        <v>1</v>
      </c>
      <c r="C95" s="433">
        <f>MIN(Validation!E30:E40)</f>
        <v>0</v>
      </c>
      <c r="D95" s="483">
        <f>Validation!E40</f>
        <v>0.02</v>
      </c>
      <c r="E95" s="483">
        <f>SUMPRODUCT(Validation!E30:E40,Inputs!$G$5:$G$15)</f>
        <v>0.62</v>
      </c>
      <c r="F95" s="433">
        <f>SQRT(SUMPRODUCT(MMULT(Risk!$B$41:$L$51,Validation!E30:E40-Portfolio!$D$6:$D$16),Validation!E30:E40-Portfolio!$D$6:$D$16))</f>
        <v>0.0150036465123069</v>
      </c>
      <c r="G95" s="433">
        <f>Inputs!$B$27</f>
        <v>0.015</v>
      </c>
      <c r="H95" s="619" t="str">
        <f>IF(AND(ABS(B95-1)&lt;0.0005,C95&gt;=-0.000001,D95&gt;=Inputs!$B$34-0.00001,E95&gt;=Inputs!$B$31-0.00001,E95&lt;=Inputs!$B$32+0.0005,F95&lt;=G95+0.0002),"PASS","REVIEW")</f>
        <v>PASS</v>
      </c>
    </row>
    <row r="96">
      <c r="A96" s="537" t="inlineStr">
        <is>
          <t>Out-of-sample: Robust method</t>
        </is>
      </c>
      <c r="B96" s="618">
        <f>SUM(Validation!B17:B27)</f>
        <v>1</v>
      </c>
      <c r="C96" s="433">
        <f>MIN(Validation!B17:B27)</f>
        <v>0</v>
      </c>
      <c r="D96" s="483">
        <f>Validation!B27</f>
        <v>0.02</v>
      </c>
      <c r="E96" s="483">
        <f>SUMPRODUCT(Validation!B17:B27,Inputs!$G$5:$G$15)</f>
        <v>0.6081</v>
      </c>
      <c r="F96" s="433">
        <f>SQRT(SUMPRODUCT(MMULT(Risk!$B$41:$L$51,Validation!B17:B27-Portfolio!$D$6:$D$16),Validation!B17:B27-Portfolio!$D$6:$D$16))</f>
        <v>0.0109546191704743</v>
      </c>
      <c r="G96" s="620" t="inlineStr">
        <is>
          <t>n/a</t>
        </is>
      </c>
      <c r="H96" s="619" t="str">
        <f>IF(AND(ABS(B96-1)&lt;0.0005,C96&gt;=-0.000001,D96&gt;=Inputs!$B$34-0.00001,E96&gt;=Inputs!$B$31-0.00001,E96&lt;=Inputs!$B$32+0.0005,TRUE),"PASS","REVIEW")</f>
        <v>PASS</v>
      </c>
    </row>
    <row r="97">
      <c r="A97" s="537" t="inlineStr">
        <is>
          <t>Out-of-sample: Naive MVO</t>
        </is>
      </c>
      <c r="B97" s="618">
        <f>SUM(Validation!C17:C27)</f>
        <v>1</v>
      </c>
      <c r="C97" s="433">
        <f>MIN(Validation!C17:C27)</f>
        <v>0</v>
      </c>
      <c r="D97" s="483">
        <f>Validation!C27</f>
        <v>0.02</v>
      </c>
      <c r="E97" s="483">
        <f>SUMPRODUCT(Validation!C17:C27,Inputs!$G$5:$G$15)</f>
        <v>0.4348</v>
      </c>
      <c r="F97" s="433">
        <f>SQRT(SUMPRODUCT(MMULT(Risk!$B$41:$L$51,Validation!C17:C27-Portfolio!$D$6:$D$16),Validation!C17:C27-Portfolio!$D$6:$D$16))</f>
        <v>0.012190296625127</v>
      </c>
      <c r="G97" s="620" t="inlineStr">
        <is>
          <t>n/a</t>
        </is>
      </c>
      <c r="H97" s="619" t="str">
        <f>IF(AND(ABS(B97-1)&lt;0.0005,C97&gt;=-0.000001,D97&gt;=Inputs!$B$34-0.00001,E97&gt;=Inputs!$B$31-0.00001,E97&lt;=Inputs!$B$32+0.0005,TRUE),"PASS","REVIEW")</f>
        <v>PASS</v>
      </c>
    </row>
    <row r="98">
      <c r="A98" s="537" t="inlineStr">
        <is>
          <t>Constraint cost: TE limit 1.5%</t>
        </is>
      </c>
      <c r="B98" s="618">
        <f>SUM(Portfolio!C43:C53)</f>
        <v>1</v>
      </c>
      <c r="C98" s="433">
        <f>MIN(Portfolio!C43:C53)</f>
        <v>0</v>
      </c>
      <c r="D98" s="483">
        <f>Portfolio!C53</f>
        <v>0.02</v>
      </c>
      <c r="E98" s="483">
        <f>SUMPRODUCT(Portfolio!C43:C53,Inputs!$G$5:$G$15)</f>
        <v>0.62</v>
      </c>
      <c r="F98" s="433">
        <f>SQRT(SUMPRODUCT(MMULT(Risk!$B$41:$L$51,Portfolio!C43:C53-Portfolio!$D$6:$D$16),Portfolio!C43:C53-Portfolio!$D$6:$D$16))</f>
        <v>0.0150036465123069</v>
      </c>
      <c r="G98" s="433">
        <f>Inputs!$B$27</f>
        <v>0.015</v>
      </c>
      <c r="H98" s="619" t="str">
        <f>IF(AND(ABS(B98-1)&lt;0.0005,C98&gt;=-0.000001,D98&gt;=Inputs!$B$34-0.00001,E98&gt;=Inputs!$B$31-0.00001,E98&lt;=Inputs!$B$32+0.0005,F98&lt;=G98+0.0002),"PASS","REVIEW")</f>
        <v>PASS</v>
      </c>
    </row>
    <row r="99">
      <c r="A99" s="537" t="inlineStr">
        <is>
          <t>Constraint cost: No TE limit</t>
        </is>
      </c>
      <c r="B99" s="618">
        <f>SUM(Portfolio!D43:D53)</f>
        <v>1</v>
      </c>
      <c r="C99" s="433">
        <f>MIN(Portfolio!D43:D53)</f>
        <v>0</v>
      </c>
      <c r="D99" s="483">
        <f>Portfolio!D53</f>
        <v>0.02</v>
      </c>
      <c r="E99" s="483">
        <f>SUMPRODUCT(Portfolio!D43:D53,Inputs!$G$5:$G$15)</f>
        <v>0.62</v>
      </c>
      <c r="F99" s="433">
        <f>SQRT(SUMPRODUCT(MMULT(Risk!$B$41:$L$51,Portfolio!D43:D53-Portfolio!$D$6:$D$16),Portfolio!D43:D53-Portfolio!$D$6:$D$16))</f>
        <v>0.0251476361215132</v>
      </c>
      <c r="G99" s="620" t="inlineStr">
        <is>
          <t>n/a</t>
        </is>
      </c>
      <c r="H99" s="619" t="str">
        <f>IF(AND(ABS(B99-1)&lt;0.0005,C99&gt;=-0.000001,D99&gt;=Inputs!$B$34-0.00001,E99&gt;=Inputs!$B$31-0.00001,E99&lt;=Inputs!$B$32+0.0005,TRUE),"PASS","REVIEW")</f>
        <v>PASS</v>
      </c>
    </row>
    <row r="100">
      <c r="A100" s="537" t="inlineStr">
        <is>
          <t>Constraint cost: Equity max 72%</t>
        </is>
      </c>
      <c r="B100" s="618">
        <f>SUM(Portfolio!E43:E53)</f>
        <v>1</v>
      </c>
      <c r="C100" s="433">
        <f>MIN(Portfolio!E43:E53)</f>
        <v>0</v>
      </c>
      <c r="D100" s="483">
        <f>Portfolio!E53</f>
        <v>0.02</v>
      </c>
      <c r="E100" s="483">
        <f>SUMPRODUCT(Portfolio!E43:E53,Inputs!$G$5:$G$15)</f>
        <v>0.6223</v>
      </c>
      <c r="F100" s="433">
        <f>SQRT(SUMPRODUCT(MMULT(Risk!$B$41:$L$51,Portfolio!E43:E53-Portfolio!$D$6:$D$16),Portfolio!E43:E53-Portfolio!$D$6:$D$16))</f>
        <v>0.0110039822779181</v>
      </c>
      <c r="G100" s="433">
        <f>Inputs!$B$45</f>
        <v>0.011</v>
      </c>
      <c r="H100" s="619" t="str">
        <f>IF(AND(ABS(B100-1)&lt;0.0005,C100&gt;=-0.000001,D100&gt;=Inputs!$B$34-0.00001,F100&lt;=G100+0.0002),"PASS","REVIEW")</f>
        <v>PASS</v>
      </c>
    </row>
    <row r="101">
      <c r="A101" s="537" t="inlineStr">
        <is>
          <t>Constraint cost: Alternatives optimised</t>
        </is>
      </c>
      <c r="B101" s="618">
        <f>SUM(Portfolio!F43:F53)</f>
        <v>1</v>
      </c>
      <c r="C101" s="433">
        <f>MIN(Portfolio!F43:F53)</f>
        <v>0</v>
      </c>
      <c r="D101" s="483">
        <f>Portfolio!F53</f>
        <v>0.02</v>
      </c>
      <c r="E101" s="483">
        <f>SUMPRODUCT(Portfolio!F43:F53,Inputs!$G$5:$G$15)</f>
        <v>0.6018</v>
      </c>
      <c r="F101" s="433">
        <f>SQRT(SUMPRODUCT(MMULT(Risk!$B$41:$L$51,Portfolio!F43:F53-Portfolio!$D$6:$D$16),Portfolio!F43:F53-Portfolio!$D$6:$D$16))</f>
        <v>0.0109987446282153</v>
      </c>
      <c r="G101" s="433">
        <f>Inputs!$B$45</f>
        <v>0.011</v>
      </c>
      <c r="H101" s="619" t="str">
        <f>IF(AND(ABS(B101-1)&lt;0.0005,C101&gt;=-0.000001,D101&gt;=Inputs!$B$34-0.00001,E101&gt;=Inputs!$B$31-0.00001,E101&lt;=Inputs!$B$32+0.0005,F101&lt;=G101+0.0002),"PASS","REVIEW")</f>
        <v>PASS</v>
      </c>
    </row>
    <row r="102">
      <c r="A102" s="537" t="inlineStr">
        <is>
          <t>Constraint cost: Long-only only</t>
        </is>
      </c>
      <c r="B102" s="618">
        <f>SUM(Portfolio!G43:G53)</f>
        <v>1</v>
      </c>
      <c r="C102" s="433">
        <f>MIN(Portfolio!G43:G53)</f>
        <v>0</v>
      </c>
      <c r="D102" s="483">
        <f>Portfolio!G53</f>
        <v>0.02</v>
      </c>
      <c r="E102" s="483">
        <f>SUMPRODUCT(Portfolio!G43:G53,Inputs!$G$5:$G$15)</f>
        <v>0</v>
      </c>
      <c r="F102" s="433">
        <f>SQRT(SUMPRODUCT(MMULT(Risk!$B$41:$L$51,Portfolio!G43:G53-Portfolio!$D$6:$D$16),Portfolio!G43:G53-Portfolio!$D$6:$D$16))</f>
        <v>0.133524855387245</v>
      </c>
      <c r="G102" s="620" t="inlineStr">
        <is>
          <t>n/a</t>
        </is>
      </c>
      <c r="H102" s="619" t="str">
        <f>IF(AND(ABS(B102-1)&lt;0.0005,C102&gt;=-0.000001,D102&gt;=Inputs!$B$34-0.00001,TRUE),"PASS","REVIEW")</f>
        <v>PASS</v>
      </c>
    </row>
    <row r="103">
      <c r="A103" s="537" t="inlineStr">
        <is>
          <t>Frontier: no TE limit (10 points)</t>
        </is>
      </c>
      <c r="B103" s="618">
        <f>1+MAX(ABS(SUM(B113:B123)-1),ABS(SUM(C113:C123)-1),ABS(SUM(D113:D123)-1),ABS(SUM(E113:E123)-1),ABS(SUM(F113:F123)-1),ABS(SUM(G113:G123)-1),ABS(SUM(H113:H123)-1),ABS(SUM(I113:I123)-1),ABS(SUM(J113:J123)-1),ABS(SUM(K113:K123)-1))</f>
        <v>1</v>
      </c>
      <c r="C103" s="433">
        <f>MIN(B113:K123)</f>
        <v>0</v>
      </c>
      <c r="D103" s="483">
        <f>MIN(B123,C123,D123,E123,F123,G123,H123,I123,J123,K123)</f>
        <v>0.02</v>
      </c>
      <c r="E103" s="483">
        <f>MAX(SUMPRODUCT(B113:B123,Inputs!$G$5:$G$15),SUMPRODUCT(C113:C123,Inputs!$G$5:$G$15),SUMPRODUCT(D113:D123,Inputs!$G$5:$G$15),SUMPRODUCT(E113:E123,Inputs!$G$5:$G$15),SUMPRODUCT(F113:F123,Inputs!$G$5:$G$15),SUMPRODUCT(G113:G123,Inputs!$G$5:$G$15),SUMPRODUCT(H113:H123,Inputs!$G$5:$G$15),SUMPRODUCT(I113:I123,Inputs!$G$5:$G$15),SUMPRODUCT(J113:J123,Inputs!$G$5:$G$15),SUMPRODUCT(K113:K123,Inputs!$G$5:$G$15))</f>
        <v>0.62</v>
      </c>
      <c r="F103" s="433">
        <f>MAX(SQRT(SUMPRODUCT(MMULT(Risk!$B$41:$L$51,B113:B123-Portfolio!$D$6:$D$16),B113:B123-Portfolio!$D$6:$D$16)),SQRT(SUMPRODUCT(MMULT(Risk!$B$41:$L$51,C113:C123-Portfolio!$D$6:$D$16),C113:C123-Portfolio!$D$6:$D$16)),SQRT(SUMPRODUCT(MMULT(Risk!$B$41:$L$51,D113:D123-Portfolio!$D$6:$D$16),D113:D123-Portfolio!$D$6:$D$16)),SQRT(SUMPRODUCT(MMULT(Risk!$B$41:$L$51,E113:E123-Portfolio!$D$6:$D$16),E113:E123-Portfolio!$D$6:$D$16)),SQRT(SUMPRODUCT(MMULT(Risk!$B$41:$L$51,F113:F123-Portfolio!$D$6:$D$16),F113:F123-Portfolio!$D$6:$D$16)),SQRT(SUMPRODUCT(MMULT(Risk!$B$41:$L$51,G113:G123-Portfolio!$D$6:$D$16),G113:G123-Portfolio!$D$6:$D$16)),SQRT(SUMPRODUCT(MMULT(Risk!$B$41:$L$51,H113:H123-Portfolio!$D$6:$D$16),H113:H123-Portfolio!$D$6:$D$16)),SQRT(SUMPRODUCT(MMULT(Risk!$B$41:$L$51,I113:I123-Portfolio!$D$6:$D$16),I113:I123-Portfolio!$D$6:$D$16)),SQRT(SUMPRODUCT(MMULT(Risk!$B$41:$L$51,J113:J123-Portfolio!$D$6:$D$16),J113:J123-Portfolio!$D$6:$D$16)),SQRT(SUMPRODUCT(MMULT(Risk!$B$41:$L$51,K113:K123-Portfolio!$D$6:$D$16),K113:K123-Portfolio!$D$6:$D$16)))</f>
        <v>0.0295192079172884</v>
      </c>
      <c r="G103" s="620" t="inlineStr">
        <is>
          <t>n/a</t>
        </is>
      </c>
      <c r="H103" s="619" t="str">
        <f>IF(AND(ABS(B103-1)&lt;0.0005,C103&gt;=-0.000001,D103&gt;=Inputs!$B$34-0.00001,E103&lt;=Inputs!$B$32+0.0005,TRUE),"PASS","REVIEW")</f>
        <v>PASS</v>
      </c>
    </row>
    <row r="104">
      <c r="A104" s="539" t="inlineStr">
        <is>
          <t>Frontier: with TE limit (10 points)</t>
        </is>
      </c>
      <c r="B104" s="621">
        <f>1+MAX(ABS(SUM(B131:B141)-1),ABS(SUM(C131:C141)-1),ABS(SUM(D131:D141)-1),ABS(SUM(E131:E141)-1),ABS(SUM(F131:F141)-1),ABS(SUM(G131:G141)-1),ABS(SUM(H131:H141)-1),ABS(SUM(I131:I141)-1),ABS(SUM(J131:J141)-1),ABS(SUM(K131:K141)-1))</f>
        <v>1</v>
      </c>
      <c r="C104" s="622">
        <f>MIN(B131:K141)</f>
        <v>0</v>
      </c>
      <c r="D104" s="540">
        <f>MIN(B141,C141,D141,E141,F141,G141,H141,I141,J141,K141)</f>
        <v>0.02</v>
      </c>
      <c r="E104" s="540">
        <f>MAX(SUMPRODUCT(B131:B141,Inputs!$G$5:$G$15),SUMPRODUCT(C131:C141,Inputs!$G$5:$G$15),SUMPRODUCT(D131:D141,Inputs!$G$5:$G$15),SUMPRODUCT(E131:E141,Inputs!$G$5:$G$15),SUMPRODUCT(F131:F141,Inputs!$G$5:$G$15),SUMPRODUCT(G131:G141,Inputs!$G$5:$G$15),SUMPRODUCT(H131:H141,Inputs!$G$5:$G$15),SUMPRODUCT(I131:I141,Inputs!$G$5:$G$15),SUMPRODUCT(J131:J141,Inputs!$G$5:$G$15),SUMPRODUCT(K131:K141,Inputs!$G$5:$G$15))</f>
        <v>0.62</v>
      </c>
      <c r="F104" s="622">
        <f>MAX(SQRT(SUMPRODUCT(MMULT(Risk!$B$41:$L$51,B131:B141-Portfolio!$D$6:$D$16),B131:B141-Portfolio!$D$6:$D$16)),SQRT(SUMPRODUCT(MMULT(Risk!$B$41:$L$51,C131:C141-Portfolio!$D$6:$D$16),C131:C141-Portfolio!$D$6:$D$16)),SQRT(SUMPRODUCT(MMULT(Risk!$B$41:$L$51,D131:D141-Portfolio!$D$6:$D$16),D131:D141-Portfolio!$D$6:$D$16)),SQRT(SUMPRODUCT(MMULT(Risk!$B$41:$L$51,E131:E141-Portfolio!$D$6:$D$16),E131:E141-Portfolio!$D$6:$D$16)),SQRT(SUMPRODUCT(MMULT(Risk!$B$41:$L$51,F131:F141-Portfolio!$D$6:$D$16),F131:F141-Portfolio!$D$6:$D$16)),SQRT(SUMPRODUCT(MMULT(Risk!$B$41:$L$51,G131:G141-Portfolio!$D$6:$D$16),G131:G141-Portfolio!$D$6:$D$16)),SQRT(SUMPRODUCT(MMULT(Risk!$B$41:$L$51,H131:H141-Portfolio!$D$6:$D$16),H131:H141-Portfolio!$D$6:$D$16)),SQRT(SUMPRODUCT(MMULT(Risk!$B$41:$L$51,I131:I141-Portfolio!$D$6:$D$16),I131:I141-Portfolio!$D$6:$D$16)),SQRT(SUMPRODUCT(MMULT(Risk!$B$41:$L$51,J131:J141-Portfolio!$D$6:$D$16),J131:J141-Portfolio!$D$6:$D$16)),SQRT(SUMPRODUCT(MMULT(Risk!$B$41:$L$51,K131:K141-Portfolio!$D$6:$D$16),K131:K141-Portfolio!$D$6:$D$16)))</f>
        <v>0.0110070692691524</v>
      </c>
      <c r="G104" s="622">
        <f>Inputs!$B$45</f>
        <v>0.011</v>
      </c>
      <c r="H104" s="623" t="str">
        <f>IF(AND(ABS(B104-1)&lt;0.0005,C104&gt;=-0.000001,D104&gt;=Inputs!$B$34-0.00001,E104&lt;=Inputs!$B$32+0.0005,F104&lt;=G104+0.0002),"PASS","REVIEW")</f>
        <v>PASS</v>
      </c>
    </row>
    <row r="105">
      <c r="A105" s="624" t="inlineStr">
        <is>
          <t>Solver outputs are pasted values. If any input changes, re-run Solver for the rows marked REVIEW and paste the new weights.</t>
        </is>
      </c>
    </row>
    <row r="111">
      <c r="A111" s="55" t="inlineStr">
        <is>
          <t>8. Efficient frontier: brief constraints, no TE limit</t>
        </is>
      </c>
      <c r="B111" s="56" t="n"/>
      <c r="C111" s="56" t="n"/>
      <c r="D111" s="56" t="n"/>
      <c r="E111" s="56" t="n"/>
      <c r="F111" s="56" t="n"/>
      <c r="G111" s="56" t="n"/>
      <c r="H111" s="56" t="n"/>
      <c r="I111" s="56" t="n"/>
      <c r="J111" s="56" t="n"/>
      <c r="K111" s="57" t="n"/>
    </row>
    <row r="112">
      <c r="A112" s="61" t="inlineStr">
        <is>
          <t>Asset class</t>
        </is>
      </c>
      <c r="B112" s="62" t="inlineStr">
        <is>
          <t>Point 1</t>
        </is>
      </c>
      <c r="C112" s="62" t="inlineStr">
        <is>
          <t>Point 2</t>
        </is>
      </c>
      <c r="D112" s="62" t="inlineStr">
        <is>
          <t>Point 3</t>
        </is>
      </c>
      <c r="E112" s="62" t="inlineStr">
        <is>
          <t>Point 4</t>
        </is>
      </c>
      <c r="F112" s="62" t="inlineStr">
        <is>
          <t>Point 5</t>
        </is>
      </c>
      <c r="G112" s="62" t="inlineStr">
        <is>
          <t>Point 6</t>
        </is>
      </c>
      <c r="H112" s="62" t="inlineStr">
        <is>
          <t>Point 7</t>
        </is>
      </c>
      <c r="I112" s="62" t="inlineStr">
        <is>
          <t>Point 8</t>
        </is>
      </c>
      <c r="J112" s="62" t="inlineStr">
        <is>
          <t>Point 9</t>
        </is>
      </c>
      <c r="K112" s="63" t="inlineStr">
        <is>
          <t>Point 10</t>
        </is>
      </c>
    </row>
    <row r="113">
      <c r="A113" s="67" t="inlineStr">
        <is>
          <t>Australian Equities</t>
        </is>
      </c>
      <c r="B113" s="173" t="n">
        <v>0.15</v>
      </c>
      <c r="C113" s="173" t="n">
        <v>0.15</v>
      </c>
      <c r="D113" s="173" t="n">
        <v>0.15</v>
      </c>
      <c r="E113" s="173" t="n">
        <v>0.15</v>
      </c>
      <c r="F113" s="173" t="n">
        <v>0.15</v>
      </c>
      <c r="G113" s="173" t="n">
        <v>0.15</v>
      </c>
      <c r="H113" s="173" t="n">
        <v>0.1607</v>
      </c>
      <c r="I113" s="173" t="n">
        <v>0.1778</v>
      </c>
      <c r="J113" s="173" t="n">
        <v>0.1982</v>
      </c>
      <c r="K113" s="379" t="n">
        <v>0.35</v>
      </c>
    </row>
    <row r="114">
      <c r="A114" s="67" t="inlineStr">
        <is>
          <t>World Equities</t>
        </is>
      </c>
      <c r="B114" s="173" t="n">
        <v>0.19</v>
      </c>
      <c r="C114" s="173" t="n">
        <v>0.19</v>
      </c>
      <c r="D114" s="173" t="n">
        <v>0.19</v>
      </c>
      <c r="E114" s="173" t="n">
        <v>0.1902</v>
      </c>
      <c r="F114" s="173" t="n">
        <v>0.2194</v>
      </c>
      <c r="G114" s="173" t="n">
        <v>0.2497</v>
      </c>
      <c r="H114" s="173" t="n">
        <v>0.2737</v>
      </c>
      <c r="I114" s="173" t="n">
        <v>0.2965</v>
      </c>
      <c r="J114" s="173" t="n">
        <v>0.328</v>
      </c>
      <c r="K114" s="379" t="n">
        <v>0.27</v>
      </c>
    </row>
    <row r="115">
      <c r="A115" s="67" t="inlineStr">
        <is>
          <t>Emerging Markets</t>
        </is>
      </c>
      <c r="B115" s="173" t="n">
        <v>0.08</v>
      </c>
      <c r="C115" s="173" t="n">
        <v>0.08</v>
      </c>
      <c r="D115" s="173" t="n">
        <v>0.08</v>
      </c>
      <c r="E115" s="173" t="n">
        <v>0.08</v>
      </c>
      <c r="F115" s="173" t="n">
        <v>0.08</v>
      </c>
      <c r="G115" s="173" t="n">
        <v>0.08</v>
      </c>
      <c r="H115" s="173" t="n">
        <v>0.08</v>
      </c>
      <c r="I115" s="173" t="n">
        <v>0.08</v>
      </c>
      <c r="J115" s="173" t="n">
        <v>0.08</v>
      </c>
      <c r="K115" s="379" t="n">
        <v>0</v>
      </c>
    </row>
    <row r="116">
      <c r="A116" s="67" t="inlineStr">
        <is>
          <t>Listed Property</t>
        </is>
      </c>
      <c r="B116" s="173" t="n">
        <v>0</v>
      </c>
      <c r="C116" s="173" t="n">
        <v>0</v>
      </c>
      <c r="D116" s="173" t="n">
        <v>0.0266</v>
      </c>
      <c r="E116" s="173" t="n">
        <v>0.0595</v>
      </c>
      <c r="F116" s="173" t="n">
        <v>0.07340000000000001</v>
      </c>
      <c r="G116" s="173" t="n">
        <v>0.089</v>
      </c>
      <c r="H116" s="173" t="n">
        <v>0.1044</v>
      </c>
      <c r="I116" s="173" t="n">
        <v>0.1178</v>
      </c>
      <c r="J116" s="173" t="n">
        <v>0.12</v>
      </c>
      <c r="K116" s="379" t="n">
        <v>0.12</v>
      </c>
    </row>
    <row r="117">
      <c r="A117" s="67" t="inlineStr">
        <is>
          <t>Commodities</t>
        </is>
      </c>
      <c r="B117" s="173" t="n">
        <v>0</v>
      </c>
      <c r="C117" s="173" t="n">
        <v>0.0185</v>
      </c>
      <c r="D117" s="173" t="n">
        <v>0.0379</v>
      </c>
      <c r="E117" s="173" t="n">
        <v>0.0479</v>
      </c>
      <c r="F117" s="173" t="n">
        <v>0.0508</v>
      </c>
      <c r="G117" s="173" t="n">
        <v>0.0524</v>
      </c>
      <c r="H117" s="173" t="n">
        <v>0.0491</v>
      </c>
      <c r="I117" s="173" t="n">
        <v>0.0485</v>
      </c>
      <c r="J117" s="173" t="n">
        <v>0.0479</v>
      </c>
      <c r="K117" s="379" t="n">
        <v>0.07000000000000001</v>
      </c>
    </row>
    <row r="118">
      <c r="A118" s="67" t="inlineStr">
        <is>
          <t>Direct Property</t>
        </is>
      </c>
      <c r="B118" s="173" t="n">
        <v>0</v>
      </c>
      <c r="C118" s="173" t="n">
        <v>0</v>
      </c>
      <c r="D118" s="173" t="n">
        <v>0</v>
      </c>
      <c r="E118" s="173" t="n">
        <v>0</v>
      </c>
      <c r="F118" s="173" t="n">
        <v>0</v>
      </c>
      <c r="G118" s="173" t="n">
        <v>0</v>
      </c>
      <c r="H118" s="173" t="n">
        <v>0</v>
      </c>
      <c r="I118" s="173" t="n">
        <v>0</v>
      </c>
      <c r="J118" s="173" t="n">
        <v>0</v>
      </c>
      <c r="K118" s="379" t="n">
        <v>0</v>
      </c>
    </row>
    <row r="119">
      <c r="A119" s="67" t="inlineStr">
        <is>
          <t>Hedge Funds</t>
        </is>
      </c>
      <c r="B119" s="173" t="n">
        <v>0.08</v>
      </c>
      <c r="C119" s="173" t="n">
        <v>0.0115</v>
      </c>
      <c r="D119" s="173" t="n">
        <v>0</v>
      </c>
      <c r="E119" s="173" t="n">
        <v>0</v>
      </c>
      <c r="F119" s="173" t="n">
        <v>0</v>
      </c>
      <c r="G119" s="173" t="n">
        <v>0</v>
      </c>
      <c r="H119" s="173" t="n">
        <v>0</v>
      </c>
      <c r="I119" s="173" t="n">
        <v>0</v>
      </c>
      <c r="J119" s="173" t="n">
        <v>0</v>
      </c>
      <c r="K119" s="379" t="n">
        <v>0</v>
      </c>
    </row>
    <row r="120">
      <c r="A120" s="67" t="inlineStr">
        <is>
          <t>Private Equity</t>
        </is>
      </c>
      <c r="B120" s="173" t="n">
        <v>0</v>
      </c>
      <c r="C120" s="173" t="n">
        <v>0</v>
      </c>
      <c r="D120" s="173" t="n">
        <v>0</v>
      </c>
      <c r="E120" s="173" t="n">
        <v>0</v>
      </c>
      <c r="F120" s="173" t="n">
        <v>0</v>
      </c>
      <c r="G120" s="173" t="n">
        <v>0</v>
      </c>
      <c r="H120" s="173" t="n">
        <v>0</v>
      </c>
      <c r="I120" s="173" t="n">
        <v>0</v>
      </c>
      <c r="J120" s="173" t="n">
        <v>0</v>
      </c>
      <c r="K120" s="379" t="n">
        <v>0</v>
      </c>
    </row>
    <row r="121">
      <c r="A121" s="67" t="inlineStr">
        <is>
          <t>Australian Fixed Income</t>
        </is>
      </c>
      <c r="B121" s="173" t="n">
        <v>0.217</v>
      </c>
      <c r="C121" s="173" t="n">
        <v>0.25</v>
      </c>
      <c r="D121" s="173" t="n">
        <v>0.2155</v>
      </c>
      <c r="E121" s="173" t="n">
        <v>0.2318</v>
      </c>
      <c r="F121" s="173" t="n">
        <v>0.2064</v>
      </c>
      <c r="G121" s="173" t="n">
        <v>0.1589</v>
      </c>
      <c r="H121" s="173" t="n">
        <v>0.12</v>
      </c>
      <c r="I121" s="173" t="n">
        <v>0.12</v>
      </c>
      <c r="J121" s="173" t="n">
        <v>0.12</v>
      </c>
      <c r="K121" s="379" t="n">
        <v>0.12</v>
      </c>
    </row>
    <row r="122">
      <c r="A122" s="67" t="inlineStr">
        <is>
          <t>World Fixed Income</t>
        </is>
      </c>
      <c r="B122" s="173" t="n">
        <v>0.183</v>
      </c>
      <c r="C122" s="173" t="n">
        <v>0.2</v>
      </c>
      <c r="D122" s="173" t="n">
        <v>0.2</v>
      </c>
      <c r="E122" s="173" t="n">
        <v>0.2</v>
      </c>
      <c r="F122" s="173" t="n">
        <v>0.2</v>
      </c>
      <c r="G122" s="173" t="n">
        <v>0.2</v>
      </c>
      <c r="H122" s="173" t="n">
        <v>0.1921</v>
      </c>
      <c r="I122" s="173" t="n">
        <v>0.1394</v>
      </c>
      <c r="J122" s="173" t="n">
        <v>0.0859</v>
      </c>
      <c r="K122" s="379" t="n">
        <v>0.05</v>
      </c>
    </row>
    <row r="123">
      <c r="A123" s="67" t="inlineStr">
        <is>
          <t>Cash</t>
        </is>
      </c>
      <c r="B123" s="173" t="n">
        <v>0.1</v>
      </c>
      <c r="C123" s="173" t="n">
        <v>0.1</v>
      </c>
      <c r="D123" s="173" t="n">
        <v>0.1</v>
      </c>
      <c r="E123" s="173" t="n">
        <v>0.0406</v>
      </c>
      <c r="F123" s="173" t="n">
        <v>0.02</v>
      </c>
      <c r="G123" s="173" t="n">
        <v>0.02</v>
      </c>
      <c r="H123" s="173" t="n">
        <v>0.02</v>
      </c>
      <c r="I123" s="173" t="n">
        <v>0.02</v>
      </c>
      <c r="J123" s="173" t="n">
        <v>0.02</v>
      </c>
      <c r="K123" s="379" t="n">
        <v>0.02</v>
      </c>
    </row>
    <row r="124">
      <c r="A124" s="75" t="inlineStr">
        <is>
          <t>Expected return</t>
        </is>
      </c>
      <c r="B124" s="72">
        <f>SUMPRODUCT(B113:B123,Forecast!$G$6:$G$16)</f>
        <v>0.0604109924539374</v>
      </c>
      <c r="C124" s="72">
        <f>SUMPRODUCT(C113:C123,Forecast!$G$6:$G$16)</f>
        <v>0.0617138327762841</v>
      </c>
      <c r="D124" s="72">
        <f>SUMPRODUCT(D113:D123,Forecast!$G$6:$G$16)</f>
        <v>0.0630140195206193</v>
      </c>
      <c r="E124" s="72">
        <f>SUMPRODUCT(E113:E123,Forecast!$G$6:$G$16)</f>
        <v>0.0643168148070565</v>
      </c>
      <c r="F124" s="72">
        <f>SUMPRODUCT(F113:F123,Forecast!$G$6:$G$16)</f>
        <v>0.0656186978662209</v>
      </c>
      <c r="G124" s="72">
        <f>SUMPRODUCT(G113:G123,Forecast!$G$6:$G$16)</f>
        <v>0.0669223029518575</v>
      </c>
      <c r="H124" s="72">
        <f>SUMPRODUCT(H113:H123,Forecast!$G$6:$G$16)</f>
        <v>0.068223745897994</v>
      </c>
      <c r="I124" s="72">
        <f>SUMPRODUCT(I113:I123,Forecast!$G$6:$G$16)</f>
        <v>0.0695262020616433</v>
      </c>
      <c r="J124" s="72">
        <f>SUMPRODUCT(J113:J123,Forecast!$G$6:$G$16)</f>
        <v>0.0708290445714526</v>
      </c>
      <c r="K124" s="380">
        <f>SUMPRODUCT(K113:K123,Forecast!$G$6:$G$16)</f>
        <v>0.0721315176550505</v>
      </c>
    </row>
    <row r="125">
      <c r="A125" s="75" t="inlineStr">
        <is>
          <t>Volatility</t>
        </is>
      </c>
      <c r="B125" s="72">
        <f>SQRT(SUMPRODUCT(B113:B123,MMULT(Risk!$B$41:$L$51,B113:B123)))</f>
        <v>0.0466820755244891</v>
      </c>
      <c r="C125" s="72">
        <f>SQRT(SUMPRODUCT(C113:C123,MMULT(Risk!$B$41:$L$51,C113:C123)))</f>
        <v>0.0475042706483331</v>
      </c>
      <c r="D125" s="72">
        <f>SQRT(SUMPRODUCT(D113:D123,MMULT(Risk!$B$41:$L$51,D113:D123)))</f>
        <v>0.0506864932327532</v>
      </c>
      <c r="E125" s="72">
        <f>SQRT(SUMPRODUCT(E113:E123,MMULT(Risk!$B$41:$L$51,E113:E123)))</f>
        <v>0.0549218071725918</v>
      </c>
      <c r="F125" s="72">
        <f>SQRT(SUMPRODUCT(F113:F123,MMULT(Risk!$B$41:$L$51,F113:F123)))</f>
        <v>0.0594495407118486</v>
      </c>
      <c r="G125" s="72">
        <f>SQRT(SUMPRODUCT(G113:G123,MMULT(Risk!$B$41:$L$51,G113:G123)))</f>
        <v>0.0642067186331825</v>
      </c>
      <c r="H125" s="72">
        <f>SQRT(SUMPRODUCT(H113:H123,MMULT(Risk!$B$41:$L$51,H113:H123)))</f>
        <v>0.0692155462830809</v>
      </c>
      <c r="I125" s="72">
        <f>SQRT(SUMPRODUCT(I113:I123,MMULT(Risk!$B$41:$L$51,I113:I123)))</f>
        <v>0.0748017878451787</v>
      </c>
      <c r="J125" s="72">
        <f>SQRT(SUMPRODUCT(J113:J123,MMULT(Risk!$B$41:$L$51,J113:J123)))</f>
        <v>0.080501525367439</v>
      </c>
      <c r="K125" s="380">
        <f>SQRT(SUMPRODUCT(K113:K123,MMULT(Risk!$B$41:$L$51,K113:K123)))</f>
        <v>0.0900591239554827</v>
      </c>
    </row>
    <row r="126">
      <c r="A126" s="79" t="inlineStr">
        <is>
          <t>Tracking error</t>
        </is>
      </c>
      <c r="B126" s="381">
        <f>SQRT(SUMPRODUCT(B113:B123-Inputs!$C$5:$C$15,MMULT(Risk!$B$41:$L$51,B113:B123-Inputs!$C$5:$C$15)))</f>
        <v>0.0295192079172884</v>
      </c>
      <c r="C126" s="381">
        <f>SQRT(SUMPRODUCT(C113:C123-Inputs!$C$5:$C$15,MMULT(Risk!$B$41:$L$51,C113:C123-Inputs!$C$5:$C$15)))</f>
        <v>0.0276572148764725</v>
      </c>
      <c r="D126" s="381">
        <f>SQRT(SUMPRODUCT(D113:D123-Inputs!$C$5:$C$15,MMULT(Risk!$B$41:$L$51,D113:D123-Inputs!$C$5:$C$15)))</f>
        <v>0.0235584930826771</v>
      </c>
      <c r="E126" s="381">
        <f>SQRT(SUMPRODUCT(E113:E123-Inputs!$C$5:$C$15,MMULT(Risk!$B$41:$L$51,E113:E123-Inputs!$C$5:$C$15)))</f>
        <v>0.0207536394107355</v>
      </c>
      <c r="F126" s="381">
        <f>SQRT(SUMPRODUCT(F113:F123-Inputs!$C$5:$C$15,MMULT(Risk!$B$41:$L$51,F113:F123-Inputs!$C$5:$C$15)))</f>
        <v>0.0180437142864848</v>
      </c>
      <c r="G126" s="381">
        <f>SQRT(SUMPRODUCT(G113:G123-Inputs!$C$5:$C$15,MMULT(Risk!$B$41:$L$51,G113:G123-Inputs!$C$5:$C$15)))</f>
        <v>0.0165841557914799</v>
      </c>
      <c r="H126" s="381">
        <f>SQRT(SUMPRODUCT(H113:H123-Inputs!$C$5:$C$15,MMULT(Risk!$B$41:$L$51,H113:H123-Inputs!$C$5:$C$15)))</f>
        <v>0.015698006965059</v>
      </c>
      <c r="I126" s="381">
        <f>SQRT(SUMPRODUCT(I113:I123-Inputs!$C$5:$C$15,MMULT(Risk!$B$41:$L$51,I113:I123-Inputs!$C$5:$C$15)))</f>
        <v>0.0166155473569474</v>
      </c>
      <c r="J126" s="381">
        <f>SQRT(SUMPRODUCT(J113:J123-Inputs!$C$5:$C$15,MMULT(Risk!$B$41:$L$51,J113:J123-Inputs!$C$5:$C$15)))</f>
        <v>0.0191587312146307</v>
      </c>
      <c r="K126" s="382">
        <f>SQRT(SUMPRODUCT(K113:K123-Inputs!$C$5:$C$15,MMULT(Risk!$B$41:$L$51,K113:K123-Inputs!$C$5:$C$15)))</f>
        <v>0.0251476361215132</v>
      </c>
    </row>
    <row r="129">
      <c r="A129" s="247" t="inlineStr">
        <is>
          <t>9. Efficient frontier: brief constraints with TE limit</t>
        </is>
      </c>
      <c r="B129" s="248" t="n"/>
      <c r="C129" s="248" t="n"/>
      <c r="D129" s="248" t="n"/>
      <c r="E129" s="248" t="n"/>
      <c r="F129" s="248" t="n"/>
      <c r="G129" s="248" t="n"/>
      <c r="H129" s="248" t="n"/>
      <c r="I129" s="248" t="n"/>
      <c r="J129" s="248" t="n"/>
      <c r="K129" s="249" t="n"/>
    </row>
    <row r="130">
      <c r="A130" s="252" t="inlineStr">
        <is>
          <t>Asset class</t>
        </is>
      </c>
      <c r="B130" s="253" t="inlineStr">
        <is>
          <t>Point 1</t>
        </is>
      </c>
      <c r="C130" s="253" t="inlineStr">
        <is>
          <t>Point 2</t>
        </is>
      </c>
      <c r="D130" s="253" t="inlineStr">
        <is>
          <t>Point 3</t>
        </is>
      </c>
      <c r="E130" s="253" t="inlineStr">
        <is>
          <t>Point 4</t>
        </is>
      </c>
      <c r="F130" s="253" t="inlineStr">
        <is>
          <t>Point 5</t>
        </is>
      </c>
      <c r="G130" s="253" t="inlineStr">
        <is>
          <t>Point 6</t>
        </is>
      </c>
      <c r="H130" s="253" t="inlineStr">
        <is>
          <t>Point 7</t>
        </is>
      </c>
      <c r="I130" s="253" t="inlineStr">
        <is>
          <t>Point 8</t>
        </is>
      </c>
      <c r="J130" s="253" t="inlineStr">
        <is>
          <t>Point 9</t>
        </is>
      </c>
      <c r="K130" s="254" t="inlineStr">
        <is>
          <t>Point 10</t>
        </is>
      </c>
    </row>
    <row r="131">
      <c r="A131" s="255" t="inlineStr">
        <is>
          <t>Australian Equities</t>
        </is>
      </c>
      <c r="B131" s="173" t="n">
        <v>0.2087</v>
      </c>
      <c r="C131" s="173" t="n">
        <v>0.2064</v>
      </c>
      <c r="D131" s="173" t="n">
        <v>0.2062</v>
      </c>
      <c r="E131" s="173" t="n">
        <v>0.2086</v>
      </c>
      <c r="F131" s="173" t="n">
        <v>0.205</v>
      </c>
      <c r="G131" s="173" t="n">
        <v>0.1981</v>
      </c>
      <c r="H131" s="173" t="n">
        <v>0.1959</v>
      </c>
      <c r="I131" s="173" t="n">
        <v>0.2026</v>
      </c>
      <c r="J131" s="173" t="n">
        <v>0.2206</v>
      </c>
      <c r="K131" s="383" t="n">
        <v>0.2738</v>
      </c>
    </row>
    <row r="132">
      <c r="A132" s="255" t="inlineStr">
        <is>
          <t>World Equities</t>
        </is>
      </c>
      <c r="B132" s="173" t="n">
        <v>0.2024</v>
      </c>
      <c r="C132" s="173" t="n">
        <v>0.2072</v>
      </c>
      <c r="D132" s="173" t="n">
        <v>0.2128</v>
      </c>
      <c r="E132" s="173" t="n">
        <v>0.2198</v>
      </c>
      <c r="F132" s="173" t="n">
        <v>0.2241</v>
      </c>
      <c r="G132" s="173" t="n">
        <v>0.2379</v>
      </c>
      <c r="H132" s="173" t="n">
        <v>0.2537</v>
      </c>
      <c r="I132" s="173" t="n">
        <v>0.2668</v>
      </c>
      <c r="J132" s="173" t="n">
        <v>0.2767</v>
      </c>
      <c r="K132" s="383" t="n">
        <v>0.279</v>
      </c>
    </row>
    <row r="133">
      <c r="A133" s="255" t="inlineStr">
        <is>
          <t>Emerging Markets</t>
        </is>
      </c>
      <c r="B133" s="173" t="n">
        <v>0.0279</v>
      </c>
      <c r="C133" s="173" t="n">
        <v>0.0387</v>
      </c>
      <c r="D133" s="173" t="n">
        <v>0.0479</v>
      </c>
      <c r="E133" s="173" t="n">
        <v>0.0583</v>
      </c>
      <c r="F133" s="173" t="n">
        <v>0.0781</v>
      </c>
      <c r="G133" s="173" t="n">
        <v>0.08</v>
      </c>
      <c r="H133" s="173" t="n">
        <v>0.08</v>
      </c>
      <c r="I133" s="173" t="n">
        <v>0.08</v>
      </c>
      <c r="J133" s="173" t="n">
        <v>0.08</v>
      </c>
      <c r="K133" s="383" t="n">
        <v>0.0672</v>
      </c>
    </row>
    <row r="134">
      <c r="A134" s="255" t="inlineStr">
        <is>
          <t>Listed Property</t>
        </is>
      </c>
      <c r="B134" s="173" t="n">
        <v>0.0566</v>
      </c>
      <c r="C134" s="173" t="n">
        <v>0.0567</v>
      </c>
      <c r="D134" s="173" t="n">
        <v>0.0574</v>
      </c>
      <c r="E134" s="173" t="n">
        <v>0.0601</v>
      </c>
      <c r="F134" s="173" t="n">
        <v>0.06419999999999999</v>
      </c>
      <c r="G134" s="173" t="n">
        <v>0.0718</v>
      </c>
      <c r="H134" s="173" t="n">
        <v>0.0822</v>
      </c>
      <c r="I134" s="173" t="n">
        <v>0.0916</v>
      </c>
      <c r="J134" s="173" t="n">
        <v>0.0954</v>
      </c>
      <c r="K134" s="383" t="n">
        <v>0.0867</v>
      </c>
    </row>
    <row r="135">
      <c r="A135" s="255" t="inlineStr">
        <is>
          <t>Commodities</t>
        </is>
      </c>
      <c r="B135" s="173" t="n">
        <v>0.0208</v>
      </c>
      <c r="C135" s="173" t="n">
        <v>0.0229</v>
      </c>
      <c r="D135" s="173" t="n">
        <v>0.0246</v>
      </c>
      <c r="E135" s="173" t="n">
        <v>0.0261</v>
      </c>
      <c r="F135" s="173" t="n">
        <v>0.0291</v>
      </c>
      <c r="G135" s="173" t="n">
        <v>0.0365</v>
      </c>
      <c r="H135" s="173" t="n">
        <v>0.0396</v>
      </c>
      <c r="I135" s="173" t="n">
        <v>0.0383</v>
      </c>
      <c r="J135" s="173" t="n">
        <v>0.0355</v>
      </c>
      <c r="K135" s="383" t="n">
        <v>0.0244</v>
      </c>
    </row>
    <row r="136">
      <c r="A136" s="255" t="inlineStr">
        <is>
          <t>Direct Property</t>
        </is>
      </c>
      <c r="B136" s="173" t="n">
        <v>0.0493</v>
      </c>
      <c r="C136" s="173" t="n">
        <v>0.037</v>
      </c>
      <c r="D136" s="173" t="n">
        <v>0.0263</v>
      </c>
      <c r="E136" s="173" t="n">
        <v>0.0092</v>
      </c>
      <c r="F136" s="173" t="n">
        <v>0</v>
      </c>
      <c r="G136" s="173" t="n">
        <v>0</v>
      </c>
      <c r="H136" s="173" t="n">
        <v>0</v>
      </c>
      <c r="I136" s="173" t="n">
        <v>0</v>
      </c>
      <c r="J136" s="173" t="n">
        <v>0</v>
      </c>
      <c r="K136" s="383" t="n">
        <v>0</v>
      </c>
    </row>
    <row r="137">
      <c r="A137" s="255" t="inlineStr">
        <is>
          <t>Hedge Funds</t>
        </is>
      </c>
      <c r="B137" s="173" t="n">
        <v>0.0361</v>
      </c>
      <c r="C137" s="173" t="n">
        <v>0.0175</v>
      </c>
      <c r="D137" s="173" t="n">
        <v>0.0011</v>
      </c>
      <c r="E137" s="173" t="n">
        <v>0</v>
      </c>
      <c r="F137" s="173" t="n">
        <v>0</v>
      </c>
      <c r="G137" s="173" t="n">
        <v>0</v>
      </c>
      <c r="H137" s="173" t="n">
        <v>0</v>
      </c>
      <c r="I137" s="173" t="n">
        <v>0</v>
      </c>
      <c r="J137" s="173" t="n">
        <v>0</v>
      </c>
      <c r="K137" s="383" t="n">
        <v>0</v>
      </c>
    </row>
    <row r="138">
      <c r="A138" s="255" t="inlineStr">
        <is>
          <t>Private Equity</t>
        </is>
      </c>
      <c r="B138" s="173" t="n">
        <v>0.026</v>
      </c>
      <c r="C138" s="173" t="n">
        <v>0.018</v>
      </c>
      <c r="D138" s="173" t="n">
        <v>0.0113</v>
      </c>
      <c r="E138" s="173" t="n">
        <v>0.0023</v>
      </c>
      <c r="F138" s="173" t="n">
        <v>0</v>
      </c>
      <c r="G138" s="173" t="n">
        <v>0</v>
      </c>
      <c r="H138" s="173" t="n">
        <v>0</v>
      </c>
      <c r="I138" s="173" t="n">
        <v>0</v>
      </c>
      <c r="J138" s="173" t="n">
        <v>0</v>
      </c>
      <c r="K138" s="383" t="n">
        <v>0</v>
      </c>
    </row>
    <row r="139">
      <c r="A139" s="255" t="inlineStr">
        <is>
          <t>Australian Fixed Income</t>
        </is>
      </c>
      <c r="B139" s="173" t="n">
        <v>0.1446</v>
      </c>
      <c r="C139" s="173" t="n">
        <v>0.138</v>
      </c>
      <c r="D139" s="173" t="n">
        <v>0.1312</v>
      </c>
      <c r="E139" s="173" t="n">
        <v>0.12</v>
      </c>
      <c r="F139" s="173" t="n">
        <v>0.1242</v>
      </c>
      <c r="G139" s="173" t="n">
        <v>0.1557</v>
      </c>
      <c r="H139" s="173" t="n">
        <v>0.1286</v>
      </c>
      <c r="I139" s="173" t="n">
        <v>0.12</v>
      </c>
      <c r="J139" s="173" t="n">
        <v>0.12</v>
      </c>
      <c r="K139" s="383" t="n">
        <v>0.12</v>
      </c>
    </row>
    <row r="140">
      <c r="A140" s="255" t="inlineStr">
        <is>
          <t>World Fixed Income</t>
        </is>
      </c>
      <c r="B140" s="173" t="n">
        <v>0.1276</v>
      </c>
      <c r="C140" s="173" t="n">
        <v>0.1576</v>
      </c>
      <c r="D140" s="173" t="n">
        <v>0.1812</v>
      </c>
      <c r="E140" s="173" t="n">
        <v>0.1956</v>
      </c>
      <c r="F140" s="173" t="n">
        <v>0.2</v>
      </c>
      <c r="G140" s="173" t="n">
        <v>0.2</v>
      </c>
      <c r="H140" s="173" t="n">
        <v>0.2</v>
      </c>
      <c r="I140" s="173" t="n">
        <v>0.1807</v>
      </c>
      <c r="J140" s="173" t="n">
        <v>0.1518</v>
      </c>
      <c r="K140" s="383" t="n">
        <v>0.1289</v>
      </c>
    </row>
    <row r="141">
      <c r="A141" s="255" t="inlineStr">
        <is>
          <t>Cash</t>
        </is>
      </c>
      <c r="B141" s="173" t="n">
        <v>0.1</v>
      </c>
      <c r="C141" s="173" t="n">
        <v>0.1</v>
      </c>
      <c r="D141" s="173" t="n">
        <v>0.1</v>
      </c>
      <c r="E141" s="173" t="n">
        <v>0.1</v>
      </c>
      <c r="F141" s="173" t="n">
        <v>0.07530000000000001</v>
      </c>
      <c r="G141" s="173" t="n">
        <v>0.02</v>
      </c>
      <c r="H141" s="173" t="n">
        <v>0.02</v>
      </c>
      <c r="I141" s="173" t="n">
        <v>0.02</v>
      </c>
      <c r="J141" s="173" t="n">
        <v>0.02</v>
      </c>
      <c r="K141" s="383" t="n">
        <v>0.02</v>
      </c>
    </row>
    <row r="142">
      <c r="A142" s="250" t="inlineStr">
        <is>
          <t>Expected return</t>
        </is>
      </c>
      <c r="B142" s="72">
        <f>SUMPRODUCT(B131:B141,Forecast!$G$6:$G$16)</f>
        <v>0.0634813665404129</v>
      </c>
      <c r="C142" s="72">
        <f>SUMPRODUCT(C131:C141,Forecast!$G$6:$G$16)</f>
        <v>0.0642098847873738</v>
      </c>
      <c r="D142" s="72">
        <f>SUMPRODUCT(D131:D141,Forecast!$G$6:$G$16)</f>
        <v>0.0649386093649641</v>
      </c>
      <c r="E142" s="72">
        <f>SUMPRODUCT(E131:E141,Forecast!$G$6:$G$16)</f>
        <v>0.0656644848845165</v>
      </c>
      <c r="F142" s="72">
        <f>SUMPRODUCT(F131:F141,Forecast!$G$6:$G$16)</f>
        <v>0.066392560990214</v>
      </c>
      <c r="G142" s="72">
        <f>SUMPRODUCT(G131:G141,Forecast!$G$6:$G$16)</f>
        <v>0.067119175033064</v>
      </c>
      <c r="H142" s="72">
        <f>SUMPRODUCT(H131:H141,Forecast!$G$6:$G$16)</f>
        <v>0.0678483862534227</v>
      </c>
      <c r="I142" s="72">
        <f>SUMPRODUCT(I131:I141,Forecast!$G$6:$G$16)</f>
        <v>0.0685747936523373</v>
      </c>
      <c r="J142" s="72">
        <f>SUMPRODUCT(J131:J141,Forecast!$G$6:$G$16)</f>
        <v>0.0693051396645462</v>
      </c>
      <c r="K142" s="263">
        <f>SUMPRODUCT(K131:K141,Forecast!$G$6:$G$16)</f>
        <v>0.0700321062587087</v>
      </c>
    </row>
    <row r="143">
      <c r="A143" s="250" t="inlineStr">
        <is>
          <t>Volatility</t>
        </is>
      </c>
      <c r="B143" s="72">
        <f>SQRT(SUMPRODUCT(B131:B141,MMULT(Risk!$B$41:$L$51,B131:B141)))</f>
        <v>0.0595134073977176</v>
      </c>
      <c r="C143" s="72">
        <f>SQRT(SUMPRODUCT(C131:C141,MMULT(Risk!$B$41:$L$51,C131:C141)))</f>
        <v>0.0598158956305185</v>
      </c>
      <c r="D143" s="72">
        <f>SQRT(SUMPRODUCT(D131:D141,MMULT(Risk!$B$41:$L$51,D131:D141)))</f>
        <v>0.0605608335559351</v>
      </c>
      <c r="E143" s="72">
        <f>SQRT(SUMPRODUCT(E131:E141,MMULT(Risk!$B$41:$L$51,E131:E141)))</f>
        <v>0.0616843354349399</v>
      </c>
      <c r="F143" s="72">
        <f>SQRT(SUMPRODUCT(F131:F141,MMULT(Risk!$B$41:$L$51,F131:F141)))</f>
        <v>0.0632635500635464</v>
      </c>
      <c r="G143" s="72">
        <f>SQRT(SUMPRODUCT(G131:G141,MMULT(Risk!$B$41:$L$51,G131:G141)))</f>
        <v>0.0654273751600381</v>
      </c>
      <c r="H143" s="72">
        <f>SQRT(SUMPRODUCT(H131:H141,MMULT(Risk!$B$41:$L$51,H131:H141)))</f>
        <v>0.0680026697127463</v>
      </c>
      <c r="I143" s="72">
        <f>SQRT(SUMPRODUCT(I131:I141,MMULT(Risk!$B$41:$L$51,I131:I141)))</f>
        <v>0.0709525726329572</v>
      </c>
      <c r="J143" s="72">
        <f>SQRT(SUMPRODUCT(J131:J141,MMULT(Risk!$B$41:$L$51,J131:J141)))</f>
        <v>0.0741951415827985</v>
      </c>
      <c r="K143" s="263">
        <f>SQRT(SUMPRODUCT(K131:K141,MMULT(Risk!$B$41:$L$51,K131:K141)))</f>
        <v>0.0783891281769718</v>
      </c>
    </row>
    <row r="144">
      <c r="A144" s="258" t="inlineStr">
        <is>
          <t>Tracking error</t>
        </is>
      </c>
      <c r="B144" s="296">
        <f>SQRT(SUMPRODUCT(B131:B141-Inputs!$C$5:$C$15,MMULT(Risk!$B$41:$L$51,B131:B141-Inputs!$C$5:$C$15)))</f>
        <v>0.0110070692691524</v>
      </c>
      <c r="C144" s="296">
        <f>SQRT(SUMPRODUCT(C131:C141-Inputs!$C$5:$C$15,MMULT(Risk!$B$41:$L$51,C131:C141-Inputs!$C$5:$C$15)))</f>
        <v>0.0109992090458049</v>
      </c>
      <c r="D144" s="296">
        <f>SQRT(SUMPRODUCT(D131:D141-Inputs!$C$5:$C$15,MMULT(Risk!$B$41:$L$51,D131:D141-Inputs!$C$5:$C$15)))</f>
        <v>0.010997139293043</v>
      </c>
      <c r="E144" s="296">
        <f>SQRT(SUMPRODUCT(E131:E141-Inputs!$C$5:$C$15,MMULT(Risk!$B$41:$L$51,E131:E141-Inputs!$C$5:$C$15)))</f>
        <v>0.011002226425413</v>
      </c>
      <c r="F144" s="296">
        <f>SQRT(SUMPRODUCT(F131:F141-Inputs!$C$5:$C$15,MMULT(Risk!$B$41:$L$51,F131:F141-Inputs!$C$5:$C$15)))</f>
        <v>0.0109997943817815</v>
      </c>
      <c r="G144" s="296">
        <f>SQRT(SUMPRODUCT(G131:G141-Inputs!$C$5:$C$15,MMULT(Risk!$B$41:$L$51,G131:G141-Inputs!$C$5:$C$15)))</f>
        <v>0.0109984112145444</v>
      </c>
      <c r="H144" s="296">
        <f>SQRT(SUMPRODUCT(H131:H141-Inputs!$C$5:$C$15,MMULT(Risk!$B$41:$L$51,H131:H141-Inputs!$C$5:$C$15)))</f>
        <v>0.010997339143425</v>
      </c>
      <c r="I144" s="296">
        <f>SQRT(SUMPRODUCT(I131:I141-Inputs!$C$5:$C$15,MMULT(Risk!$B$41:$L$51,I131:I141-Inputs!$C$5:$C$15)))</f>
        <v>0.0110020088554703</v>
      </c>
      <c r="J144" s="296">
        <f>SQRT(SUMPRODUCT(J131:J141-Inputs!$C$5:$C$15,MMULT(Risk!$B$41:$L$51,J131:J141-Inputs!$C$5:$C$15)))</f>
        <v>0.0109987722707988</v>
      </c>
      <c r="K144" s="384">
        <f>SQRT(SUMPRODUCT(K131:K141-Inputs!$C$5:$C$15,MMULT(Risk!$B$41:$L$51,K131:K141-Inputs!$C$5:$C$15)))</f>
        <v>0.0110023822192608</v>
      </c>
    </row>
  </sheetData>
  <conditionalFormatting sqref="H87:H104">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fRule type="cellIs" priority="7" operator="equal" dxfId="0">
      <formula>"REVIEW"</formula>
    </cfRule>
  </conditionalFormatting>
  <pageMargins left="0.75" right="0.75" top="1" bottom="1" header="0.5" footer="0.5"/>
  <pageSetup orientation="landscape" fitToHeight="0"/>
</worksheet>
</file>

<file path=xl/worksheets/sheet12.xml><?xml version="1.0" encoding="utf-8"?>
<worksheet xmlns="http://schemas.openxmlformats.org/spreadsheetml/2006/main">
  <sheetPr>
    <tabColor rgb="FF4F6228"/>
    <outlinePr summaryBelow="1" summaryRight="1"/>
    <pageSetUpPr fitToPage="1"/>
  </sheetPr>
  <dimension ref="A1:R65"/>
  <sheetViews>
    <sheetView showGridLines="0" workbookViewId="0">
      <pane ySplit="4" topLeftCell="A5" activePane="bottomLeft" state="frozen"/>
      <selection pane="bottomLeft" activeCell="A1" sqref="A1"/>
    </sheetView>
  </sheetViews>
  <sheetFormatPr baseColWidth="10" defaultColWidth="8.83203125" defaultRowHeight="15"/>
  <cols>
    <col width="12" customWidth="1" min="1" max="2"/>
    <col width="11" customWidth="1" min="3" max="6"/>
    <col width="10" customWidth="1" min="7" max="8"/>
    <col width="11" customWidth="1" min="9" max="10"/>
    <col width="3" customWidth="1" min="11" max="11"/>
    <col width="14" customWidth="1" min="12" max="12"/>
    <col width="11" customWidth="1" min="13" max="14"/>
    <col width="12" customWidth="1" min="15" max="15"/>
    <col width="11" customWidth="1" min="16" max="18"/>
  </cols>
  <sheetData>
    <row r="1" ht="19" customHeight="1">
      <c r="A1" s="53" t="inlineStr">
        <is>
          <t>Track record</t>
        </is>
      </c>
    </row>
    <row r="3">
      <c r="A3" s="121" t="inlineStr">
        <is>
          <t>1. Rolling 5-year windows, constant weights (quarterly data, net of fees; Recommended is an in-sample back-test)</t>
        </is>
      </c>
      <c r="B3" s="122" t="n"/>
      <c r="C3" s="122" t="n"/>
      <c r="D3" s="122" t="n"/>
      <c r="E3" s="122" t="n"/>
      <c r="F3" s="122" t="n"/>
      <c r="G3" s="122" t="n"/>
      <c r="H3" s="122" t="n"/>
      <c r="I3" s="122" t="n"/>
      <c r="J3" s="123" t="n"/>
      <c r="L3" s="181" t="inlineStr">
        <is>
          <t>2. By horizon (to March 2026, net of fees)</t>
        </is>
      </c>
      <c r="M3" s="182" t="n"/>
      <c r="N3" s="182" t="n"/>
      <c r="O3" s="182" t="n"/>
      <c r="P3" s="182" t="n"/>
      <c r="Q3" s="182" t="n"/>
      <c r="R3" s="183" t="n"/>
    </row>
    <row r="4" ht="42" customHeight="1">
      <c r="A4" s="124" t="inlineStr">
        <is>
          <t>Window end</t>
        </is>
      </c>
      <c r="B4" s="125" t="inlineStr">
        <is>
          <t>Window start</t>
        </is>
      </c>
      <c r="C4" s="125" t="inlineStr">
        <is>
          <t>Target (yield + 4%)</t>
        </is>
      </c>
      <c r="D4" s="125" t="inlineStr">
        <is>
          <t>Current</t>
        </is>
      </c>
      <c r="E4" s="125" t="inlineStr">
        <is>
          <t>Benchmark</t>
        </is>
      </c>
      <c r="F4" s="125" t="inlineStr">
        <is>
          <t>Recommended</t>
        </is>
      </c>
      <c r="G4" s="125" t="inlineStr">
        <is>
          <t>Current met target</t>
        </is>
      </c>
      <c r="H4" s="125" t="inlineStr">
        <is>
          <t>Rec. met target</t>
        </is>
      </c>
      <c r="I4" s="125" t="inlineStr">
        <is>
          <t>Realised TE: current</t>
        </is>
      </c>
      <c r="J4" s="126" t="inlineStr">
        <is>
          <t>Realised TE: rec.</t>
        </is>
      </c>
      <c r="L4" s="184" t="inlineStr">
        <is>
          <t>Horizon (years)</t>
        </is>
      </c>
      <c r="M4" s="185" t="inlineStr">
        <is>
          <t>Current</t>
        </is>
      </c>
      <c r="N4" s="185" t="inlineStr">
        <is>
          <t>Benchmark</t>
        </is>
      </c>
      <c r="O4" s="185" t="inlineStr">
        <is>
          <t>Recommended</t>
        </is>
      </c>
      <c r="P4" s="185" t="inlineStr">
        <is>
          <t>Target (yield + 4%)</t>
        </is>
      </c>
      <c r="Q4" s="185" t="inlineStr">
        <is>
          <t>Current met?</t>
        </is>
      </c>
      <c r="R4" s="186" t="inlineStr">
        <is>
          <t>Rec. met?</t>
        </is>
      </c>
    </row>
    <row r="5">
      <c r="A5" s="385">
        <f>'Quarterly returns'!A25</f>
        <v>40633.0</v>
      </c>
      <c r="B5" s="313">
        <f>'Quarterly returns'!A5</f>
        <v>38807.0</v>
      </c>
      <c r="C5" s="72">
        <f>INDEX('RBA 5Y yield'!$B$5:$B$661,MATCH(B5,'RBA 5Y yield'!$A$5:$A$661,1))+Inputs!$B$24</f>
        <v>0.092976</v>
      </c>
      <c r="D5" s="72">
        <f>EXP(SUMPRODUCT(LN(1+'Quarterly returns'!Z6:Z25))/5)-1</f>
        <v>0.016978037174755</v>
      </c>
      <c r="E5" s="72">
        <f>EXP(SUMPRODUCT(LN(1+'Quarterly returns'!AA6:AA25))/5)-1</f>
        <v>0.0150497439878667</v>
      </c>
      <c r="F5" s="72">
        <f>EXP(SUMPRODUCT(LN(1+'Quarterly returns'!AB6:AB25))/5)-1</f>
        <v>0.00585852860639502</v>
      </c>
      <c r="G5" s="342">
        <f>IF(D5&gt;=C5,1,0)</f>
        <v>0</v>
      </c>
      <c r="H5" s="342">
        <f>IF(F5&gt;=C5,1,0)</f>
        <v>0</v>
      </c>
      <c r="I5" s="72">
        <f>SQRT((SUMPRODUCT(('Quarterly returns'!Z6:Z25-'Quarterly returns'!AA6:AA25)^2)-SUMPRODUCT(('Quarterly returns'!Z6:Z25-'Quarterly returns'!AA6:AA25))^2/20)/19)*2</f>
        <v>0.0239324543617124</v>
      </c>
      <c r="J5" s="128">
        <f>SQRT((SUMPRODUCT(('Quarterly returns'!AB6:AB25-'Quarterly returns'!AA6:AA25)^2)-SUMPRODUCT(('Quarterly returns'!AB6:AB25-'Quarterly returns'!AA6:AA25))^2/20)/19)*2</f>
        <v>0.0137534038924224</v>
      </c>
      <c r="L5" s="386" t="n">
        <v>5</v>
      </c>
      <c r="M5" s="72">
        <f>EXP(SUMPRODUCT(LN(1+'Quarterly returns'!Z66:Z85))*4/20)-1</f>
        <v>0.0690594602203125</v>
      </c>
      <c r="N5" s="72">
        <f>EXP(SUMPRODUCT(LN(1+'Quarterly returns'!AA66:AA85))*4/20)-1</f>
        <v>0.0721947041348132</v>
      </c>
      <c r="O5" s="72">
        <f>EXP(SUMPRODUCT(LN(1+'Quarterly returns'!AB66:AB85))*4/20)-1</f>
        <v>0.0785360132940838</v>
      </c>
      <c r="P5" s="72">
        <f>INDEX('RBA 5Y yield'!$B$5:$B$661,MATCH('Quarterly returns'!A65,'RBA 5Y yield'!$A$5:$A$661,1))+Inputs!$B$24</f>
        <v>0.04708</v>
      </c>
      <c r="Q5" s="149" t="str">
        <f>IF(M5&gt;=P5,"YES","NO")</f>
        <v>YES</v>
      </c>
      <c r="R5" s="305" t="str">
        <f>IF(O5&gt;=P5,"YES","NO")</f>
        <v>YES</v>
      </c>
    </row>
    <row r="6">
      <c r="A6" s="385">
        <f>'Quarterly returns'!A26</f>
        <v>40724.0</v>
      </c>
      <c r="B6" s="313">
        <f>'Quarterly returns'!A6</f>
        <v>38898.0</v>
      </c>
      <c r="C6" s="72">
        <f>INDEX('RBA 5Y yield'!$B$5:$B$661,MATCH(B6,'RBA 5Y yield'!$A$5:$A$661,1))+Inputs!$B$24</f>
        <v>0.097483</v>
      </c>
      <c r="D6" s="72">
        <f>EXP(SUMPRODUCT(LN(1+'Quarterly returns'!Z7:Z26))/5)-1</f>
        <v>0.016606290142108</v>
      </c>
      <c r="E6" s="72">
        <f>EXP(SUMPRODUCT(LN(1+'Quarterly returns'!AA7:AA26))/5)-1</f>
        <v>0.014428609547227</v>
      </c>
      <c r="F6" s="72">
        <f>EXP(SUMPRODUCT(LN(1+'Quarterly returns'!AB7:AB26))/5)-1</f>
        <v>0.00661362313660452</v>
      </c>
      <c r="G6" s="342">
        <f>IF(D6&gt;=C6,1,0)</f>
        <v>0</v>
      </c>
      <c r="H6" s="342">
        <f>IF(F6&gt;=C6,1,0)</f>
        <v>0</v>
      </c>
      <c r="I6" s="72">
        <f>SQRT((SUMPRODUCT(('Quarterly returns'!Z7:Z26-'Quarterly returns'!AA7:AA26)^2)-SUMPRODUCT(('Quarterly returns'!Z7:Z26-'Quarterly returns'!AA7:AA26))^2/20)/19)*2</f>
        <v>0.0238760933479833</v>
      </c>
      <c r="J6" s="128">
        <f>SQRT((SUMPRODUCT(('Quarterly returns'!AB7:AB26-'Quarterly returns'!AA7:AA26)^2)-SUMPRODUCT(('Quarterly returns'!AB7:AB26-'Quarterly returns'!AA7:AA26))^2/20)/19)*2</f>
        <v>0.0128324045594437</v>
      </c>
      <c r="L6" s="386" t="n">
        <v>10</v>
      </c>
      <c r="M6" s="72">
        <f>EXP(SUMPRODUCT(LN(1+'Quarterly returns'!Z46:Z85))*4/40)-1</f>
        <v>0.0777619511169776</v>
      </c>
      <c r="N6" s="72">
        <f>EXP(SUMPRODUCT(LN(1+'Quarterly returns'!AA46:AA85))*4/40)-1</f>
        <v>0.0790360374289978</v>
      </c>
      <c r="O6" s="72">
        <f>EXP(SUMPRODUCT(LN(1+'Quarterly returns'!AB46:AB85))*4/40)-1</f>
        <v>0.0855200753194352</v>
      </c>
      <c r="P6" s="72">
        <f>INDEX('RBA 5Y yield'!$B$5:$B$661,MATCH('Quarterly returns'!A45,'RBA 5Y yield'!$A$5:$A$661,1))+Inputs!$B$24</f>
        <v>0.06134</v>
      </c>
      <c r="Q6" s="149" t="str">
        <f>IF(M6&gt;=P6,"YES","NO")</f>
        <v>YES</v>
      </c>
      <c r="R6" s="305" t="str">
        <f>IF(O6&gt;=P6,"YES","NO")</f>
        <v>YES</v>
      </c>
    </row>
    <row r="7">
      <c r="A7" s="385">
        <f>'Quarterly returns'!A27</f>
        <v>40816.0</v>
      </c>
      <c r="B7" s="313">
        <f>'Quarterly returns'!A7</f>
        <v>38989.0</v>
      </c>
      <c r="C7" s="72">
        <f>INDEX('RBA 5Y yield'!$B$5:$B$661,MATCH(B7,'RBA 5Y yield'!$A$5:$A$661,1))+Inputs!$B$24</f>
        <v>0.098402</v>
      </c>
      <c r="D7" s="72">
        <f>EXP(SUMPRODUCT(LN(1+'Quarterly returns'!Z8:Z27))/5)-1</f>
        <v>-0.00129227161690382</v>
      </c>
      <c r="E7" s="72">
        <f>EXP(SUMPRODUCT(LN(1+'Quarterly returns'!AA8:AA27))/5)-1</f>
        <v>5.22749378919496e-05</v>
      </c>
      <c r="F7" s="72">
        <f>EXP(SUMPRODUCT(LN(1+'Quarterly returns'!AB8:AB27))/5)-1</f>
        <v>-0.00974634503696059</v>
      </c>
      <c r="G7" s="342">
        <f>IF(D7&gt;=C7,1,0)</f>
        <v>0</v>
      </c>
      <c r="H7" s="342">
        <f>IF(F7&gt;=C7,1,0)</f>
        <v>0</v>
      </c>
      <c r="I7" s="72">
        <f>SQRT((SUMPRODUCT(('Quarterly returns'!Z8:Z27-'Quarterly returns'!AA8:AA27)^2)-SUMPRODUCT(('Quarterly returns'!Z8:Z27-'Quarterly returns'!AA8:AA27))^2/20)/19)*2</f>
        <v>0.0243444762144319</v>
      </c>
      <c r="J7" s="128">
        <f>SQRT((SUMPRODUCT(('Quarterly returns'!AB8:AB27-'Quarterly returns'!AA8:AA27)^2)-SUMPRODUCT(('Quarterly returns'!AB8:AB27-'Quarterly returns'!AA8:AA27))^2/20)/19)*2</f>
        <v>0.0126040609827392</v>
      </c>
      <c r="L7" s="386" t="n">
        <v>15</v>
      </c>
      <c r="M7" s="72">
        <f>EXP(SUMPRODUCT(LN(1+'Quarterly returns'!Z26:Z85))*4/60)-1</f>
        <v>0.0823273415849066</v>
      </c>
      <c r="N7" s="72">
        <f>EXP(SUMPRODUCT(LN(1+'Quarterly returns'!AA26:AA85))*4/60)-1</f>
        <v>0.0830268516654036</v>
      </c>
      <c r="O7" s="72">
        <f>EXP(SUMPRODUCT(LN(1+'Quarterly returns'!AB26:AB85))*4/60)-1</f>
        <v>0.0892302784583055</v>
      </c>
      <c r="P7" s="72">
        <f>INDEX('RBA 5Y yield'!$B$5:$B$661,MATCH('Quarterly returns'!A25,'RBA 5Y yield'!$A$5:$A$661,1))+Inputs!$B$24</f>
        <v>0.092075</v>
      </c>
      <c r="Q7" s="149" t="str">
        <f>IF(M7&gt;=P7,"YES","NO")</f>
        <v>NO</v>
      </c>
      <c r="R7" s="305" t="str">
        <f>IF(O7&gt;=P7,"YES","NO")</f>
        <v>NO</v>
      </c>
    </row>
    <row r="8">
      <c r="A8" s="385">
        <f>'Quarterly returns'!A28</f>
        <v>40907.0</v>
      </c>
      <c r="B8" s="313">
        <f>'Quarterly returns'!A8</f>
        <v>39080.0</v>
      </c>
      <c r="C8" s="72">
        <f>INDEX('RBA 5Y yield'!$B$5:$B$661,MATCH(B8,'RBA 5Y yield'!$A$5:$A$661,1))+Inputs!$B$24</f>
        <v>0.097957</v>
      </c>
      <c r="D8" s="72">
        <f>EXP(SUMPRODUCT(LN(1+'Quarterly returns'!Z9:Z28))/5)-1</f>
        <v>-0.00794130056552755</v>
      </c>
      <c r="E8" s="72">
        <f>EXP(SUMPRODUCT(LN(1+'Quarterly returns'!AA9:AA28))/5)-1</f>
        <v>-0.00392955945981199</v>
      </c>
      <c r="F8" s="72">
        <f>EXP(SUMPRODUCT(LN(1+'Quarterly returns'!AB9:AB28))/5)-1</f>
        <v>-0.0144764769919513</v>
      </c>
      <c r="G8" s="342">
        <f>IF(D8&gt;=C8,1,0)</f>
        <v>0</v>
      </c>
      <c r="H8" s="342">
        <f>IF(F8&gt;=C8,1,0)</f>
        <v>0</v>
      </c>
      <c r="I8" s="72">
        <f>SQRT((SUMPRODUCT(('Quarterly returns'!Z9:Z28-'Quarterly returns'!AA9:AA28)^2)-SUMPRODUCT(('Quarterly returns'!Z9:Z28-'Quarterly returns'!AA9:AA28))^2/20)/19)*2</f>
        <v>0.0234775029412154</v>
      </c>
      <c r="J8" s="128">
        <f>SQRT((SUMPRODUCT(('Quarterly returns'!AB9:AB28-'Quarterly returns'!AA9:AA28)^2)-SUMPRODUCT(('Quarterly returns'!AB9:AB28-'Quarterly returns'!AA9:AA28))^2/20)/19)*2</f>
        <v>0.0123734741459142</v>
      </c>
      <c r="L8" s="387" t="n">
        <v>20</v>
      </c>
      <c r="M8" s="372">
        <f>EXP(SUMPRODUCT(LN(1+'Quarterly returns'!Z6:Z85))*4/80)-1</f>
        <v>0.0656065117326772</v>
      </c>
      <c r="N8" s="372">
        <f>EXP(SUMPRODUCT(LN(1+'Quarterly returns'!AA6:AA85))*4/80)-1</f>
        <v>0.0656172685638206</v>
      </c>
      <c r="O8" s="372">
        <f>EXP(SUMPRODUCT(LN(1+'Quarterly returns'!AB6:AB85))*4/80)-1</f>
        <v>0.0677608782686425</v>
      </c>
      <c r="P8" s="372">
        <f>INDEX('RBA 5Y yield'!$B$5:$B$661,MATCH('Quarterly returns'!A5,'RBA 5Y yield'!$A$5:$A$661,1))+Inputs!$B$24</f>
        <v>0.092976</v>
      </c>
      <c r="Q8" s="388" t="str">
        <f>IF(M8&gt;=P8,"YES","NO")</f>
        <v>NO</v>
      </c>
      <c r="R8" s="307" t="str">
        <f>IF(O8&gt;=P8,"YES","NO")</f>
        <v>NO</v>
      </c>
    </row>
    <row r="9">
      <c r="A9" s="385">
        <f>'Quarterly returns'!A29</f>
        <v>40998.0</v>
      </c>
      <c r="B9" s="313">
        <f>'Quarterly returns'!A9</f>
        <v>39171.0</v>
      </c>
      <c r="C9" s="72">
        <f>INDEX('RBA 5Y yield'!$B$5:$B$661,MATCH(B9,'RBA 5Y yield'!$A$5:$A$661,1))+Inputs!$B$24</f>
        <v>0.09965</v>
      </c>
      <c r="D9" s="72">
        <f>EXP(SUMPRODUCT(LN(1+'Quarterly returns'!Z10:Z29))/5)-1</f>
        <v>-0.00136375556285828</v>
      </c>
      <c r="E9" s="72">
        <f>EXP(SUMPRODUCT(LN(1+'Quarterly returns'!AA10:AA29))/5)-1</f>
        <v>0.0036022204498336</v>
      </c>
      <c r="F9" s="72">
        <f>EXP(SUMPRODUCT(LN(1+'Quarterly returns'!AB10:AB29))/5)-1</f>
        <v>-0.00549361920297442</v>
      </c>
      <c r="G9" s="342">
        <f>IF(D9&gt;=C9,1,0)</f>
        <v>0</v>
      </c>
      <c r="H9" s="342">
        <f>IF(F9&gt;=C9,1,0)</f>
        <v>0</v>
      </c>
      <c r="I9" s="72">
        <f>SQRT((SUMPRODUCT(('Quarterly returns'!Z10:Z29-'Quarterly returns'!AA10:AA29)^2)-SUMPRODUCT(('Quarterly returns'!Z10:Z29-'Quarterly returns'!AA10:AA29))^2/20)/19)*2</f>
        <v>0.0231029874349491</v>
      </c>
      <c r="J9" s="128">
        <f>SQRT((SUMPRODUCT(('Quarterly returns'!AB10:AB29-'Quarterly returns'!AA10:AA29)^2)-SUMPRODUCT(('Quarterly returns'!AB10:AB29-'Quarterly returns'!AA10:AA29))^2/20)/19)*2</f>
        <v>0.0133914704609756</v>
      </c>
    </row>
    <row r="10">
      <c r="A10" s="385">
        <f>'Quarterly returns'!A30</f>
        <v>41089.0</v>
      </c>
      <c r="B10" s="313">
        <f>'Quarterly returns'!A10</f>
        <v>39262.0</v>
      </c>
      <c r="C10" s="72">
        <f>INDEX('RBA 5Y yield'!$B$5:$B$661,MATCH(B10,'RBA 5Y yield'!$A$5:$A$661,1))+Inputs!$B$24</f>
        <v>0.100717</v>
      </c>
      <c r="D10" s="72">
        <f>EXP(SUMPRODUCT(LN(1+'Quarterly returns'!Z11:Z30))/5)-1</f>
        <v>-0.00740014618513252</v>
      </c>
      <c r="E10" s="72">
        <f>EXP(SUMPRODUCT(LN(1+'Quarterly returns'!AA11:AA30))/5)-1</f>
        <v>-0.00306985142618754</v>
      </c>
      <c r="F10" s="72">
        <f>EXP(SUMPRODUCT(LN(1+'Quarterly returns'!AB11:AB30))/5)-1</f>
        <v>-0.0114380245145982</v>
      </c>
      <c r="G10" s="342">
        <f>IF(D10&gt;=C10,1,0)</f>
        <v>0</v>
      </c>
      <c r="H10" s="342">
        <f>IF(F10&gt;=C10,1,0)</f>
        <v>0</v>
      </c>
      <c r="I10" s="72">
        <f>SQRT((SUMPRODUCT(('Quarterly returns'!Z11:Z30-'Quarterly returns'!AA11:AA30)^2)-SUMPRODUCT(('Quarterly returns'!Z11:Z30-'Quarterly returns'!AA11:AA30))^2/20)/19)*2</f>
        <v>0.0230268264806741</v>
      </c>
      <c r="J10" s="128">
        <f>SQRT((SUMPRODUCT(('Quarterly returns'!AB11:AB30-'Quarterly returns'!AA11:AA30)^2)-SUMPRODUCT(('Quarterly returns'!AB11:AB30-'Quarterly returns'!AA11:AA30))^2/20)/19)*2</f>
        <v>0.0131744687039454</v>
      </c>
    </row>
    <row r="11">
      <c r="A11" s="385">
        <f>'Quarterly returns'!A31</f>
        <v>41180.0</v>
      </c>
      <c r="B11" s="313">
        <f>'Quarterly returns'!A11</f>
        <v>39353.0</v>
      </c>
      <c r="C11" s="72">
        <f>INDEX('RBA 5Y yield'!$B$5:$B$661,MATCH(B11,'RBA 5Y yield'!$A$5:$A$661,1))+Inputs!$B$24</f>
        <v>0.101316</v>
      </c>
      <c r="D11" s="72">
        <f>EXP(SUMPRODUCT(LN(1+'Quarterly returns'!Z12:Z31))/5)-1</f>
        <v>-0.000962519117137406</v>
      </c>
      <c r="E11" s="72">
        <f>EXP(SUMPRODUCT(LN(1+'Quarterly returns'!AA12:AA31))/5)-1</f>
        <v>0.00277347866773625</v>
      </c>
      <c r="F11" s="72">
        <f>EXP(SUMPRODUCT(LN(1+'Quarterly returns'!AB12:AB31))/5)-1</f>
        <v>-0.00479026882345301</v>
      </c>
      <c r="G11" s="342">
        <f>IF(D11&gt;=C11,1,0)</f>
        <v>0</v>
      </c>
      <c r="H11" s="342">
        <f>IF(F11&gt;=C11,1,0)</f>
        <v>0</v>
      </c>
      <c r="I11" s="72">
        <f>SQRT((SUMPRODUCT(('Quarterly returns'!Z12:Z31-'Quarterly returns'!AA12:AA31)^2)-SUMPRODUCT(('Quarterly returns'!Z12:Z31-'Quarterly returns'!AA12:AA31))^2/20)/19)*2</f>
        <v>0.0232373855865843</v>
      </c>
      <c r="J11" s="128">
        <f>SQRT((SUMPRODUCT(('Quarterly returns'!AB12:AB31-'Quarterly returns'!AA12:AA31)^2)-SUMPRODUCT(('Quarterly returns'!AB12:AB31-'Quarterly returns'!AA12:AA31))^2/20)/19)*2</f>
        <v>0.0136035725042721</v>
      </c>
      <c r="L11" s="247" t="inlineStr">
        <is>
          <t>3. Share of rolling 5-year windows</t>
        </is>
      </c>
      <c r="M11" s="248" t="n"/>
      <c r="N11" s="248" t="n"/>
      <c r="O11" s="249" t="n"/>
    </row>
    <row r="12" ht="28" customHeight="1">
      <c r="A12" s="385">
        <f>'Quarterly returns'!A32</f>
        <v>41274.0</v>
      </c>
      <c r="B12" s="313">
        <f>'Quarterly returns'!A12</f>
        <v>39447.0</v>
      </c>
      <c r="C12" s="72">
        <f>INDEX('RBA 5Y yield'!$B$5:$B$661,MATCH(B12,'RBA 5Y yield'!$A$5:$A$661,1))+Inputs!$B$24</f>
        <v>0.104637</v>
      </c>
      <c r="D12" s="72">
        <f>EXP(SUMPRODUCT(LN(1+'Quarterly returns'!Z13:Z32))/5)-1</f>
        <v>0.0108732028752319</v>
      </c>
      <c r="E12" s="72">
        <f>EXP(SUMPRODUCT(LN(1+'Quarterly returns'!AA13:AA32))/5)-1</f>
        <v>0.010758252201839</v>
      </c>
      <c r="F12" s="72">
        <f>EXP(SUMPRODUCT(LN(1+'Quarterly returns'!AB13:AB32))/5)-1</f>
        <v>0.00474808000879934</v>
      </c>
      <c r="G12" s="342">
        <f>IF(D12&gt;=C12,1,0)</f>
        <v>0</v>
      </c>
      <c r="H12" s="342">
        <f>IF(F12&gt;=C12,1,0)</f>
        <v>0</v>
      </c>
      <c r="I12" s="72">
        <f>SQRT((SUMPRODUCT(('Quarterly returns'!Z13:Z32-'Quarterly returns'!AA13:AA32)^2)-SUMPRODUCT(('Quarterly returns'!Z13:Z32-'Quarterly returns'!AA13:AA32))^2/20)/19)*2</f>
        <v>0.0226604638172195</v>
      </c>
      <c r="J12" s="128">
        <f>SQRT((SUMPRODUCT(('Quarterly returns'!AB13:AB32-'Quarterly returns'!AA13:AA32)^2)-SUMPRODUCT(('Quarterly returns'!AB13:AB32-'Quarterly returns'!AA13:AA32))^2/20)/19)*2</f>
        <v>0.0136489748838152</v>
      </c>
      <c r="L12" s="252" t="inlineStr">
        <is>
          <t>Measure</t>
        </is>
      </c>
      <c r="M12" s="253" t="inlineStr">
        <is>
          <t>Current</t>
        </is>
      </c>
      <c r="N12" s="253" t="inlineStr">
        <is>
          <t>Benchmark</t>
        </is>
      </c>
      <c r="O12" s="254" t="inlineStr">
        <is>
          <t>Recommended</t>
        </is>
      </c>
    </row>
    <row r="13">
      <c r="A13" s="385">
        <f>'Quarterly returns'!A33</f>
        <v>41362.0</v>
      </c>
      <c r="B13" s="313">
        <f>'Quarterly returns'!A13</f>
        <v>39538.0</v>
      </c>
      <c r="C13" s="72">
        <f>INDEX('RBA 5Y yield'!$B$5:$B$661,MATCH(B13,'RBA 5Y yield'!$A$5:$A$661,1))+Inputs!$B$24</f>
        <v>0.101003</v>
      </c>
      <c r="D13" s="72">
        <f>EXP(SUMPRODUCT(LN(1+'Quarterly returns'!Z14:Z33))/5)-1</f>
        <v>0.0425080298557103</v>
      </c>
      <c r="E13" s="72">
        <f>EXP(SUMPRODUCT(LN(1+'Quarterly returns'!AA14:AA33))/5)-1</f>
        <v>0.0377928328119617</v>
      </c>
      <c r="F13" s="72">
        <f>EXP(SUMPRODUCT(LN(1+'Quarterly returns'!AB14:AB33))/5)-1</f>
        <v>0.0355820978537538</v>
      </c>
      <c r="G13" s="342">
        <f>IF(D13&gt;=C13,1,0)</f>
        <v>0</v>
      </c>
      <c r="H13" s="342">
        <f>IF(F13&gt;=C13,1,0)</f>
        <v>0</v>
      </c>
      <c r="I13" s="72">
        <f>SQRT((SUMPRODUCT(('Quarterly returns'!Z14:Z33-'Quarterly returns'!AA14:AA33)^2)-SUMPRODUCT(('Quarterly returns'!Z14:Z33-'Quarterly returns'!AA14:AA33))^2/20)/19)*2</f>
        <v>0.0223463395934735</v>
      </c>
      <c r="J13" s="128">
        <f>SQRT((SUMPRODUCT(('Quarterly returns'!AB14:AB33-'Quarterly returns'!AA14:AA33)^2)-SUMPRODUCT(('Quarterly returns'!AB14:AB33-'Quarterly returns'!AA14:AA33))^2/20)/19)*2</f>
        <v>0.0129673523918705</v>
      </c>
      <c r="L13" s="255" t="inlineStr">
        <is>
          <t>Met return target</t>
        </is>
      </c>
      <c r="M13" s="68">
        <f>AVERAGE(G5:G65)</f>
        <v>0.688524590163934</v>
      </c>
      <c r="N13" s="68">
        <f>SUMPRODUCT((E5:E65&gt;=C5:C65)*1)/61</f>
        <v>0.688524590163934</v>
      </c>
      <c r="O13" s="256">
        <f>AVERAGE(H5:H65)</f>
        <v>0.770491803278689</v>
      </c>
    </row>
    <row r="14">
      <c r="A14" s="385">
        <f>'Quarterly returns'!A34</f>
        <v>41453.0</v>
      </c>
      <c r="B14" s="313">
        <f>'Quarterly returns'!A14</f>
        <v>39629.0</v>
      </c>
      <c r="C14" s="72">
        <f>INDEX('RBA 5Y yield'!$B$5:$B$661,MATCH(B14,'RBA 5Y yield'!$A$5:$A$661,1))+Inputs!$B$24</f>
        <v>0.106903</v>
      </c>
      <c r="D14" s="72">
        <f>EXP(SUMPRODUCT(LN(1+'Quarterly returns'!Z15:Z34))/5)-1</f>
        <v>0.0542921362702009</v>
      </c>
      <c r="E14" s="72">
        <f>EXP(SUMPRODUCT(LN(1+'Quarterly returns'!AA15:AA34))/5)-1</f>
        <v>0.0520071339156656</v>
      </c>
      <c r="F14" s="72">
        <f>EXP(SUMPRODUCT(LN(1+'Quarterly returns'!AB15:AB34))/5)-1</f>
        <v>0.0521794020187334</v>
      </c>
      <c r="G14" s="342">
        <f>IF(D14&gt;=C14,1,0)</f>
        <v>0</v>
      </c>
      <c r="H14" s="342">
        <f>IF(F14&gt;=C14,1,0)</f>
        <v>0</v>
      </c>
      <c r="I14" s="72">
        <f>SQRT((SUMPRODUCT(('Quarterly returns'!Z15:Z34-'Quarterly returns'!AA15:AA34)^2)-SUMPRODUCT(('Quarterly returns'!Z15:Z34-'Quarterly returns'!AA15:AA34))^2/20)/19)*2</f>
        <v>0.0235759359178023</v>
      </c>
      <c r="J14" s="128">
        <f>SQRT((SUMPRODUCT(('Quarterly returns'!AB15:AB34-'Quarterly returns'!AA15:AA34)^2)-SUMPRODUCT(('Quarterly returns'!AB15:AB34-'Quarterly returns'!AA15:AA34))^2/20)/19)*2</f>
        <v>0.0130622743549418</v>
      </c>
      <c r="L14" s="255" t="inlineStr">
        <is>
          <t>Negative 5-year return</t>
        </is>
      </c>
      <c r="M14" s="68">
        <f>COUNTIF(D5:D65,"&lt;0")/61</f>
        <v>0.0819672131147541</v>
      </c>
      <c r="N14" s="68">
        <f>COUNTIF(E5:E65,"&lt;0")/61</f>
        <v>0.0327868852459016</v>
      </c>
      <c r="O14" s="256">
        <f>COUNTIF(F5:F65,"&lt;0")/61</f>
        <v>0.0819672131147541</v>
      </c>
    </row>
    <row r="15">
      <c r="A15" s="385">
        <f>'Quarterly returns'!A35</f>
        <v>41547.0</v>
      </c>
      <c r="B15" s="313">
        <f>'Quarterly returns'!A15</f>
        <v>39721.0</v>
      </c>
      <c r="C15" s="72">
        <f>INDEX('RBA 5Y yield'!$B$5:$B$661,MATCH(B15,'RBA 5Y yield'!$A$5:$A$661,1))+Inputs!$B$24</f>
        <v>0.095364</v>
      </c>
      <c r="D15" s="72">
        <f>EXP(SUMPRODUCT(LN(1+'Quarterly returns'!Z16:Z35))/5)-1</f>
        <v>0.0646871579083959</v>
      </c>
      <c r="E15" s="72">
        <f>EXP(SUMPRODUCT(LN(1+'Quarterly returns'!AA16:AA35))/5)-1</f>
        <v>0.0588839074859184</v>
      </c>
      <c r="F15" s="72">
        <f>EXP(SUMPRODUCT(LN(1+'Quarterly returns'!AB16:AB35))/5)-1</f>
        <v>0.0588423063936139</v>
      </c>
      <c r="G15" s="342">
        <f>IF(D15&gt;=C15,1,0)</f>
        <v>0</v>
      </c>
      <c r="H15" s="342">
        <f>IF(F15&gt;=C15,1,0)</f>
        <v>0</v>
      </c>
      <c r="I15" s="72">
        <f>SQRT((SUMPRODUCT(('Quarterly returns'!Z16:Z35-'Quarterly returns'!AA16:AA35)^2)-SUMPRODUCT(('Quarterly returns'!Z16:Z35-'Quarterly returns'!AA16:AA35))^2/20)/19)*2</f>
        <v>0.0235626562839421</v>
      </c>
      <c r="J15" s="128">
        <f>SQRT((SUMPRODUCT(('Quarterly returns'!AB16:AB35-'Quarterly returns'!AA16:AA35)^2)-SUMPRODUCT(('Quarterly returns'!AB16:AB35-'Quarterly returns'!AA16:AA35))^2/20)/19)*2</f>
        <v>0.0130151079987653</v>
      </c>
      <c r="L15" s="255" t="inlineStr">
        <is>
          <t>Realised TE within 1.5%</t>
        </is>
      </c>
      <c r="M15" s="68">
        <f>COUNTIF(I5:I65,"&lt;="&amp;Inputs!$B$27)/61</f>
        <v>0.0327868852459016</v>
      </c>
      <c r="N15" s="77" t="n"/>
      <c r="O15" s="256">
        <f>COUNTIF(J5:J65,"&lt;="&amp;Inputs!$B$27)/61</f>
        <v>1</v>
      </c>
    </row>
    <row r="16">
      <c r="A16" s="385">
        <f>'Quarterly returns'!A36</f>
        <v>41639.0</v>
      </c>
      <c r="B16" s="313">
        <f>'Quarterly returns'!A16</f>
        <v>39813.0</v>
      </c>
      <c r="C16" s="72">
        <f>INDEX('RBA 5Y yield'!$B$5:$B$661,MATCH(B16,'RBA 5Y yield'!$A$5:$A$661,1))+Inputs!$B$24</f>
        <v>0.077221</v>
      </c>
      <c r="D16" s="72">
        <f>EXP(SUMPRODUCT(LN(1+'Quarterly returns'!Z17:Z36))/5)-1</f>
        <v>0.100211481290078</v>
      </c>
      <c r="E16" s="72">
        <f>EXP(SUMPRODUCT(LN(1+'Quarterly returns'!AA17:AA36))/5)-1</f>
        <v>0.0912746225301504</v>
      </c>
      <c r="F16" s="72">
        <f>EXP(SUMPRODUCT(LN(1+'Quarterly returns'!AB17:AB36))/5)-1</f>
        <v>0.0959276469693511</v>
      </c>
      <c r="G16" s="342">
        <f>IF(D16&gt;=C16,1,0)</f>
        <v>1</v>
      </c>
      <c r="H16" s="342">
        <f>IF(F16&gt;=C16,1,0)</f>
        <v>1</v>
      </c>
      <c r="I16" s="72">
        <f>SQRT((SUMPRODUCT(('Quarterly returns'!Z17:Z36-'Quarterly returns'!AA17:AA36)^2)-SUMPRODUCT(('Quarterly returns'!Z17:Z36-'Quarterly returns'!AA17:AA36))^2/20)/19)*2</f>
        <v>0.0218972366182276</v>
      </c>
      <c r="J16" s="128">
        <f>SQRT((SUMPRODUCT(('Quarterly returns'!AB17:AB36-'Quarterly returns'!AA17:AA36)^2)-SUMPRODUCT(('Quarterly returns'!AB17:AB36-'Quarterly returns'!AA17:AA36))^2/20)/19)*2</f>
        <v>0.0100876019854044</v>
      </c>
      <c r="L16" s="258" t="inlineStr">
        <is>
          <t>Average realised TE</t>
        </is>
      </c>
      <c r="M16" s="296">
        <f>AVERAGE(I5:I65)</f>
        <v>0.0202631303151899</v>
      </c>
      <c r="N16" s="260" t="n"/>
      <c r="O16" s="384">
        <f>AVERAGE(J5:J65)</f>
        <v>0.0108784998389167</v>
      </c>
    </row>
    <row r="17">
      <c r="A17" s="385">
        <f>'Quarterly returns'!A37</f>
        <v>41729.0</v>
      </c>
      <c r="B17" s="313">
        <f>'Quarterly returns'!A17</f>
        <v>39903.0</v>
      </c>
      <c r="C17" s="72">
        <f>INDEX('RBA 5Y yield'!$B$5:$B$661,MATCH(B17,'RBA 5Y yield'!$A$5:$A$661,1))+Inputs!$B$24</f>
        <v>0.077286</v>
      </c>
      <c r="D17" s="72">
        <f>EXP(SUMPRODUCT(LN(1+'Quarterly returns'!Z18:Z37))/5)-1</f>
        <v>0.11371663002122</v>
      </c>
      <c r="E17" s="72">
        <f>EXP(SUMPRODUCT(LN(1+'Quarterly returns'!AA18:AA37))/5)-1</f>
        <v>0.10183279755028</v>
      </c>
      <c r="F17" s="72">
        <f>EXP(SUMPRODUCT(LN(1+'Quarterly returns'!AB18:AB37))/5)-1</f>
        <v>0.108242375364112</v>
      </c>
      <c r="G17" s="342">
        <f>IF(D17&gt;=C17,1,0)</f>
        <v>1</v>
      </c>
      <c r="H17" s="342">
        <f>IF(F17&gt;=C17,1,0)</f>
        <v>1</v>
      </c>
      <c r="I17" s="72">
        <f>SQRT((SUMPRODUCT(('Quarterly returns'!Z18:Z37-'Quarterly returns'!AA18:AA37)^2)-SUMPRODUCT(('Quarterly returns'!Z18:Z37-'Quarterly returns'!AA18:AA37))^2/20)/19)*2</f>
        <v>0.0216784594126217</v>
      </c>
      <c r="J17" s="128">
        <f>SQRT((SUMPRODUCT(('Quarterly returns'!AB18:AB37-'Quarterly returns'!AA18:AA37)^2)-SUMPRODUCT(('Quarterly returns'!AB18:AB37-'Quarterly returns'!AA18:AA37))^2/20)/19)*2</f>
        <v>0.00924493713748813</v>
      </c>
    </row>
    <row r="18">
      <c r="A18" s="385">
        <f>'Quarterly returns'!A38</f>
        <v>41820.0</v>
      </c>
      <c r="B18" s="313">
        <f>'Quarterly returns'!A18</f>
        <v>39994.0</v>
      </c>
      <c r="C18" s="72">
        <f>INDEX('RBA 5Y yield'!$B$5:$B$661,MATCH(B18,'RBA 5Y yield'!$A$5:$A$661,1))+Inputs!$B$24</f>
        <v>0.091021</v>
      </c>
      <c r="D18" s="72">
        <f>EXP(SUMPRODUCT(LN(1+'Quarterly returns'!Z19:Z38))/5)-1</f>
        <v>0.105855936810166</v>
      </c>
      <c r="E18" s="72">
        <f>EXP(SUMPRODUCT(LN(1+'Quarterly returns'!AA19:AA38))/5)-1</f>
        <v>0.0970222307829947</v>
      </c>
      <c r="F18" s="72">
        <f>EXP(SUMPRODUCT(LN(1+'Quarterly returns'!AB19:AB38))/5)-1</f>
        <v>0.103219712306001</v>
      </c>
      <c r="G18" s="342">
        <f>IF(D18&gt;=C18,1,0)</f>
        <v>1</v>
      </c>
      <c r="H18" s="342">
        <f>IF(F18&gt;=C18,1,0)</f>
        <v>1</v>
      </c>
      <c r="I18" s="72">
        <f>SQRT((SUMPRODUCT(('Quarterly returns'!Z19:Z38-'Quarterly returns'!AA19:AA38)^2)-SUMPRODUCT(('Quarterly returns'!Z19:Z38-'Quarterly returns'!AA19:AA38))^2/20)/19)*2</f>
        <v>0.0214619744998455</v>
      </c>
      <c r="J18" s="128">
        <f>SQRT((SUMPRODUCT(('Quarterly returns'!AB19:AB38-'Quarterly returns'!AA19:AA38)^2)-SUMPRODUCT(('Quarterly returns'!AB19:AB38-'Quarterly returns'!AA19:AA38))^2/20)/19)*2</f>
        <v>0.00926116048679769</v>
      </c>
    </row>
    <row r="19">
      <c r="A19" s="385">
        <f>'Quarterly returns'!A39</f>
        <v>41912.0</v>
      </c>
      <c r="B19" s="313">
        <f>'Quarterly returns'!A19</f>
        <v>40086.0</v>
      </c>
      <c r="C19" s="72">
        <f>INDEX('RBA 5Y yield'!$B$5:$B$661,MATCH(B19,'RBA 5Y yield'!$A$5:$A$661,1))+Inputs!$B$24</f>
        <v>0.091395</v>
      </c>
      <c r="D19" s="72">
        <f>EXP(SUMPRODUCT(LN(1+'Quarterly returns'!Z20:Z39))/5)-1</f>
        <v>0.08630080976999</v>
      </c>
      <c r="E19" s="72">
        <f>EXP(SUMPRODUCT(LN(1+'Quarterly returns'!AA20:AA39))/5)-1</f>
        <v>0.0848102847220873</v>
      </c>
      <c r="F19" s="72">
        <f>EXP(SUMPRODUCT(LN(1+'Quarterly returns'!AB20:AB39))/5)-1</f>
        <v>0.0904153841370445</v>
      </c>
      <c r="G19" s="342">
        <f>IF(D19&gt;=C19,1,0)</f>
        <v>0</v>
      </c>
      <c r="H19" s="342">
        <f>IF(F19&gt;=C19,1,0)</f>
        <v>0</v>
      </c>
      <c r="I19" s="72">
        <f>SQRT((SUMPRODUCT(('Quarterly returns'!Z20:Z39-'Quarterly returns'!AA20:AA39)^2)-SUMPRODUCT(('Quarterly returns'!Z20:Z39-'Quarterly returns'!AA20:AA39))^2/20)/19)*2</f>
        <v>0.0173086770486544</v>
      </c>
      <c r="J19" s="128">
        <f>SQRT((SUMPRODUCT(('Quarterly returns'!AB20:AB39-'Quarterly returns'!AA20:AA39)^2)-SUMPRODUCT(('Quarterly returns'!AB20:AB39-'Quarterly returns'!AA20:AA39))^2/20)/19)*2</f>
        <v>0.00893140209675255</v>
      </c>
    </row>
    <row r="20">
      <c r="A20" s="385">
        <f>'Quarterly returns'!A40</f>
        <v>42004.0</v>
      </c>
      <c r="B20" s="313">
        <f>'Quarterly returns'!A20</f>
        <v>40178.0</v>
      </c>
      <c r="C20" s="72">
        <f>INDEX('RBA 5Y yield'!$B$5:$B$661,MATCH(B20,'RBA 5Y yield'!$A$5:$A$661,1))+Inputs!$B$24</f>
        <v>0.0915</v>
      </c>
      <c r="D20" s="72">
        <f>EXP(SUMPRODUCT(LN(1+'Quarterly returns'!Z21:Z40))/5)-1</f>
        <v>0.0934115476497721</v>
      </c>
      <c r="E20" s="72">
        <f>EXP(SUMPRODUCT(LN(1+'Quarterly returns'!AA21:AA40))/5)-1</f>
        <v>0.0907073874087925</v>
      </c>
      <c r="F20" s="72">
        <f>EXP(SUMPRODUCT(LN(1+'Quarterly returns'!AB21:AB40))/5)-1</f>
        <v>0.0974577396348848</v>
      </c>
      <c r="G20" s="342">
        <f>IF(D20&gt;=C20,1,0)</f>
        <v>1</v>
      </c>
      <c r="H20" s="342">
        <f>IF(F20&gt;=C20,1,0)</f>
        <v>1</v>
      </c>
      <c r="I20" s="72">
        <f>SQRT((SUMPRODUCT(('Quarterly returns'!Z21:Z40-'Quarterly returns'!AA21:AA40)^2)-SUMPRODUCT(('Quarterly returns'!Z21:Z40-'Quarterly returns'!AA21:AA40))^2/20)/19)*2</f>
        <v>0.0173538096151449</v>
      </c>
      <c r="J20" s="128">
        <f>SQRT((SUMPRODUCT(('Quarterly returns'!AB21:AB40-'Quarterly returns'!AA21:AA40)^2)-SUMPRODUCT(('Quarterly returns'!AB21:AB40-'Quarterly returns'!AA21:AA40))^2/20)/19)*2</f>
        <v>0.00909761308509078</v>
      </c>
    </row>
    <row r="21">
      <c r="A21" s="385">
        <f>'Quarterly returns'!A41</f>
        <v>42094.0</v>
      </c>
      <c r="B21" s="313">
        <f>'Quarterly returns'!A21</f>
        <v>40268.0</v>
      </c>
      <c r="C21" s="72">
        <f>INDEX('RBA 5Y yield'!$B$5:$B$661,MATCH(B21,'RBA 5Y yield'!$A$5:$A$661,1))+Inputs!$B$24</f>
        <v>0.0934</v>
      </c>
      <c r="D21" s="72">
        <f>EXP(SUMPRODUCT(LN(1+'Quarterly returns'!Z22:Z41))/5)-1</f>
        <v>0.107195110677715</v>
      </c>
      <c r="E21" s="72">
        <f>EXP(SUMPRODUCT(LN(1+'Quarterly returns'!AA22:AA41))/5)-1</f>
        <v>0.104213998116563</v>
      </c>
      <c r="F21" s="72">
        <f>EXP(SUMPRODUCT(LN(1+'Quarterly returns'!AB22:AB41))/5)-1</f>
        <v>0.112159698759999</v>
      </c>
      <c r="G21" s="342">
        <f>IF(D21&gt;=C21,1,0)</f>
        <v>1</v>
      </c>
      <c r="H21" s="342">
        <f>IF(F21&gt;=C21,1,0)</f>
        <v>1</v>
      </c>
      <c r="I21" s="72">
        <f>SQRT((SUMPRODUCT(('Quarterly returns'!Z22:Z41-'Quarterly returns'!AA22:AA41)^2)-SUMPRODUCT(('Quarterly returns'!Z22:Z41-'Quarterly returns'!AA22:AA41))^2/20)/19)*2</f>
        <v>0.0174851032003563</v>
      </c>
      <c r="J21" s="128">
        <f>SQRT((SUMPRODUCT(('Quarterly returns'!AB22:AB41-'Quarterly returns'!AA22:AA41)^2)-SUMPRODUCT(('Quarterly returns'!AB22:AB41-'Quarterly returns'!AA22:AA41))^2/20)/19)*2</f>
        <v>0.00996435817002702</v>
      </c>
    </row>
    <row r="22">
      <c r="A22" s="385">
        <f>'Quarterly returns'!A42</f>
        <v>42185.0</v>
      </c>
      <c r="B22" s="313">
        <f>'Quarterly returns'!A22</f>
        <v>40359.0</v>
      </c>
      <c r="C22" s="72">
        <f>INDEX('RBA 5Y yield'!$B$5:$B$661,MATCH(B22,'RBA 5Y yield'!$A$5:$A$661,1))+Inputs!$B$24</f>
        <v>0.089725</v>
      </c>
      <c r="D22" s="72">
        <f>EXP(SUMPRODUCT(LN(1+'Quarterly returns'!Z23:Z42))/5)-1</f>
        <v>0.106982660742449</v>
      </c>
      <c r="E22" s="72">
        <f>EXP(SUMPRODUCT(LN(1+'Quarterly returns'!AA23:AA42))/5)-1</f>
        <v>0.104790574990779</v>
      </c>
      <c r="F22" s="72">
        <f>EXP(SUMPRODUCT(LN(1+'Quarterly returns'!AB23:AB42))/5)-1</f>
        <v>0.111545378263051</v>
      </c>
      <c r="G22" s="342">
        <f>IF(D22&gt;=C22,1,0)</f>
        <v>1</v>
      </c>
      <c r="H22" s="342">
        <f>IF(F22&gt;=C22,1,0)</f>
        <v>1</v>
      </c>
      <c r="I22" s="72">
        <f>SQRT((SUMPRODUCT(('Quarterly returns'!Z23:Z42-'Quarterly returns'!AA23:AA42)^2)-SUMPRODUCT(('Quarterly returns'!Z23:Z42-'Quarterly returns'!AA23:AA42))^2/20)/19)*2</f>
        <v>0.0181949452088153</v>
      </c>
      <c r="J22" s="128">
        <f>SQRT((SUMPRODUCT(('Quarterly returns'!AB23:AB42-'Quarterly returns'!AA23:AA42)^2)-SUMPRODUCT(('Quarterly returns'!AB23:AB42-'Quarterly returns'!AA23:AA42))^2/20)/19)*2</f>
        <v>0.0107964476025656</v>
      </c>
    </row>
    <row r="23">
      <c r="A23" s="385">
        <f>'Quarterly returns'!A43</f>
        <v>42277.0</v>
      </c>
      <c r="B23" s="313">
        <f>'Quarterly returns'!A23</f>
        <v>40451.0</v>
      </c>
      <c r="C23" s="72">
        <f>INDEX('RBA 5Y yield'!$B$5:$B$661,MATCH(B23,'RBA 5Y yield'!$A$5:$A$661,1))+Inputs!$B$24</f>
        <v>0.088075</v>
      </c>
      <c r="D23" s="72">
        <f>EXP(SUMPRODUCT(LN(1+'Quarterly returns'!Z24:Z43))/5)-1</f>
        <v>0.0993313341157522</v>
      </c>
      <c r="E23" s="72">
        <f>EXP(SUMPRODUCT(LN(1+'Quarterly returns'!AA24:AA43))/5)-1</f>
        <v>0.100776319659696</v>
      </c>
      <c r="F23" s="72">
        <f>EXP(SUMPRODUCT(LN(1+'Quarterly returns'!AB24:AB43))/5)-1</f>
        <v>0.107558178750444</v>
      </c>
      <c r="G23" s="342">
        <f>IF(D23&gt;=C23,1,0)</f>
        <v>1</v>
      </c>
      <c r="H23" s="342">
        <f>IF(F23&gt;=C23,1,0)</f>
        <v>1</v>
      </c>
      <c r="I23" s="72">
        <f>SQRT((SUMPRODUCT(('Quarterly returns'!Z24:Z43-'Quarterly returns'!AA24:AA43)^2)-SUMPRODUCT(('Quarterly returns'!Z24:Z43-'Quarterly returns'!AA24:AA43))^2/20)/19)*2</f>
        <v>0.0169943820091622</v>
      </c>
      <c r="J23" s="128">
        <f>SQRT((SUMPRODUCT(('Quarterly returns'!AB24:AB43-'Quarterly returns'!AA24:AA43)^2)-SUMPRODUCT(('Quarterly returns'!AB24:AB43-'Quarterly returns'!AA24:AA43))^2/20)/19)*2</f>
        <v>0.0107836429294433</v>
      </c>
    </row>
    <row r="24">
      <c r="A24" s="385">
        <f>'Quarterly returns'!A44</f>
        <v>42369.0</v>
      </c>
      <c r="B24" s="313">
        <f>'Quarterly returns'!A24</f>
        <v>40543.0</v>
      </c>
      <c r="C24" s="72">
        <f>INDEX('RBA 5Y yield'!$B$5:$B$661,MATCH(B24,'RBA 5Y yield'!$A$5:$A$661,1))+Inputs!$B$24</f>
        <v>0.0933</v>
      </c>
      <c r="D24" s="72">
        <f>EXP(SUMPRODUCT(LN(1+'Quarterly returns'!Z25:Z44))/5)-1</f>
        <v>0.100950148899825</v>
      </c>
      <c r="E24" s="72">
        <f>EXP(SUMPRODUCT(LN(1+'Quarterly returns'!AA25:AA44))/5)-1</f>
        <v>0.100341451837071</v>
      </c>
      <c r="F24" s="72">
        <f>EXP(SUMPRODUCT(LN(1+'Quarterly returns'!AB25:AB44))/5)-1</f>
        <v>0.107348581501317</v>
      </c>
      <c r="G24" s="342">
        <f>IF(D24&gt;=C24,1,0)</f>
        <v>1</v>
      </c>
      <c r="H24" s="342">
        <f>IF(F24&gt;=C24,1,0)</f>
        <v>1</v>
      </c>
      <c r="I24" s="72">
        <f>SQRT((SUMPRODUCT(('Quarterly returns'!Z25:Z44-'Quarterly returns'!AA25:AA44)^2)-SUMPRODUCT(('Quarterly returns'!Z25:Z44-'Quarterly returns'!AA25:AA44))^2/20)/19)*2</f>
        <v>0.0179561631940923</v>
      </c>
      <c r="J24" s="128">
        <f>SQRT((SUMPRODUCT(('Quarterly returns'!AB25:AB44-'Quarterly returns'!AA25:AA44)^2)-SUMPRODUCT(('Quarterly returns'!AB25:AB44-'Quarterly returns'!AA25:AA44))^2/20)/19)*2</f>
        <v>0.0107495450141322</v>
      </c>
    </row>
    <row r="25">
      <c r="A25" s="385">
        <f>'Quarterly returns'!A45</f>
        <v>42460.0</v>
      </c>
      <c r="B25" s="313">
        <f>'Quarterly returns'!A25</f>
        <v>40633.0</v>
      </c>
      <c r="C25" s="72">
        <f>INDEX('RBA 5Y yield'!$B$5:$B$661,MATCH(B25,'RBA 5Y yield'!$A$5:$A$661,1))+Inputs!$B$24</f>
        <v>0.092075</v>
      </c>
      <c r="D25" s="72">
        <f>EXP(SUMPRODUCT(LN(1+'Quarterly returns'!Z26:Z45))/5)-1</f>
        <v>0.091516221306114</v>
      </c>
      <c r="E25" s="72">
        <f>EXP(SUMPRODUCT(LN(1+'Quarterly returns'!AA26:AA45))/5)-1</f>
        <v>0.0910528148014373</v>
      </c>
      <c r="F25" s="72">
        <f>EXP(SUMPRODUCT(LN(1+'Quarterly returns'!AB26:AB45))/5)-1</f>
        <v>0.0966887714305771</v>
      </c>
      <c r="G25" s="342">
        <f>IF(D25&gt;=C25,1,0)</f>
        <v>0</v>
      </c>
      <c r="H25" s="342">
        <f>IF(F25&gt;=C25,1,0)</f>
        <v>1</v>
      </c>
      <c r="I25" s="72">
        <f>SQRT((SUMPRODUCT(('Quarterly returns'!Z26:Z45-'Quarterly returns'!AA26:AA45)^2)-SUMPRODUCT(('Quarterly returns'!Z26:Z45-'Quarterly returns'!AA26:AA45))^2/20)/19)*2</f>
        <v>0.0179259860325855</v>
      </c>
      <c r="J25" s="128">
        <f>SQRT((SUMPRODUCT(('Quarterly returns'!AB26:AB45-'Quarterly returns'!AA26:AA45)^2)-SUMPRODUCT(('Quarterly returns'!AB26:AB45-'Quarterly returns'!AA26:AA45))^2/20)/19)*2</f>
        <v>0.0108758188608375</v>
      </c>
    </row>
    <row r="26">
      <c r="A26" s="385">
        <f>'Quarterly returns'!A46</f>
        <v>42551.0</v>
      </c>
      <c r="B26" s="313">
        <f>'Quarterly returns'!A26</f>
        <v>40724.0</v>
      </c>
      <c r="C26" s="72">
        <f>INDEX('RBA 5Y yield'!$B$5:$B$661,MATCH(B26,'RBA 5Y yield'!$A$5:$A$661,1))+Inputs!$B$24</f>
        <v>0.08885</v>
      </c>
      <c r="D26" s="72">
        <f>EXP(SUMPRODUCT(LN(1+'Quarterly returns'!Z27:Z46))/5)-1</f>
        <v>0.10483096586237</v>
      </c>
      <c r="E26" s="72">
        <f>EXP(SUMPRODUCT(LN(1+'Quarterly returns'!AA27:AA46))/5)-1</f>
        <v>0.103998465671657</v>
      </c>
      <c r="F26" s="72">
        <f>EXP(SUMPRODUCT(LN(1+'Quarterly returns'!AB27:AB46))/5)-1</f>
        <v>0.111884859378617</v>
      </c>
      <c r="G26" s="342">
        <f>IF(D26&gt;=C26,1,0)</f>
        <v>1</v>
      </c>
      <c r="H26" s="342">
        <f>IF(F26&gt;=C26,1,0)</f>
        <v>1</v>
      </c>
      <c r="I26" s="72">
        <f>SQRT((SUMPRODUCT(('Quarterly returns'!Z27:Z46-'Quarterly returns'!AA27:AA46)^2)-SUMPRODUCT(('Quarterly returns'!Z27:Z46-'Quarterly returns'!AA27:AA46))^2/20)/19)*2</f>
        <v>0.017869860494751</v>
      </c>
      <c r="J26" s="128">
        <f>SQRT((SUMPRODUCT(('Quarterly returns'!AB27:AB46-'Quarterly returns'!AA27:AA46)^2)-SUMPRODUCT(('Quarterly returns'!AB27:AB46-'Quarterly returns'!AA27:AA46))^2/20)/19)*2</f>
        <v>0.010074166451828</v>
      </c>
    </row>
    <row r="27">
      <c r="A27" s="385">
        <f>'Quarterly returns'!A47</f>
        <v>42643.0</v>
      </c>
      <c r="B27" s="313">
        <f>'Quarterly returns'!A27</f>
        <v>40816.0</v>
      </c>
      <c r="C27" s="72">
        <f>INDEX('RBA 5Y yield'!$B$5:$B$661,MATCH(B27,'RBA 5Y yield'!$A$5:$A$661,1))+Inputs!$B$24</f>
        <v>0.077875</v>
      </c>
      <c r="D27" s="72">
        <f>EXP(SUMPRODUCT(LN(1+'Quarterly returns'!Z28:Z47))/5)-1</f>
        <v>0.12191211802145</v>
      </c>
      <c r="E27" s="72">
        <f>EXP(SUMPRODUCT(LN(1+'Quarterly returns'!AA28:AA47))/5)-1</f>
        <v>0.117246639154423</v>
      </c>
      <c r="F27" s="72">
        <f>EXP(SUMPRODUCT(LN(1+'Quarterly returns'!AB28:AB47))/5)-1</f>
        <v>0.127109871522744</v>
      </c>
      <c r="G27" s="342">
        <f>IF(D27&gt;=C27,1,0)</f>
        <v>1</v>
      </c>
      <c r="H27" s="342">
        <f>IF(F27&gt;=C27,1,0)</f>
        <v>1</v>
      </c>
      <c r="I27" s="72">
        <f>SQRT((SUMPRODUCT(('Quarterly returns'!Z28:Z47-'Quarterly returns'!AA28:AA47)^2)-SUMPRODUCT(('Quarterly returns'!Z28:Z47-'Quarterly returns'!AA28:AA47))^2/20)/19)*2</f>
        <v>0.017162318924095</v>
      </c>
      <c r="J27" s="128">
        <f>SQRT((SUMPRODUCT(('Quarterly returns'!AB28:AB47-'Quarterly returns'!AA28:AA47)^2)-SUMPRODUCT(('Quarterly returns'!AB28:AB47-'Quarterly returns'!AA28:AA47))^2/20)/19)*2</f>
        <v>0.00937664121430755</v>
      </c>
    </row>
    <row r="28">
      <c r="A28" s="385">
        <f>'Quarterly returns'!A48</f>
        <v>42734.0</v>
      </c>
      <c r="B28" s="313">
        <f>'Quarterly returns'!A28</f>
        <v>40907.0</v>
      </c>
      <c r="C28" s="72">
        <f>INDEX('RBA 5Y yield'!$B$5:$B$661,MATCH(B28,'RBA 5Y yield'!$A$5:$A$661,1))+Inputs!$B$24</f>
        <v>0.075725</v>
      </c>
      <c r="D28" s="72">
        <f>EXP(SUMPRODUCT(LN(1+'Quarterly returns'!Z29:Z48))/5)-1</f>
        <v>0.125387910310119</v>
      </c>
      <c r="E28" s="72">
        <f>EXP(SUMPRODUCT(LN(1+'Quarterly returns'!AA29:AA48))/5)-1</f>
        <v>0.121883533910397</v>
      </c>
      <c r="F28" s="72">
        <f>EXP(SUMPRODUCT(LN(1+'Quarterly returns'!AB29:AB48))/5)-1</f>
        <v>0.132490693240204</v>
      </c>
      <c r="G28" s="342">
        <f>IF(D28&gt;=C28,1,0)</f>
        <v>1</v>
      </c>
      <c r="H28" s="342">
        <f>IF(F28&gt;=C28,1,0)</f>
        <v>1</v>
      </c>
      <c r="I28" s="72">
        <f>SQRT((SUMPRODUCT(('Quarterly returns'!Z29:Z48-'Quarterly returns'!AA29:AA48)^2)-SUMPRODUCT(('Quarterly returns'!Z29:Z48-'Quarterly returns'!AA29:AA48))^2/20)/19)*2</f>
        <v>0.0174289723701361</v>
      </c>
      <c r="J28" s="128">
        <f>SQRT((SUMPRODUCT(('Quarterly returns'!AB29:AB48-'Quarterly returns'!AA29:AA48)^2)-SUMPRODUCT(('Quarterly returns'!AB29:AB48-'Quarterly returns'!AA29:AA48))^2/20)/19)*2</f>
        <v>0.00923617118755091</v>
      </c>
    </row>
    <row r="29">
      <c r="A29" s="385">
        <f>'Quarterly returns'!A49</f>
        <v>42825.0</v>
      </c>
      <c r="B29" s="313">
        <f>'Quarterly returns'!A29</f>
        <v>40998.0</v>
      </c>
      <c r="C29" s="72">
        <f>INDEX('RBA 5Y yield'!$B$5:$B$661,MATCH(B29,'RBA 5Y yield'!$A$5:$A$661,1))+Inputs!$B$24</f>
        <v>0.0762</v>
      </c>
      <c r="D29" s="72">
        <f>EXP(SUMPRODUCT(LN(1+'Quarterly returns'!Z30:Z49))/5)-1</f>
        <v>0.114009314370936</v>
      </c>
      <c r="E29" s="72">
        <f>EXP(SUMPRODUCT(LN(1+'Quarterly returns'!AA30:AA49))/5)-1</f>
        <v>0.110375009529687</v>
      </c>
      <c r="F29" s="72">
        <f>EXP(SUMPRODUCT(LN(1+'Quarterly returns'!AB30:AB49))/5)-1</f>
        <v>0.119013156319756</v>
      </c>
      <c r="G29" s="342">
        <f>IF(D29&gt;=C29,1,0)</f>
        <v>1</v>
      </c>
      <c r="H29" s="342">
        <f>IF(F29&gt;=C29,1,0)</f>
        <v>1</v>
      </c>
      <c r="I29" s="72">
        <f>SQRT((SUMPRODUCT(('Quarterly returns'!Z30:Z49-'Quarterly returns'!AA30:AA49)^2)-SUMPRODUCT(('Quarterly returns'!Z30:Z49-'Quarterly returns'!AA30:AA49))^2/20)/19)*2</f>
        <v>0.0174585577819278</v>
      </c>
      <c r="J29" s="128">
        <f>SQRT((SUMPRODUCT(('Quarterly returns'!AB30:AB49-'Quarterly returns'!AA30:AA49)^2)-SUMPRODUCT(('Quarterly returns'!AB30:AB49-'Quarterly returns'!AA30:AA49))^2/20)/19)*2</f>
        <v>0.00867374767173013</v>
      </c>
    </row>
    <row r="30">
      <c r="A30" s="385">
        <f>'Quarterly returns'!A50</f>
        <v>42916.0</v>
      </c>
      <c r="B30" s="313">
        <f>'Quarterly returns'!A30</f>
        <v>41089.0</v>
      </c>
      <c r="C30" s="72">
        <f>INDEX('RBA 5Y yield'!$B$5:$B$661,MATCH(B30,'RBA 5Y yield'!$A$5:$A$661,1))+Inputs!$B$24</f>
        <v>0.0675</v>
      </c>
      <c r="D30" s="72">
        <f>EXP(SUMPRODUCT(LN(1+'Quarterly returns'!Z31:Z50))/5)-1</f>
        <v>0.117558059001635</v>
      </c>
      <c r="E30" s="72">
        <f>EXP(SUMPRODUCT(LN(1+'Quarterly returns'!AA31:AA50))/5)-1</f>
        <v>0.114740044651307</v>
      </c>
      <c r="F30" s="72">
        <f>EXP(SUMPRODUCT(LN(1+'Quarterly returns'!AB31:AB50))/5)-1</f>
        <v>0.124489186577227</v>
      </c>
      <c r="G30" s="342">
        <f>IF(D30&gt;=C30,1,0)</f>
        <v>1</v>
      </c>
      <c r="H30" s="342">
        <f>IF(F30&gt;=C30,1,0)</f>
        <v>1</v>
      </c>
      <c r="I30" s="72">
        <f>SQRT((SUMPRODUCT(('Quarterly returns'!Z31:Z50-'Quarterly returns'!AA31:AA50)^2)-SUMPRODUCT(('Quarterly returns'!Z31:Z50-'Quarterly returns'!AA31:AA50))^2/20)/19)*2</f>
        <v>0.0176605415178617</v>
      </c>
      <c r="J30" s="128">
        <f>SQRT((SUMPRODUCT(('Quarterly returns'!AB31:AB50-'Quarterly returns'!AA31:AA50)^2)-SUMPRODUCT(('Quarterly returns'!AB31:AB50-'Quarterly returns'!AA31:AA50))^2/20)/19)*2</f>
        <v>0.00822256866553797</v>
      </c>
    </row>
    <row r="31">
      <c r="A31" s="385">
        <f>'Quarterly returns'!A51</f>
        <v>43007.0</v>
      </c>
      <c r="B31" s="313">
        <f>'Quarterly returns'!A31</f>
        <v>41180.0</v>
      </c>
      <c r="C31" s="72">
        <f>INDEX('RBA 5Y yield'!$B$5:$B$661,MATCH(B31,'RBA 5Y yield'!$A$5:$A$661,1))+Inputs!$B$24</f>
        <v>0.068175</v>
      </c>
      <c r="D31" s="72">
        <f>EXP(SUMPRODUCT(LN(1+'Quarterly returns'!Z32:Z51))/5)-1</f>
        <v>0.108583780780966</v>
      </c>
      <c r="E31" s="72">
        <f>EXP(SUMPRODUCT(LN(1+'Quarterly returns'!AA32:AA51))/5)-1</f>
        <v>0.107740480491849</v>
      </c>
      <c r="F31" s="72">
        <f>EXP(SUMPRODUCT(LN(1+'Quarterly returns'!AB32:AB51))/5)-1</f>
        <v>0.11691026575855</v>
      </c>
      <c r="G31" s="342">
        <f>IF(D31&gt;=C31,1,0)</f>
        <v>1</v>
      </c>
      <c r="H31" s="342">
        <f>IF(F31&gt;=C31,1,0)</f>
        <v>1</v>
      </c>
      <c r="I31" s="72">
        <f>SQRT((SUMPRODUCT(('Quarterly returns'!Z32:Z51-'Quarterly returns'!AA32:AA51)^2)-SUMPRODUCT(('Quarterly returns'!Z32:Z51-'Quarterly returns'!AA32:AA51))^2/20)/19)*2</f>
        <v>0.0173396080516022</v>
      </c>
      <c r="J31" s="128">
        <f>SQRT((SUMPRODUCT(('Quarterly returns'!AB32:AB51-'Quarterly returns'!AA32:AA51)^2)-SUMPRODUCT(('Quarterly returns'!AB32:AB51-'Quarterly returns'!AA32:AA51))^2/20)/19)*2</f>
        <v>0.00802241540458868</v>
      </c>
    </row>
    <row r="32">
      <c r="A32" s="385">
        <f>'Quarterly returns'!A52</f>
        <v>43098.0</v>
      </c>
      <c r="B32" s="313">
        <f>'Quarterly returns'!A32</f>
        <v>41274.0</v>
      </c>
      <c r="C32" s="72">
        <f>INDEX('RBA 5Y yield'!$B$5:$B$661,MATCH(B32,'RBA 5Y yield'!$A$5:$A$661,1))+Inputs!$B$24</f>
        <v>0.06825</v>
      </c>
      <c r="D32" s="72">
        <f>EXP(SUMPRODUCT(LN(1+'Quarterly returns'!Z33:Z52))/5)-1</f>
        <v>0.110741456752355</v>
      </c>
      <c r="E32" s="72">
        <f>EXP(SUMPRODUCT(LN(1+'Quarterly returns'!AA33:AA52))/5)-1</f>
        <v>0.110565661251998</v>
      </c>
      <c r="F32" s="72">
        <f>EXP(SUMPRODUCT(LN(1+'Quarterly returns'!AB33:AB52))/5)-1</f>
        <v>0.119833710393759</v>
      </c>
      <c r="G32" s="342">
        <f>IF(D32&gt;=C32,1,0)</f>
        <v>1</v>
      </c>
      <c r="H32" s="342">
        <f>IF(F32&gt;=C32,1,0)</f>
        <v>1</v>
      </c>
      <c r="I32" s="72">
        <f>SQRT((SUMPRODUCT(('Quarterly returns'!Z33:Z52-'Quarterly returns'!AA33:AA52)^2)-SUMPRODUCT(('Quarterly returns'!Z33:Z52-'Quarterly returns'!AA33:AA52))^2/20)/19)*2</f>
        <v>0.0171631562718112</v>
      </c>
      <c r="J32" s="128">
        <f>SQRT((SUMPRODUCT(('Quarterly returns'!AB33:AB52-'Quarterly returns'!AA33:AA52)^2)-SUMPRODUCT(('Quarterly returns'!AB33:AB52-'Quarterly returns'!AA33:AA52))^2/20)/19)*2</f>
        <v>0.00803260628509742</v>
      </c>
    </row>
    <row r="33">
      <c r="A33" s="385">
        <f>'Quarterly returns'!A53</f>
        <v>43189.0</v>
      </c>
      <c r="B33" s="313">
        <f>'Quarterly returns'!A33</f>
        <v>41362.0</v>
      </c>
      <c r="C33" s="72">
        <f>INDEX('RBA 5Y yield'!$B$5:$B$661,MATCH(B33,'RBA 5Y yield'!$A$5:$A$661,1))+Inputs!$B$24</f>
        <v>0.0702</v>
      </c>
      <c r="D33" s="72">
        <f>EXP(SUMPRODUCT(LN(1+'Quarterly returns'!Z34:Z53))/5)-1</f>
        <v>0.0935481627862906</v>
      </c>
      <c r="E33" s="72">
        <f>EXP(SUMPRODUCT(LN(1+'Quarterly returns'!AA34:AA53))/5)-1</f>
        <v>0.0971728352262253</v>
      </c>
      <c r="F33" s="72">
        <f>EXP(SUMPRODUCT(LN(1+'Quarterly returns'!AB34:AB53))/5)-1</f>
        <v>0.105009936580836</v>
      </c>
      <c r="G33" s="342">
        <f>IF(D33&gt;=C33,1,0)</f>
        <v>1</v>
      </c>
      <c r="H33" s="342">
        <f>IF(F33&gt;=C33,1,0)</f>
        <v>1</v>
      </c>
      <c r="I33" s="72">
        <f>SQRT((SUMPRODUCT(('Quarterly returns'!Z34:Z53-'Quarterly returns'!AA34:AA53)^2)-SUMPRODUCT(('Quarterly returns'!Z34:Z53-'Quarterly returns'!AA34:AA53))^2/20)/19)*2</f>
        <v>0.0167796043985971</v>
      </c>
      <c r="J33" s="128">
        <f>SQRT((SUMPRODUCT(('Quarterly returns'!AB34:AB53-'Quarterly returns'!AA34:AA53)^2)-SUMPRODUCT(('Quarterly returns'!AB34:AB53-'Quarterly returns'!AA34:AA53))^2/20)/19)*2</f>
        <v>0.00788732615488191</v>
      </c>
    </row>
    <row r="34">
      <c r="A34" s="385">
        <f>'Quarterly returns'!A54</f>
        <v>43280.0</v>
      </c>
      <c r="B34" s="313">
        <f>'Quarterly returns'!A34</f>
        <v>41453.0</v>
      </c>
      <c r="C34" s="72">
        <f>INDEX('RBA 5Y yield'!$B$5:$B$661,MATCH(B34,'RBA 5Y yield'!$A$5:$A$661,1))+Inputs!$B$24</f>
        <v>0.067875</v>
      </c>
      <c r="D34" s="72">
        <f>EXP(SUMPRODUCT(LN(1+'Quarterly returns'!Z35:Z54))/5)-1</f>
        <v>0.100108637430805</v>
      </c>
      <c r="E34" s="72">
        <f>EXP(SUMPRODUCT(LN(1+'Quarterly returns'!AA35:AA54))/5)-1</f>
        <v>0.0984340626565103</v>
      </c>
      <c r="F34" s="72">
        <f>EXP(SUMPRODUCT(LN(1+'Quarterly returns'!AB35:AB54))/5)-1</f>
        <v>0.106314038456049</v>
      </c>
      <c r="G34" s="342">
        <f>IF(D34&gt;=C34,1,0)</f>
        <v>1</v>
      </c>
      <c r="H34" s="342">
        <f>IF(F34&gt;=C34,1,0)</f>
        <v>1</v>
      </c>
      <c r="I34" s="72">
        <f>SQRT((SUMPRODUCT(('Quarterly returns'!Z35:Z54-'Quarterly returns'!AA35:AA54)^2)-SUMPRODUCT(('Quarterly returns'!Z35:Z54-'Quarterly returns'!AA35:AA54))^2/20)/19)*2</f>
        <v>0.0158206371703644</v>
      </c>
      <c r="J34" s="128">
        <f>SQRT((SUMPRODUCT(('Quarterly returns'!AB35:AB54-'Quarterly returns'!AA35:AA54)^2)-SUMPRODUCT(('Quarterly returns'!AB35:AB54-'Quarterly returns'!AA35:AA54))^2/20)/19)*2</f>
        <v>0.00791125646046975</v>
      </c>
    </row>
    <row r="35">
      <c r="A35" s="385">
        <f>'Quarterly returns'!A55</f>
        <v>43371.0</v>
      </c>
      <c r="B35" s="313">
        <f>'Quarterly returns'!A35</f>
        <v>41547.0</v>
      </c>
      <c r="C35" s="72">
        <f>INDEX('RBA 5Y yield'!$B$5:$B$661,MATCH(B35,'RBA 5Y yield'!$A$5:$A$661,1))+Inputs!$B$24</f>
        <v>0.07331</v>
      </c>
      <c r="D35" s="72">
        <f>EXP(SUMPRODUCT(LN(1+'Quarterly returns'!Z36:Z55))/5)-1</f>
        <v>0.0947856925508592</v>
      </c>
      <c r="E35" s="72">
        <f>EXP(SUMPRODUCT(LN(1+'Quarterly returns'!AA36:AA55))/5)-1</f>
        <v>0.0950717049923666</v>
      </c>
      <c r="F35" s="72">
        <f>EXP(SUMPRODUCT(LN(1+'Quarterly returns'!AB36:AB55))/5)-1</f>
        <v>0.103498797848041</v>
      </c>
      <c r="G35" s="342">
        <f>IF(D35&gt;=C35,1,0)</f>
        <v>1</v>
      </c>
      <c r="H35" s="342">
        <f>IF(F35&gt;=C35,1,0)</f>
        <v>1</v>
      </c>
      <c r="I35" s="72">
        <f>SQRT((SUMPRODUCT(('Quarterly returns'!Z36:Z55-'Quarterly returns'!AA36:AA55)^2)-SUMPRODUCT(('Quarterly returns'!Z36:Z55-'Quarterly returns'!AA36:AA55))^2/20)/19)*2</f>
        <v>0.0152054096505579</v>
      </c>
      <c r="J35" s="128">
        <f>SQRT((SUMPRODUCT(('Quarterly returns'!AB36:AB55-'Quarterly returns'!AA36:AA55)^2)-SUMPRODUCT(('Quarterly returns'!AB36:AB55-'Quarterly returns'!AA36:AA55))^2/20)/19)*2</f>
        <v>0.00806840855499733</v>
      </c>
    </row>
    <row r="36">
      <c r="A36" s="385">
        <f>'Quarterly returns'!A56</f>
        <v>43465.0</v>
      </c>
      <c r="B36" s="313">
        <f>'Quarterly returns'!A36</f>
        <v>41639.0</v>
      </c>
      <c r="C36" s="72">
        <f>INDEX('RBA 5Y yield'!$B$5:$B$661,MATCH(B36,'RBA 5Y yield'!$A$5:$A$661,1))+Inputs!$B$24</f>
        <v>0.07461</v>
      </c>
      <c r="D36" s="72">
        <f>EXP(SUMPRODUCT(LN(1+'Quarterly returns'!Z37:Z56))/5)-1</f>
        <v>0.0726242502027477</v>
      </c>
      <c r="E36" s="72">
        <f>EXP(SUMPRODUCT(LN(1+'Quarterly returns'!AA37:AA56))/5)-1</f>
        <v>0.0714366039244749</v>
      </c>
      <c r="F36" s="72">
        <f>EXP(SUMPRODUCT(LN(1+'Quarterly returns'!AB37:AB56))/5)-1</f>
        <v>0.0775745510138415</v>
      </c>
      <c r="G36" s="342">
        <f>IF(D36&gt;=C36,1,0)</f>
        <v>0</v>
      </c>
      <c r="H36" s="342">
        <f>IF(F36&gt;=C36,1,0)</f>
        <v>1</v>
      </c>
      <c r="I36" s="72">
        <f>SQRT((SUMPRODUCT(('Quarterly returns'!Z37:Z56-'Quarterly returns'!AA37:AA56)^2)-SUMPRODUCT(('Quarterly returns'!Z37:Z56-'Quarterly returns'!AA37:AA56))^2/20)/19)*2</f>
        <v>0.0145962206513309</v>
      </c>
      <c r="J36" s="128">
        <f>SQRT((SUMPRODUCT(('Quarterly returns'!AB37:AB56-'Quarterly returns'!AA37:AA56)^2)-SUMPRODUCT(('Quarterly returns'!AB37:AB56-'Quarterly returns'!AA37:AA56))^2/20)/19)*2</f>
        <v>0.00903117253296643</v>
      </c>
    </row>
    <row r="37">
      <c r="A37" s="385">
        <f>'Quarterly returns'!A57</f>
        <v>43553.0</v>
      </c>
      <c r="B37" s="313">
        <f>'Quarterly returns'!A37</f>
        <v>41729.0</v>
      </c>
      <c r="C37" s="72">
        <f>INDEX('RBA 5Y yield'!$B$5:$B$661,MATCH(B37,'RBA 5Y yield'!$A$5:$A$661,1))+Inputs!$B$24</f>
        <v>0.07411</v>
      </c>
      <c r="D37" s="72">
        <f>EXP(SUMPRODUCT(LN(1+'Quarterly returns'!Z38:Z57))/5)-1</f>
        <v>0.0884501018920803</v>
      </c>
      <c r="E37" s="72">
        <f>EXP(SUMPRODUCT(LN(1+'Quarterly returns'!AA38:AA57))/5)-1</f>
        <v>0.0864481756367188</v>
      </c>
      <c r="F37" s="72">
        <f>EXP(SUMPRODUCT(LN(1+'Quarterly returns'!AB38:AB57))/5)-1</f>
        <v>0.0956641731471324</v>
      </c>
      <c r="G37" s="342">
        <f>IF(D37&gt;=C37,1,0)</f>
        <v>1</v>
      </c>
      <c r="H37" s="342">
        <f>IF(F37&gt;=C37,1,0)</f>
        <v>1</v>
      </c>
      <c r="I37" s="72">
        <f>SQRT((SUMPRODUCT(('Quarterly returns'!Z38:Z57-'Quarterly returns'!AA38:AA57)^2)-SUMPRODUCT(('Quarterly returns'!Z38:Z57-'Quarterly returns'!AA38:AA57))^2/20)/19)*2</f>
        <v>0.0151665286951837</v>
      </c>
      <c r="J37" s="128">
        <f>SQRT((SUMPRODUCT(('Quarterly returns'!AB38:AB57-'Quarterly returns'!AA38:AA57)^2)-SUMPRODUCT(('Quarterly returns'!AB38:AB57-'Quarterly returns'!AA38:AA57))^2/20)/19)*2</f>
        <v>0.0107087356088394</v>
      </c>
    </row>
    <row r="38">
      <c r="A38" s="385">
        <f>'Quarterly returns'!A58</f>
        <v>43644.0</v>
      </c>
      <c r="B38" s="313">
        <f>'Quarterly returns'!A38</f>
        <v>41820.0</v>
      </c>
      <c r="C38" s="72">
        <f>INDEX('RBA 5Y yield'!$B$5:$B$661,MATCH(B38,'RBA 5Y yield'!$A$5:$A$661,1))+Inputs!$B$24</f>
        <v>0.07118</v>
      </c>
      <c r="D38" s="72">
        <f>EXP(SUMPRODUCT(LN(1+'Quarterly returns'!Z39:Z58))/5)-1</f>
        <v>0.094922730778962</v>
      </c>
      <c r="E38" s="72">
        <f>EXP(SUMPRODUCT(LN(1+'Quarterly returns'!AA39:AA58))/5)-1</f>
        <v>0.0908412156206262</v>
      </c>
      <c r="F38" s="72">
        <f>EXP(SUMPRODUCT(LN(1+'Quarterly returns'!AB39:AB58))/5)-1</f>
        <v>0.100419342543409</v>
      </c>
      <c r="G38" s="342">
        <f>IF(D38&gt;=C38,1,0)</f>
        <v>1</v>
      </c>
      <c r="H38" s="342">
        <f>IF(F38&gt;=C38,1,0)</f>
        <v>1</v>
      </c>
      <c r="I38" s="72">
        <f>SQRT((SUMPRODUCT(('Quarterly returns'!Z39:Z58-'Quarterly returns'!AA39:AA58)^2)-SUMPRODUCT(('Quarterly returns'!Z39:Z58-'Quarterly returns'!AA39:AA58))^2/20)/19)*2</f>
        <v>0.0153273743164705</v>
      </c>
      <c r="J38" s="128">
        <f>SQRT((SUMPRODUCT(('Quarterly returns'!AB39:AB58-'Quarterly returns'!AA39:AA58)^2)-SUMPRODUCT(('Quarterly returns'!AB39:AB58-'Quarterly returns'!AA39:AA58))^2/20)/19)*2</f>
        <v>0.010670804199669</v>
      </c>
    </row>
    <row r="39">
      <c r="A39" s="385">
        <f>'Quarterly returns'!A59</f>
        <v>43738.0</v>
      </c>
      <c r="B39" s="313">
        <f>'Quarterly returns'!A39</f>
        <v>41912.0</v>
      </c>
      <c r="C39" s="72">
        <f>INDEX('RBA 5Y yield'!$B$5:$B$661,MATCH(B39,'RBA 5Y yield'!$A$5:$A$661,1))+Inputs!$B$24</f>
        <v>0.07041</v>
      </c>
      <c r="D39" s="72">
        <f>EXP(SUMPRODUCT(LN(1+'Quarterly returns'!Z40:Z59))/5)-1</f>
        <v>0.0976791780299084</v>
      </c>
      <c r="E39" s="72">
        <f>EXP(SUMPRODUCT(LN(1+'Quarterly returns'!AA40:AA59))/5)-1</f>
        <v>0.0923546264004487</v>
      </c>
      <c r="F39" s="72">
        <f>EXP(SUMPRODUCT(LN(1+'Quarterly returns'!AB40:AB59))/5)-1</f>
        <v>0.101047844962693</v>
      </c>
      <c r="G39" s="342">
        <f>IF(D39&gt;=C39,1,0)</f>
        <v>1</v>
      </c>
      <c r="H39" s="342">
        <f>IF(F39&gt;=C39,1,0)</f>
        <v>1</v>
      </c>
      <c r="I39" s="72">
        <f>SQRT((SUMPRODUCT(('Quarterly returns'!Z40:Z59-'Quarterly returns'!AA40:AA59)^2)-SUMPRODUCT(('Quarterly returns'!Z40:Z59-'Quarterly returns'!AA40:AA59))^2/20)/19)*2</f>
        <v>0.01495619630905</v>
      </c>
      <c r="J39" s="128">
        <f>SQRT((SUMPRODUCT(('Quarterly returns'!AB40:AB59-'Quarterly returns'!AA40:AA59)^2)-SUMPRODUCT(('Quarterly returns'!AB40:AB59-'Quarterly returns'!AA40:AA59))^2/20)/19)*2</f>
        <v>0.0106274343642841</v>
      </c>
    </row>
    <row r="40">
      <c r="A40" s="385">
        <f>'Quarterly returns'!A60</f>
        <v>43830.0</v>
      </c>
      <c r="B40" s="313">
        <f>'Quarterly returns'!A40</f>
        <v>42004.0</v>
      </c>
      <c r="C40" s="72">
        <f>INDEX('RBA 5Y yield'!$B$5:$B$661,MATCH(B40,'RBA 5Y yield'!$A$5:$A$661,1))+Inputs!$B$24</f>
        <v>0.06435</v>
      </c>
      <c r="D40" s="72">
        <f>EXP(SUMPRODUCT(LN(1+'Quarterly returns'!Z41:Z60))/5)-1</f>
        <v>0.0856183633581686</v>
      </c>
      <c r="E40" s="72">
        <f>EXP(SUMPRODUCT(LN(1+'Quarterly returns'!AA41:AA60))/5)-1</f>
        <v>0.0828343463552679</v>
      </c>
      <c r="F40" s="72">
        <f>EXP(SUMPRODUCT(LN(1+'Quarterly returns'!AB41:AB60))/5)-1</f>
        <v>0.0900491694272827</v>
      </c>
      <c r="G40" s="342">
        <f>IF(D40&gt;=C40,1,0)</f>
        <v>1</v>
      </c>
      <c r="H40" s="342">
        <f>IF(F40&gt;=C40,1,0)</f>
        <v>1</v>
      </c>
      <c r="I40" s="72">
        <f>SQRT((SUMPRODUCT(('Quarterly returns'!Z41:Z60-'Quarterly returns'!AA41:AA60)^2)-SUMPRODUCT(('Quarterly returns'!Z41:Z60-'Quarterly returns'!AA41:AA60))^2/20)/19)*2</f>
        <v>0.0154186690159652</v>
      </c>
      <c r="J40" s="128">
        <f>SQRT((SUMPRODUCT(('Quarterly returns'!AB41:AB60-'Quarterly returns'!AA41:AA60)^2)-SUMPRODUCT(('Quarterly returns'!AB41:AB60-'Quarterly returns'!AA41:AA60))^2/20)/19)*2</f>
        <v>0.0106034381417133</v>
      </c>
    </row>
    <row r="41">
      <c r="A41" s="385">
        <f>'Quarterly returns'!A61</f>
        <v>43921.0</v>
      </c>
      <c r="B41" s="313">
        <f>'Quarterly returns'!A41</f>
        <v>42094.0</v>
      </c>
      <c r="C41" s="72">
        <f>INDEX('RBA 5Y yield'!$B$5:$B$661,MATCH(B41,'RBA 5Y yield'!$A$5:$A$661,1))+Inputs!$B$24</f>
        <v>0.05978</v>
      </c>
      <c r="D41" s="72">
        <f>EXP(SUMPRODUCT(LN(1+'Quarterly returns'!Z42:Z61))/5)-1</f>
        <v>0.0407143499180884</v>
      </c>
      <c r="E41" s="72">
        <f>EXP(SUMPRODUCT(LN(1+'Quarterly returns'!AA42:AA61))/5)-1</f>
        <v>0.046313628681208</v>
      </c>
      <c r="F41" s="72">
        <f>EXP(SUMPRODUCT(LN(1+'Quarterly returns'!AB42:AB61))/5)-1</f>
        <v>0.0475121303961086</v>
      </c>
      <c r="G41" s="342">
        <f>IF(D41&gt;=C41,1,0)</f>
        <v>0</v>
      </c>
      <c r="H41" s="342">
        <f>IF(F41&gt;=C41,1,0)</f>
        <v>0</v>
      </c>
      <c r="I41" s="72">
        <f>SQRT((SUMPRODUCT(('Quarterly returns'!Z42:Z61-'Quarterly returns'!AA42:AA61)^2)-SUMPRODUCT(('Quarterly returns'!Z42:Z61-'Quarterly returns'!AA42:AA61))^2/20)/19)*2</f>
        <v>0.019828058432653</v>
      </c>
      <c r="J41" s="128">
        <f>SQRT((SUMPRODUCT(('Quarterly returns'!AB42:AB61-'Quarterly returns'!AA42:AA61)^2)-SUMPRODUCT(('Quarterly returns'!AB42:AB61-'Quarterly returns'!AA42:AA61))^2/20)/19)*2</f>
        <v>0.012093241593647</v>
      </c>
    </row>
    <row r="42">
      <c r="A42" s="385">
        <f>'Quarterly returns'!A62</f>
        <v>44012.0</v>
      </c>
      <c r="B42" s="313">
        <f>'Quarterly returns'!A42</f>
        <v>42185.0</v>
      </c>
      <c r="C42" s="72">
        <f>INDEX('RBA 5Y yield'!$B$5:$B$661,MATCH(B42,'RBA 5Y yield'!$A$5:$A$661,1))+Inputs!$B$24</f>
        <v>0.06288</v>
      </c>
      <c r="D42" s="72">
        <f>EXP(SUMPRODUCT(LN(1+'Quarterly returns'!Z43:Z62))/5)-1</f>
        <v>0.0658228207965195</v>
      </c>
      <c r="E42" s="72">
        <f>EXP(SUMPRODUCT(LN(1+'Quarterly returns'!AA43:AA62))/5)-1</f>
        <v>0.0618556409496049</v>
      </c>
      <c r="F42" s="72">
        <f>EXP(SUMPRODUCT(LN(1+'Quarterly returns'!AB43:AB62))/5)-1</f>
        <v>0.0675580401174238</v>
      </c>
      <c r="G42" s="342">
        <f>IF(D42&gt;=C42,1,0)</f>
        <v>1</v>
      </c>
      <c r="H42" s="342">
        <f>IF(F42&gt;=C42,1,0)</f>
        <v>1</v>
      </c>
      <c r="I42" s="72">
        <f>SQRT((SUMPRODUCT(('Quarterly returns'!Z43:Z62-'Quarterly returns'!AA43:AA62)^2)-SUMPRODUCT(('Quarterly returns'!Z43:Z62-'Quarterly returns'!AA43:AA62))^2/20)/19)*2</f>
        <v>0.022116858928204</v>
      </c>
      <c r="J42" s="128">
        <f>SQRT((SUMPRODUCT(('Quarterly returns'!AB43:AB62-'Quarterly returns'!AA43:AA62)^2)-SUMPRODUCT(('Quarterly returns'!AB43:AB62-'Quarterly returns'!AA43:AA62))^2/20)/19)*2</f>
        <v>0.0125048668764374</v>
      </c>
    </row>
    <row r="43">
      <c r="A43" s="385">
        <f>'Quarterly returns'!A63</f>
        <v>44104.0</v>
      </c>
      <c r="B43" s="313">
        <f>'Quarterly returns'!A43</f>
        <v>42277.0</v>
      </c>
      <c r="C43" s="72">
        <f>INDEX('RBA 5Y yield'!$B$5:$B$661,MATCH(B43,'RBA 5Y yield'!$A$5:$A$661,1))+Inputs!$B$24</f>
        <v>0.06101</v>
      </c>
      <c r="D43" s="72">
        <f>EXP(SUMPRODUCT(LN(1+'Quarterly returns'!Z44:Z63))/5)-1</f>
        <v>0.068891537599858</v>
      </c>
      <c r="E43" s="72">
        <f>EXP(SUMPRODUCT(LN(1+'Quarterly returns'!AA44:AA63))/5)-1</f>
        <v>0.0661552386189919</v>
      </c>
      <c r="F43" s="72">
        <f>EXP(SUMPRODUCT(LN(1+'Quarterly returns'!AB44:AB63))/5)-1</f>
        <v>0.0711652012405903</v>
      </c>
      <c r="G43" s="342">
        <f>IF(D43&gt;=C43,1,0)</f>
        <v>1</v>
      </c>
      <c r="H43" s="342">
        <f>IF(F43&gt;=C43,1,0)</f>
        <v>1</v>
      </c>
      <c r="I43" s="72">
        <f>SQRT((SUMPRODUCT(('Quarterly returns'!Z44:Z63-'Quarterly returns'!AA44:AA63)^2)-SUMPRODUCT(('Quarterly returns'!Z44:Z63-'Quarterly returns'!AA44:AA63))^2/20)/19)*2</f>
        <v>0.022470743608135</v>
      </c>
      <c r="J43" s="128">
        <f>SQRT((SUMPRODUCT(('Quarterly returns'!AB44:AB63-'Quarterly returns'!AA44:AA63)^2)-SUMPRODUCT(('Quarterly returns'!AB44:AB63-'Quarterly returns'!AA44:AA63))^2/20)/19)*2</f>
        <v>0.0127308386426245</v>
      </c>
    </row>
    <row r="44">
      <c r="A44" s="385">
        <f>'Quarterly returns'!A64</f>
        <v>44196.0</v>
      </c>
      <c r="B44" s="313">
        <f>'Quarterly returns'!A44</f>
        <v>42369.0</v>
      </c>
      <c r="C44" s="72">
        <f>INDEX('RBA 5Y yield'!$B$5:$B$661,MATCH(B44,'RBA 5Y yield'!$A$5:$A$661,1))+Inputs!$B$24</f>
        <v>0.06284</v>
      </c>
      <c r="D44" s="72">
        <f>EXP(SUMPRODUCT(LN(1+'Quarterly returns'!Z45:Z64))/5)-1</f>
        <v>0.0761503295778188</v>
      </c>
      <c r="E44" s="72">
        <f>EXP(SUMPRODUCT(LN(1+'Quarterly returns'!AA45:AA64))/5)-1</f>
        <v>0.0736870099682314</v>
      </c>
      <c r="F44" s="72">
        <f>EXP(SUMPRODUCT(LN(1+'Quarterly returns'!AB45:AB64))/5)-1</f>
        <v>0.0793862969542025</v>
      </c>
      <c r="G44" s="342">
        <f>IF(D44&gt;=C44,1,0)</f>
        <v>1</v>
      </c>
      <c r="H44" s="342">
        <f>IF(F44&gt;=C44,1,0)</f>
        <v>1</v>
      </c>
      <c r="I44" s="72">
        <f>SQRT((SUMPRODUCT(('Quarterly returns'!Z45:Z64-'Quarterly returns'!AA45:AA64)^2)-SUMPRODUCT(('Quarterly returns'!Z45:Z64-'Quarterly returns'!AA45:AA64))^2/20)/19)*2</f>
        <v>0.0223628931056178</v>
      </c>
      <c r="J44" s="128">
        <f>SQRT((SUMPRODUCT(('Quarterly returns'!AB45:AB64-'Quarterly returns'!AA45:AA64)^2)-SUMPRODUCT(('Quarterly returns'!AB45:AB64-'Quarterly returns'!AA45:AA64))^2/20)/19)*2</f>
        <v>0.012770277242248</v>
      </c>
    </row>
    <row r="45">
      <c r="A45" s="385">
        <f>'Quarterly returns'!A65</f>
        <v>44286.0</v>
      </c>
      <c r="B45" s="313">
        <f>'Quarterly returns'!A45</f>
        <v>42460.0</v>
      </c>
      <c r="C45" s="72">
        <f>INDEX('RBA 5Y yield'!$B$5:$B$661,MATCH(B45,'RBA 5Y yield'!$A$5:$A$661,1))+Inputs!$B$24</f>
        <v>0.06134</v>
      </c>
      <c r="D45" s="72">
        <f>EXP(SUMPRODUCT(LN(1+'Quarterly returns'!Z46:Z65))/5)-1</f>
        <v>0.0865352831133426</v>
      </c>
      <c r="E45" s="72">
        <f>EXP(SUMPRODUCT(LN(1+'Quarterly returns'!AA46:AA65))/5)-1</f>
        <v>0.0859210230943996</v>
      </c>
      <c r="F45" s="72">
        <f>EXP(SUMPRODUCT(LN(1+'Quarterly returns'!AB46:AB65))/5)-1</f>
        <v>0.0925493626518439</v>
      </c>
      <c r="G45" s="342">
        <f>IF(D45&gt;=C45,1,0)</f>
        <v>1</v>
      </c>
      <c r="H45" s="342">
        <f>IF(F45&gt;=C45,1,0)</f>
        <v>1</v>
      </c>
      <c r="I45" s="72">
        <f>SQRT((SUMPRODUCT(('Quarterly returns'!Z46:Z65-'Quarterly returns'!AA46:AA65)^2)-SUMPRODUCT(('Quarterly returns'!Z46:Z65-'Quarterly returns'!AA46:AA65))^2/20)/19)*2</f>
        <v>0.0225262411790197</v>
      </c>
      <c r="J45" s="128">
        <f>SQRT((SUMPRODUCT(('Quarterly returns'!AB46:AB65-'Quarterly returns'!AA46:AA65)^2)-SUMPRODUCT(('Quarterly returns'!AB46:AB65-'Quarterly returns'!AA46:AA65))^2/20)/19)*2</f>
        <v>0.0126290977307089</v>
      </c>
    </row>
    <row r="46">
      <c r="A46" s="385">
        <f>'Quarterly returns'!A66</f>
        <v>44377.0</v>
      </c>
      <c r="B46" s="313">
        <f>'Quarterly returns'!A46</f>
        <v>42551.0</v>
      </c>
      <c r="C46" s="72">
        <f>INDEX('RBA 5Y yield'!$B$5:$B$661,MATCH(B46,'RBA 5Y yield'!$A$5:$A$661,1))+Inputs!$B$24</f>
        <v>0.05721</v>
      </c>
      <c r="D46" s="72">
        <f>EXP(SUMPRODUCT(LN(1+'Quarterly returns'!Z47:Z66))/5)-1</f>
        <v>0.092191073738332</v>
      </c>
      <c r="E46" s="72">
        <f>EXP(SUMPRODUCT(LN(1+'Quarterly returns'!AA47:AA66))/5)-1</f>
        <v>0.0913624602210739</v>
      </c>
      <c r="F46" s="72">
        <f>EXP(SUMPRODUCT(LN(1+'Quarterly returns'!AB47:AB66))/5)-1</f>
        <v>0.0977262507458807</v>
      </c>
      <c r="G46" s="342">
        <f>IF(D46&gt;=C46,1,0)</f>
        <v>1</v>
      </c>
      <c r="H46" s="342">
        <f>IF(F46&gt;=C46,1,0)</f>
        <v>1</v>
      </c>
      <c r="I46" s="72">
        <f>SQRT((SUMPRODUCT(('Quarterly returns'!Z47:Z66-'Quarterly returns'!AA47:AA66)^2)-SUMPRODUCT(('Quarterly returns'!Z47:Z66-'Quarterly returns'!AA47:AA66))^2/20)/19)*2</f>
        <v>0.0225059777259097</v>
      </c>
      <c r="J46" s="128">
        <f>SQRT((SUMPRODUCT(('Quarterly returns'!AB47:AB66-'Quarterly returns'!AA47:AA66)^2)-SUMPRODUCT(('Quarterly returns'!AB47:AB66-'Quarterly returns'!AA47:AA66))^2/20)/19)*2</f>
        <v>0.0126267024948781</v>
      </c>
    </row>
    <row r="47">
      <c r="A47" s="385">
        <f>'Quarterly returns'!A67</f>
        <v>44469.0</v>
      </c>
      <c r="B47" s="313">
        <f>'Quarterly returns'!A47</f>
        <v>42643.0</v>
      </c>
      <c r="C47" s="72">
        <f>INDEX('RBA 5Y yield'!$B$5:$B$661,MATCH(B47,'RBA 5Y yield'!$A$5:$A$661,1))+Inputs!$B$24</f>
        <v>0.05695</v>
      </c>
      <c r="D47" s="72">
        <f>EXP(SUMPRODUCT(LN(1+'Quarterly returns'!Z48:Z67))/5)-1</f>
        <v>0.0917570364994655</v>
      </c>
      <c r="E47" s="72">
        <f>EXP(SUMPRODUCT(LN(1+'Quarterly returns'!AA48:AA67))/5)-1</f>
        <v>0.0928894115165928</v>
      </c>
      <c r="F47" s="72">
        <f>EXP(SUMPRODUCT(LN(1+'Quarterly returns'!AB48:AB67))/5)-1</f>
        <v>0.0981538939229272</v>
      </c>
      <c r="G47" s="342">
        <f>IF(D47&gt;=C47,1,0)</f>
        <v>1</v>
      </c>
      <c r="H47" s="342">
        <f>IF(F47&gt;=C47,1,0)</f>
        <v>1</v>
      </c>
      <c r="I47" s="72">
        <f>SQRT((SUMPRODUCT(('Quarterly returns'!Z48:Z67-'Quarterly returns'!AA48:AA67)^2)-SUMPRODUCT(('Quarterly returns'!Z48:Z67-'Quarterly returns'!AA48:AA67))^2/20)/19)*2</f>
        <v>0.0224532223872768</v>
      </c>
      <c r="J47" s="128">
        <f>SQRT((SUMPRODUCT(('Quarterly returns'!AB48:AB67-'Quarterly returns'!AA48:AA67)^2)-SUMPRODUCT(('Quarterly returns'!AB48:AB67-'Quarterly returns'!AA48:AA67))^2/20)/19)*2</f>
        <v>0.0127868717734841</v>
      </c>
    </row>
    <row r="48">
      <c r="A48" s="385">
        <f>'Quarterly returns'!A68</f>
        <v>44561.0</v>
      </c>
      <c r="B48" s="313">
        <f>'Quarterly returns'!A48</f>
        <v>42734.0</v>
      </c>
      <c r="C48" s="72">
        <f>INDEX('RBA 5Y yield'!$B$5:$B$661,MATCH(B48,'RBA 5Y yield'!$A$5:$A$661,1))+Inputs!$B$24</f>
        <v>0.06016</v>
      </c>
      <c r="D48" s="72">
        <f>EXP(SUMPRODUCT(LN(1+'Quarterly returns'!Z49:Z68))/5)-1</f>
        <v>0.0913459207695624</v>
      </c>
      <c r="E48" s="72">
        <f>EXP(SUMPRODUCT(LN(1+'Quarterly returns'!AA49:AA68))/5)-1</f>
        <v>0.0910437898264549</v>
      </c>
      <c r="F48" s="72">
        <f>EXP(SUMPRODUCT(LN(1+'Quarterly returns'!AB49:AB68))/5)-1</f>
        <v>0.0962416753781976</v>
      </c>
      <c r="G48" s="342">
        <f>IF(D48&gt;=C48,1,0)</f>
        <v>1</v>
      </c>
      <c r="H48" s="342">
        <f>IF(F48&gt;=C48,1,0)</f>
        <v>1</v>
      </c>
      <c r="I48" s="72">
        <f>SQRT((SUMPRODUCT(('Quarterly returns'!Z49:Z68-'Quarterly returns'!AA49:AA68)^2)-SUMPRODUCT(('Quarterly returns'!Z49:Z68-'Quarterly returns'!AA49:AA68))^2/20)/19)*2</f>
        <v>0.0222874814710281</v>
      </c>
      <c r="J48" s="128">
        <f>SQRT((SUMPRODUCT(('Quarterly returns'!AB49:AB68-'Quarterly returns'!AA49:AA68)^2)-SUMPRODUCT(('Quarterly returns'!AB49:AB68-'Quarterly returns'!AA49:AA68))^2/20)/19)*2</f>
        <v>0.0127842682400882</v>
      </c>
    </row>
    <row r="49">
      <c r="A49" s="385">
        <f>'Quarterly returns'!A69</f>
        <v>44651.0</v>
      </c>
      <c r="B49" s="313">
        <f>'Quarterly returns'!A49</f>
        <v>42825.0</v>
      </c>
      <c r="C49" s="72">
        <f>INDEX('RBA 5Y yield'!$B$5:$B$661,MATCH(B49,'RBA 5Y yield'!$A$5:$A$661,1))+Inputs!$B$24</f>
        <v>0.06294</v>
      </c>
      <c r="D49" s="72">
        <f>EXP(SUMPRODUCT(LN(1+'Quarterly returns'!Z50:Z69))/5)-1</f>
        <v>0.0814711080242343</v>
      </c>
      <c r="E49" s="72">
        <f>EXP(SUMPRODUCT(LN(1+'Quarterly returns'!AA50:AA69))/5)-1</f>
        <v>0.0818268559319988</v>
      </c>
      <c r="F49" s="72">
        <f>EXP(SUMPRODUCT(LN(1+'Quarterly returns'!AB50:AB69))/5)-1</f>
        <v>0.0861128368451358</v>
      </c>
      <c r="G49" s="342">
        <f>IF(D49&gt;=C49,1,0)</f>
        <v>1</v>
      </c>
      <c r="H49" s="342">
        <f>IF(F49&gt;=C49,1,0)</f>
        <v>1</v>
      </c>
      <c r="I49" s="72">
        <f>SQRT((SUMPRODUCT(('Quarterly returns'!Z50:Z69-'Quarterly returns'!AA50:AA69)^2)-SUMPRODUCT(('Quarterly returns'!Z50:Z69-'Quarterly returns'!AA50:AA69))^2/20)/19)*2</f>
        <v>0.0221456491653</v>
      </c>
      <c r="J49" s="128">
        <f>SQRT((SUMPRODUCT(('Quarterly returns'!AB50:AB69-'Quarterly returns'!AA50:AA69)^2)-SUMPRODUCT(('Quarterly returns'!AB50:AB69-'Quarterly returns'!AA50:AA69))^2/20)/19)*2</f>
        <v>0.0129575556824773</v>
      </c>
    </row>
    <row r="50">
      <c r="A50" s="385">
        <f>'Quarterly returns'!A70</f>
        <v>44742.0</v>
      </c>
      <c r="B50" s="313">
        <f>'Quarterly returns'!A50</f>
        <v>42916.0</v>
      </c>
      <c r="C50" s="72">
        <f>INDEX('RBA 5Y yield'!$B$5:$B$661,MATCH(B50,'RBA 5Y yield'!$A$5:$A$661,1))+Inputs!$B$24</f>
        <v>0.05987</v>
      </c>
      <c r="D50" s="72">
        <f>EXP(SUMPRODUCT(LN(1+'Quarterly returns'!Z51:Z70))/5)-1</f>
        <v>0.0627471418572676</v>
      </c>
      <c r="E50" s="72">
        <f>EXP(SUMPRODUCT(LN(1+'Quarterly returns'!AA51:AA70))/5)-1</f>
        <v>0.0654037822131377</v>
      </c>
      <c r="F50" s="72">
        <f>EXP(SUMPRODUCT(LN(1+'Quarterly returns'!AB51:AB70))/5)-1</f>
        <v>0.0692886147610028</v>
      </c>
      <c r="G50" s="342">
        <f>IF(D50&gt;=C50,1,0)</f>
        <v>1</v>
      </c>
      <c r="H50" s="342">
        <f>IF(F50&gt;=C50,1,0)</f>
        <v>1</v>
      </c>
      <c r="I50" s="72">
        <f>SQRT((SUMPRODUCT(('Quarterly returns'!Z51:Z70-'Quarterly returns'!AA51:AA70)^2)-SUMPRODUCT(('Quarterly returns'!Z51:Z70-'Quarterly returns'!AA51:AA70))^2/20)/19)*2</f>
        <v>0.0230732154212967</v>
      </c>
      <c r="J50" s="128">
        <f>SQRT((SUMPRODUCT(('Quarterly returns'!AB51:AB70-'Quarterly returns'!AA51:AA70)^2)-SUMPRODUCT(('Quarterly returns'!AB51:AB70-'Quarterly returns'!AA51:AA70))^2/20)/19)*2</f>
        <v>0.0129873319302887</v>
      </c>
    </row>
    <row r="51">
      <c r="A51" s="385">
        <f>'Quarterly returns'!A71</f>
        <v>44834.0</v>
      </c>
      <c r="B51" s="313">
        <f>'Quarterly returns'!A51</f>
        <v>43007.0</v>
      </c>
      <c r="C51" s="72">
        <f>INDEX('RBA 5Y yield'!$B$5:$B$661,MATCH(B51,'RBA 5Y yield'!$A$5:$A$661,1))+Inputs!$B$24</f>
        <v>0.06186</v>
      </c>
      <c r="D51" s="72">
        <f>EXP(SUMPRODUCT(LN(1+'Quarterly returns'!Z52:Z71))/5)-1</f>
        <v>0.0615648705368588</v>
      </c>
      <c r="E51" s="72">
        <f>EXP(SUMPRODUCT(LN(1+'Quarterly returns'!AA52:AA71))/5)-1</f>
        <v>0.062518409353264</v>
      </c>
      <c r="F51" s="72">
        <f>EXP(SUMPRODUCT(LN(1+'Quarterly returns'!AB52:AB71))/5)-1</f>
        <v>0.0664423734382889</v>
      </c>
      <c r="G51" s="342">
        <f>IF(D51&gt;=C51,1,0)</f>
        <v>0</v>
      </c>
      <c r="H51" s="342">
        <f>IF(F51&gt;=C51,1,0)</f>
        <v>1</v>
      </c>
      <c r="I51" s="72">
        <f>SQRT((SUMPRODUCT(('Quarterly returns'!Z52:Z71-'Quarterly returns'!AA52:AA71)^2)-SUMPRODUCT(('Quarterly returns'!Z52:Z71-'Quarterly returns'!AA52:AA71))^2/20)/19)*2</f>
        <v>0.0232772813272852</v>
      </c>
      <c r="J51" s="128">
        <f>SQRT((SUMPRODUCT(('Quarterly returns'!AB52:AB71-'Quarterly returns'!AA52:AA71)^2)-SUMPRODUCT(('Quarterly returns'!AB52:AB71-'Quarterly returns'!AA52:AA71))^2/20)/19)*2</f>
        <v>0.0129958050678068</v>
      </c>
    </row>
    <row r="52">
      <c r="A52" s="385">
        <f>'Quarterly returns'!A72</f>
        <v>44925.0</v>
      </c>
      <c r="B52" s="313">
        <f>'Quarterly returns'!A52</f>
        <v>43098.0</v>
      </c>
      <c r="C52" s="72">
        <f>INDEX('RBA 5Y yield'!$B$5:$B$661,MATCH(B52,'RBA 5Y yield'!$A$5:$A$661,1))+Inputs!$B$24</f>
        <v>0.06172</v>
      </c>
      <c r="D52" s="72">
        <f>EXP(SUMPRODUCT(LN(1+'Quarterly returns'!Z53:Z72))/5)-1</f>
        <v>0.0592592357625863</v>
      </c>
      <c r="E52" s="72">
        <f>EXP(SUMPRODUCT(LN(1+'Quarterly returns'!AA53:AA72))/5)-1</f>
        <v>0.059159129426152</v>
      </c>
      <c r="F52" s="72">
        <f>EXP(SUMPRODUCT(LN(1+'Quarterly returns'!AB53:AB72))/5)-1</f>
        <v>0.0621291415334693</v>
      </c>
      <c r="G52" s="342">
        <f>IF(D52&gt;=C52,1,0)</f>
        <v>0</v>
      </c>
      <c r="H52" s="342">
        <f>IF(F52&gt;=C52,1,0)</f>
        <v>1</v>
      </c>
      <c r="I52" s="72">
        <f>SQRT((SUMPRODUCT(('Quarterly returns'!Z53:Z72-'Quarterly returns'!AA53:AA72)^2)-SUMPRODUCT(('Quarterly returns'!Z53:Z72-'Quarterly returns'!AA53:AA72))^2/20)/19)*2</f>
        <v>0.0235310226628866</v>
      </c>
      <c r="J52" s="128">
        <f>SQRT((SUMPRODUCT(('Quarterly returns'!AB53:AB72-'Quarterly returns'!AA53:AA72)^2)-SUMPRODUCT(('Quarterly returns'!AB53:AB72-'Quarterly returns'!AA53:AA72))^2/20)/19)*2</f>
        <v>0.0129934499446213</v>
      </c>
    </row>
    <row r="53">
      <c r="A53" s="385">
        <f>'Quarterly returns'!A73</f>
        <v>45016.0</v>
      </c>
      <c r="B53" s="313">
        <f>'Quarterly returns'!A53</f>
        <v>43189.0</v>
      </c>
      <c r="C53" s="72">
        <f>INDEX('RBA 5Y yield'!$B$5:$B$661,MATCH(B53,'RBA 5Y yield'!$A$5:$A$661,1))+Inputs!$B$24</f>
        <v>0.06415</v>
      </c>
      <c r="D53" s="72">
        <f>EXP(SUMPRODUCT(LN(1+'Quarterly returns'!Z54:Z73))/5)-1</f>
        <v>0.0725570829134441</v>
      </c>
      <c r="E53" s="72">
        <f>EXP(SUMPRODUCT(LN(1+'Quarterly returns'!AA54:AA73))/5)-1</f>
        <v>0.0711164175474781</v>
      </c>
      <c r="F53" s="72">
        <f>EXP(SUMPRODUCT(LN(1+'Quarterly returns'!AB54:AB73))/5)-1</f>
        <v>0.0746676313053201</v>
      </c>
      <c r="G53" s="342">
        <f>IF(D53&gt;=C53,1,0)</f>
        <v>1</v>
      </c>
      <c r="H53" s="342">
        <f>IF(F53&gt;=C53,1,0)</f>
        <v>1</v>
      </c>
      <c r="I53" s="72">
        <f>SQRT((SUMPRODUCT(('Quarterly returns'!Z54:Z73-'Quarterly returns'!AA54:AA73)^2)-SUMPRODUCT(('Quarterly returns'!Z54:Z73-'Quarterly returns'!AA54:AA73))^2/20)/19)*2</f>
        <v>0.0232547514689758</v>
      </c>
      <c r="J53" s="128">
        <f>SQRT((SUMPRODUCT(('Quarterly returns'!AB54:AB73-'Quarterly returns'!AA54:AA73)^2)-SUMPRODUCT(('Quarterly returns'!AB54:AB73-'Quarterly returns'!AA54:AA73))^2/20)/19)*2</f>
        <v>0.01299867307055</v>
      </c>
    </row>
    <row r="54">
      <c r="A54" s="385">
        <f>'Quarterly returns'!A74</f>
        <v>45107.0</v>
      </c>
      <c r="B54" s="313">
        <f>'Quarterly returns'!A54</f>
        <v>43280.0</v>
      </c>
      <c r="C54" s="72">
        <f>INDEX('RBA 5Y yield'!$B$5:$B$661,MATCH(B54,'RBA 5Y yield'!$A$5:$A$661,1))+Inputs!$B$24</f>
        <v>0.06415</v>
      </c>
      <c r="D54" s="72">
        <f>EXP(SUMPRODUCT(LN(1+'Quarterly returns'!Z55:Z74))/5)-1</f>
        <v>0.0635225028181534</v>
      </c>
      <c r="E54" s="72">
        <f>EXP(SUMPRODUCT(LN(1+'Quarterly returns'!AA55:AA74))/5)-1</f>
        <v>0.0651126183568418</v>
      </c>
      <c r="F54" s="72">
        <f>EXP(SUMPRODUCT(LN(1+'Quarterly returns'!AB55:AB74))/5)-1</f>
        <v>0.0674821706901108</v>
      </c>
      <c r="G54" s="342">
        <f>IF(D54&gt;=C54,1,0)</f>
        <v>0</v>
      </c>
      <c r="H54" s="342">
        <f>IF(F54&gt;=C54,1,0)</f>
        <v>1</v>
      </c>
      <c r="I54" s="72">
        <f>SQRT((SUMPRODUCT(('Quarterly returns'!Z55:Z74-'Quarterly returns'!AA55:AA74)^2)-SUMPRODUCT(('Quarterly returns'!Z55:Z74-'Quarterly returns'!AA55:AA74))^2/20)/19)*2</f>
        <v>0.023019891904923</v>
      </c>
      <c r="J54" s="128">
        <f>SQRT((SUMPRODUCT(('Quarterly returns'!AB55:AB74-'Quarterly returns'!AA55:AA74)^2)-SUMPRODUCT(('Quarterly returns'!AB55:AB74-'Quarterly returns'!AA55:AA74))^2/20)/19)*2</f>
        <v>0.0127422066436195</v>
      </c>
    </row>
    <row r="55">
      <c r="A55" s="385">
        <f>'Quarterly returns'!A75</f>
        <v>45198.0</v>
      </c>
      <c r="B55" s="313">
        <f>'Quarterly returns'!A55</f>
        <v>43371.0</v>
      </c>
      <c r="C55" s="72">
        <f>INDEX('RBA 5Y yield'!$B$5:$B$661,MATCH(B55,'RBA 5Y yield'!$A$5:$A$661,1))+Inputs!$B$24</f>
        <v>0.06239</v>
      </c>
      <c r="D55" s="72">
        <f>EXP(SUMPRODUCT(LN(1+'Quarterly returns'!Z56:Z75))/5)-1</f>
        <v>0.0566641853144647</v>
      </c>
      <c r="E55" s="72">
        <f>EXP(SUMPRODUCT(LN(1+'Quarterly returns'!AA56:AA75))/5)-1</f>
        <v>0.0605079542966562</v>
      </c>
      <c r="F55" s="72">
        <f>EXP(SUMPRODUCT(LN(1+'Quarterly returns'!AB56:AB75))/5)-1</f>
        <v>0.0607714670725033</v>
      </c>
      <c r="G55" s="342">
        <f>IF(D55&gt;=C55,1,0)</f>
        <v>0</v>
      </c>
      <c r="H55" s="342">
        <f>IF(F55&gt;=C55,1,0)</f>
        <v>0</v>
      </c>
      <c r="I55" s="72">
        <f>SQRT((SUMPRODUCT(('Quarterly returns'!Z56:Z75-'Quarterly returns'!AA56:AA75)^2)-SUMPRODUCT(('Quarterly returns'!Z56:Z75-'Quarterly returns'!AA56:AA75))^2/20)/19)*2</f>
        <v>0.0234717104247625</v>
      </c>
      <c r="J55" s="128">
        <f>SQRT((SUMPRODUCT(('Quarterly returns'!AB56:AB75-'Quarterly returns'!AA56:AA75)^2)-SUMPRODUCT(('Quarterly returns'!AB56:AB75-'Quarterly returns'!AA56:AA75))^2/20)/19)*2</f>
        <v>0.0127397288509633</v>
      </c>
    </row>
    <row r="56">
      <c r="A56" s="385">
        <f>'Quarterly returns'!A76</f>
        <v>45289.0</v>
      </c>
      <c r="B56" s="313">
        <f>'Quarterly returns'!A56</f>
        <v>43465.0</v>
      </c>
      <c r="C56" s="72">
        <f>INDEX('RBA 5Y yield'!$B$5:$B$661,MATCH(B56,'RBA 5Y yield'!$A$5:$A$661,1))+Inputs!$B$24</f>
        <v>0.06097</v>
      </c>
      <c r="D56" s="72">
        <f>EXP(SUMPRODUCT(LN(1+'Quarterly returns'!Z57:Z76))/5)-1</f>
        <v>0.0816350225045768</v>
      </c>
      <c r="E56" s="72">
        <f>EXP(SUMPRODUCT(LN(1+'Quarterly returns'!AA57:AA76))/5)-1</f>
        <v>0.0819876507558679</v>
      </c>
      <c r="F56" s="72">
        <f>EXP(SUMPRODUCT(LN(1+'Quarterly returns'!AB57:AB76))/5)-1</f>
        <v>0.0845931664640542</v>
      </c>
      <c r="G56" s="342">
        <f>IF(D56&gt;=C56,1,0)</f>
        <v>1</v>
      </c>
      <c r="H56" s="342">
        <f>IF(F56&gt;=C56,1,0)</f>
        <v>1</v>
      </c>
      <c r="I56" s="72">
        <f>SQRT((SUMPRODUCT(('Quarterly returns'!Z57:Z76-'Quarterly returns'!AA57:AA76)^2)-SUMPRODUCT(('Quarterly returns'!Z57:Z76-'Quarterly returns'!AA57:AA76))^2/20)/19)*2</f>
        <v>0.0244942992394767</v>
      </c>
      <c r="J56" s="128">
        <f>SQRT((SUMPRODUCT(('Quarterly returns'!AB57:AB76-'Quarterly returns'!AA57:AA76)^2)-SUMPRODUCT(('Quarterly returns'!AB57:AB76-'Quarterly returns'!AA57:AA76))^2/20)/19)*2</f>
        <v>0.0123258260528867</v>
      </c>
    </row>
    <row r="57">
      <c r="A57" s="385">
        <f>'Quarterly returns'!A77</f>
        <v>45380.0</v>
      </c>
      <c r="B57" s="313">
        <f>'Quarterly returns'!A57</f>
        <v>43553.0</v>
      </c>
      <c r="C57" s="72">
        <f>INDEX('RBA 5Y yield'!$B$5:$B$661,MATCH(B57,'RBA 5Y yield'!$A$5:$A$661,1))+Inputs!$B$24</f>
        <v>0.05743</v>
      </c>
      <c r="D57" s="72">
        <f>EXP(SUMPRODUCT(LN(1+'Quarterly returns'!Z58:Z77))/5)-1</f>
        <v>0.075567495901431</v>
      </c>
      <c r="E57" s="72">
        <f>EXP(SUMPRODUCT(LN(1+'Quarterly returns'!AA58:AA77))/5)-1</f>
        <v>0.0798022629729749</v>
      </c>
      <c r="F57" s="72">
        <f>EXP(SUMPRODUCT(LN(1+'Quarterly returns'!AB58:AB77))/5)-1</f>
        <v>0.0806192033823101</v>
      </c>
      <c r="G57" s="342">
        <f>IF(D57&gt;=C57,1,0)</f>
        <v>1</v>
      </c>
      <c r="H57" s="342">
        <f>IF(F57&gt;=C57,1,0)</f>
        <v>1</v>
      </c>
      <c r="I57" s="72">
        <f>SQRT((SUMPRODUCT(('Quarterly returns'!Z58:Z77-'Quarterly returns'!AA58:AA77)^2)-SUMPRODUCT(('Quarterly returns'!Z58:Z77-'Quarterly returns'!AA58:AA77))^2/20)/19)*2</f>
        <v>0.0241317980832498</v>
      </c>
      <c r="J57" s="128">
        <f>SQRT((SUMPRODUCT(('Quarterly returns'!AB58:AB77-'Quarterly returns'!AA58:AA77)^2)-SUMPRODUCT(('Quarterly returns'!AB58:AB77-'Quarterly returns'!AA58:AA77))^2/20)/19)*2</f>
        <v>0.0107520131260993</v>
      </c>
    </row>
    <row r="58">
      <c r="A58" s="385">
        <f>'Quarterly returns'!A78</f>
        <v>45471.0</v>
      </c>
      <c r="B58" s="313">
        <f>'Quarterly returns'!A58</f>
        <v>43644.0</v>
      </c>
      <c r="C58" s="72">
        <f>INDEX('RBA 5Y yield'!$B$5:$B$661,MATCH(B58,'RBA 5Y yield'!$A$5:$A$661,1))+Inputs!$B$24</f>
        <v>0.05291</v>
      </c>
      <c r="D58" s="72">
        <f>EXP(SUMPRODUCT(LN(1+'Quarterly returns'!Z59:Z78))/5)-1</f>
        <v>0.063303175698348</v>
      </c>
      <c r="E58" s="72">
        <f>EXP(SUMPRODUCT(LN(1+'Quarterly returns'!AA59:AA78))/5)-1</f>
        <v>0.0692422205184056</v>
      </c>
      <c r="F58" s="72">
        <f>EXP(SUMPRODUCT(LN(1+'Quarterly returns'!AB59:AB78))/5)-1</f>
        <v>0.0702218094271458</v>
      </c>
      <c r="G58" s="342">
        <f>IF(D58&gt;=C58,1,0)</f>
        <v>1</v>
      </c>
      <c r="H58" s="342">
        <f>IF(F58&gt;=C58,1,0)</f>
        <v>1</v>
      </c>
      <c r="I58" s="72">
        <f>SQRT((SUMPRODUCT(('Quarterly returns'!Z59:Z78-'Quarterly returns'!AA59:AA78)^2)-SUMPRODUCT(('Quarterly returns'!Z59:Z78-'Quarterly returns'!AA59:AA78))^2/20)/19)*2</f>
        <v>0.0238672992928379</v>
      </c>
      <c r="J58" s="128">
        <f>SQRT((SUMPRODUCT(('Quarterly returns'!AB59:AB78-'Quarterly returns'!AA59:AA78)^2)-SUMPRODUCT(('Quarterly returns'!AB59:AB78-'Quarterly returns'!AA59:AA78))^2/20)/19)*2</f>
        <v>0.0107775791092316</v>
      </c>
    </row>
    <row r="59">
      <c r="A59" s="385">
        <f>'Quarterly returns'!A79</f>
        <v>45565.0</v>
      </c>
      <c r="B59" s="313">
        <f>'Quarterly returns'!A59</f>
        <v>43738.0</v>
      </c>
      <c r="C59" s="72">
        <f>INDEX('RBA 5Y yield'!$B$5:$B$661,MATCH(B59,'RBA 5Y yield'!$A$5:$A$661,1))+Inputs!$B$24</f>
        <v>0.0481</v>
      </c>
      <c r="D59" s="72">
        <f>EXP(SUMPRODUCT(LN(1+'Quarterly returns'!Z60:Z79))/5)-1</f>
        <v>0.0659450155701542</v>
      </c>
      <c r="E59" s="72">
        <f>EXP(SUMPRODUCT(LN(1+'Quarterly returns'!AA60:AA79))/5)-1</f>
        <v>0.0695935326680459</v>
      </c>
      <c r="F59" s="72">
        <f>EXP(SUMPRODUCT(LN(1+'Quarterly returns'!AB60:AB79))/5)-1</f>
        <v>0.0704777837616346</v>
      </c>
      <c r="G59" s="342">
        <f>IF(D59&gt;=C59,1,0)</f>
        <v>1</v>
      </c>
      <c r="H59" s="342">
        <f>IF(F59&gt;=C59,1,0)</f>
        <v>1</v>
      </c>
      <c r="I59" s="72">
        <f>SQRT((SUMPRODUCT(('Quarterly returns'!Z60:Z79-'Quarterly returns'!AA60:AA79)^2)-SUMPRODUCT(('Quarterly returns'!Z60:Z79-'Quarterly returns'!AA60:AA79))^2/20)/19)*2</f>
        <v>0.0244502897133678</v>
      </c>
      <c r="J59" s="128">
        <f>SQRT((SUMPRODUCT(('Quarterly returns'!AB60:AB79-'Quarterly returns'!AA60:AA79)^2)-SUMPRODUCT(('Quarterly returns'!AB60:AB79-'Quarterly returns'!AA60:AA79))^2/20)/19)*2</f>
        <v>0.0107768244682711</v>
      </c>
    </row>
    <row r="60">
      <c r="A60" s="385">
        <f>'Quarterly returns'!A80</f>
        <v>45657.0</v>
      </c>
      <c r="B60" s="313">
        <f>'Quarterly returns'!A60</f>
        <v>43830.0</v>
      </c>
      <c r="C60" s="72">
        <f>INDEX('RBA 5Y yield'!$B$5:$B$661,MATCH(B60,'RBA 5Y yield'!$A$5:$A$661,1))+Inputs!$B$24</f>
        <v>0.04874</v>
      </c>
      <c r="D60" s="72">
        <f>EXP(SUMPRODUCT(LN(1+'Quarterly returns'!Z61:Z80))/5)-1</f>
        <v>0.0712993967116014</v>
      </c>
      <c r="E60" s="72">
        <f>EXP(SUMPRODUCT(LN(1+'Quarterly returns'!AA61:AA80))/5)-1</f>
        <v>0.0756315615736574</v>
      </c>
      <c r="F60" s="72">
        <f>EXP(SUMPRODUCT(LN(1+'Quarterly returns'!AB61:AB80))/5)-1</f>
        <v>0.0785226940507577</v>
      </c>
      <c r="G60" s="342">
        <f>IF(D60&gt;=C60,1,0)</f>
        <v>1</v>
      </c>
      <c r="H60" s="342">
        <f>IF(F60&gt;=C60,1,0)</f>
        <v>1</v>
      </c>
      <c r="I60" s="72">
        <f>SQRT((SUMPRODUCT(('Quarterly returns'!Z61:Z80-'Quarterly returns'!AA61:AA80)^2)-SUMPRODUCT(('Quarterly returns'!Z61:Z80-'Quarterly returns'!AA61:AA80))^2/20)/19)*2</f>
        <v>0.0247052531780698</v>
      </c>
      <c r="J60" s="128">
        <f>SQRT((SUMPRODUCT(('Quarterly returns'!AB61:AB80-'Quarterly returns'!AA61:AA80)^2)-SUMPRODUCT(('Quarterly returns'!AB61:AB80-'Quarterly returns'!AA61:AA80))^2/20)/19)*2</f>
        <v>0.0113339362582964</v>
      </c>
    </row>
    <row r="61">
      <c r="A61" s="385">
        <f>'Quarterly returns'!A81</f>
        <v>45747.0</v>
      </c>
      <c r="B61" s="313">
        <f>'Quarterly returns'!A61</f>
        <v>43921.0</v>
      </c>
      <c r="C61" s="72">
        <f>INDEX('RBA 5Y yield'!$B$5:$B$661,MATCH(B61,'RBA 5Y yield'!$A$5:$A$661,1))+Inputs!$B$24</f>
        <v>0.045</v>
      </c>
      <c r="D61" s="72">
        <f>EXP(SUMPRODUCT(LN(1+'Quarterly returns'!Z62:Z81))/5)-1</f>
        <v>0.0957793381302665</v>
      </c>
      <c r="E61" s="72">
        <f>EXP(SUMPRODUCT(LN(1+'Quarterly returns'!AA62:AA81))/5)-1</f>
        <v>0.0937149638945134</v>
      </c>
      <c r="F61" s="72">
        <f>EXP(SUMPRODUCT(LN(1+'Quarterly returns'!AB62:AB81))/5)-1</f>
        <v>0.100566072870217</v>
      </c>
      <c r="G61" s="342">
        <f>IF(D61&gt;=C61,1,0)</f>
        <v>1</v>
      </c>
      <c r="H61" s="342">
        <f>IF(F61&gt;=C61,1,0)</f>
        <v>1</v>
      </c>
      <c r="I61" s="72">
        <f>SQRT((SUMPRODUCT(('Quarterly returns'!Z62:Z81-'Quarterly returns'!AA62:AA81)^2)-SUMPRODUCT(('Quarterly returns'!Z62:Z81-'Quarterly returns'!AA62:AA81))^2/20)/19)*2</f>
        <v>0.0209701336126386</v>
      </c>
      <c r="J61" s="128">
        <f>SQRT((SUMPRODUCT(('Quarterly returns'!AB62:AB81-'Quarterly returns'!AA62:AA81)^2)-SUMPRODUCT(('Quarterly returns'!AB62:AB81-'Quarterly returns'!AA62:AA81))^2/20)/19)*2</f>
        <v>0.00846561917106543</v>
      </c>
    </row>
    <row r="62">
      <c r="A62" s="385">
        <f>'Quarterly returns'!A82</f>
        <v>45838.0</v>
      </c>
      <c r="B62" s="313">
        <f>'Quarterly returns'!A62</f>
        <v>44012.0</v>
      </c>
      <c r="C62" s="72">
        <f>INDEX('RBA 5Y yield'!$B$5:$B$661,MATCH(B62,'RBA 5Y yield'!$A$5:$A$661,1))+Inputs!$B$24</f>
        <v>0.04403</v>
      </c>
      <c r="D62" s="72">
        <f>EXP(SUMPRODUCT(LN(1+'Quarterly returns'!Z63:Z82))/5)-1</f>
        <v>0.0889967758903518</v>
      </c>
      <c r="E62" s="72">
        <f>EXP(SUMPRODUCT(LN(1+'Quarterly returns'!AA63:AA82))/5)-1</f>
        <v>0.0911318908231908</v>
      </c>
      <c r="F62" s="72">
        <f>EXP(SUMPRODUCT(LN(1+'Quarterly returns'!AB63:AB82))/5)-1</f>
        <v>0.09501988422701</v>
      </c>
      <c r="G62" s="342">
        <f>IF(D62&gt;=C62,1,0)</f>
        <v>1</v>
      </c>
      <c r="H62" s="342">
        <f>IF(F62&gt;=C62,1,0)</f>
        <v>1</v>
      </c>
      <c r="I62" s="72">
        <f>SQRT((SUMPRODUCT(('Quarterly returns'!Z63:Z82-'Quarterly returns'!AA63:AA82)^2)-SUMPRODUCT(('Quarterly returns'!Z63:Z82-'Quarterly returns'!AA63:AA82))^2/20)/19)*2</f>
        <v>0.0168558296388507</v>
      </c>
      <c r="J62" s="128">
        <f>SQRT((SUMPRODUCT(('Quarterly returns'!AB63:AB82-'Quarterly returns'!AA63:AA82)^2)-SUMPRODUCT(('Quarterly returns'!AB63:AB82-'Quarterly returns'!AA63:AA82))^2/20)/19)*2</f>
        <v>0.00667545252022037</v>
      </c>
    </row>
    <row r="63">
      <c r="A63" s="385">
        <f>'Quarterly returns'!A83</f>
        <v>45930.0</v>
      </c>
      <c r="B63" s="313">
        <f>'Quarterly returns'!A63</f>
        <v>44104.0</v>
      </c>
      <c r="C63" s="72">
        <f>INDEX('RBA 5Y yield'!$B$5:$B$661,MATCH(B63,'RBA 5Y yield'!$A$5:$A$661,1))+Inputs!$B$24</f>
        <v>0.04393</v>
      </c>
      <c r="D63" s="72">
        <f>EXP(SUMPRODUCT(LN(1+'Quarterly returns'!Z64:Z83))/5)-1</f>
        <v>0.0953153323474878</v>
      </c>
      <c r="E63" s="72">
        <f>EXP(SUMPRODUCT(LN(1+'Quarterly returns'!AA64:AA83))/5)-1</f>
        <v>0.0957739664639219</v>
      </c>
      <c r="F63" s="72">
        <f>EXP(SUMPRODUCT(LN(1+'Quarterly returns'!AB64:AB83))/5)-1</f>
        <v>0.101779188969977</v>
      </c>
      <c r="G63" s="342">
        <f>IF(D63&gt;=C63,1,0)</f>
        <v>1</v>
      </c>
      <c r="H63" s="342">
        <f>IF(F63&gt;=C63,1,0)</f>
        <v>1</v>
      </c>
      <c r="I63" s="72">
        <f>SQRT((SUMPRODUCT(('Quarterly returns'!Z64:Z83-'Quarterly returns'!AA64:AA83)^2)-SUMPRODUCT(('Quarterly returns'!Z64:Z83-'Quarterly returns'!AA64:AA83))^2/20)/19)*2</f>
        <v>0.016456929141165</v>
      </c>
      <c r="J63" s="128">
        <f>SQRT((SUMPRODUCT(('Quarterly returns'!AB64:AB83-'Quarterly returns'!AA64:AA83)^2)-SUMPRODUCT(('Quarterly returns'!AB64:AB83-'Quarterly returns'!AA64:AA83))^2/20)/19)*2</f>
        <v>0.00653181715104209</v>
      </c>
    </row>
    <row r="64">
      <c r="A64" s="385">
        <f>'Quarterly returns'!A84</f>
        <v>46022.0</v>
      </c>
      <c r="B64" s="313">
        <f>'Quarterly returns'!A64</f>
        <v>44196.0</v>
      </c>
      <c r="C64" s="72">
        <f>INDEX('RBA 5Y yield'!$B$5:$B$661,MATCH(B64,'RBA 5Y yield'!$A$5:$A$661,1))+Inputs!$B$24</f>
        <v>0.04343</v>
      </c>
      <c r="D64" s="72">
        <f>EXP(SUMPRODUCT(LN(1+'Quarterly returns'!Z65:Z84))/5)-1</f>
        <v>0.0808329649467359</v>
      </c>
      <c r="E64" s="72">
        <f>EXP(SUMPRODUCT(LN(1+'Quarterly returns'!AA65:AA84))/5)-1</f>
        <v>0.0850279064739912</v>
      </c>
      <c r="F64" s="72">
        <f>EXP(SUMPRODUCT(LN(1+'Quarterly returns'!AB65:AB84))/5)-1</f>
        <v>0.0903696617905627</v>
      </c>
      <c r="G64" s="342">
        <f>IF(D64&gt;=C64,1,0)</f>
        <v>1</v>
      </c>
      <c r="H64" s="342">
        <f>IF(F64&gt;=C64,1,0)</f>
        <v>1</v>
      </c>
      <c r="I64" s="72">
        <f>SQRT((SUMPRODUCT(('Quarterly returns'!Z65:Z84-'Quarterly returns'!AA65:AA84)^2)-SUMPRODUCT(('Quarterly returns'!Z65:Z84-'Quarterly returns'!AA65:AA84))^2/20)/19)*2</f>
        <v>0.0156006764255301</v>
      </c>
      <c r="J64" s="128">
        <f>SQRT((SUMPRODUCT(('Quarterly returns'!AB65:AB84-'Quarterly returns'!AA65:AA84)^2)-SUMPRODUCT(('Quarterly returns'!AB65:AB84-'Quarterly returns'!AA65:AA84))^2/20)/19)*2</f>
        <v>0.00643536536047309</v>
      </c>
    </row>
    <row r="65">
      <c r="A65" s="389">
        <f>'Quarterly returns'!A85</f>
        <v>46112.0</v>
      </c>
      <c r="B65" s="390">
        <f>'Quarterly returns'!A65</f>
        <v>44286.0</v>
      </c>
      <c r="C65" s="134">
        <f>INDEX('RBA 5Y yield'!$B$5:$B$661,MATCH(B65,'RBA 5Y yield'!$A$5:$A$661,1))+Inputs!$B$24</f>
        <v>0.04708</v>
      </c>
      <c r="D65" s="134">
        <f>EXP(SUMPRODUCT(LN(1+'Quarterly returns'!Z66:Z85))/5)-1</f>
        <v>0.0690594602203125</v>
      </c>
      <c r="E65" s="134">
        <f>EXP(SUMPRODUCT(LN(1+'Quarterly returns'!AA66:AA85))/5)-1</f>
        <v>0.0721947041348132</v>
      </c>
      <c r="F65" s="134">
        <f>EXP(SUMPRODUCT(LN(1+'Quarterly returns'!AB66:AB85))/5)-1</f>
        <v>0.0785360132940838</v>
      </c>
      <c r="G65" s="391">
        <f>IF(D65&gt;=C65,1,0)</f>
        <v>1</v>
      </c>
      <c r="H65" s="391">
        <f>IF(F65&gt;=C65,1,0)</f>
        <v>1</v>
      </c>
      <c r="I65" s="134">
        <f>SQRT((SUMPRODUCT(('Quarterly returns'!Z66:Z85-'Quarterly returns'!AA66:AA85)^2)-SUMPRODUCT(('Quarterly returns'!Z66:Z85-'Quarterly returns'!AA66:AA85))^2/20)/19)*2</f>
        <v>0.0154399272489261</v>
      </c>
      <c r="J65" s="135">
        <f>SQRT((SUMPRODUCT(('Quarterly returns'!AB66:AB85-'Quarterly returns'!AA66:AA85)^2)-SUMPRODUCT(('Quarterly returns'!AB66:AB85-'Quarterly returns'!AA66:AA85))^2/20)/19)*2</f>
        <v>0.00680715602577981</v>
      </c>
    </row>
  </sheetData>
  <pageMargins left="0.75" right="0.75" top="1" bottom="1" header="0.5" footer="0.5"/>
  <pageSetup orientation="landscape" fitToHeight="0"/>
  <drawing xmlns:r="http://schemas.openxmlformats.org/officeDocument/2006/relationships" r:id="rId1"/>
</worksheet>
</file>

<file path=xl/worksheets/sheet13.xml><?xml version="1.0" encoding="utf-8"?>
<worksheet xmlns="http://schemas.openxmlformats.org/spreadsheetml/2006/main">
  <sheetPr>
    <tabColor rgb="FF4F6228"/>
    <outlinePr summaryBelow="1" summaryRight="1"/>
    <pageSetUpPr/>
  </sheetPr>
  <dimension ref="A1:AQ245"/>
  <sheetViews>
    <sheetView showGridLines="0" workbookViewId="0">
      <pane ySplit="4" topLeftCell="A5"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3" customWidth="1" min="13" max="13"/>
    <col width="10"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s>
  <sheetData>
    <row r="1" ht="19" customHeight="1">
      <c r="A1" s="625" t="inlineStr">
        <is>
          <t>Performance</t>
        </is>
      </c>
    </row>
    <row r="3">
      <c r="A3" s="519" t="inlineStr">
        <is>
          <t>1. Settings</t>
        </is>
      </c>
      <c r="B3" s="520" t="n"/>
      <c r="C3" s="521" t="n"/>
      <c r="N3" s="548" t="inlineStr">
        <is>
          <t>Monthly panel, Mar-2006 to Mar-2026 (Data tab index levels; monthly rebalancing; fees deducted monthly)</t>
        </is>
      </c>
      <c r="O3" s="549" t="n"/>
      <c r="P3" s="549" t="n"/>
      <c r="Q3" s="549" t="n"/>
      <c r="R3" s="549" t="n"/>
      <c r="S3" s="549" t="n"/>
      <c r="T3" s="549" t="n"/>
      <c r="U3" s="549" t="n"/>
      <c r="V3" s="549" t="n"/>
      <c r="W3" s="549" t="n"/>
      <c r="X3" s="549" t="n"/>
      <c r="Y3" s="549" t="n"/>
      <c r="Z3" s="549" t="n"/>
      <c r="AA3" s="549" t="n"/>
      <c r="AB3" s="549" t="n"/>
      <c r="AC3" s="549" t="n"/>
      <c r="AD3" s="549" t="n"/>
      <c r="AE3" s="549" t="n"/>
      <c r="AF3" s="549" t="n"/>
      <c r="AG3" s="549" t="n"/>
      <c r="AH3" s="549" t="n"/>
      <c r="AI3" s="549" t="n"/>
      <c r="AJ3" s="549" t="n"/>
      <c r="AK3" s="549" t="n"/>
      <c r="AL3" s="549" t="n"/>
      <c r="AM3" s="549" t="n"/>
      <c r="AN3" s="549" t="n"/>
      <c r="AO3" s="549" t="n"/>
      <c r="AP3" s="549" t="n"/>
      <c r="AQ3" s="550" t="n"/>
    </row>
    <row r="4" ht="40" customHeight="1">
      <c r="A4" s="522" t="inlineStr">
        <is>
          <t>Parameter</t>
        </is>
      </c>
      <c r="B4" s="523" t="inlineStr">
        <is>
          <t>Value</t>
        </is>
      </c>
      <c r="C4" s="524" t="inlineStr">
        <is>
          <t>Source</t>
        </is>
      </c>
      <c r="N4" s="551" t="inlineStr">
        <is>
          <t>Month end</t>
        </is>
      </c>
      <c r="O4" s="552" t="inlineStr">
        <is>
          <t>Australian Equities</t>
        </is>
      </c>
      <c r="P4" s="552" t="inlineStr">
        <is>
          <t>World Equities</t>
        </is>
      </c>
      <c r="Q4" s="552" t="inlineStr">
        <is>
          <t>Emerging Markets</t>
        </is>
      </c>
      <c r="R4" s="552" t="inlineStr">
        <is>
          <t>Listed Property</t>
        </is>
      </c>
      <c r="S4" s="552" t="inlineStr">
        <is>
          <t>Commodities</t>
        </is>
      </c>
      <c r="T4" s="552" t="inlineStr">
        <is>
          <t>Direct Property</t>
        </is>
      </c>
      <c r="U4" s="552" t="inlineStr">
        <is>
          <t>Hedge Funds</t>
        </is>
      </c>
      <c r="V4" s="552" t="inlineStr">
        <is>
          <t>Private Equity</t>
        </is>
      </c>
      <c r="W4" s="552" t="inlineStr">
        <is>
          <t>Australian Fixed Income</t>
        </is>
      </c>
      <c r="X4" s="552" t="inlineStr">
        <is>
          <t>World Fixed Income</t>
        </is>
      </c>
      <c r="Y4" s="552" t="inlineStr">
        <is>
          <t>Cash</t>
        </is>
      </c>
      <c r="Z4" s="552" t="inlineStr">
        <is>
          <t>Current gross</t>
        </is>
      </c>
      <c r="AA4" s="552" t="inlineStr">
        <is>
          <t>Current net</t>
        </is>
      </c>
      <c r="AB4" s="552" t="inlineStr">
        <is>
          <t>Benchmark gross</t>
        </is>
      </c>
      <c r="AC4" s="552" t="inlineStr">
        <is>
          <t>Benchmark net</t>
        </is>
      </c>
      <c r="AD4" s="552" t="inlineStr">
        <is>
          <t>Active (net)</t>
        </is>
      </c>
      <c r="AE4" s="552" t="inlineStr">
        <is>
          <t>Current wealth</t>
        </is>
      </c>
      <c r="AF4" s="552" t="inlineStr">
        <is>
          <t>Benchmark wealth</t>
        </is>
      </c>
      <c r="AG4" s="552" t="inlineStr">
        <is>
          <t>Current drawdown</t>
        </is>
      </c>
      <c r="AH4" s="552" t="inlineStr">
        <is>
          <t>Benchmark drawdown</t>
        </is>
      </c>
      <c r="AI4" s="552" t="inlineStr">
        <is>
          <t>Current drawdown (5y window)</t>
        </is>
      </c>
      <c r="AJ4" s="552" t="inlineStr">
        <is>
          <t>Benchmark drawdown (5y window)</t>
        </is>
      </c>
      <c r="AK4" s="552" t="inlineStr">
        <is>
          <t>Current 12m</t>
        </is>
      </c>
      <c r="AL4" s="552" t="inlineStr">
        <is>
          <t>Benchmark 12m</t>
        </is>
      </c>
      <c r="AM4" s="552" t="inlineStr">
        <is>
          <t>Rolling 60m current</t>
        </is>
      </c>
      <c r="AN4" s="552" t="inlineStr">
        <is>
          <t>Rolling 60m benchmark</t>
        </is>
      </c>
      <c r="AO4" s="552" t="inlineStr">
        <is>
          <t>Rolling 60m active</t>
        </is>
      </c>
      <c r="AP4" s="552" t="inlineStr">
        <is>
          <t>Rolling 60m TE</t>
        </is>
      </c>
      <c r="AQ4" s="553" t="inlineStr">
        <is>
          <t>Rolling 60m IR</t>
        </is>
      </c>
    </row>
    <row r="5">
      <c r="A5" s="525" t="inlineStr">
        <is>
          <t>Panel start (base month)</t>
        </is>
      </c>
      <c r="B5" s="626">
        <f>N5</f>
        <v>38807.0</v>
      </c>
      <c r="C5" s="627" t="inlineStr">
        <is>
          <t>Data tab</t>
        </is>
      </c>
      <c r="N5" s="554">
        <f>Data!A257</f>
        <v>38807.0</v>
      </c>
      <c r="O5" s="433" t="n"/>
      <c r="P5" s="433" t="n"/>
      <c r="Q5" s="433" t="n"/>
      <c r="R5" s="433" t="n"/>
      <c r="S5" s="433" t="n"/>
      <c r="T5" s="433" t="n"/>
      <c r="U5" s="433" t="n"/>
      <c r="V5" s="433" t="n"/>
      <c r="W5" s="433" t="n"/>
      <c r="X5" s="433" t="n"/>
      <c r="Y5" s="433" t="n"/>
      <c r="Z5" s="433" t="n"/>
      <c r="AA5" s="433" t="n"/>
      <c r="AB5" s="433" t="n"/>
      <c r="AC5" s="433" t="n"/>
      <c r="AD5" s="433" t="n"/>
      <c r="AE5" s="560" t="n">
        <v>1</v>
      </c>
      <c r="AF5" s="560" t="n">
        <v>1</v>
      </c>
      <c r="AG5" s="433" t="n">
        <v>0</v>
      </c>
      <c r="AH5" s="433" t="n">
        <v>0</v>
      </c>
      <c r="AI5" s="433" t="n"/>
      <c r="AJ5" s="433" t="n"/>
      <c r="AK5" s="433" t="n"/>
      <c r="AL5" s="433" t="n"/>
      <c r="AM5" s="433" t="n"/>
      <c r="AN5" s="433" t="n"/>
      <c r="AO5" s="433" t="n"/>
      <c r="AP5" s="433" t="n"/>
      <c r="AQ5" s="628" t="n"/>
    </row>
    <row r="6">
      <c r="A6" s="525" t="inlineStr">
        <is>
          <t>Five-year window starts</t>
        </is>
      </c>
      <c r="B6" s="626">
        <f>N185</f>
        <v>44286.0</v>
      </c>
      <c r="C6" s="627" t="inlineStr">
        <is>
          <t>Brief: Mar-2021</t>
        </is>
      </c>
      <c r="N6" s="554">
        <f>Data!A258</f>
        <v>38835.0</v>
      </c>
      <c r="O6" s="433">
        <f>Data!B258/Data!B257-1</f>
        <v>0.0240456349201728</v>
      </c>
      <c r="P6" s="433">
        <f>Data!C258/Data!C257-1</f>
        <v>-0.0512036136250047</v>
      </c>
      <c r="Q6" s="433">
        <f>Data!D258/Data!D257-1</f>
        <v>-0.0106028427401488</v>
      </c>
      <c r="R6" s="433">
        <f>Data!E258/Data!E257-1</f>
        <v>-0.0870501806791895</v>
      </c>
      <c r="S6" s="433">
        <f>Data!F258/Data!F257-1</f>
        <v>-0.00071091659889011</v>
      </c>
      <c r="T6" s="433">
        <f>Data!G258/Data!G257-1</f>
        <v>0</v>
      </c>
      <c r="U6" s="433">
        <f>Data!H258/Data!H257-1</f>
        <v>0.00169999999999981</v>
      </c>
      <c r="V6" s="433">
        <f>Data!I258/Data!I257-1</f>
        <v>0</v>
      </c>
      <c r="W6" s="433">
        <f>Data!J258/Data!J257-1</f>
        <v>-0.00558236791247357</v>
      </c>
      <c r="X6" s="433">
        <f>Data!K258/Data!K257-1</f>
        <v>-0.00249656436097112</v>
      </c>
      <c r="Y6" s="433">
        <f>Data!L258/Data!L257-1</f>
        <v>0.00442201834862366</v>
      </c>
      <c r="Z6" s="433">
        <f>SUMPRODUCT(O6:Y6,Risk!$B$56:$L$56)</f>
        <v>-0.0100550258761959</v>
      </c>
      <c r="AA6" s="433">
        <f>Z6-$B$8/12</f>
        <v>-0.0101483592095292</v>
      </c>
      <c r="AB6" s="433">
        <f>SUMPRODUCT(O6:Y6,Risk!$B$57:$L$57)</f>
        <v>-0.0135757678386779</v>
      </c>
      <c r="AC6" s="433">
        <f>AB6-$B$9/12</f>
        <v>-0.0138574345053446</v>
      </c>
      <c r="AD6" s="433">
        <f>AA6-AC6</f>
        <v>0.00370907529581536</v>
      </c>
      <c r="AE6" s="560">
        <f>AE5*(1+AA6)</f>
        <v>0.989851640790471</v>
      </c>
      <c r="AF6" s="560">
        <f>AF5*(1+AC6)</f>
        <v>0.986142565494655</v>
      </c>
      <c r="AG6" s="433">
        <f>AE6/MAX(AE$5:AE6)-1</f>
        <v>-0.0101483592095292</v>
      </c>
      <c r="AH6" s="433">
        <f>AF6/MAX(AF$5:AF6)-1</f>
        <v>-0.0138574345053446</v>
      </c>
      <c r="AI6" s="620" t="inlineStr"/>
      <c r="AJ6" s="620" t="inlineStr"/>
      <c r="AK6" s="620" t="inlineStr"/>
      <c r="AL6" s="620" t="inlineStr"/>
      <c r="AM6" s="620" t="inlineStr"/>
      <c r="AN6" s="620" t="inlineStr"/>
      <c r="AO6" s="620" t="inlineStr"/>
      <c r="AP6" s="620" t="inlineStr"/>
      <c r="AQ6" s="629" t="inlineStr"/>
    </row>
    <row r="7">
      <c r="A7" s="525" t="inlineStr">
        <is>
          <t>Panel end</t>
        </is>
      </c>
      <c r="B7" s="626">
        <f>N245</f>
        <v>46112.0</v>
      </c>
      <c r="C7" s="627" t="inlineStr">
        <is>
          <t>Brief: Mar-2026</t>
        </is>
      </c>
      <c r="N7" s="554">
        <f>Data!A259</f>
        <v>38868.0</v>
      </c>
      <c r="O7" s="433">
        <f>Data!B259/Data!B258-1</f>
        <v>-0.0433685785590284</v>
      </c>
      <c r="P7" s="433">
        <f>Data!C259/Data!C258-1</f>
        <v>-0.0365517797092469</v>
      </c>
      <c r="Q7" s="433">
        <f>Data!D259/Data!D258-1</f>
        <v>-0.0721290464617816</v>
      </c>
      <c r="R7" s="433">
        <f>Data!E259/Data!E258-1</f>
        <v>-0.0220549067180938</v>
      </c>
      <c r="S7" s="433">
        <f>Data!F259/Data!F258-1</f>
        <v>-0.000981116992229136</v>
      </c>
      <c r="T7" s="433">
        <f>Data!G259/Data!G258-1</f>
        <v>0</v>
      </c>
      <c r="U7" s="433">
        <f>Data!H259/Data!H258-1</f>
        <v>0.0176000000000003</v>
      </c>
      <c r="V7" s="433">
        <f>Data!I259/Data!I258-1</f>
        <v>0</v>
      </c>
      <c r="W7" s="433">
        <f>Data!J259/Data!J258-1</f>
        <v>0.00398460532017042</v>
      </c>
      <c r="X7" s="433">
        <f>Data!K259/Data!K258-1</f>
        <v>0.00365089205758751</v>
      </c>
      <c r="Y7" s="433">
        <f>Data!L259/Data!L258-1</f>
        <v>0.00483549807274253</v>
      </c>
      <c r="Z7" s="433">
        <f>SUMPRODUCT(O7:Y7,Risk!$B$56:$L$56)</f>
        <v>-0.0256350310095456</v>
      </c>
      <c r="AA7" s="433">
        <f>Z7-$B$8/12</f>
        <v>-0.0257283643428789</v>
      </c>
      <c r="AB7" s="433">
        <f>SUMPRODUCT(O7:Y7,Risk!$B$57:$L$57)</f>
        <v>-0.0217094011606002</v>
      </c>
      <c r="AC7" s="433">
        <f>AB7-$B$9/12</f>
        <v>-0.0219910678272669</v>
      </c>
      <c r="AD7" s="433">
        <f>AA7-AC7</f>
        <v>-0.00373729651561207</v>
      </c>
      <c r="AE7" s="560">
        <f>AE6*(1+AA7)</f>
        <v>0.964384377130817</v>
      </c>
      <c r="AF7" s="560">
        <f>AF6*(1+AC7)</f>
        <v>0.964456237449508</v>
      </c>
      <c r="AG7" s="433">
        <f>AE7/MAX(AE$5:AE7)-1</f>
        <v>-0.035615622869183</v>
      </c>
      <c r="AH7" s="433">
        <f>AF7/MAX(AF$5:AF7)-1</f>
        <v>-0.0355437625504925</v>
      </c>
      <c r="AI7" s="620" t="inlineStr"/>
      <c r="AJ7" s="620" t="inlineStr"/>
      <c r="AK7" s="620" t="inlineStr"/>
      <c r="AL7" s="620" t="inlineStr"/>
      <c r="AM7" s="620" t="inlineStr"/>
      <c r="AN7" s="620" t="inlineStr"/>
      <c r="AO7" s="620" t="inlineStr"/>
      <c r="AP7" s="620" t="inlineStr"/>
      <c r="AQ7" s="629" t="inlineStr"/>
    </row>
    <row r="8">
      <c r="A8" s="525" t="inlineStr">
        <is>
          <t>Annual fee: current fund</t>
        </is>
      </c>
      <c r="B8" s="433">
        <f>SUMPRODUCT(Portfolio!C6:C16,Inputs!$D$5:$D$15)</f>
        <v>0.00112</v>
      </c>
      <c r="C8" s="627" t="inlineStr">
        <is>
          <t>Fee schedule</t>
        </is>
      </c>
      <c r="N8" s="554">
        <f>Data!A260</f>
        <v>38898.0</v>
      </c>
      <c r="O8" s="433">
        <f>Data!B260/Data!B259-1</f>
        <v>0.0185628331073486</v>
      </c>
      <c r="P8" s="433">
        <f>Data!C260/Data!C259-1</f>
        <v>0.0199102326346405</v>
      </c>
      <c r="Q8" s="433">
        <f>Data!D260/Data!D259-1</f>
        <v>0.0152779440441855</v>
      </c>
      <c r="R8" s="433">
        <f>Data!E260/Data!E259-1</f>
        <v>0.0615082953286428</v>
      </c>
      <c r="S8" s="433">
        <f>Data!F260/Data!F259-1</f>
        <v>0.0261938966628166</v>
      </c>
      <c r="T8" s="433">
        <f>Data!G260/Data!G259-1</f>
        <v>0.0394478486527561</v>
      </c>
      <c r="U8" s="433">
        <f>Data!H260/Data!H259-1</f>
        <v>0.0109999999999992</v>
      </c>
      <c r="V8" s="433">
        <f>Data!I260/Data!I259-1</f>
        <v>0.104304165219313</v>
      </c>
      <c r="W8" s="433">
        <f>Data!J260/Data!J259-1</f>
        <v>0.00173475950309698</v>
      </c>
      <c r="X8" s="433">
        <f>Data!K260/Data!K259-1</f>
        <v>0.000366048959048015</v>
      </c>
      <c r="Y8" s="433">
        <f>Data!L260/Data!L259-1</f>
        <v>0.00480495657722746</v>
      </c>
      <c r="Z8" s="433">
        <f>SUMPRODUCT(O8:Y8,Risk!$B$56:$L$56)</f>
        <v>0.0181838541053262</v>
      </c>
      <c r="AA8" s="433">
        <f>Z8-$B$8/12</f>
        <v>0.0180905207719928</v>
      </c>
      <c r="AB8" s="433">
        <f>SUMPRODUCT(O8:Y8,Risk!$B$57:$L$57)</f>
        <v>0.0205657588392006</v>
      </c>
      <c r="AC8" s="433">
        <f>AB8-$B$9/12</f>
        <v>0.020284092172534</v>
      </c>
      <c r="AD8" s="433">
        <f>AA8-AC8</f>
        <v>-0.00219357140054116</v>
      </c>
      <c r="AE8" s="560">
        <f>AE7*(1+AA8)</f>
        <v>0.981830592737487</v>
      </c>
      <c r="AF8" s="560">
        <f>AF7*(1+AC8)</f>
        <v>0.984019356666309</v>
      </c>
      <c r="AG8" s="433">
        <f>AE8/MAX(AE$5:AE8)-1</f>
        <v>-0.0181694072625126</v>
      </c>
      <c r="AH8" s="433">
        <f>AF8/MAX(AF$5:AF8)-1</f>
        <v>-0.0159806433336913</v>
      </c>
      <c r="AI8" s="620" t="inlineStr"/>
      <c r="AJ8" s="620" t="inlineStr"/>
      <c r="AK8" s="620" t="inlineStr"/>
      <c r="AL8" s="620" t="inlineStr"/>
      <c r="AM8" s="620" t="inlineStr"/>
      <c r="AN8" s="620" t="inlineStr"/>
      <c r="AO8" s="620" t="inlineStr"/>
      <c r="AP8" s="620" t="inlineStr"/>
      <c r="AQ8" s="629" t="inlineStr"/>
    </row>
    <row r="9">
      <c r="A9" s="525" t="inlineStr">
        <is>
          <t>Annual fee: benchmark</t>
        </is>
      </c>
      <c r="B9" s="433">
        <f>SUMPRODUCT(Portfolio!D6:D16,Inputs!$D$5:$D$15)</f>
        <v>0.00338</v>
      </c>
      <c r="C9" s="627" t="inlineStr">
        <is>
          <t>Fee schedule</t>
        </is>
      </c>
      <c r="N9" s="554">
        <f>Data!A261</f>
        <v>38929.0</v>
      </c>
      <c r="O9" s="433">
        <f>Data!B261/Data!B260-1</f>
        <v>-0.0151490531216566</v>
      </c>
      <c r="P9" s="433">
        <f>Data!C261/Data!C260-1</f>
        <v>-0.0249070068099878</v>
      </c>
      <c r="Q9" s="433">
        <f>Data!D261/Data!D260-1</f>
        <v>-0.0198653161247755</v>
      </c>
      <c r="R9" s="433">
        <f>Data!E261/Data!E260-1</f>
        <v>0.00241669209599804</v>
      </c>
      <c r="S9" s="433">
        <f>Data!F261/Data!F260-1</f>
        <v>-0.0110300796898811</v>
      </c>
      <c r="T9" s="433">
        <f>Data!G261/Data!G260-1</f>
        <v>0</v>
      </c>
      <c r="U9" s="433">
        <f>Data!H261/Data!H260-1</f>
        <v>0.03</v>
      </c>
      <c r="V9" s="433">
        <f>Data!I261/Data!I260-1</f>
        <v>0</v>
      </c>
      <c r="W9" s="433">
        <f>Data!J261/Data!J260-1</f>
        <v>0.000813080243628805</v>
      </c>
      <c r="X9" s="433">
        <f>Data!K261/Data!K260-1</f>
        <v>0.0119837167817778</v>
      </c>
      <c r="Y9" s="433">
        <f>Data!L261/Data!L260-1</f>
        <v>0.00482359326940451</v>
      </c>
      <c r="Z9" s="433">
        <f>SUMPRODUCT(O9:Y9,Risk!$B$56:$L$56)</f>
        <v>-0.00938104249311554</v>
      </c>
      <c r="AA9" s="433">
        <f>Z9-$B$8/12</f>
        <v>-0.00947437582644887</v>
      </c>
      <c r="AB9" s="433">
        <f>SUMPRODUCT(O9:Y9,Risk!$B$57:$L$57)</f>
        <v>-0.00793558966744652</v>
      </c>
      <c r="AC9" s="433">
        <f>AB9-$B$9/12</f>
        <v>-0.00821725633411319</v>
      </c>
      <c r="AD9" s="433">
        <f>AA9-AC9</f>
        <v>-0.00125711949233568</v>
      </c>
      <c r="AE9" s="560">
        <f>AE8*(1+AA9)</f>
        <v>0.972528360703987</v>
      </c>
      <c r="AF9" s="560">
        <f>AF8*(1+AC9)</f>
        <v>0.975933417374853</v>
      </c>
      <c r="AG9" s="433">
        <f>AE9/MAX(AE$5:AE9)-1</f>
        <v>-0.0274716392960126</v>
      </c>
      <c r="AH9" s="433">
        <f>AF9/MAX(AF$5:AF9)-1</f>
        <v>-0.0240665826251475</v>
      </c>
      <c r="AI9" s="620" t="inlineStr"/>
      <c r="AJ9" s="620" t="inlineStr"/>
      <c r="AK9" s="620" t="inlineStr"/>
      <c r="AL9" s="620" t="inlineStr"/>
      <c r="AM9" s="620" t="inlineStr"/>
      <c r="AN9" s="620" t="inlineStr"/>
      <c r="AO9" s="620" t="inlineStr"/>
      <c r="AP9" s="620" t="inlineStr"/>
      <c r="AQ9" s="629" t="inlineStr"/>
    </row>
    <row r="10">
      <c r="A10" s="525" t="inlineStr">
        <is>
          <t>5-year bond yield at Mar-2021</t>
        </is>
      </c>
      <c r="B10" s="433">
        <f>INDEX('RBA 5Y yield'!$B$5:$B$661,MATCH(B6,'RBA 5Y yield'!$A$5:$A$661,1))</f>
        <v>0.00708</v>
      </c>
      <c r="C10" s="627" t="inlineStr">
        <is>
          <t>RBA F2</t>
        </is>
      </c>
      <c r="N10" s="554">
        <f>Data!A262</f>
        <v>38960.0</v>
      </c>
      <c r="O10" s="433">
        <f>Data!B262/Data!B261-1</f>
        <v>0.0317511691325905</v>
      </c>
      <c r="P10" s="433">
        <f>Data!C262/Data!C261-1</f>
        <v>0.0296616641644893</v>
      </c>
      <c r="Q10" s="433">
        <f>Data!D262/Data!D261-1</f>
        <v>0.0324412561969394</v>
      </c>
      <c r="R10" s="433">
        <f>Data!E262/Data!E261-1</f>
        <v>0.039485454374482</v>
      </c>
      <c r="S10" s="433">
        <f>Data!F262/Data!F261-1</f>
        <v>-0.0693564837619149</v>
      </c>
      <c r="T10" s="433">
        <f>Data!G262/Data!G261-1</f>
        <v>0</v>
      </c>
      <c r="U10" s="433">
        <f>Data!H262/Data!H261-1</f>
        <v>-0.00189999999999935</v>
      </c>
      <c r="V10" s="433">
        <f>Data!I262/Data!I261-1</f>
        <v>0</v>
      </c>
      <c r="W10" s="433">
        <f>Data!J262/Data!J261-1</f>
        <v>0.0105656762180488</v>
      </c>
      <c r="X10" s="433">
        <f>Data!K262/Data!K261-1</f>
        <v>0.015502824858757</v>
      </c>
      <c r="Y10" s="433">
        <f>Data!L262/Data!L261-1</f>
        <v>0.00522718351501528</v>
      </c>
      <c r="Z10" s="433">
        <f>SUMPRODUCT(O10:Y10,Risk!$B$56:$L$56)</f>
        <v>0.0257723261908412</v>
      </c>
      <c r="AA10" s="433">
        <f>Z10-$B$8/12</f>
        <v>0.0256789928575079</v>
      </c>
      <c r="AB10" s="433">
        <f>SUMPRODUCT(O10:Y10,Risk!$B$57:$L$57)</f>
        <v>0.0206910024099493</v>
      </c>
      <c r="AC10" s="433">
        <f>AB10-$B$9/12</f>
        <v>0.0204093357432826</v>
      </c>
      <c r="AD10" s="433">
        <f>AA10-AC10</f>
        <v>0.00526965711422528</v>
      </c>
      <c r="AE10" s="560">
        <f>AE9*(1+AA10)</f>
        <v>0.997501909532229</v>
      </c>
      <c r="AF10" s="560">
        <f>AF9*(1+AC10)</f>
        <v>0.995851570153145</v>
      </c>
      <c r="AG10" s="433">
        <f>AE10/MAX(AE$5:AE10)-1</f>
        <v>-0.00249809046777105</v>
      </c>
      <c r="AH10" s="433">
        <f>AF10/MAX(AF$5:AF10)-1</f>
        <v>-0.00414842984685493</v>
      </c>
      <c r="AI10" s="620" t="inlineStr"/>
      <c r="AJ10" s="620" t="inlineStr"/>
      <c r="AK10" s="620" t="inlineStr"/>
      <c r="AL10" s="620" t="inlineStr"/>
      <c r="AM10" s="620" t="inlineStr"/>
      <c r="AN10" s="620" t="inlineStr"/>
      <c r="AO10" s="620" t="inlineStr"/>
      <c r="AP10" s="620" t="inlineStr"/>
      <c r="AQ10" s="629" t="inlineStr"/>
    </row>
    <row r="11">
      <c r="A11" s="525" t="inlineStr">
        <is>
          <t>5-year bond yield at Mar-2006</t>
        </is>
      </c>
      <c r="B11" s="433">
        <f>INDEX('RBA 5Y yield'!$B$5:$B$661,MATCH(B5,'RBA 5Y yield'!$A$5:$A$661,1))</f>
        <v>0.052976</v>
      </c>
      <c r="C11" s="627" t="inlineStr">
        <is>
          <t>RBA F2</t>
        </is>
      </c>
      <c r="N11" s="554">
        <f>Data!A263</f>
        <v>38989.0</v>
      </c>
      <c r="O11" s="433">
        <f>Data!B263/Data!B262-1</f>
        <v>0.0124810901771701</v>
      </c>
      <c r="P11" s="433">
        <f>Data!C263/Data!C262-1</f>
        <v>0.0421162951955281</v>
      </c>
      <c r="Q11" s="433">
        <f>Data!D263/Data!D262-1</f>
        <v>0.0380510046018425</v>
      </c>
      <c r="R11" s="433">
        <f>Data!E263/Data!E262-1</f>
        <v>0.0516004682142561</v>
      </c>
      <c r="S11" s="433">
        <f>Data!F263/Data!F262-1</f>
        <v>-0.0862438082315324</v>
      </c>
      <c r="T11" s="433">
        <f>Data!G263/Data!G262-1</f>
        <v>0.0212358149654799</v>
      </c>
      <c r="U11" s="433">
        <f>Data!H263/Data!H262-1</f>
        <v>0.0180999999999996</v>
      </c>
      <c r="V11" s="433">
        <f>Data!I263/Data!I262-1</f>
        <v>0.0385902201887332</v>
      </c>
      <c r="W11" s="433">
        <f>Data!J263/Data!J262-1</f>
        <v>0.00840050114846558</v>
      </c>
      <c r="X11" s="433">
        <f>Data!K263/Data!K262-1</f>
        <v>0.0078333630051628</v>
      </c>
      <c r="Y11" s="433">
        <f>Data!L263/Data!L262-1</f>
        <v>0.00510864833977909</v>
      </c>
      <c r="Z11" s="433">
        <f>SUMPRODUCT(O11:Y11,Risk!$B$56:$L$56)</f>
        <v>0.0208200915278667</v>
      </c>
      <c r="AA11" s="433">
        <f>Z11-$B$8/12</f>
        <v>0.0207267581945333</v>
      </c>
      <c r="AB11" s="433">
        <f>SUMPRODUCT(O11:Y11,Risk!$B$57:$L$57)</f>
        <v>0.0212103670351243</v>
      </c>
      <c r="AC11" s="433">
        <f>AB11-$B$9/12</f>
        <v>0.0209287003684576</v>
      </c>
      <c r="AD11" s="433">
        <f>AA11-AC11</f>
        <v>-0.00020194217392425</v>
      </c>
      <c r="AE11" s="560">
        <f>AE10*(1+AA11)</f>
        <v>1.01817689040969</v>
      </c>
      <c r="AF11" s="560">
        <f>AF10*(1+AC11)</f>
        <v>1.01669344927634</v>
      </c>
      <c r="AG11" s="433">
        <f>AE11/MAX(AE$5:AE11)-1</f>
        <v>0</v>
      </c>
      <c r="AH11" s="433">
        <f>AF11/MAX(AF$5:AF11)-1</f>
        <v>0</v>
      </c>
      <c r="AI11" s="620" t="inlineStr"/>
      <c r="AJ11" s="620" t="inlineStr"/>
      <c r="AK11" s="620" t="inlineStr"/>
      <c r="AL11" s="620" t="inlineStr"/>
      <c r="AM11" s="620" t="inlineStr"/>
      <c r="AN11" s="620" t="inlineStr"/>
      <c r="AO11" s="620" t="inlineStr"/>
      <c r="AP11" s="620" t="inlineStr"/>
      <c r="AQ11" s="629" t="inlineStr"/>
    </row>
    <row r="12">
      <c r="A12" s="527" t="inlineStr">
        <is>
          <t>Rebalancing</t>
        </is>
      </c>
      <c r="B12" s="630" t="inlineStr">
        <is>
          <t>Monthly</t>
        </is>
      </c>
      <c r="C12" s="631" t="inlineStr">
        <is>
          <t>Brief</t>
        </is>
      </c>
      <c r="N12" s="554">
        <f>Data!A264</f>
        <v>39021.0</v>
      </c>
      <c r="O12" s="433">
        <f>Data!B264/Data!B263-1</f>
        <v>0.0480463792580104</v>
      </c>
      <c r="P12" s="433">
        <f>Data!C264/Data!C263-1</f>
        <v>-0.00572529619344797</v>
      </c>
      <c r="Q12" s="433">
        <f>Data!D264/Data!D263-1</f>
        <v>-0.00180051074133647</v>
      </c>
      <c r="R12" s="433">
        <f>Data!E264/Data!E263-1</f>
        <v>0.0104158709939219</v>
      </c>
      <c r="S12" s="433">
        <f>Data!F264/Data!F263-1</f>
        <v>-0.0604328107763997</v>
      </c>
      <c r="T12" s="433">
        <f>Data!G264/Data!G263-1</f>
        <v>0</v>
      </c>
      <c r="U12" s="433">
        <f>Data!H264/Data!H263-1</f>
        <v>-0.00560000000000016</v>
      </c>
      <c r="V12" s="433">
        <f>Data!I264/Data!I263-1</f>
        <v>0</v>
      </c>
      <c r="W12" s="433">
        <f>Data!J264/Data!J263-1</f>
        <v>-0.00185122680013194</v>
      </c>
      <c r="X12" s="433">
        <f>Data!K264/Data!K263-1</f>
        <v>0.00596184419713808</v>
      </c>
      <c r="Y12" s="433">
        <f>Data!L264/Data!L263-1</f>
        <v>0.00506486123313898</v>
      </c>
      <c r="Z12" s="433">
        <f>SUMPRODUCT(O12:Y12,Risk!$B$56:$L$56)</f>
        <v>0.0196688833659777</v>
      </c>
      <c r="AA12" s="433">
        <f>Z12-$B$8/12</f>
        <v>0.0195755500326444</v>
      </c>
      <c r="AB12" s="433">
        <f>SUMPRODUCT(O12:Y12,Risk!$B$57:$L$57)</f>
        <v>0.0104845401065424</v>
      </c>
      <c r="AC12" s="433">
        <f>AB12-$B$9/12</f>
        <v>0.0102028734398757</v>
      </c>
      <c r="AD12" s="433">
        <f>AA12-AC12</f>
        <v>0.00937267659276866</v>
      </c>
      <c r="AE12" s="560">
        <f>AE11*(1+AA12)</f>
        <v>1.03810826306999</v>
      </c>
      <c r="AF12" s="560">
        <f>AF11*(1+AC12)</f>
        <v>1.02706664386646</v>
      </c>
      <c r="AG12" s="433">
        <f>AE12/MAX(AE$5:AE12)-1</f>
        <v>0</v>
      </c>
      <c r="AH12" s="433">
        <f>AF12/MAX(AF$5:AF12)-1</f>
        <v>0</v>
      </c>
      <c r="AI12" s="620" t="inlineStr"/>
      <c r="AJ12" s="620" t="inlineStr"/>
      <c r="AK12" s="620" t="inlineStr"/>
      <c r="AL12" s="620" t="inlineStr"/>
      <c r="AM12" s="620" t="inlineStr"/>
      <c r="AN12" s="620" t="inlineStr"/>
      <c r="AO12" s="620" t="inlineStr"/>
      <c r="AP12" s="620" t="inlineStr"/>
      <c r="AQ12" s="629" t="inlineStr"/>
    </row>
    <row r="13">
      <c r="N13" s="554">
        <f>Data!A265</f>
        <v>39051.0</v>
      </c>
      <c r="O13" s="433">
        <f>Data!B265/Data!B264-1</f>
        <v>0.0247590377467841</v>
      </c>
      <c r="P13" s="433">
        <f>Data!C265/Data!C264-1</f>
        <v>-0.00820970795984588</v>
      </c>
      <c r="Q13" s="433">
        <f>Data!D265/Data!D264-1</f>
        <v>0.0444115269894099</v>
      </c>
      <c r="R13" s="433">
        <f>Data!E265/Data!E264-1</f>
        <v>0.0252262012808</v>
      </c>
      <c r="S13" s="433">
        <f>Data!F265/Data!F264-1</f>
        <v>0.0344279665354046</v>
      </c>
      <c r="T13" s="433">
        <f>Data!G265/Data!G264-1</f>
        <v>0</v>
      </c>
      <c r="U13" s="433">
        <f>Data!H265/Data!H264-1</f>
        <v>-0.0122000000000004</v>
      </c>
      <c r="V13" s="433">
        <f>Data!I265/Data!I264-1</f>
        <v>0</v>
      </c>
      <c r="W13" s="433">
        <f>Data!J265/Data!J264-1</f>
        <v>0.00756593482964751</v>
      </c>
      <c r="X13" s="433">
        <f>Data!K265/Data!K264-1</f>
        <v>0.00930681768295361</v>
      </c>
      <c r="Y13" s="433">
        <f>Data!L265/Data!L264-1</f>
        <v>0.00515636664107344</v>
      </c>
      <c r="Z13" s="433">
        <f>SUMPRODUCT(O13:Y13,Risk!$B$56:$L$56)</f>
        <v>0.013024674938783</v>
      </c>
      <c r="AA13" s="433">
        <f>Z13-$B$8/12</f>
        <v>0.0129313416054497</v>
      </c>
      <c r="AB13" s="433">
        <f>SUMPRODUCT(O13:Y13,Risk!$B$57:$L$57)</f>
        <v>0.00987784057688715</v>
      </c>
      <c r="AC13" s="433">
        <f>AB13-$B$9/12</f>
        <v>0.00959617391022048</v>
      </c>
      <c r="AD13" s="433">
        <f>AA13-AC13</f>
        <v>0.00333516769522921</v>
      </c>
      <c r="AE13" s="560">
        <f>AE12*(1+AA13)</f>
        <v>1.05153239564318</v>
      </c>
      <c r="AF13" s="560">
        <f>AF12*(1+AC13)</f>
        <v>1.03692255399838</v>
      </c>
      <c r="AG13" s="433">
        <f>AE13/MAX(AE$5:AE13)-1</f>
        <v>0</v>
      </c>
      <c r="AH13" s="433">
        <f>AF13/MAX(AF$5:AF13)-1</f>
        <v>0</v>
      </c>
      <c r="AI13" s="620" t="inlineStr"/>
      <c r="AJ13" s="620" t="inlineStr"/>
      <c r="AK13" s="620" t="inlineStr"/>
      <c r="AL13" s="620" t="inlineStr"/>
      <c r="AM13" s="620" t="inlineStr"/>
      <c r="AN13" s="620" t="inlineStr"/>
      <c r="AO13" s="620" t="inlineStr"/>
      <c r="AP13" s="620" t="inlineStr"/>
      <c r="AQ13" s="629" t="inlineStr"/>
    </row>
    <row r="14">
      <c r="N14" s="554">
        <f>Data!A266</f>
        <v>39080.0</v>
      </c>
      <c r="O14" s="433">
        <f>Data!B266/Data!B265-1</f>
        <v>0.0361757994939691</v>
      </c>
      <c r="P14" s="433">
        <f>Data!C266/Data!C265-1</f>
        <v>0.0283628116258827</v>
      </c>
      <c r="Q14" s="433">
        <f>Data!D266/Data!D265-1</f>
        <v>0.0412379298876491</v>
      </c>
      <c r="R14" s="433">
        <f>Data!E266/Data!E265-1</f>
        <v>0.0152013140577956</v>
      </c>
      <c r="S14" s="433">
        <f>Data!F266/Data!F265-1</f>
        <v>-0.0697058762792479</v>
      </c>
      <c r="T14" s="433">
        <f>Data!G266/Data!G265-1</f>
        <v>0.0209108354986713</v>
      </c>
      <c r="U14" s="433">
        <f>Data!H266/Data!H265-1</f>
        <v>0.0119000000000002</v>
      </c>
      <c r="V14" s="433">
        <f>Data!I266/Data!I265-1</f>
        <v>0.0973031016396151</v>
      </c>
      <c r="W14" s="433">
        <f>Data!J266/Data!J265-1</f>
        <v>-0.00303494510743774</v>
      </c>
      <c r="X14" s="433">
        <f>Data!K266/Data!K265-1</f>
        <v>-0.00400156583010725</v>
      </c>
      <c r="Y14" s="433">
        <f>Data!L266/Data!L265-1</f>
        <v>0.00533631108312149</v>
      </c>
      <c r="Z14" s="433">
        <f>SUMPRODUCT(O14:Y14,Risk!$B$56:$L$56)</f>
        <v>0.021261188271838</v>
      </c>
      <c r="AA14" s="433">
        <f>Z14-$B$8/12</f>
        <v>0.0211678549385047</v>
      </c>
      <c r="AB14" s="433">
        <f>SUMPRODUCT(O14:Y14,Risk!$B$57:$L$57)</f>
        <v>0.0203747966190569</v>
      </c>
      <c r="AC14" s="433">
        <f>AB14-$B$9/12</f>
        <v>0.0200931299523903</v>
      </c>
      <c r="AD14" s="433">
        <f>AA14-AC14</f>
        <v>0.00107472498611441</v>
      </c>
      <c r="AE14" s="560">
        <f>AE13*(1+AA14)</f>
        <v>1.0737910808573</v>
      </c>
      <c r="AF14" s="560">
        <f>AF13*(1+AC14)</f>
        <v>1.05775757362644</v>
      </c>
      <c r="AG14" s="433">
        <f>AE14/MAX(AE$5:AE14)-1</f>
        <v>0</v>
      </c>
      <c r="AH14" s="433">
        <f>AF14/MAX(AF$5:AF14)-1</f>
        <v>0</v>
      </c>
      <c r="AI14" s="620" t="inlineStr"/>
      <c r="AJ14" s="620" t="inlineStr"/>
      <c r="AK14" s="620" t="inlineStr"/>
      <c r="AL14" s="620" t="inlineStr"/>
      <c r="AM14" s="620" t="inlineStr"/>
      <c r="AN14" s="620" t="inlineStr"/>
      <c r="AO14" s="620" t="inlineStr"/>
      <c r="AP14" s="620" t="inlineStr"/>
      <c r="AQ14" s="629" t="inlineStr"/>
    </row>
    <row r="15">
      <c r="A15" s="426" t="inlineStr">
        <is>
          <t>2. Performance summary (monthly rebalancing, net of fees)</t>
        </is>
      </c>
      <c r="B15" s="427" t="n"/>
      <c r="C15" s="427" t="n"/>
      <c r="D15" s="427" t="n"/>
      <c r="E15" s="427" t="n"/>
      <c r="F15" s="427" t="n"/>
      <c r="G15" s="428" t="n"/>
      <c r="N15" s="554">
        <f>Data!A267</f>
        <v>39113.0</v>
      </c>
      <c r="O15" s="433">
        <f>Data!B267/Data!B266-1</f>
        <v>0.0201408355615762</v>
      </c>
      <c r="P15" s="433">
        <f>Data!C267/Data!C266-1</f>
        <v>0.0360070368185361</v>
      </c>
      <c r="Q15" s="433">
        <f>Data!D267/Data!D266-1</f>
        <v>0.0151188851610005</v>
      </c>
      <c r="R15" s="433">
        <f>Data!E267/Data!E266-1</f>
        <v>0.0898547744384821</v>
      </c>
      <c r="S15" s="433">
        <f>Data!F267/Data!F266-1</f>
        <v>-0.00574333357401124</v>
      </c>
      <c r="T15" s="433">
        <f>Data!G267/Data!G266-1</f>
        <v>0</v>
      </c>
      <c r="U15" s="433">
        <f>Data!H267/Data!H266-1</f>
        <v>0.0162</v>
      </c>
      <c r="V15" s="433">
        <f>Data!I267/Data!I266-1</f>
        <v>0</v>
      </c>
      <c r="W15" s="433">
        <f>Data!J267/Data!J266-1</f>
        <v>0.00467986501501416</v>
      </c>
      <c r="X15" s="433">
        <f>Data!K267/Data!K266-1</f>
        <v>0.000393030263329708</v>
      </c>
      <c r="Y15" s="433">
        <f>Data!L267/Data!L266-1</f>
        <v>0.00548345663068361</v>
      </c>
      <c r="Z15" s="433">
        <f>SUMPRODUCT(O15:Y15,Risk!$B$56:$L$56)</f>
        <v>0.0253604831696523</v>
      </c>
      <c r="AA15" s="433">
        <f>Z15-$B$8/12</f>
        <v>0.0252671498363189</v>
      </c>
      <c r="AB15" s="433">
        <f>SUMPRODUCT(O15:Y15,Risk!$B$57:$L$57)</f>
        <v>0.021654349950875</v>
      </c>
      <c r="AC15" s="433">
        <f>AB15-$B$9/12</f>
        <v>0.0213726832842083</v>
      </c>
      <c r="AD15" s="433">
        <f>AA15-AC15</f>
        <v>0.00389446655211059</v>
      </c>
      <c r="AE15" s="560">
        <f>AE14*(1+AA15)</f>
        <v>1.10092272099022</v>
      </c>
      <c r="AF15" s="560">
        <f>AF14*(1+AC15)</f>
        <v>1.08036469123903</v>
      </c>
      <c r="AG15" s="433">
        <f>AE15/MAX(AE$5:AE15)-1</f>
        <v>0</v>
      </c>
      <c r="AH15" s="433">
        <f>AF15/MAX(AF$5:AF15)-1</f>
        <v>0</v>
      </c>
      <c r="AI15" s="620" t="inlineStr"/>
      <c r="AJ15" s="620" t="inlineStr"/>
      <c r="AK15" s="620" t="inlineStr"/>
      <c r="AL15" s="620" t="inlineStr"/>
      <c r="AM15" s="620" t="inlineStr"/>
      <c r="AN15" s="620" t="inlineStr"/>
      <c r="AO15" s="620" t="inlineStr"/>
      <c r="AP15" s="620" t="inlineStr"/>
      <c r="AQ15" s="629" t="inlineStr"/>
    </row>
    <row r="16" ht="28" customHeight="1">
      <c r="A16" s="429" t="inlineStr">
        <is>
          <t>Measure</t>
        </is>
      </c>
      <c r="B16" s="430" t="inlineStr">
        <is>
          <t>Current: 5 years</t>
        </is>
      </c>
      <c r="C16" s="430" t="inlineStr">
        <is>
          <t>Benchmark: 5 years</t>
        </is>
      </c>
      <c r="D16" s="430" t="inlineStr">
        <is>
          <t>Difference</t>
        </is>
      </c>
      <c r="E16" s="430" t="inlineStr">
        <is>
          <t>Current: 20 years</t>
        </is>
      </c>
      <c r="F16" s="430" t="inlineStr">
        <is>
          <t>Benchmark: 20 years</t>
        </is>
      </c>
      <c r="G16" s="431" t="inlineStr">
        <is>
          <t>Difference</t>
        </is>
      </c>
      <c r="N16" s="554">
        <f>Data!A268</f>
        <v>39141.0</v>
      </c>
      <c r="O16" s="433">
        <f>Data!B268/Data!B267-1</f>
        <v>0.0159286828608876</v>
      </c>
      <c r="P16" s="433">
        <f>Data!C268/Data!C267-1</f>
        <v>-0.0281537767158117</v>
      </c>
      <c r="Q16" s="433">
        <f>Data!D268/Data!D267-1</f>
        <v>-0.0234983096392729</v>
      </c>
      <c r="R16" s="433">
        <f>Data!E268/Data!E267-1</f>
        <v>-0.0251565863835984</v>
      </c>
      <c r="S16" s="433">
        <f>Data!F268/Data!F267-1</f>
        <v>0.0252993359028513</v>
      </c>
      <c r="T16" s="433">
        <f>Data!G268/Data!G267-1</f>
        <v>0</v>
      </c>
      <c r="U16" s="433">
        <f>Data!H268/Data!H267-1</f>
        <v>0.0178000000000003</v>
      </c>
      <c r="V16" s="433">
        <f>Data!I268/Data!I267-1</f>
        <v>0</v>
      </c>
      <c r="W16" s="433">
        <f>Data!J268/Data!J267-1</f>
        <v>0.0119658435909451</v>
      </c>
      <c r="X16" s="433">
        <f>Data!K268/Data!K267-1</f>
        <v>0.0131613410162388</v>
      </c>
      <c r="Y16" s="433">
        <f>Data!L268/Data!L267-1</f>
        <v>0.00491954047059329</v>
      </c>
      <c r="Z16" s="433">
        <f>SUMPRODUCT(O16:Y16,Risk!$B$56:$L$56)</f>
        <v>0.00141721081571525</v>
      </c>
      <c r="AA16" s="433">
        <f>Z16-$B$8/12</f>
        <v>0.00132387748238192</v>
      </c>
      <c r="AB16" s="433">
        <f>SUMPRODUCT(O16:Y16,Risk!$B$57:$L$57)</f>
        <v>-0.000930107485909571</v>
      </c>
      <c r="AC16" s="433">
        <f>AB16-$B$9/12</f>
        <v>-0.00121177415257624</v>
      </c>
      <c r="AD16" s="433">
        <f>AA16-AC16</f>
        <v>0.00253565163495815</v>
      </c>
      <c r="AE16" s="560">
        <f>AE15*(1+AA16)</f>
        <v>1.10238020779038</v>
      </c>
      <c r="AF16" s="560">
        <f>AF15*(1+AC16)</f>
        <v>1.07905553323083</v>
      </c>
      <c r="AG16" s="433">
        <f>AE16/MAX(AE$5:AE16)-1</f>
        <v>0</v>
      </c>
      <c r="AH16" s="433">
        <f>AF16/MAX(AF$5:AF16)-1</f>
        <v>-0.00121177415257623</v>
      </c>
      <c r="AI16" s="620" t="inlineStr"/>
      <c r="AJ16" s="620" t="inlineStr"/>
      <c r="AK16" s="620" t="inlineStr"/>
      <c r="AL16" s="620" t="inlineStr"/>
      <c r="AM16" s="620" t="inlineStr"/>
      <c r="AN16" s="620" t="inlineStr"/>
      <c r="AO16" s="620" t="inlineStr"/>
      <c r="AP16" s="620" t="inlineStr"/>
      <c r="AQ16" s="629" t="inlineStr"/>
    </row>
    <row r="17">
      <c r="A17" s="432" t="inlineStr">
        <is>
          <t>Annualised return, net of fees</t>
        </is>
      </c>
      <c r="B17" s="433">
        <f>(AE245/AE185)^(12/60)-1</f>
        <v>0.069191327325671</v>
      </c>
      <c r="C17" s="433">
        <f>(AF245/AF185)^(12/60)-1</f>
        <v>0.0735285803859276</v>
      </c>
      <c r="D17" s="433">
        <f>B17-C17</f>
        <v>-0.00433725306025656</v>
      </c>
      <c r="E17" s="433">
        <f>(AE245/AE5)^(12/240)-1</f>
        <v>0.0649164616967024</v>
      </c>
      <c r="F17" s="433">
        <f>(AF245/AF5)^(12/240)-1</f>
        <v>0.0651972814314887</v>
      </c>
      <c r="G17" s="434">
        <f>E17-F17</f>
        <v>-0.000280819734786331</v>
      </c>
      <c r="N17" s="554">
        <f>Data!A269</f>
        <v>39171.0</v>
      </c>
      <c r="O17" s="433">
        <f>Data!B269/Data!B268-1</f>
        <v>0.0332573715014137</v>
      </c>
      <c r="P17" s="433">
        <f>Data!C269/Data!C268-1</f>
        <v>-0.00950126174588939</v>
      </c>
      <c r="Q17" s="433">
        <f>Data!D269/Data!D268-1</f>
        <v>0.00736627136008039</v>
      </c>
      <c r="R17" s="433">
        <f>Data!E269/Data!E268-1</f>
        <v>-0.0329934535422581</v>
      </c>
      <c r="S17" s="433">
        <f>Data!F269/Data!F268-1</f>
        <v>0.00691300076142309</v>
      </c>
      <c r="T17" s="433">
        <f>Data!G269/Data!G268-1</f>
        <v>0.0117985432504595</v>
      </c>
      <c r="U17" s="433">
        <f>Data!H269/Data!H268-1</f>
        <v>0.00990000000000024</v>
      </c>
      <c r="V17" s="433">
        <f>Data!I269/Data!I268-1</f>
        <v>0.0279021917773847</v>
      </c>
      <c r="W17" s="433">
        <f>Data!J269/Data!J268-1</f>
        <v>-0.00265494455492588</v>
      </c>
      <c r="X17" s="433">
        <f>Data!K269/Data!K268-1</f>
        <v>0.00053857256726797</v>
      </c>
      <c r="Y17" s="433">
        <f>Data!L269/Data!L268-1</f>
        <v>0.00523582939705536</v>
      </c>
      <c r="Z17" s="433">
        <f>SUMPRODUCT(O17:Y17,Risk!$B$56:$L$56)</f>
        <v>0.00811470307709823</v>
      </c>
      <c r="AA17" s="433">
        <f>Z17-$B$8/12</f>
        <v>0.0080213697437649</v>
      </c>
      <c r="AB17" s="433">
        <f>SUMPRODUCT(O17:Y17,Risk!$B$57:$L$57)</f>
        <v>0.00565236500687882</v>
      </c>
      <c r="AC17" s="433">
        <f>AB17-$B$9/12</f>
        <v>0.00537069834021215</v>
      </c>
      <c r="AD17" s="433">
        <f>AA17-AC17</f>
        <v>0.00265067140355274</v>
      </c>
      <c r="AE17" s="560">
        <f>AE16*(1+AA17)</f>
        <v>1.11122280703528</v>
      </c>
      <c r="AF17" s="560">
        <f>AF16*(1+AC17)</f>
        <v>1.08485081499215</v>
      </c>
      <c r="AG17" s="433">
        <f>AE17/MAX(AE$5:AE17)-1</f>
        <v>0</v>
      </c>
      <c r="AH17" s="433">
        <f>AF17/MAX(AF$5:AF17)-1</f>
        <v>0</v>
      </c>
      <c r="AI17" s="620" t="inlineStr"/>
      <c r="AJ17" s="620" t="inlineStr"/>
      <c r="AK17" s="433">
        <f>AE17/AE5-1</f>
        <v>0.111222807035278</v>
      </c>
      <c r="AL17" s="433">
        <f>AF17/AF5-1</f>
        <v>0.084850814992149</v>
      </c>
      <c r="AM17" s="620" t="inlineStr"/>
      <c r="AN17" s="620" t="inlineStr"/>
      <c r="AO17" s="620" t="inlineStr"/>
      <c r="AP17" s="620" t="inlineStr"/>
      <c r="AQ17" s="629" t="inlineStr"/>
    </row>
    <row r="18">
      <c r="A18" s="432" t="inlineStr">
        <is>
          <t>Annualised return, gross of fees</t>
        </is>
      </c>
      <c r="B18" s="433">
        <f>EXP(SUMPRODUCT(LN(1+Z186:Z245)))^(12/60)-1</f>
        <v>0.0703830990009802</v>
      </c>
      <c r="C18" s="433">
        <f>EXP(SUMPRODUCT(LN(1+AB186:AB245)))^(12/60)-1</f>
        <v>0.0771419481968068</v>
      </c>
      <c r="D18" s="433">
        <f>B18-C18</f>
        <v>-0.00675884919582659</v>
      </c>
      <c r="E18" s="433">
        <f>EXP(SUMPRODUCT(LN(1+Z6:Z245)))^(12/240)-1</f>
        <v>0.0661038864937487</v>
      </c>
      <c r="F18" s="433">
        <f>EXP(SUMPRODUCT(LN(1+AB6:AB245)))^(12/240)-1</f>
        <v>0.0687849684417665</v>
      </c>
      <c r="G18" s="434">
        <f>E18-F18</f>
        <v>-0.00268108194801786</v>
      </c>
      <c r="N18" s="554">
        <f>Data!A270</f>
        <v>39202.0</v>
      </c>
      <c r="O18" s="433">
        <f>Data!B270/Data!B269-1</f>
        <v>0.0304574644072215</v>
      </c>
      <c r="P18" s="433">
        <f>Data!C270/Data!C269-1</f>
        <v>0.00507947431894462</v>
      </c>
      <c r="Q18" s="433">
        <f>Data!D270/Data!D269-1</f>
        <v>0.00502585520452925</v>
      </c>
      <c r="R18" s="433">
        <f>Data!E270/Data!E269-1</f>
        <v>-0.0316485095542978</v>
      </c>
      <c r="S18" s="433">
        <f>Data!F270/Data!F269-1</f>
        <v>-0.0321041263131286</v>
      </c>
      <c r="T18" s="433">
        <f>Data!G270/Data!G269-1</f>
        <v>0</v>
      </c>
      <c r="U18" s="433">
        <f>Data!H270/Data!H269-1</f>
        <v>0.022</v>
      </c>
      <c r="V18" s="433">
        <f>Data!I270/Data!I269-1</f>
        <v>0</v>
      </c>
      <c r="W18" s="433">
        <f>Data!J270/Data!J269-1</f>
        <v>0.00691878724678263</v>
      </c>
      <c r="X18" s="433">
        <f>Data!K270/Data!K269-1</f>
        <v>0.00402635431917986</v>
      </c>
      <c r="Y18" s="433">
        <f>Data!L270/Data!L269-1</f>
        <v>0.00547460072038741</v>
      </c>
      <c r="Z18" s="433">
        <f>SUMPRODUCT(O18:Y18,Risk!$B$56:$L$56)</f>
        <v>0.0117771781542267</v>
      </c>
      <c r="AA18" s="433">
        <f>Z18-$B$8/12</f>
        <v>0.0116838448208933</v>
      </c>
      <c r="AB18" s="433">
        <f>SUMPRODUCT(O18:Y18,Risk!$B$57:$L$57)</f>
        <v>0.00836250461069553</v>
      </c>
      <c r="AC18" s="433">
        <f>AB18-$B$9/12</f>
        <v>0.00808083794402886</v>
      </c>
      <c r="AD18" s="433">
        <f>AA18-AC18</f>
        <v>0.00360300687686447</v>
      </c>
      <c r="AE18" s="560">
        <f>AE17*(1+AA18)</f>
        <v>1.12420616187412</v>
      </c>
      <c r="AF18" s="560">
        <f>AF17*(1+AC18)</f>
        <v>1.09361731862155</v>
      </c>
      <c r="AG18" s="433">
        <f>AE18/MAX(AE$5:AE18)-1</f>
        <v>0</v>
      </c>
      <c r="AH18" s="433">
        <f>AF18/MAX(AF$5:AF18)-1</f>
        <v>0</v>
      </c>
      <c r="AI18" s="620" t="inlineStr"/>
      <c r="AJ18" s="620" t="inlineStr"/>
      <c r="AK18" s="433">
        <f>AE18/AE6-1</f>
        <v>0.135731977952123</v>
      </c>
      <c r="AL18" s="433">
        <f>AF18/AF6-1</f>
        <v>0.108985005705522</v>
      </c>
      <c r="AM18" s="620" t="inlineStr"/>
      <c r="AN18" s="620" t="inlineStr"/>
      <c r="AO18" s="620" t="inlineStr"/>
      <c r="AP18" s="620" t="inlineStr"/>
      <c r="AQ18" s="629" t="inlineStr"/>
    </row>
    <row r="19">
      <c r="A19" s="432" t="inlineStr">
        <is>
          <t>Volatility (annualised)</t>
        </is>
      </c>
      <c r="B19" s="433">
        <f>STDEV(AA186:AA245)*SQRT(12)</f>
        <v>0.0817359050412837</v>
      </c>
      <c r="C19" s="433">
        <f>STDEV(AC186:AC245)*SQRT(12)</f>
        <v>0.0672768481997665</v>
      </c>
      <c r="D19" s="433">
        <f>B19-C19</f>
        <v>0.0144590568415171</v>
      </c>
      <c r="E19" s="433">
        <f>STDEV(AA6:AA245)*SQRT(12)</f>
        <v>0.0829884301987568</v>
      </c>
      <c r="F19" s="433">
        <f>STDEV(AC6:AC245)*SQRT(12)</f>
        <v>0.0678195772690236</v>
      </c>
      <c r="G19" s="434">
        <f>E19-F19</f>
        <v>0.0151688529297332</v>
      </c>
      <c r="N19" s="554">
        <f>Data!A271</f>
        <v>39233.0</v>
      </c>
      <c r="O19" s="433">
        <f>Data!B271/Data!B270-1</f>
        <v>0.0319189389707701</v>
      </c>
      <c r="P19" s="433">
        <f>Data!C271/Data!C270-1</f>
        <v>0.0405883982249053</v>
      </c>
      <c r="Q19" s="433">
        <f>Data!D271/Data!D270-1</f>
        <v>0.0453298395383364</v>
      </c>
      <c r="R19" s="433">
        <f>Data!E271/Data!E270-1</f>
        <v>0.0162754585459837</v>
      </c>
      <c r="S19" s="433">
        <f>Data!F271/Data!F270-1</f>
        <v>-0.00994336538245366</v>
      </c>
      <c r="T19" s="433">
        <f>Data!G271/Data!G270-1</f>
        <v>0</v>
      </c>
      <c r="U19" s="433">
        <f>Data!H271/Data!H270-1</f>
        <v>-0.0105000000000001</v>
      </c>
      <c r="V19" s="433">
        <f>Data!I271/Data!I270-1</f>
        <v>0</v>
      </c>
      <c r="W19" s="433">
        <f>Data!J271/Data!J270-1</f>
        <v>0.00048748025300438</v>
      </c>
      <c r="X19" s="433">
        <f>Data!K271/Data!K270-1</f>
        <v>-0.00598314426025592</v>
      </c>
      <c r="Y19" s="433">
        <f>Data!L271/Data!L270-1</f>
        <v>0.0054018390994186</v>
      </c>
      <c r="Z19" s="433">
        <f>SUMPRODUCT(O19:Y19,Risk!$B$56:$L$56)</f>
        <v>0.022485400321977</v>
      </c>
      <c r="AA19" s="433">
        <f>Z19-$B$8/12</f>
        <v>0.0223920669886436</v>
      </c>
      <c r="AB19" s="433">
        <f>SUMPRODUCT(O19:Y19,Risk!$B$57:$L$57)</f>
        <v>0.0192784168331647</v>
      </c>
      <c r="AC19" s="433">
        <f>AB19-$B$9/12</f>
        <v>0.018996750166498</v>
      </c>
      <c r="AD19" s="433">
        <f>AA19-AC19</f>
        <v>0.0033953168221456</v>
      </c>
      <c r="AE19" s="560">
        <f>AE18*(1+AA19)</f>
        <v>1.14937946155985</v>
      </c>
      <c r="AF19" s="560">
        <f>AF18*(1+AC19)</f>
        <v>1.11439249360116</v>
      </c>
      <c r="AG19" s="433">
        <f>AE19/MAX(AE$5:AE19)-1</f>
        <v>0</v>
      </c>
      <c r="AH19" s="433">
        <f>AF19/MAX(AF$5:AF19)-1</f>
        <v>0</v>
      </c>
      <c r="AI19" s="620" t="inlineStr"/>
      <c r="AJ19" s="620" t="inlineStr"/>
      <c r="AK19" s="433">
        <f>AE19/AE7-1</f>
        <v>0.19182712704183</v>
      </c>
      <c r="AL19" s="433">
        <f>AF19/AF7-1</f>
        <v>0.15546195911196</v>
      </c>
      <c r="AM19" s="620" t="inlineStr"/>
      <c r="AN19" s="620" t="inlineStr"/>
      <c r="AO19" s="620" t="inlineStr"/>
      <c r="AP19" s="620" t="inlineStr"/>
      <c r="AQ19" s="629" t="inlineStr"/>
    </row>
    <row r="20">
      <c r="A20" s="432" t="inlineStr">
        <is>
          <t>Sharpe ratio (excess over bank bills)</t>
        </is>
      </c>
      <c r="B20" s="435">
        <f>(((AE245/AE185)^(12/60)-1)-(EXP(SUMPRODUCT(LN(1+Y186:Y245)))^(12/60)-1))/(STDEV(AA186:AA245)*SQRT(12))</f>
        <v>0.492801088141523</v>
      </c>
      <c r="C20" s="435">
        <f>(((AF245/AF185)^(12/60)-1)-(EXP(SUMPRODUCT(LN(1+Y186:Y245)))^(12/60)-1))/(STDEV(AC186:AC245)*SQRT(12))</f>
        <v>0.663182018758545</v>
      </c>
      <c r="D20" s="435">
        <f>B20-C20</f>
        <v>-0.170380930617022</v>
      </c>
      <c r="E20" s="435">
        <f>(((AE245/AE5)^(12/240)-1)-(EXP(SUMPRODUCT(LN(1+Y6:Y245)))^(12/240)-1))/(STDEV(AA6:AA245)*SQRT(12))</f>
        <v>0.383876549668814</v>
      </c>
      <c r="F20" s="435">
        <f>(((AF245/AF5)^(12/240)-1)-(EXP(SUMPRODUCT(LN(1+Y6:Y245)))^(12/240)-1))/(STDEV(AC6:AC245)*SQRT(12))</f>
        <v>0.473876913954097</v>
      </c>
      <c r="G20" s="436">
        <f>E20-F20</f>
        <v>-0.0900003642852828</v>
      </c>
      <c r="N20" s="554">
        <f>Data!A272</f>
        <v>39262.0</v>
      </c>
      <c r="O20" s="433">
        <f>Data!B272/Data!B271-1</f>
        <v>-0.000675436124632056</v>
      </c>
      <c r="P20" s="433">
        <f>Data!C272/Data!C271-1</f>
        <v>-0.0336062588657867</v>
      </c>
      <c r="Q20" s="433">
        <f>Data!D272/Data!D271-1</f>
        <v>0.0210183122751917</v>
      </c>
      <c r="R20" s="433">
        <f>Data!E272/Data!E271-1</f>
        <v>-0.105525419605906</v>
      </c>
      <c r="S20" s="433">
        <f>Data!F272/Data!F271-1</f>
        <v>0.00696682060853981</v>
      </c>
      <c r="T20" s="433">
        <f>Data!G272/Data!G271-1</f>
        <v>0.0478542963447988</v>
      </c>
      <c r="U20" s="433">
        <f>Data!H272/Data!H271-1</f>
        <v>0.0222</v>
      </c>
      <c r="V20" s="433">
        <f>Data!I272/Data!I271-1</f>
        <v>0.0940059318206783</v>
      </c>
      <c r="W20" s="433">
        <f>Data!J272/Data!J271-1</f>
        <v>-0.004506489830577</v>
      </c>
      <c r="X20" s="433">
        <f>Data!K272/Data!K271-1</f>
        <v>-0.00271832930617877</v>
      </c>
      <c r="Y20" s="433">
        <f>Data!L272/Data!L271-1</f>
        <v>0.0051848358078368</v>
      </c>
      <c r="Z20" s="433">
        <f>SUMPRODUCT(O20:Y20,Risk!$B$56:$L$56)</f>
        <v>-0.0180744694961331</v>
      </c>
      <c r="AA20" s="433">
        <f>Z20-$B$8/12</f>
        <v>-0.0181678028294664</v>
      </c>
      <c r="AB20" s="433">
        <f>SUMPRODUCT(O20:Y20,Risk!$B$57:$L$57)</f>
        <v>-0.00974674170479876</v>
      </c>
      <c r="AC20" s="433">
        <f>AB20-$B$9/12</f>
        <v>-0.0100284083714654</v>
      </c>
      <c r="AD20" s="433">
        <f>AA20-AC20</f>
        <v>-0.00813939445800096</v>
      </c>
      <c r="AE20" s="560">
        <f>AE19*(1+AA20)</f>
        <v>1.12849776212599</v>
      </c>
      <c r="AF20" s="560">
        <f>AF19*(1+AC20)</f>
        <v>1.10321691058923</v>
      </c>
      <c r="AG20" s="433">
        <f>AE20/MAX(AE$5:AE20)-1</f>
        <v>-0.0181678028294665</v>
      </c>
      <c r="AH20" s="433">
        <f>AF20/MAX(AF$5:AF20)-1</f>
        <v>-0.0100284083714653</v>
      </c>
      <c r="AI20" s="620" t="inlineStr"/>
      <c r="AJ20" s="620" t="inlineStr"/>
      <c r="AK20" s="433">
        <f>AE20/AE8-1</f>
        <v>0.14938133978854</v>
      </c>
      <c r="AL20" s="433">
        <f>AF20/AF8-1</f>
        <v>0.121133342667914</v>
      </c>
      <c r="AM20" s="620" t="inlineStr"/>
      <c r="AN20" s="620" t="inlineStr"/>
      <c r="AO20" s="620" t="inlineStr"/>
      <c r="AP20" s="620" t="inlineStr"/>
      <c r="AQ20" s="629" t="inlineStr"/>
    </row>
    <row r="21">
      <c r="A21" s="432" t="inlineStr">
        <is>
          <t>Tracking error</t>
        </is>
      </c>
      <c r="B21" s="433">
        <f>STDEV(AD186:AD245)*SQRT(12)</f>
        <v>0.0204963799178002</v>
      </c>
      <c r="C21" s="433" t="n"/>
      <c r="D21" s="433" t="n"/>
      <c r="E21" s="433">
        <f>STDEV(AD6:AD245)*SQRT(12)</f>
        <v>0.0207977825584972</v>
      </c>
      <c r="F21" s="433" t="n"/>
      <c r="G21" s="434" t="n"/>
      <c r="N21" s="554">
        <f>Data!A273</f>
        <v>39294.0</v>
      </c>
      <c r="O21" s="433">
        <f>Data!B273/Data!B272-1</f>
        <v>-0.0194286310142147</v>
      </c>
      <c r="P21" s="433">
        <f>Data!C273/Data!C272-1</f>
        <v>-0.0398690866564807</v>
      </c>
      <c r="Q21" s="433">
        <f>Data!D273/Data!D272-1</f>
        <v>0.0382680676018599</v>
      </c>
      <c r="R21" s="433">
        <f>Data!E273/Data!E272-1</f>
        <v>-0.0789004517850451</v>
      </c>
      <c r="S21" s="433">
        <f>Data!F273/Data!F272-1</f>
        <v>0.0451123425171338</v>
      </c>
      <c r="T21" s="433">
        <f>Data!G273/Data!G272-1</f>
        <v>0</v>
      </c>
      <c r="U21" s="433">
        <f>Data!H273/Data!H272-1</f>
        <v>0.0332999999999999</v>
      </c>
      <c r="V21" s="433">
        <f>Data!I273/Data!I272-1</f>
        <v>0</v>
      </c>
      <c r="W21" s="433">
        <f>Data!J273/Data!J272-1</f>
        <v>0.00669183636581505</v>
      </c>
      <c r="X21" s="433">
        <f>Data!K273/Data!K272-1</f>
        <v>0.0108596893523121</v>
      </c>
      <c r="Y21" s="433">
        <f>Data!L273/Data!L272-1</f>
        <v>0.00525159724040347</v>
      </c>
      <c r="Z21" s="433">
        <f>SUMPRODUCT(O21:Y21,Risk!$B$56:$L$56)</f>
        <v>-0.0213951525056011</v>
      </c>
      <c r="AA21" s="433">
        <f>Z21-$B$8/12</f>
        <v>-0.0214884858389344</v>
      </c>
      <c r="AB21" s="433">
        <f>SUMPRODUCT(O21:Y21,Risk!$B$57:$L$57)</f>
        <v>-0.0146105104604832</v>
      </c>
      <c r="AC21" s="433">
        <f>AB21-$B$9/12</f>
        <v>-0.0148921771271499</v>
      </c>
      <c r="AD21" s="433">
        <f>AA21-AC21</f>
        <v>-0.00659630871178454</v>
      </c>
      <c r="AE21" s="560">
        <f>AE20*(1+AA21)</f>
        <v>1.10424805394528</v>
      </c>
      <c r="AF21" s="560">
        <f>AF20*(1+AC21)</f>
        <v>1.08678760894707</v>
      </c>
      <c r="AG21" s="433">
        <f>AE21/MAX(AE$5:AE21)-1</f>
        <v>-0.0392658900945753</v>
      </c>
      <c r="AH21" s="433">
        <f>AF21/MAX(AF$5:AF21)-1</f>
        <v>-0.024771240664844</v>
      </c>
      <c r="AI21" s="620" t="inlineStr"/>
      <c r="AJ21" s="620" t="inlineStr"/>
      <c r="AK21" s="433">
        <f>AE21/AE9-1</f>
        <v>0.135440464837385</v>
      </c>
      <c r="AL21" s="433">
        <f>AF21/AF9-1</f>
        <v>0.113587863268787</v>
      </c>
      <c r="AM21" s="620" t="inlineStr"/>
      <c r="AN21" s="620" t="inlineStr"/>
      <c r="AO21" s="620" t="inlineStr"/>
      <c r="AP21" s="620" t="inlineStr"/>
      <c r="AQ21" s="629" t="inlineStr"/>
    </row>
    <row r="22">
      <c r="A22" s="432" t="inlineStr">
        <is>
          <t>Information ratio</t>
        </is>
      </c>
      <c r="B22" s="435">
        <f>(((AE245/AE185)^(12/60)-1)-((AF245/AF185)^(12/60)-1))/(STDEV(AD186:AD245)*SQRT(12))</f>
        <v>-0.211610688211816</v>
      </c>
      <c r="C22" s="435" t="n"/>
      <c r="D22" s="435" t="n"/>
      <c r="E22" s="435">
        <f>(((AE245/AE5)^(12/240)-1)-((AF245/AF5)^(12/240)-1))/(STDEV(AD6:AD245)*SQRT(12))</f>
        <v>-0.0135023882472316</v>
      </c>
      <c r="F22" s="435" t="n"/>
      <c r="G22" s="436" t="n"/>
      <c r="N22" s="554">
        <f>Data!A274</f>
        <v>39325.0</v>
      </c>
      <c r="O22" s="433">
        <f>Data!B274/Data!B273-1</f>
        <v>0.0169746390444394</v>
      </c>
      <c r="P22" s="433">
        <f>Data!C274/Data!C273-1</f>
        <v>0.0530799046350701</v>
      </c>
      <c r="Q22" s="433">
        <f>Data!D274/Data!D273-1</f>
        <v>0.0434303327155048</v>
      </c>
      <c r="R22" s="433">
        <f>Data!E274/Data!E273-1</f>
        <v>0.106402944832621</v>
      </c>
      <c r="S22" s="433">
        <f>Data!F274/Data!F273-1</f>
        <v>0.00906773595793098</v>
      </c>
      <c r="T22" s="433">
        <f>Data!G274/Data!G273-1</f>
        <v>0</v>
      </c>
      <c r="U22" s="433">
        <f>Data!H274/Data!H273-1</f>
        <v>0.00510000000000033</v>
      </c>
      <c r="V22" s="433">
        <f>Data!I274/Data!I273-1</f>
        <v>0</v>
      </c>
      <c r="W22" s="433">
        <f>Data!J274/Data!J273-1</f>
        <v>0.00858002848577533</v>
      </c>
      <c r="X22" s="433">
        <f>Data!K274/Data!K273-1</f>
        <v>0.012818866632426</v>
      </c>
      <c r="Y22" s="433">
        <f>Data!L274/Data!L273-1</f>
        <v>0.00530703156313894</v>
      </c>
      <c r="Z22" s="433">
        <f>SUMPRODUCT(O22:Y22,Risk!$B$56:$L$56)</f>
        <v>0.030730136840932</v>
      </c>
      <c r="AA22" s="433">
        <f>Z22-$B$8/12</f>
        <v>0.0306368035075987</v>
      </c>
      <c r="AB22" s="433">
        <f>SUMPRODUCT(O22:Y22,Risk!$B$57:$L$57)</f>
        <v>0.0288387979769035</v>
      </c>
      <c r="AC22" s="433">
        <f>AB22-$B$9/12</f>
        <v>0.0285571313102368</v>
      </c>
      <c r="AD22" s="433">
        <f>AA22-AC22</f>
        <v>0.00207967219736183</v>
      </c>
      <c r="AE22" s="560">
        <f>AE21*(1+AA22)</f>
        <v>1.13807868459765</v>
      </c>
      <c r="AF22" s="560">
        <f>AF21*(1+AC22)</f>
        <v>1.11782314540211</v>
      </c>
      <c r="AG22" s="433">
        <f>AE22/MAX(AE$5:AE22)-1</f>
        <v>-0.00983206794635516</v>
      </c>
      <c r="AH22" s="433">
        <f>AF22/MAX(AF$5:AF22)-1</f>
        <v>0</v>
      </c>
      <c r="AI22" s="620" t="inlineStr"/>
      <c r="AJ22" s="620" t="inlineStr"/>
      <c r="AK22" s="433">
        <f>AE22/AE10-1</f>
        <v>0.140928828027346</v>
      </c>
      <c r="AL22" s="433">
        <f>AF22/AF10-1</f>
        <v>0.122479673582485</v>
      </c>
      <c r="AM22" s="620" t="inlineStr"/>
      <c r="AN22" s="620" t="inlineStr"/>
      <c r="AO22" s="620" t="inlineStr"/>
      <c r="AP22" s="620" t="inlineStr"/>
      <c r="AQ22" s="629" t="inlineStr"/>
    </row>
    <row r="23">
      <c r="A23" s="432" t="inlineStr">
        <is>
          <t>Beta to benchmark</t>
        </is>
      </c>
      <c r="B23" s="435">
        <f>SLOPE(AA186:AA245,AC186:AC245)</f>
        <v>1.19160577599417</v>
      </c>
      <c r="C23" s="435" t="n">
        <v>1</v>
      </c>
      <c r="D23" s="435" t="n"/>
      <c r="E23" s="435">
        <f>SLOPE(AA6:AA245,AC6:AC245)</f>
        <v>1.20165656251097</v>
      </c>
      <c r="F23" s="435" t="n">
        <v>1</v>
      </c>
      <c r="G23" s="436" t="n"/>
      <c r="N23" s="554">
        <f>Data!A275</f>
        <v>39353.0</v>
      </c>
      <c r="O23" s="433">
        <f>Data!B275/Data!B274-1</f>
        <v>0.0577713866658425</v>
      </c>
      <c r="P23" s="433">
        <f>Data!C275/Data!C274-1</f>
        <v>-0.0528104133988561</v>
      </c>
      <c r="Q23" s="433">
        <f>Data!D275/Data!D274-1</f>
        <v>-0.00346253552171971</v>
      </c>
      <c r="R23" s="433">
        <f>Data!E275/Data!E274-1</f>
        <v>-0.058972449372649</v>
      </c>
      <c r="S23" s="433">
        <f>Data!F275/Data!F274-1</f>
        <v>0.0133252871642018</v>
      </c>
      <c r="T23" s="433">
        <f>Data!G275/Data!G274-1</f>
        <v>0.0387787189717639</v>
      </c>
      <c r="U23" s="433">
        <f>Data!H275/Data!H274-1</f>
        <v>0.0203</v>
      </c>
      <c r="V23" s="433">
        <f>Data!I275/Data!I274-1</f>
        <v>-0.0301005210134659</v>
      </c>
      <c r="W23" s="433">
        <f>Data!J275/Data!J274-1</f>
        <v>-0.000486059299234509</v>
      </c>
      <c r="X23" s="433">
        <f>Data!K275/Data!K274-1</f>
        <v>0.00528239694043564</v>
      </c>
      <c r="Y23" s="433">
        <f>Data!L275/Data!L274-1</f>
        <v>0.0057265039222516</v>
      </c>
      <c r="Z23" s="433">
        <f>SUMPRODUCT(O23:Y23,Risk!$B$56:$L$56)</f>
        <v>0.00739976518420816</v>
      </c>
      <c r="AA23" s="433">
        <f>Z23-$B$8/12</f>
        <v>0.00730643185087483</v>
      </c>
      <c r="AB23" s="433">
        <f>SUMPRODUCT(O23:Y23,Risk!$B$57:$L$57)</f>
        <v>0.000132636469689031</v>
      </c>
      <c r="AC23" s="433">
        <f>AB23-$B$9/12</f>
        <v>-0.000149030196977635</v>
      </c>
      <c r="AD23" s="433">
        <f>AA23-AC23</f>
        <v>0.00745546204785247</v>
      </c>
      <c r="AE23" s="560">
        <f>AE22*(1+AA23)</f>
        <v>1.14639397894759</v>
      </c>
      <c r="AF23" s="560">
        <f>AF22*(1+AC23)</f>
        <v>1.11765655599856</v>
      </c>
      <c r="AG23" s="433">
        <f>AE23/MAX(AE$5:AE23)-1</f>
        <v>-0.00259747342988348</v>
      </c>
      <c r="AH23" s="433">
        <f>AF23/MAX(AF$5:AF23)-1</f>
        <v>-0.000149030196977651</v>
      </c>
      <c r="AI23" s="620" t="inlineStr"/>
      <c r="AJ23" s="620" t="inlineStr"/>
      <c r="AK23" s="433">
        <f>AE23/AE11-1</f>
        <v>0.12592810713501</v>
      </c>
      <c r="AL23" s="433">
        <f>AF23/AF11-1</f>
        <v>0.0993053577694307</v>
      </c>
      <c r="AM23" s="620" t="inlineStr"/>
      <c r="AN23" s="620" t="inlineStr"/>
      <c r="AO23" s="620" t="inlineStr"/>
      <c r="AP23" s="620" t="inlineStr"/>
      <c r="AQ23" s="629" t="inlineStr"/>
    </row>
    <row r="24">
      <c r="A24" s="432" t="inlineStr">
        <is>
          <t>Maximum drawdown</t>
        </is>
      </c>
      <c r="B24" s="433">
        <f>MIN(AI186:AI245)</f>
        <v>-0.108004856530513</v>
      </c>
      <c r="C24" s="433">
        <f>MIN(AJ186:AJ245)</f>
        <v>-0.0938540578882159</v>
      </c>
      <c r="D24" s="433">
        <f>B24-C24</f>
        <v>-0.0141507986422974</v>
      </c>
      <c r="E24" s="433">
        <f>MIN(AG6:AG245)</f>
        <v>-0.289073641654891</v>
      </c>
      <c r="F24" s="433">
        <f>MIN(AH6:AH245)</f>
        <v>-0.228415546966604</v>
      </c>
      <c r="G24" s="434">
        <f>E24-F24</f>
        <v>-0.0606580946882872</v>
      </c>
      <c r="N24" s="554">
        <f>Data!A276</f>
        <v>39386.0</v>
      </c>
      <c r="O24" s="433">
        <f>Data!B276/Data!B275-1</f>
        <v>0.0307319349568229</v>
      </c>
      <c r="P24" s="433">
        <f>Data!C276/Data!C275-1</f>
        <v>-0.024432167686893</v>
      </c>
      <c r="Q24" s="433">
        <f>Data!D276/Data!D275-1</f>
        <v>0.0404628052064997</v>
      </c>
      <c r="R24" s="433">
        <f>Data!E276/Data!E275-1</f>
        <v>-0.046969258090222</v>
      </c>
      <c r="S24" s="433">
        <f>Data!F276/Data!F275-1</f>
        <v>0.0466323378389142</v>
      </c>
      <c r="T24" s="433">
        <f>Data!G276/Data!G275-1</f>
        <v>0</v>
      </c>
      <c r="U24" s="433">
        <f>Data!H276/Data!H275-1</f>
        <v>0.0217999999999998</v>
      </c>
      <c r="V24" s="433">
        <f>Data!I276/Data!I275-1</f>
        <v>0</v>
      </c>
      <c r="W24" s="433">
        <f>Data!J276/Data!J275-1</f>
        <v>-0.000392238480996343</v>
      </c>
      <c r="X24" s="433">
        <f>Data!K276/Data!K275-1</f>
        <v>0.0095634445215127</v>
      </c>
      <c r="Y24" s="433">
        <f>Data!L276/Data!L275-1</f>
        <v>0.00573069736866327</v>
      </c>
      <c r="Z24" s="433">
        <f>SUMPRODUCT(O24:Y24,Risk!$B$56:$L$56)</f>
        <v>0.00381680324170635</v>
      </c>
      <c r="AA24" s="433">
        <f>Z24-$B$8/12</f>
        <v>0.00372346990837302</v>
      </c>
      <c r="AB24" s="433">
        <f>SUMPRODUCT(O24:Y24,Risk!$B$57:$L$57)</f>
        <v>0.00250093277209593</v>
      </c>
      <c r="AC24" s="433">
        <f>AB24-$B$9/12</f>
        <v>0.00221926610542927</v>
      </c>
      <c r="AD24" s="433">
        <f>AA24-AC24</f>
        <v>0.00150420380294375</v>
      </c>
      <c r="AE24" s="560">
        <f>AE23*(1+AA24)</f>
        <v>1.15066254243134</v>
      </c>
      <c r="AF24" s="560">
        <f>AF23*(1+AC24)</f>
        <v>1.1201369333108</v>
      </c>
      <c r="AG24" s="433">
        <f>AE24/MAX(AE$5:AE24)-1</f>
        <v>0</v>
      </c>
      <c r="AH24" s="433">
        <f>AF24/MAX(AF$5:AF24)-1</f>
        <v>0</v>
      </c>
      <c r="AI24" s="620" t="inlineStr"/>
      <c r="AJ24" s="620" t="inlineStr"/>
      <c r="AK24" s="433">
        <f>AE24/AE12-1</f>
        <v>0.108422486714922</v>
      </c>
      <c r="AL24" s="433">
        <f>AF24/AF12-1</f>
        <v>0.090617575792332</v>
      </c>
      <c r="AM24" s="620" t="inlineStr"/>
      <c r="AN24" s="620" t="inlineStr"/>
      <c r="AO24" s="620" t="inlineStr"/>
      <c r="AP24" s="620" t="inlineStr"/>
      <c r="AQ24" s="629" t="inlineStr"/>
    </row>
    <row r="25">
      <c r="A25" s="432" t="inlineStr">
        <is>
          <t>Worst 12-month return</t>
        </is>
      </c>
      <c r="B25" s="433">
        <f>MIN(AK197:AK245)</f>
        <v>-0.0759958552418232</v>
      </c>
      <c r="C25" s="433">
        <f>MIN(AL197:AL245)</f>
        <v>-0.0669459708060377</v>
      </c>
      <c r="D25" s="433">
        <f>B25-C25</f>
        <v>-0.00904988443578547</v>
      </c>
      <c r="E25" s="433">
        <f>MIN(AK17:AK245)</f>
        <v>-0.222383657529686</v>
      </c>
      <c r="F25" s="433">
        <f>MIN(AL17:AL245)</f>
        <v>-0.175726036253738</v>
      </c>
      <c r="G25" s="434">
        <f>E25-F25</f>
        <v>-0.0466576212759479</v>
      </c>
      <c r="N25" s="554">
        <f>Data!A277</f>
        <v>39416.0</v>
      </c>
      <c r="O25" s="433">
        <f>Data!B277/Data!B276-1</f>
        <v>-0.0235458453044155</v>
      </c>
      <c r="P25" s="433">
        <f>Data!C277/Data!C276-1</f>
        <v>0.00340515901315341</v>
      </c>
      <c r="Q25" s="433">
        <f>Data!D277/Data!D276-1</f>
        <v>-0.0166125110017122</v>
      </c>
      <c r="R25" s="433">
        <f>Data!E277/Data!E276-1</f>
        <v>-0.0360885105160643</v>
      </c>
      <c r="S25" s="433">
        <f>Data!F277/Data!F276-1</f>
        <v>0.00914242301813406</v>
      </c>
      <c r="T25" s="433">
        <f>Data!G277/Data!G276-1</f>
        <v>0</v>
      </c>
      <c r="U25" s="433">
        <f>Data!H277/Data!H276-1</f>
        <v>-0.0137999999999999</v>
      </c>
      <c r="V25" s="433">
        <f>Data!I277/Data!I276-1</f>
        <v>0</v>
      </c>
      <c r="W25" s="433">
        <f>Data!J277/Data!J276-1</f>
        <v>0.00456056056056053</v>
      </c>
      <c r="X25" s="433">
        <f>Data!K277/Data!K276-1</f>
        <v>0.0132619920053296</v>
      </c>
      <c r="Y25" s="433">
        <f>Data!L277/Data!L276-1</f>
        <v>0.0055699789940773</v>
      </c>
      <c r="Z25" s="433">
        <f>SUMPRODUCT(O25:Y25,Risk!$B$56:$L$56)</f>
        <v>-0.0102112153966461</v>
      </c>
      <c r="AA25" s="433">
        <f>Z25-$B$8/12</f>
        <v>-0.0103045487299794</v>
      </c>
      <c r="AB25" s="433">
        <f>SUMPRODUCT(O25:Y25,Risk!$B$57:$L$57)</f>
        <v>-0.00606054879987319</v>
      </c>
      <c r="AC25" s="433">
        <f>AB25-$B$9/12</f>
        <v>-0.00634221546653986</v>
      </c>
      <c r="AD25" s="433">
        <f>AA25-AC25</f>
        <v>-0.00396233326343957</v>
      </c>
      <c r="AE25" s="560">
        <f>AE24*(1+AA25)</f>
        <v>1.1388054841911</v>
      </c>
      <c r="AF25" s="560">
        <f>AF24*(1+AC25)</f>
        <v>1.11303278352771</v>
      </c>
      <c r="AG25" s="433">
        <f>AE25/MAX(AE$5:AE25)-1</f>
        <v>-0.0103045487299794</v>
      </c>
      <c r="AH25" s="433">
        <f>AF25/MAX(AF$5:AF25)-1</f>
        <v>-0.0063422154665399</v>
      </c>
      <c r="AI25" s="620" t="inlineStr"/>
      <c r="AJ25" s="620" t="inlineStr"/>
      <c r="AK25" s="433">
        <f>AE25/AE13-1</f>
        <v>0.082996100652259</v>
      </c>
      <c r="AL25" s="433">
        <f>AF25/AF13-1</f>
        <v>0.0734001100042114</v>
      </c>
      <c r="AM25" s="620" t="inlineStr"/>
      <c r="AN25" s="620" t="inlineStr"/>
      <c r="AO25" s="620" t="inlineStr"/>
      <c r="AP25" s="620" t="inlineStr"/>
      <c r="AQ25" s="629" t="inlineStr"/>
    </row>
    <row r="26">
      <c r="A26" s="432" t="inlineStr">
        <is>
          <t>Up-market capture</t>
        </is>
      </c>
      <c r="B26" s="435">
        <f>AVERAGEIFS(AA186:AA245,AC186:AC245,"&gt;0")/AVERAGEIFS(AC186:AC245,AC186:AC245,"&gt;0")</f>
        <v>1.08894291514551</v>
      </c>
      <c r="C26" s="435" t="n">
        <v>1</v>
      </c>
      <c r="D26" s="435" t="n"/>
      <c r="E26" s="435">
        <f>AVERAGEIFS(AA6:AA245,AC6:AC245,"&gt;0")/AVERAGEIFS(AC6:AC245,AC6:AC245,"&gt;0")</f>
        <v>1.13097357729551</v>
      </c>
      <c r="F26" s="435" t="n">
        <v>1</v>
      </c>
      <c r="G26" s="436" t="n"/>
      <c r="N26" s="554">
        <f>Data!A278</f>
        <v>39447.0</v>
      </c>
      <c r="O26" s="433">
        <f>Data!B278/Data!B277-1</f>
        <v>-0.023623098360279</v>
      </c>
      <c r="P26" s="433">
        <f>Data!C278/Data!C277-1</f>
        <v>-0.000636749757028876</v>
      </c>
      <c r="Q26" s="433">
        <f>Data!D278/Data!D277-1</f>
        <v>0.0135352480763928</v>
      </c>
      <c r="R26" s="433">
        <f>Data!E278/Data!E277-1</f>
        <v>-0.0341196458576137</v>
      </c>
      <c r="S26" s="433">
        <f>Data!F278/Data!F277-1</f>
        <v>0.065301347506461</v>
      </c>
      <c r="T26" s="433">
        <f>Data!G278/Data!G277-1</f>
        <v>0.0410009233199908</v>
      </c>
      <c r="U26" s="433">
        <f>Data!H278/Data!H277-1</f>
        <v>-0.00239999999999974</v>
      </c>
      <c r="V26" s="433">
        <f>Data!I278/Data!I277-1</f>
        <v>0.0493932248231437</v>
      </c>
      <c r="W26" s="433">
        <f>Data!J278/Data!J277-1</f>
        <v>-0.00161226677933279</v>
      </c>
      <c r="X26" s="433">
        <f>Data!K278/Data!K277-1</f>
        <v>0.00336970145267057</v>
      </c>
      <c r="Y26" s="433">
        <f>Data!L278/Data!L277-1</f>
        <v>0.00603035355139214</v>
      </c>
      <c r="Z26" s="433">
        <f>SUMPRODUCT(O26:Y26,Risk!$B$56:$L$56)</f>
        <v>-0.0125386930333676</v>
      </c>
      <c r="AA26" s="433">
        <f>Z26-$B$8/12</f>
        <v>-0.0126320263667009</v>
      </c>
      <c r="AB26" s="433">
        <f>SUMPRODUCT(O26:Y26,Risk!$B$57:$L$57)</f>
        <v>-0.00294918202144584</v>
      </c>
      <c r="AC26" s="433">
        <f>AB26-$B$9/12</f>
        <v>-0.0032308486881125</v>
      </c>
      <c r="AD26" s="433">
        <f>AA26-AC26</f>
        <v>-0.0094011776785884</v>
      </c>
      <c r="AE26" s="560">
        <f>AE25*(1+AA26)</f>
        <v>1.12442006328825</v>
      </c>
      <c r="AF26" s="560">
        <f>AF25*(1+AC26)</f>
        <v>1.10943674301923</v>
      </c>
      <c r="AG26" s="433">
        <f>AE26/MAX(AE$5:AE26)-1</f>
        <v>-0.0228064077654263</v>
      </c>
      <c r="AH26" s="433">
        <f>AF26/MAX(AF$5:AF26)-1</f>
        <v>-0.00955257341613269</v>
      </c>
      <c r="AI26" s="620" t="inlineStr"/>
      <c r="AJ26" s="620" t="inlineStr"/>
      <c r="AK26" s="433">
        <f>AE26/AE14-1</f>
        <v>0.0471497513189743</v>
      </c>
      <c r="AL26" s="433">
        <f>AF26/AF14-1</f>
        <v>0.0488572908210059</v>
      </c>
      <c r="AM26" s="620" t="inlineStr"/>
      <c r="AN26" s="620" t="inlineStr"/>
      <c r="AO26" s="620" t="inlineStr"/>
      <c r="AP26" s="620" t="inlineStr"/>
      <c r="AQ26" s="629" t="inlineStr"/>
    </row>
    <row r="27">
      <c r="A27" s="432" t="inlineStr">
        <is>
          <t>Down-market capture</t>
        </is>
      </c>
      <c r="B27" s="435">
        <f>AVERAGEIFS(AA186:AA245,AC186:AC245,"&lt;0")/AVERAGEIFS(AC186:AC245,AC186:AC245,"&lt;0")</f>
        <v>1.23191978772259</v>
      </c>
      <c r="C27" s="435" t="n">
        <v>1</v>
      </c>
      <c r="D27" s="435" t="n"/>
      <c r="E27" s="435">
        <f>AVERAGEIFS(AA6:AA245,AC6:AC245,"&lt;0")/AVERAGEIFS(AC6:AC245,AC6:AC245,"&lt;0")</f>
        <v>1.25218025215815</v>
      </c>
      <c r="F27" s="435" t="n">
        <v>1</v>
      </c>
      <c r="G27" s="436" t="n"/>
      <c r="N27" s="554">
        <f>Data!A279</f>
        <v>39478.0</v>
      </c>
      <c r="O27" s="433">
        <f>Data!B279/Data!B278-1</f>
        <v>-0.112492222835717</v>
      </c>
      <c r="P27" s="433">
        <f>Data!C279/Data!C278-1</f>
        <v>-0.0985724034797656</v>
      </c>
      <c r="Q27" s="433">
        <f>Data!D279/Data!D278-1</f>
        <v>-0.138158668494978</v>
      </c>
      <c r="R27" s="433">
        <f>Data!E279/Data!E278-1</f>
        <v>-0.0540451788785499</v>
      </c>
      <c r="S27" s="433">
        <f>Data!F279/Data!F278-1</f>
        <v>-0.0163309488723385</v>
      </c>
      <c r="T27" s="433">
        <f>Data!G279/Data!G278-1</f>
        <v>0</v>
      </c>
      <c r="U27" s="433">
        <f>Data!H279/Data!H278-1</f>
        <v>-0.00119999999999998</v>
      </c>
      <c r="V27" s="433">
        <f>Data!I279/Data!I278-1</f>
        <v>0</v>
      </c>
      <c r="W27" s="433">
        <f>Data!J279/Data!J278-1</f>
        <v>0.0122223131571018</v>
      </c>
      <c r="X27" s="433">
        <f>Data!K279/Data!K278-1</f>
        <v>0.0180206008232136</v>
      </c>
      <c r="Y27" s="433">
        <f>Data!L279/Data!L278-1</f>
        <v>0.00596954561745555</v>
      </c>
      <c r="Z27" s="433">
        <f>SUMPRODUCT(O27:Y27,Risk!$B$56:$L$56)</f>
        <v>-0.0664230244854508</v>
      </c>
      <c r="AA27" s="433">
        <f>Z27-$B$8/12</f>
        <v>-0.0665163578187842</v>
      </c>
      <c r="AB27" s="433">
        <f>SUMPRODUCT(O27:Y27,Risk!$B$57:$L$57)</f>
        <v>-0.0561984977967963</v>
      </c>
      <c r="AC27" s="433">
        <f>AB27-$B$9/12</f>
        <v>-0.056480164463463</v>
      </c>
      <c r="AD27" s="433">
        <f>AA27-AC27</f>
        <v>-0.0100361933553212</v>
      </c>
      <c r="AE27" s="560">
        <f>AE26*(1+AA27)</f>
        <v>1.04962773601995</v>
      </c>
      <c r="AF27" s="560">
        <f>AF26*(1+AC27)</f>
        <v>1.04677557331169</v>
      </c>
      <c r="AG27" s="433">
        <f>AE27/MAX(AE$5:AE27)-1</f>
        <v>-0.0878057664047243</v>
      </c>
      <c r="AH27" s="433">
        <f>AF27/MAX(AF$5:AF27)-1</f>
        <v>-0.0654932069620031</v>
      </c>
      <c r="AI27" s="620" t="inlineStr"/>
      <c r="AJ27" s="620" t="inlineStr"/>
      <c r="AK27" s="433">
        <f>AE27/AE15-1</f>
        <v>-0.0465927208079912</v>
      </c>
      <c r="AL27" s="433">
        <f>AF27/AF15-1</f>
        <v>-0.0310905365565163</v>
      </c>
      <c r="AM27" s="620" t="inlineStr"/>
      <c r="AN27" s="620" t="inlineStr"/>
      <c r="AO27" s="620" t="inlineStr"/>
      <c r="AP27" s="620" t="inlineStr"/>
      <c r="AQ27" s="629" t="inlineStr"/>
    </row>
    <row r="28">
      <c r="A28" s="432" t="inlineStr">
        <is>
          <t>Months outperforming benchmark</t>
        </is>
      </c>
      <c r="B28" s="433">
        <f>COUNTIF(AD186:AD245,"&gt;0")/COUNT(AD186:AD245)</f>
        <v>0.5</v>
      </c>
      <c r="C28" s="433" t="n"/>
      <c r="D28" s="433" t="n"/>
      <c r="E28" s="433">
        <f>COUNTIF(AD6:AD245,"&gt;0")/COUNT(AD6:AD245)</f>
        <v>0.545833333333333</v>
      </c>
      <c r="F28" s="433" t="n"/>
      <c r="G28" s="434" t="n"/>
      <c r="N28" s="554">
        <f>Data!A280</f>
        <v>39507.0</v>
      </c>
      <c r="O28" s="433">
        <f>Data!B280/Data!B279-1</f>
        <v>0.00262423822681157</v>
      </c>
      <c r="P28" s="433">
        <f>Data!C280/Data!C279-1</f>
        <v>-0.0619393540506232</v>
      </c>
      <c r="Q28" s="433">
        <f>Data!D280/Data!D279-1</f>
        <v>0.0126924432502729</v>
      </c>
      <c r="R28" s="433">
        <f>Data!E280/Data!E279-1</f>
        <v>-0.0709469170433312</v>
      </c>
      <c r="S28" s="433">
        <f>Data!F280/Data!F279-1</f>
        <v>0.0614395694089911</v>
      </c>
      <c r="T28" s="433">
        <f>Data!G280/Data!G279-1</f>
        <v>0</v>
      </c>
      <c r="U28" s="433">
        <f>Data!H280/Data!H279-1</f>
        <v>0.0106000000000002</v>
      </c>
      <c r="V28" s="433">
        <f>Data!I280/Data!I279-1</f>
        <v>0</v>
      </c>
      <c r="W28" s="433">
        <f>Data!J280/Data!J279-1</f>
        <v>-0.00616061779716492</v>
      </c>
      <c r="X28" s="433">
        <f>Data!K280/Data!K279-1</f>
        <v>0.00599440790135386</v>
      </c>
      <c r="Y28" s="433">
        <f>Data!L280/Data!L279-1</f>
        <v>0.0054127818135763</v>
      </c>
      <c r="Z28" s="433">
        <f>SUMPRODUCT(O28:Y28,Risk!$B$56:$L$56)</f>
        <v>-0.0184985125342492</v>
      </c>
      <c r="AA28" s="433">
        <f>Z28-$B$8/12</f>
        <v>-0.0185918458675826</v>
      </c>
      <c r="AB28" s="433">
        <f>SUMPRODUCT(O28:Y28,Risk!$B$57:$L$57)</f>
        <v>-0.0172888230908387</v>
      </c>
      <c r="AC28" s="433">
        <f>AB28-$B$9/12</f>
        <v>-0.0175704897575054</v>
      </c>
      <c r="AD28" s="433">
        <f>AA28-AC28</f>
        <v>-0.00102135611007717</v>
      </c>
      <c r="AE28" s="560">
        <f>AE27*(1+AA28)</f>
        <v>1.03011321893353</v>
      </c>
      <c r="AF28" s="560">
        <f>AF27*(1+AC28)</f>
        <v>1.02838321382241</v>
      </c>
      <c r="AG28" s="433">
        <f>AE28/MAX(AE$5:AE28)-1</f>
        <v>-0.104765140997025</v>
      </c>
      <c r="AH28" s="433">
        <f>AF28/MAX(AF$5:AF28)-1</f>
        <v>-0.0819129489973963</v>
      </c>
      <c r="AI28" s="620" t="inlineStr"/>
      <c r="AJ28" s="620" t="inlineStr"/>
      <c r="AK28" s="433">
        <f>AE28/AE16-1</f>
        <v>-0.0655554121401616</v>
      </c>
      <c r="AL28" s="433">
        <f>AF28/AF16-1</f>
        <v>-0.0469598809773001</v>
      </c>
      <c r="AM28" s="620" t="inlineStr"/>
      <c r="AN28" s="620" t="inlineStr"/>
      <c r="AO28" s="620" t="inlineStr"/>
      <c r="AP28" s="620" t="inlineStr"/>
      <c r="AQ28" s="629" t="inlineStr"/>
    </row>
    <row r="29">
      <c r="A29" s="432" t="inlineStr">
        <is>
          <t>Return target (5-year yield + 4%)</t>
        </is>
      </c>
      <c r="B29" s="433">
        <f>$B$10+Inputs!$B$24</f>
        <v>0.04708</v>
      </c>
      <c r="C29" s="433">
        <f>$B$10+Inputs!$B$24</f>
        <v>0.04708</v>
      </c>
      <c r="D29" s="433" t="n"/>
      <c r="E29" s="433">
        <f>$B$11+Inputs!$B$24</f>
        <v>0.092976</v>
      </c>
      <c r="F29" s="433">
        <f>$B$11+Inputs!$B$24</f>
        <v>0.092976</v>
      </c>
      <c r="G29" s="434" t="n"/>
      <c r="N29" s="554">
        <f>Data!A281</f>
        <v>39538.0</v>
      </c>
      <c r="O29" s="433">
        <f>Data!B281/Data!B280-1</f>
        <v>-0.0411356479377287</v>
      </c>
      <c r="P29" s="433">
        <f>Data!C281/Data!C280-1</f>
        <v>0.00338775628003596</v>
      </c>
      <c r="Q29" s="433">
        <f>Data!D281/Data!D280-1</f>
        <v>-0.0184470557954535</v>
      </c>
      <c r="R29" s="433">
        <f>Data!E281/Data!E280-1</f>
        <v>0.0499871231016724</v>
      </c>
      <c r="S29" s="433">
        <f>Data!F281/Data!F280-1</f>
        <v>0.0126710582770813</v>
      </c>
      <c r="T29" s="433">
        <f>Data!G281/Data!G280-1</f>
        <v>0.00743830543586554</v>
      </c>
      <c r="U29" s="433">
        <f>Data!H281/Data!H280-1</f>
        <v>0.00219999999999998</v>
      </c>
      <c r="V29" s="433">
        <f>Data!I281/Data!I280-1</f>
        <v>-0.0065001260564076</v>
      </c>
      <c r="W29" s="433">
        <f>Data!J281/Data!J280-1</f>
        <v>0.016030779732046</v>
      </c>
      <c r="X29" s="433">
        <f>Data!K281/Data!K280-1</f>
        <v>0.00305932694807143</v>
      </c>
      <c r="Y29" s="433">
        <f>Data!L281/Data!L280-1</f>
        <v>0.00666128085800111</v>
      </c>
      <c r="Z29" s="433">
        <f>SUMPRODUCT(O29:Y29,Risk!$B$56:$L$56)</f>
        <v>-0.00766234283320436</v>
      </c>
      <c r="AA29" s="433">
        <f>Z29-$B$8/12</f>
        <v>-0.0077556761665377</v>
      </c>
      <c r="AB29" s="433">
        <f>SUMPRODUCT(O29:Y29,Risk!$B$57:$L$57)</f>
        <v>-0.00324815732581308</v>
      </c>
      <c r="AC29" s="433">
        <f>AB29-$B$9/12</f>
        <v>-0.00352982399247974</v>
      </c>
      <c r="AD29" s="433">
        <f>AA29-AC29</f>
        <v>-0.00422585217405795</v>
      </c>
      <c r="AE29" s="560">
        <f>AE28*(1+AA29)</f>
        <v>1.02212399439261</v>
      </c>
      <c r="AF29" s="560">
        <f>AF28*(1+AC29)</f>
        <v>1.0247532020808</v>
      </c>
      <c r="AG29" s="433">
        <f>AE29/MAX(AE$5:AE29)-1</f>
        <v>-0.111708292656448</v>
      </c>
      <c r="AH29" s="433">
        <f>AF29/MAX(AF$5:AF29)-1</f>
        <v>-0.0851536346972103</v>
      </c>
      <c r="AI29" s="620" t="inlineStr"/>
      <c r="AJ29" s="620" t="inlineStr"/>
      <c r="AK29" s="433">
        <f>AE29/AE17-1</f>
        <v>-0.0801808710895546</v>
      </c>
      <c r="AL29" s="433">
        <f>AF29/AF17-1</f>
        <v>-0.0553971219644474</v>
      </c>
      <c r="AM29" s="620" t="inlineStr"/>
      <c r="AN29" s="620" t="inlineStr"/>
      <c r="AO29" s="620" t="inlineStr"/>
      <c r="AP29" s="620" t="inlineStr"/>
      <c r="AQ29" s="629" t="inlineStr"/>
    </row>
    <row r="30">
      <c r="A30" s="437" t="inlineStr">
        <is>
          <t>Return target met?</t>
        </is>
      </c>
      <c r="B30" s="632" t="str">
        <f>IF(B17&gt;=B29,"MET","NOT MET")</f>
        <v>MET</v>
      </c>
      <c r="C30" s="632" t="str">
        <f>IF(C17&gt;=C29,"MET","NOT MET")</f>
        <v>MET</v>
      </c>
      <c r="D30" s="632" t="n"/>
      <c r="E30" s="632" t="str">
        <f>IF(E17&gt;=E29,"MET","NOT MET")</f>
        <v>NOT MET</v>
      </c>
      <c r="F30" s="632" t="str">
        <f>IF(F17&gt;=F29,"MET","NOT MET")</f>
        <v>NOT MET</v>
      </c>
      <c r="G30" s="439" t="n"/>
      <c r="N30" s="554">
        <f>Data!A282</f>
        <v>39568.0</v>
      </c>
      <c r="O30" s="433">
        <f>Data!B282/Data!B281-1</f>
        <v>0.0464365898084593</v>
      </c>
      <c r="P30" s="433">
        <f>Data!C282/Data!C281-1</f>
        <v>0.0289974984835355</v>
      </c>
      <c r="Q30" s="433">
        <f>Data!D282/Data!D281-1</f>
        <v>0.0390064271570556</v>
      </c>
      <c r="R30" s="433">
        <f>Data!E282/Data!E281-1</f>
        <v>0.00654243018291623</v>
      </c>
      <c r="S30" s="433">
        <f>Data!F282/Data!F281-1</f>
        <v>0.0458477652738347</v>
      </c>
      <c r="T30" s="433">
        <f>Data!G282/Data!G281-1</f>
        <v>0</v>
      </c>
      <c r="U30" s="433">
        <f>Data!H282/Data!H281-1</f>
        <v>0.0180999999999998</v>
      </c>
      <c r="V30" s="433">
        <f>Data!I282/Data!I281-1</f>
        <v>0</v>
      </c>
      <c r="W30" s="433">
        <f>Data!J282/Data!J281-1</f>
        <v>0.000152329766603732</v>
      </c>
      <c r="X30" s="433">
        <f>Data!K282/Data!K281-1</f>
        <v>-0.00139542301251894</v>
      </c>
      <c r="Y30" s="433">
        <f>Data!L282/Data!L281-1</f>
        <v>0.00653162063313939</v>
      </c>
      <c r="Z30" s="433">
        <f>SUMPRODUCT(O30:Y30,Risk!$B$56:$L$56)</f>
        <v>0.0253968077066913</v>
      </c>
      <c r="AA30" s="433">
        <f>Z30-$B$8/12</f>
        <v>0.0253034743733579</v>
      </c>
      <c r="AB30" s="433">
        <f>SUMPRODUCT(O30:Y30,Risk!$B$57:$L$57)</f>
        <v>0.0217204435760975</v>
      </c>
      <c r="AC30" s="433">
        <f>AB30-$B$9/12</f>
        <v>0.0214387769094308</v>
      </c>
      <c r="AD30" s="433">
        <f>AA30-AC30</f>
        <v>0.00386469746392713</v>
      </c>
      <c r="AE30" s="560">
        <f>AE29*(1+AA30)</f>
        <v>1.04798728269112</v>
      </c>
      <c r="AF30" s="560">
        <f>AF29*(1+AC30)</f>
        <v>1.04672265736743</v>
      </c>
      <c r="AG30" s="433">
        <f>AE30/MAX(AE$5:AE30)-1</f>
        <v>-0.0892314262036144</v>
      </c>
      <c r="AH30" s="433">
        <f>AF30/MAX(AF$5:AF30)-1</f>
        <v>-0.06554044756508</v>
      </c>
      <c r="AI30" s="620" t="inlineStr"/>
      <c r="AJ30" s="620" t="inlineStr"/>
      <c r="AK30" s="433">
        <f>AE30/AE18-1</f>
        <v>-0.0677979553642878</v>
      </c>
      <c r="AL30" s="433">
        <f>AF30/AF18-1</f>
        <v>-0.0428803206163768</v>
      </c>
      <c r="AM30" s="620" t="inlineStr"/>
      <c r="AN30" s="620" t="inlineStr"/>
      <c r="AO30" s="620" t="inlineStr"/>
      <c r="AP30" s="620" t="inlineStr"/>
      <c r="AQ30" s="629" t="inlineStr"/>
    </row>
    <row r="31">
      <c r="N31" s="554">
        <f>Data!A283</f>
        <v>39598.0</v>
      </c>
      <c r="O31" s="433">
        <f>Data!B283/Data!B282-1</f>
        <v>0.0245406866065794</v>
      </c>
      <c r="P31" s="433">
        <f>Data!C283/Data!C282-1</f>
        <v>0.00540425935854416</v>
      </c>
      <c r="Q31" s="433">
        <f>Data!D283/Data!D282-1</f>
        <v>0.00694387881387648</v>
      </c>
      <c r="R31" s="433">
        <f>Data!E283/Data!E282-1</f>
        <v>-0.0309359858793209</v>
      </c>
      <c r="S31" s="433">
        <f>Data!F283/Data!F282-1</f>
        <v>0.0783375271466333</v>
      </c>
      <c r="T31" s="433">
        <f>Data!G283/Data!G282-1</f>
        <v>0</v>
      </c>
      <c r="U31" s="433">
        <f>Data!H283/Data!H282-1</f>
        <v>0.0219999999999998</v>
      </c>
      <c r="V31" s="433">
        <f>Data!I283/Data!I282-1</f>
        <v>0</v>
      </c>
      <c r="W31" s="433">
        <f>Data!J283/Data!J282-1</f>
        <v>0.00108957773980944</v>
      </c>
      <c r="X31" s="433">
        <f>Data!K283/Data!K282-1</f>
        <v>-0.00507046752106066</v>
      </c>
      <c r="Y31" s="433">
        <f>Data!L283/Data!L282-1</f>
        <v>0.00655982288959511</v>
      </c>
      <c r="Z31" s="433">
        <f>SUMPRODUCT(O31:Y31,Risk!$B$56:$L$56)</f>
        <v>0.00802051478796672</v>
      </c>
      <c r="AA31" s="433">
        <f>Z31-$B$8/12</f>
        <v>0.00792718145463338</v>
      </c>
      <c r="AB31" s="433">
        <f>SUMPRODUCT(O31:Y31,Risk!$B$57:$L$57)</f>
        <v>0.00749332593643644</v>
      </c>
      <c r="AC31" s="433">
        <f>AB31-$B$9/12</f>
        <v>0.00721165926976977</v>
      </c>
      <c r="AD31" s="433">
        <f>AA31-AC31</f>
        <v>0.000715522184863611</v>
      </c>
      <c r="AE31" s="560">
        <f>AE30*(1+AA31)</f>
        <v>1.05629486804316</v>
      </c>
      <c r="AF31" s="560">
        <f>AF30*(1+AC31)</f>
        <v>1.05427126452232</v>
      </c>
      <c r="AG31" s="433">
        <f>AE31/MAX(AE$5:AE31)-1</f>
        <v>-0.0820115984559527</v>
      </c>
      <c r="AH31" s="433">
        <f>AF31/MAX(AF$5:AF31)-1</f>
        <v>-0.0588014436715379</v>
      </c>
      <c r="AI31" s="620" t="inlineStr"/>
      <c r="AJ31" s="620" t="inlineStr"/>
      <c r="AK31" s="433">
        <f>AE31/AE19-1</f>
        <v>-0.0809868251781375</v>
      </c>
      <c r="AL31" s="433">
        <f>AF31/AF19-1</f>
        <v>-0.0539497792959461</v>
      </c>
      <c r="AM31" s="620" t="inlineStr"/>
      <c r="AN31" s="620" t="inlineStr"/>
      <c r="AO31" s="620" t="inlineStr"/>
      <c r="AP31" s="620" t="inlineStr"/>
      <c r="AQ31" s="629" t="inlineStr"/>
    </row>
    <row r="32">
      <c r="N32" s="554">
        <f>Data!A284</f>
        <v>39629.0</v>
      </c>
      <c r="O32" s="433">
        <f>Data!B284/Data!B283-1</f>
        <v>-0.0731552139668775</v>
      </c>
      <c r="P32" s="433">
        <f>Data!C284/Data!C283-1</f>
        <v>-0.0879038452751872</v>
      </c>
      <c r="Q32" s="433">
        <f>Data!D284/Data!D283-1</f>
        <v>-0.104475868567759</v>
      </c>
      <c r="R32" s="433">
        <f>Data!E284/Data!E283-1</f>
        <v>-0.113526801218371</v>
      </c>
      <c r="S32" s="433">
        <f>Data!F284/Data!F283-1</f>
        <v>0.0851091750051272</v>
      </c>
      <c r="T32" s="433">
        <f>Data!G284/Data!G283-1</f>
        <v>-0.0058370688746241</v>
      </c>
      <c r="U32" s="433">
        <f>Data!H284/Data!H283-1</f>
        <v>0.0131000000000003</v>
      </c>
      <c r="V32" s="433">
        <f>Data!I284/Data!I283-1</f>
        <v>-0.0178957588596143</v>
      </c>
      <c r="W32" s="433">
        <f>Data!J284/Data!J283-1</f>
        <v>0.00287702147330826</v>
      </c>
      <c r="X32" s="433">
        <f>Data!K284/Data!K283-1</f>
        <v>0.000802568218298383</v>
      </c>
      <c r="Y32" s="433">
        <f>Data!L284/Data!L283-1</f>
        <v>0.00628915781705941</v>
      </c>
      <c r="Z32" s="433">
        <f>SUMPRODUCT(O32:Y32,Risk!$B$56:$L$56)</f>
        <v>-0.0572595350379712</v>
      </c>
      <c r="AA32" s="433">
        <f>Z32-$B$8/12</f>
        <v>-0.0573528683713046</v>
      </c>
      <c r="AB32" s="433">
        <f>SUMPRODUCT(O32:Y32,Risk!$B$57:$L$57)</f>
        <v>-0.0485206809647124</v>
      </c>
      <c r="AC32" s="433">
        <f>AB32-$B$9/12</f>
        <v>-0.048802347631379</v>
      </c>
      <c r="AD32" s="433">
        <f>AA32-AC32</f>
        <v>-0.00855052073992556</v>
      </c>
      <c r="AE32" s="560">
        <f>AE31*(1+AA32)</f>
        <v>0.995713327514994</v>
      </c>
      <c r="AF32" s="560">
        <f>AF31*(1+AC32)</f>
        <v>1.00282035177332</v>
      </c>
      <c r="AG32" s="433">
        <f>AE32/MAX(AE$5:AE32)-1</f>
        <v>-0.134660866416093</v>
      </c>
      <c r="AH32" s="433">
        <f>AF32/MAX(AF$5:AF32)-1</f>
        <v>-0.104734142807632</v>
      </c>
      <c r="AI32" s="620" t="inlineStr"/>
      <c r="AJ32" s="620" t="inlineStr"/>
      <c r="AK32" s="433">
        <f>AE32/AE20-1</f>
        <v>-0.117664774417311</v>
      </c>
      <c r="AL32" s="433">
        <f>AF32/AF20-1</f>
        <v>-0.0910034625577697</v>
      </c>
      <c r="AM32" s="620" t="inlineStr"/>
      <c r="AN32" s="620" t="inlineStr"/>
      <c r="AO32" s="620" t="inlineStr"/>
      <c r="AP32" s="620" t="inlineStr"/>
      <c r="AQ32" s="629" t="inlineStr"/>
    </row>
    <row r="33">
      <c r="A33" s="531" t="inlineStr">
        <is>
          <t>3. Is performance improving? Non-overlapping 5-year blocks (net of fees)</t>
        </is>
      </c>
      <c r="B33" s="532" t="n"/>
      <c r="C33" s="532" t="n"/>
      <c r="D33" s="532" t="n"/>
      <c r="E33" s="532" t="n"/>
      <c r="F33" s="532" t="n"/>
      <c r="G33" s="532" t="n"/>
      <c r="H33" s="532" t="n"/>
      <c r="I33" s="532" t="n"/>
      <c r="J33" s="533" t="n"/>
      <c r="N33" s="554">
        <f>Data!A285</f>
        <v>39660.0</v>
      </c>
      <c r="O33" s="433">
        <f>Data!B285/Data!B284-1</f>
        <v>-0.0523462009368495</v>
      </c>
      <c r="P33" s="433">
        <f>Data!C285/Data!C284-1</f>
        <v>0.00201049905272321</v>
      </c>
      <c r="Q33" s="433">
        <f>Data!D285/Data!D284-1</f>
        <v>-0.0309080738564367</v>
      </c>
      <c r="R33" s="433">
        <f>Data!E285/Data!E284-1</f>
        <v>0.0295781999052138</v>
      </c>
      <c r="S33" s="433">
        <f>Data!F285/Data!F284-1</f>
        <v>-0.104438661580367</v>
      </c>
      <c r="T33" s="433">
        <f>Data!G285/Data!G284-1</f>
        <v>0</v>
      </c>
      <c r="U33" s="433">
        <f>Data!H285/Data!H284-1</f>
        <v>0.00689999999999968</v>
      </c>
      <c r="V33" s="433">
        <f>Data!I285/Data!I284-1</f>
        <v>0</v>
      </c>
      <c r="W33" s="433">
        <f>Data!J285/Data!J284-1</f>
        <v>0.0178738831254206</v>
      </c>
      <c r="X33" s="433">
        <f>Data!K285/Data!K284-1</f>
        <v>0.0119887730553332</v>
      </c>
      <c r="Y33" s="433">
        <f>Data!L285/Data!L284-1</f>
        <v>0.00667748960601888</v>
      </c>
      <c r="Z33" s="433">
        <f>SUMPRODUCT(O33:Y33,Risk!$B$56:$L$56)</f>
        <v>-0.0134709519880127</v>
      </c>
      <c r="AA33" s="433">
        <f>Z33-$B$8/12</f>
        <v>-0.013564285321346</v>
      </c>
      <c r="AB33" s="433">
        <f>SUMPRODUCT(O33:Y33,Risk!$B$57:$L$57)</f>
        <v>-0.00932113855366819</v>
      </c>
      <c r="AC33" s="433">
        <f>AB33-$B$9/12</f>
        <v>-0.00960280522033485</v>
      </c>
      <c r="AD33" s="433">
        <f>AA33-AC33</f>
        <v>-0.00396148010101119</v>
      </c>
      <c r="AE33" s="560">
        <f>AE32*(1+AA33)</f>
        <v>0.982207187842314</v>
      </c>
      <c r="AF33" s="560">
        <f>AF32*(1+AC33)</f>
        <v>0.993190463264257</v>
      </c>
      <c r="AG33" s="433">
        <f>AE33/MAX(AE$5:AE33)-1</f>
        <v>-0.146398573323751</v>
      </c>
      <c r="AH33" s="433">
        <f>AF33/MAX(AF$5:AF33)-1</f>
        <v>-0.113331206454666</v>
      </c>
      <c r="AI33" s="620" t="inlineStr"/>
      <c r="AJ33" s="620" t="inlineStr"/>
      <c r="AK33" s="433">
        <f>AE33/AE21-1</f>
        <v>-0.110519430545458</v>
      </c>
      <c r="AL33" s="433">
        <f>AF33/AF21-1</f>
        <v>-0.0861227574847782</v>
      </c>
      <c r="AM33" s="620" t="inlineStr"/>
      <c r="AN33" s="620" t="inlineStr"/>
      <c r="AO33" s="620" t="inlineStr"/>
      <c r="AP33" s="620" t="inlineStr"/>
      <c r="AQ33" s="629" t="inlineStr"/>
    </row>
    <row r="34" ht="28" customHeight="1">
      <c r="A34" s="534" t="inlineStr">
        <is>
          <t>Block</t>
        </is>
      </c>
      <c r="B34" s="535" t="inlineStr">
        <is>
          <t>Current</t>
        </is>
      </c>
      <c r="C34" s="535" t="inlineStr">
        <is>
          <t>Benchmark</t>
        </is>
      </c>
      <c r="D34" s="535" t="inlineStr">
        <is>
          <t>Active return</t>
        </is>
      </c>
      <c r="E34" s="535" t="inlineStr">
        <is>
          <t>Tracking error</t>
        </is>
      </c>
      <c r="F34" s="535" t="inlineStr">
        <is>
          <t>Information ratio</t>
        </is>
      </c>
      <c r="G34" s="535" t="inlineStr">
        <is>
          <t>Sharpe: current</t>
        </is>
      </c>
      <c r="H34" s="535" t="inlineStr">
        <is>
          <t>Sharpe: benchmark</t>
        </is>
      </c>
      <c r="I34" s="535" t="inlineStr">
        <is>
          <t>Target (yield + 4%)</t>
        </is>
      </c>
      <c r="J34" s="536" t="inlineStr">
        <is>
          <t>Target met?</t>
        </is>
      </c>
      <c r="N34" s="554">
        <f>Data!A286</f>
        <v>39689.0</v>
      </c>
      <c r="O34" s="433">
        <f>Data!B286/Data!B285-1</f>
        <v>0.0402476635562845</v>
      </c>
      <c r="P34" s="433">
        <f>Data!C286/Data!C285-1</f>
        <v>0.10527160596542</v>
      </c>
      <c r="Q34" s="433">
        <f>Data!D286/Data!D285-1</f>
        <v>0.039679224898697</v>
      </c>
      <c r="R34" s="433">
        <f>Data!E286/Data!E285-1</f>
        <v>0.120647898627313</v>
      </c>
      <c r="S34" s="433">
        <f>Data!F286/Data!F285-1</f>
        <v>0.0145699253272999</v>
      </c>
      <c r="T34" s="433">
        <f>Data!G286/Data!G285-1</f>
        <v>0</v>
      </c>
      <c r="U34" s="433">
        <f>Data!H286/Data!H285-1</f>
        <v>0.00800000000000023</v>
      </c>
      <c r="V34" s="433">
        <f>Data!I286/Data!I285-1</f>
        <v>0</v>
      </c>
      <c r="W34" s="433">
        <f>Data!J286/Data!J285-1</f>
        <v>0.0216261455092976</v>
      </c>
      <c r="X34" s="433">
        <f>Data!K286/Data!K285-1</f>
        <v>0.0147192836483221</v>
      </c>
      <c r="Y34" s="433">
        <f>Data!L286/Data!L285-1</f>
        <v>0.00667882333135594</v>
      </c>
      <c r="Z34" s="433">
        <f>SUMPRODUCT(O34:Y34,Risk!$B$56:$L$56)</f>
        <v>0.0541071586297845</v>
      </c>
      <c r="AA34" s="433">
        <f>Z34-$B$8/12</f>
        <v>0.0540138252964511</v>
      </c>
      <c r="AB34" s="433">
        <f>SUMPRODUCT(O34:Y34,Risk!$B$57:$L$57)</f>
        <v>0.0503413757507486</v>
      </c>
      <c r="AC34" s="433">
        <f>AB34-$B$9/12</f>
        <v>0.0500597090840819</v>
      </c>
      <c r="AD34" s="433">
        <f>AA34-AC34</f>
        <v>0.00395411621236921</v>
      </c>
      <c r="AE34" s="560">
        <f>AE33*(1+AA34)</f>
        <v>1.03525995529135</v>
      </c>
      <c r="AF34" s="560">
        <f>AF33*(1+AC34)</f>
        <v>1.04290928892035</v>
      </c>
      <c r="AG34" s="433">
        <f>AE34/MAX(AE$5:AE34)-1</f>
        <v>-0.100292294990459</v>
      </c>
      <c r="AH34" s="433">
        <f>AF34/MAX(AF$5:AF34)-1</f>
        <v>-0.0689448245958526</v>
      </c>
      <c r="AI34" s="620" t="inlineStr"/>
      <c r="AJ34" s="620" t="inlineStr"/>
      <c r="AK34" s="433">
        <f>AE34/AE22-1</f>
        <v>-0.0903441305929112</v>
      </c>
      <c r="AL34" s="433">
        <f>AF34/AF22-1</f>
        <v>-0.0670176286739957</v>
      </c>
      <c r="AM34" s="620" t="inlineStr"/>
      <c r="AN34" s="620" t="inlineStr"/>
      <c r="AO34" s="620" t="inlineStr"/>
      <c r="AP34" s="620" t="inlineStr"/>
      <c r="AQ34" s="629" t="inlineStr"/>
    </row>
    <row r="35">
      <c r="A35" s="537" t="str">
        <f>TEXT(N5,"mmm-yy")&amp;" to "&amp;TEXT(N65,"mmm-yy")</f>
        <v>Mar-06 to Mar-11</v>
      </c>
      <c r="B35" s="433">
        <f>(AE65/AE5)^(12/60)-1</f>
        <v>0.0154143902042594</v>
      </c>
      <c r="C35" s="433">
        <f>(AF65/AF5)^(12/60)-1</f>
        <v>0.0142485023802232</v>
      </c>
      <c r="D35" s="433">
        <f>B35-C35</f>
        <v>0.00116588782403615</v>
      </c>
      <c r="E35" s="433">
        <f>STDEV(AD6:AD65)*SQRT(12)</f>
        <v>0.0225363211789793</v>
      </c>
      <c r="F35" s="435">
        <f>D35/E35</f>
        <v>0.0517337241858103</v>
      </c>
      <c r="G35" s="435">
        <f>(B35-(EXP(SUMPRODUCT(LN(1+Y6:Y65)))^(12/60)-1))/(STDEV(AA6:AA65)*SQRT(12))</f>
        <v>-0.437464821955316</v>
      </c>
      <c r="H35" s="435">
        <f>(C35-(EXP(SUMPRODUCT(LN(1+Y6:Y65)))^(12/60)-1))/(STDEV(AC6:AC65)*SQRT(12))</f>
        <v>-0.550259933689378</v>
      </c>
      <c r="I35" s="433">
        <f>INDEX('RBA 5Y yield'!$B$5:$B$661,MATCH(N5,'RBA 5Y yield'!$A$5:$A$661,1))+Inputs!$B$24</f>
        <v>0.092976</v>
      </c>
      <c r="J35" s="619" t="str">
        <f>IF(B35&gt;=I35,"MET","NOT MET")</f>
        <v>NOT MET</v>
      </c>
      <c r="N35" s="554">
        <f>Data!A287</f>
        <v>39721.0</v>
      </c>
      <c r="O35" s="433">
        <f>Data!B287/Data!B286-1</f>
        <v>-0.106199222419834</v>
      </c>
      <c r="P35" s="433">
        <f>Data!C287/Data!C286-1</f>
        <v>-0.0254645735770424</v>
      </c>
      <c r="Q35" s="433">
        <f>Data!D287/Data!D286-1</f>
        <v>-0.0432634257106179</v>
      </c>
      <c r="R35" s="433">
        <f>Data!E287/Data!E286-1</f>
        <v>0.059522047139172</v>
      </c>
      <c r="S35" s="433">
        <f>Data!F287/Data!F286-1</f>
        <v>-0.0440522204913223</v>
      </c>
      <c r="T35" s="433">
        <f>Data!G287/Data!G286-1</f>
        <v>-0.0192883060239367</v>
      </c>
      <c r="U35" s="433">
        <f>Data!H287/Data!H286-1</f>
        <v>0.0194000000000001</v>
      </c>
      <c r="V35" s="433">
        <f>Data!I287/Data!I286-1</f>
        <v>-0.0299952816410902</v>
      </c>
      <c r="W35" s="433">
        <f>Data!J287/Data!J286-1</f>
        <v>0.0128491432034206</v>
      </c>
      <c r="X35" s="433">
        <f>Data!K287/Data!K286-1</f>
        <v>-0.00646219324105335</v>
      </c>
      <c r="Y35" s="433">
        <f>Data!L287/Data!L286-1</f>
        <v>0.0058624397501863</v>
      </c>
      <c r="Z35" s="433">
        <f>SUMPRODUCT(O35:Y35,Risk!$B$56:$L$56)</f>
        <v>-0.0397996321656831</v>
      </c>
      <c r="AA35" s="433">
        <f>Z35-$B$8/12</f>
        <v>-0.0398929654990164</v>
      </c>
      <c r="AB35" s="433">
        <f>SUMPRODUCT(O35:Y35,Risk!$B$57:$L$57)</f>
        <v>-0.0306920689108126</v>
      </c>
      <c r="AC35" s="433">
        <f>AB35-$B$9/12</f>
        <v>-0.0309737355774793</v>
      </c>
      <c r="AD35" s="433">
        <f>AA35-AC35</f>
        <v>-0.00891922992153716</v>
      </c>
      <c r="AE35" s="560">
        <f>AE34*(1+AA35)</f>
        <v>0.993960365612396</v>
      </c>
      <c r="AF35" s="560">
        <f>AF34*(1+AC35)</f>
        <v>1.01060649237403</v>
      </c>
      <c r="AG35" s="433">
        <f>AE35/MAX(AE$5:AE35)-1</f>
        <v>-0.136184303425604</v>
      </c>
      <c r="AH35" s="433">
        <f>AF35/MAX(AF$5:AF35)-1</f>
        <v>-0.0977830814068642</v>
      </c>
      <c r="AI35" s="620" t="inlineStr"/>
      <c r="AJ35" s="620" t="inlineStr"/>
      <c r="AK35" s="433">
        <f>AE35/AE23-1</f>
        <v>-0.132967911673029</v>
      </c>
      <c r="AL35" s="433">
        <f>AF35/AF23-1</f>
        <v>-0.0957808219796857</v>
      </c>
      <c r="AM35" s="620" t="inlineStr"/>
      <c r="AN35" s="620" t="inlineStr"/>
      <c r="AO35" s="620" t="inlineStr"/>
      <c r="AP35" s="620" t="inlineStr"/>
      <c r="AQ35" s="629" t="inlineStr"/>
    </row>
    <row r="36">
      <c r="A36" s="537" t="str">
        <f>TEXT(N65,"mmm-yy")&amp;" to "&amp;TEXT(N125,"mmm-yy")</f>
        <v>Mar-11 to Mar-16</v>
      </c>
      <c r="B36" s="433">
        <f>(AE125/AE65)^(12/60)-1</f>
        <v>0.0913164713081072</v>
      </c>
      <c r="C36" s="433">
        <f>(AF125/AF65)^(12/60)-1</f>
        <v>0.0907455692256347</v>
      </c>
      <c r="D36" s="433">
        <f>B36-C36</f>
        <v>0.000570902082472458</v>
      </c>
      <c r="E36" s="433">
        <f>STDEV(AD66:AD125)*SQRT(12)</f>
        <v>0.0202461185215925</v>
      </c>
      <c r="F36" s="435">
        <f>D36/E36</f>
        <v>0.0281981003847029</v>
      </c>
      <c r="G36" s="435">
        <f>(B36-(EXP(SUMPRODUCT(LN(1+Y66:Y125)))^(12/60)-1))/(STDEV(AA66:AA125)*SQRT(12))</f>
        <v>0.893339818947754</v>
      </c>
      <c r="H36" s="435">
        <f>(C36-(EXP(SUMPRODUCT(LN(1+Y66:Y125)))^(12/60)-1))/(STDEV(AC66:AC125)*SQRT(12))</f>
        <v>1.10150587931817</v>
      </c>
      <c r="I36" s="433">
        <f>INDEX('RBA 5Y yield'!$B$5:$B$661,MATCH(N65,'RBA 5Y yield'!$A$5:$A$661,1))+Inputs!$B$24</f>
        <v>0.092075</v>
      </c>
      <c r="J36" s="619" t="str">
        <f>IF(B36&gt;=I36,"MET","NOT MET")</f>
        <v>NOT MET</v>
      </c>
      <c r="N36" s="554">
        <f>Data!A288</f>
        <v>39752.0</v>
      </c>
      <c r="O36" s="433">
        <f>Data!B288/Data!B287-1</f>
        <v>-0.139210062304354</v>
      </c>
      <c r="P36" s="433">
        <f>Data!C288/Data!C287-1</f>
        <v>0.00021492308189508</v>
      </c>
      <c r="Q36" s="433">
        <f>Data!D288/Data!D287-1</f>
        <v>-0.0710039985799933</v>
      </c>
      <c r="R36" s="433">
        <f>Data!E288/Data!E287-1</f>
        <v>-0.132495070672492</v>
      </c>
      <c r="S36" s="433">
        <f>Data!F288/Data!F287-1</f>
        <v>-0.141538823791004</v>
      </c>
      <c r="T36" s="433">
        <f>Data!G288/Data!G287-1</f>
        <v>0</v>
      </c>
      <c r="U36" s="433">
        <f>Data!H288/Data!H287-1</f>
        <v>0.0212999999999999</v>
      </c>
      <c r="V36" s="433">
        <f>Data!I288/Data!I287-1</f>
        <v>0</v>
      </c>
      <c r="W36" s="433">
        <f>Data!J288/Data!J287-1</f>
        <v>0.0200817674171248</v>
      </c>
      <c r="X36" s="433">
        <f>Data!K288/Data!K287-1</f>
        <v>-0.00805659265081549</v>
      </c>
      <c r="Y36" s="433">
        <f>Data!L288/Data!L287-1</f>
        <v>0.00714277945328301</v>
      </c>
      <c r="Z36" s="433">
        <f>SUMPRODUCT(O36:Y36,Risk!$B$56:$L$56)</f>
        <v>-0.0660228151103784</v>
      </c>
      <c r="AA36" s="433">
        <f>Z36-$B$8/12</f>
        <v>-0.0661161484437117</v>
      </c>
      <c r="AB36" s="433">
        <f>SUMPRODUCT(O36:Y36,Risk!$B$57:$L$57)</f>
        <v>-0.0462079797863217</v>
      </c>
      <c r="AC36" s="433">
        <f>AB36-$B$9/12</f>
        <v>-0.0464896464529884</v>
      </c>
      <c r="AD36" s="433">
        <f>AA36-AC36</f>
        <v>-0.0196265019907234</v>
      </c>
      <c r="AE36" s="560">
        <f>AE35*(1+AA36)</f>
        <v>0.928243534532401</v>
      </c>
      <c r="AF36" s="560">
        <f>AF35*(1+AC36)</f>
        <v>0.963623753840471</v>
      </c>
      <c r="AG36" s="433">
        <f>AE36/MAX(AE$5:AE36)-1</f>
        <v>-0.193296470248325</v>
      </c>
      <c r="AH36" s="433">
        <f>AF36/MAX(AF$5:AF36)-1</f>
        <v>-0.139726826976164</v>
      </c>
      <c r="AI36" s="620" t="inlineStr"/>
      <c r="AJ36" s="620" t="inlineStr"/>
      <c r="AK36" s="433">
        <f>AE36/AE24-1</f>
        <v>-0.193296470248325</v>
      </c>
      <c r="AL36" s="433">
        <f>AF36/AF24-1</f>
        <v>-0.139726826976164</v>
      </c>
      <c r="AM36" s="620" t="inlineStr"/>
      <c r="AN36" s="620" t="inlineStr"/>
      <c r="AO36" s="620" t="inlineStr"/>
      <c r="AP36" s="620" t="inlineStr"/>
      <c r="AQ36" s="629" t="inlineStr"/>
    </row>
    <row r="37">
      <c r="A37" s="537" t="str">
        <f>TEXT(N125,"mmm-yy")&amp;" to "&amp;TEXT(N185,"mmm-yy")</f>
        <v>Mar-16 to Mar-21</v>
      </c>
      <c r="B37" s="433">
        <f>(AE185/AE125)^(12/60)-1</f>
        <v>0.0854572175267507</v>
      </c>
      <c r="C37" s="433">
        <f>(AF185/AF125)^(12/60)-1</f>
        <v>0.084023641421622</v>
      </c>
      <c r="D37" s="433">
        <f>B37-C37</f>
        <v>0.00143357610512873</v>
      </c>
      <c r="E37" s="433">
        <f>STDEV(AD126:AD185)*SQRT(12)</f>
        <v>0.0203091796352837</v>
      </c>
      <c r="F37" s="435">
        <f>D37/E37</f>
        <v>0.0705875929443324</v>
      </c>
      <c r="G37" s="435">
        <f>(B37-(EXP(SUMPRODUCT(LN(1+Y126:Y185)))^(12/60)-1))/(STDEV(AA126:AA185)*SQRT(12))</f>
        <v>0.801352629698317</v>
      </c>
      <c r="H37" s="435">
        <f>(C37-(EXP(SUMPRODUCT(LN(1+Y126:Y185)))^(12/60)-1))/(STDEV(AC126:AC185)*SQRT(12))</f>
        <v>0.967132494091706</v>
      </c>
      <c r="I37" s="433">
        <f>INDEX('RBA 5Y yield'!$B$5:$B$661,MATCH(N125,'RBA 5Y yield'!$A$5:$A$661,1))+Inputs!$B$24</f>
        <v>0.06134</v>
      </c>
      <c r="J37" s="619" t="str">
        <f>IF(B37&gt;=I37,"MET","NOT MET")</f>
        <v>MET</v>
      </c>
      <c r="N37" s="554">
        <f>Data!A289</f>
        <v>39780.0</v>
      </c>
      <c r="O37" s="433">
        <f>Data!B289/Data!B288-1</f>
        <v>-0.0721897491450146</v>
      </c>
      <c r="P37" s="433">
        <f>Data!C289/Data!C288-1</f>
        <v>-0.047701853031471</v>
      </c>
      <c r="Q37" s="433">
        <f>Data!D289/Data!D288-1</f>
        <v>-0.0272738706977286</v>
      </c>
      <c r="R37" s="433">
        <f>Data!E289/Data!E288-1</f>
        <v>-0.147375598133054</v>
      </c>
      <c r="S37" s="433">
        <f>Data!F289/Data!F288-1</f>
        <v>-0.137226880391414</v>
      </c>
      <c r="T37" s="433">
        <f>Data!G289/Data!G288-1</f>
        <v>0</v>
      </c>
      <c r="U37" s="433">
        <f>Data!H289/Data!H288-1</f>
        <v>0.0112000000000001</v>
      </c>
      <c r="V37" s="433">
        <f>Data!I289/Data!I288-1</f>
        <v>0</v>
      </c>
      <c r="W37" s="433">
        <f>Data!J289/Data!J288-1</f>
        <v>0.0296011484202885</v>
      </c>
      <c r="X37" s="433">
        <f>Data!K289/Data!K288-1</f>
        <v>0.0304477020602219</v>
      </c>
      <c r="Y37" s="433">
        <f>Data!L289/Data!L288-1</f>
        <v>0.0054475272453498</v>
      </c>
      <c r="Z37" s="433">
        <f>SUMPRODUCT(O37:Y37,Risk!$B$56:$L$56)</f>
        <v>-0.04589651474257</v>
      </c>
      <c r="AA37" s="433">
        <f>Z37-$B$8/12</f>
        <v>-0.0459898480759033</v>
      </c>
      <c r="AB37" s="433">
        <f>SUMPRODUCT(O37:Y37,Risk!$B$57:$L$57)</f>
        <v>-0.0353820937890554</v>
      </c>
      <c r="AC37" s="433">
        <f>AB37-$B$9/12</f>
        <v>-0.035663760455722</v>
      </c>
      <c r="AD37" s="433">
        <f>AA37-AC37</f>
        <v>-0.0103260876201813</v>
      </c>
      <c r="AE37" s="560">
        <f>AE36*(1+AA37)</f>
        <v>0.885553755401816</v>
      </c>
      <c r="AF37" s="560">
        <f>AF36*(1+AC37)</f>
        <v>0.929257307114061</v>
      </c>
      <c r="AG37" s="433">
        <f>AE37/MAX(AE$5:AE37)-1</f>
        <v>-0.230396643023899</v>
      </c>
      <c r="AH37" s="433">
        <f>AF37/MAX(AF$5:AF37)-1</f>
        <v>-0.17040740334537</v>
      </c>
      <c r="AI37" s="620" t="inlineStr"/>
      <c r="AJ37" s="620" t="inlineStr"/>
      <c r="AK37" s="433">
        <f>AE37/AE25-1</f>
        <v>-0.222383657529686</v>
      </c>
      <c r="AL37" s="433">
        <f>AF37/AF25-1</f>
        <v>-0.165112366080704</v>
      </c>
      <c r="AM37" s="620" t="inlineStr"/>
      <c r="AN37" s="620" t="inlineStr"/>
      <c r="AO37" s="620" t="inlineStr"/>
      <c r="AP37" s="620" t="inlineStr"/>
      <c r="AQ37" s="629" t="inlineStr"/>
    </row>
    <row r="38">
      <c r="A38" s="537" t="str">
        <f>TEXT(N185,"mmm-yy")&amp;" to "&amp;TEXT(N245,"mmm-yy")</f>
        <v>Mar-21 to Mar-26</v>
      </c>
      <c r="B38" s="433">
        <f>(AE245/AE185)^(12/60)-1</f>
        <v>0.069191327325671</v>
      </c>
      <c r="C38" s="433">
        <f>(AF245/AF185)^(12/60)-1</f>
        <v>0.0735285803859276</v>
      </c>
      <c r="D38" s="433">
        <f>B38-C38</f>
        <v>-0.00433725306025656</v>
      </c>
      <c r="E38" s="433">
        <f>STDEV(AD186:AD245)*SQRT(12)</f>
        <v>0.0204963799178002</v>
      </c>
      <c r="F38" s="435">
        <f>D38/E38</f>
        <v>-0.211610688211816</v>
      </c>
      <c r="G38" s="435">
        <f>(B38-(EXP(SUMPRODUCT(LN(1+Y186:Y245)))^(12/60)-1))/(STDEV(AA186:AA245)*SQRT(12))</f>
        <v>0.492801088141523</v>
      </c>
      <c r="H38" s="435">
        <f>(C38-(EXP(SUMPRODUCT(LN(1+Y186:Y245)))^(12/60)-1))/(STDEV(AC186:AC245)*SQRT(12))</f>
        <v>0.663182018758545</v>
      </c>
      <c r="I38" s="433">
        <f>INDEX('RBA 5Y yield'!$B$5:$B$661,MATCH(N185,'RBA 5Y yield'!$A$5:$A$661,1))+Inputs!$B$24</f>
        <v>0.04708</v>
      </c>
      <c r="J38" s="619" t="str">
        <f>IF(B38&gt;=I38,"MET","NOT MET")</f>
        <v>MET</v>
      </c>
      <c r="N38" s="554">
        <f>Data!A290</f>
        <v>39813.0</v>
      </c>
      <c r="O38" s="433">
        <f>Data!B290/Data!B289-1</f>
        <v>-0.000789784967664353</v>
      </c>
      <c r="P38" s="433">
        <f>Data!C290/Data!C289-1</f>
        <v>-0.0559515920373762</v>
      </c>
      <c r="Q38" s="433">
        <f>Data!D290/Data!D289-1</f>
        <v>-0.022794705800781</v>
      </c>
      <c r="R38" s="433">
        <f>Data!E290/Data!E289-1</f>
        <v>0.0123713590154264</v>
      </c>
      <c r="S38" s="433">
        <f>Data!F290/Data!F289-1</f>
        <v>-0.190386483704971</v>
      </c>
      <c r="T38" s="433">
        <f>Data!G290/Data!G289-1</f>
        <v>-0.0106778302169772</v>
      </c>
      <c r="U38" s="433">
        <f>Data!H290/Data!H289-1</f>
        <v>0.0051000000000001</v>
      </c>
      <c r="V38" s="433">
        <f>Data!I290/Data!I289-1</f>
        <v>-0.0887033262299638</v>
      </c>
      <c r="W38" s="433">
        <f>Data!J290/Data!J289-1</f>
        <v>0.0124797147493769</v>
      </c>
      <c r="X38" s="433">
        <f>Data!K290/Data!K289-1</f>
        <v>0.0254339927331451</v>
      </c>
      <c r="Y38" s="433">
        <f>Data!L290/Data!L289-1</f>
        <v>0.00425646179695138</v>
      </c>
      <c r="Z38" s="433">
        <f>SUMPRODUCT(O38:Y38,Risk!$B$56:$L$56)</f>
        <v>-0.0060644675361536</v>
      </c>
      <c r="AA38" s="433">
        <f>Z38-$B$8/12</f>
        <v>-0.00615780086948694</v>
      </c>
      <c r="AB38" s="433">
        <f>SUMPRODUCT(O38:Y38,Risk!$B$57:$L$57)</f>
        <v>-0.0156208022262099</v>
      </c>
      <c r="AC38" s="433">
        <f>AB38-$B$9/12</f>
        <v>-0.0159024688928765</v>
      </c>
      <c r="AD38" s="433">
        <f>AA38-AC38</f>
        <v>0.0097446680233896</v>
      </c>
      <c r="AE38" s="560">
        <f>AE37*(1+AA38)</f>
        <v>0.880100691716825</v>
      </c>
      <c r="AF38" s="560">
        <f>AF37*(1+AC38)</f>
        <v>0.914479821694201</v>
      </c>
      <c r="AG38" s="433">
        <f>AE38/MAX(AE$5:AE38)-1</f>
        <v>-0.235135707244647</v>
      </c>
      <c r="AH38" s="433">
        <f>AF38/MAX(AF$5:AF38)-1</f>
        <v>-0.183599973807431</v>
      </c>
      <c r="AI38" s="620" t="inlineStr"/>
      <c r="AJ38" s="620" t="inlineStr"/>
      <c r="AK38" s="433">
        <f>AE38/AE26-1</f>
        <v>-0.21728478488452</v>
      </c>
      <c r="AL38" s="433">
        <f>AF38/AF26-1</f>
        <v>-0.175726036253738</v>
      </c>
      <c r="AM38" s="620" t="inlineStr"/>
      <c r="AN38" s="620" t="inlineStr"/>
      <c r="AO38" s="620" t="inlineStr"/>
      <c r="AP38" s="620" t="inlineStr"/>
      <c r="AQ38" s="629" t="inlineStr"/>
    </row>
    <row r="39">
      <c r="A39" s="537" t="inlineStr">
        <is>
          <t>Change, first block to last</t>
        </is>
      </c>
      <c r="B39" s="433" t="n"/>
      <c r="C39" s="433" t="n"/>
      <c r="D39" s="433">
        <f>D38-D35</f>
        <v>-0.00550314088429271</v>
      </c>
      <c r="E39" s="433">
        <f>E38-E35</f>
        <v>-0.00203994126117903</v>
      </c>
      <c r="F39" s="435">
        <f>F38-F35</f>
        <v>-0.263344412397627</v>
      </c>
      <c r="G39" s="435">
        <f>G38-G35</f>
        <v>0.930265910096839</v>
      </c>
      <c r="H39" s="435">
        <f>H38-H35</f>
        <v>1.21344195244792</v>
      </c>
      <c r="I39" s="433" t="n"/>
      <c r="J39" s="633" t="n"/>
      <c r="N39" s="554">
        <f>Data!A291</f>
        <v>39843.0</v>
      </c>
      <c r="O39" s="433">
        <f>Data!B291/Data!B290-1</f>
        <v>-0.0494557264388011</v>
      </c>
      <c r="P39" s="433">
        <f>Data!C291/Data!C290-1</f>
        <v>0.0189632266167714</v>
      </c>
      <c r="Q39" s="433">
        <f>Data!D291/Data!D290-1</f>
        <v>0.0644266445029116</v>
      </c>
      <c r="R39" s="433">
        <f>Data!E291/Data!E290-1</f>
        <v>-0.0346384978119564</v>
      </c>
      <c r="S39" s="433">
        <f>Data!F291/Data!F290-1</f>
        <v>-0.00160684591998617</v>
      </c>
      <c r="T39" s="433">
        <f>Data!G291/Data!G290-1</f>
        <v>0</v>
      </c>
      <c r="U39" s="433">
        <f>Data!H291/Data!H290-1</f>
        <v>-0.0115999999999999</v>
      </c>
      <c r="V39" s="433">
        <f>Data!I291/Data!I290-1</f>
        <v>0</v>
      </c>
      <c r="W39" s="433">
        <f>Data!J291/Data!J290-1</f>
        <v>0.0140676309039856</v>
      </c>
      <c r="X39" s="433">
        <f>Data!K291/Data!K290-1</f>
        <v>-0.006167979002625</v>
      </c>
      <c r="Y39" s="433">
        <f>Data!L291/Data!L290-1</f>
        <v>0.00400617886626042</v>
      </c>
      <c r="Z39" s="433">
        <f>SUMPRODUCT(O39:Y39,Risk!$B$56:$L$56)</f>
        <v>-0.0175563561973358</v>
      </c>
      <c r="AA39" s="433">
        <f>Z39-$B$8/12</f>
        <v>-0.0176496895306691</v>
      </c>
      <c r="AB39" s="433">
        <f>SUMPRODUCT(O39:Y39,Risk!$B$57:$L$57)</f>
        <v>-0.00727361364956743</v>
      </c>
      <c r="AC39" s="433">
        <f>AB39-$B$9/12</f>
        <v>-0.0075552803162341</v>
      </c>
      <c r="AD39" s="433">
        <f>AA39-AC39</f>
        <v>-0.010094409214435</v>
      </c>
      <c r="AE39" s="560">
        <f>AE38*(1+AA39)</f>
        <v>0.864567187752296</v>
      </c>
      <c r="AF39" s="560">
        <f>AF38*(1+AC39)</f>
        <v>0.907570670297762</v>
      </c>
      <c r="AG39" s="433">
        <f>AE39/MAX(AE$5:AE39)-1</f>
        <v>-0.248635324544874</v>
      </c>
      <c r="AH39" s="433">
        <f>AF39/MAX(AF$5:AF39)-1</f>
        <v>-0.189768104855496</v>
      </c>
      <c r="AI39" s="620" t="inlineStr"/>
      <c r="AJ39" s="620" t="inlineStr"/>
      <c r="AK39" s="433">
        <f>AE39/AE27-1</f>
        <v>-0.176310649878002</v>
      </c>
      <c r="AL39" s="433">
        <f>AF39/AF27-1</f>
        <v>-0.132984477822239</v>
      </c>
      <c r="AM39" s="620" t="inlineStr"/>
      <c r="AN39" s="620" t="inlineStr"/>
      <c r="AO39" s="620" t="inlineStr"/>
      <c r="AP39" s="620" t="inlineStr"/>
      <c r="AQ39" s="629" t="inlineStr"/>
    </row>
    <row r="40">
      <c r="A40" s="537" t="inlineStr">
        <is>
          <t>Rolling 60m windows with positive active return</t>
        </is>
      </c>
      <c r="B40" s="483">
        <f>COUNTIF(AO65:AO245,"&gt;0")/COUNT(AO65:AO245)</f>
        <v>0.541436464088398</v>
      </c>
      <c r="C40" s="433" t="n"/>
      <c r="D40" s="433" t="n"/>
      <c r="E40" s="433" t="n"/>
      <c r="F40" s="435" t="n"/>
      <c r="G40" s="435" t="n"/>
      <c r="H40" s="435" t="n"/>
      <c r="I40" s="433" t="n"/>
      <c r="J40" s="633" t="n"/>
      <c r="N40" s="554">
        <f>Data!A292</f>
        <v>39871.0</v>
      </c>
      <c r="O40" s="433">
        <f>Data!B292/Data!B291-1</f>
        <v>-0.0426177485888269</v>
      </c>
      <c r="P40" s="433">
        <f>Data!C292/Data!C291-1</f>
        <v>-0.0930994944963969</v>
      </c>
      <c r="Q40" s="433">
        <f>Data!D292/Data!D291-1</f>
        <v>-0.0327913132910047</v>
      </c>
      <c r="R40" s="433">
        <f>Data!E292/Data!E291-1</f>
        <v>-0.165887012307345</v>
      </c>
      <c r="S40" s="433">
        <f>Data!F292/Data!F291-1</f>
        <v>-0.065342822423381</v>
      </c>
      <c r="T40" s="433">
        <f>Data!G292/Data!G291-1</f>
        <v>0</v>
      </c>
      <c r="U40" s="433">
        <f>Data!H292/Data!H291-1</f>
        <v>0.0295000000000001</v>
      </c>
      <c r="V40" s="433">
        <f>Data!I292/Data!I291-1</f>
        <v>0</v>
      </c>
      <c r="W40" s="433">
        <f>Data!J292/Data!J291-1</f>
        <v>-0.0122799086241912</v>
      </c>
      <c r="X40" s="433">
        <f>Data!K292/Data!K291-1</f>
        <v>0.00209390503857709</v>
      </c>
      <c r="Y40" s="433">
        <f>Data!L292/Data!L291-1</f>
        <v>0.00290970627489129</v>
      </c>
      <c r="Z40" s="433">
        <f>SUMPRODUCT(O40:Y40,Risk!$B$56:$L$56)</f>
        <v>-0.0537264940168448</v>
      </c>
      <c r="AA40" s="433">
        <f>Z40-$B$8/12</f>
        <v>-0.0538198273501782</v>
      </c>
      <c r="AB40" s="433">
        <f>SUMPRODUCT(O40:Y40,Risk!$B$57:$L$57)</f>
        <v>-0.0474175689999505</v>
      </c>
      <c r="AC40" s="433">
        <f>AB40-$B$9/12</f>
        <v>-0.0476992356666171</v>
      </c>
      <c r="AD40" s="433">
        <f>AA40-AC40</f>
        <v>-0.00612059168356102</v>
      </c>
      <c r="AE40" s="560">
        <f>AE39*(1+AA40)</f>
        <v>0.818036330974839</v>
      </c>
      <c r="AF40" s="560">
        <f>AF39*(1+AC40)</f>
        <v>0.864280243011119</v>
      </c>
      <c r="AG40" s="433">
        <f>AE40/MAX(AE$5:AE40)-1</f>
        <v>-0.289073641654891</v>
      </c>
      <c r="AH40" s="433">
        <f>AF40/MAX(AF$5:AF40)-1</f>
        <v>-0.228415546966604</v>
      </c>
      <c r="AI40" s="620" t="inlineStr"/>
      <c r="AJ40" s="620" t="inlineStr"/>
      <c r="AK40" s="433">
        <f>AE40/AE28-1</f>
        <v>-0.20587726092696</v>
      </c>
      <c r="AL40" s="433">
        <f>AF40/AF28-1</f>
        <v>-0.159573754808129</v>
      </c>
      <c r="AM40" s="620" t="inlineStr"/>
      <c r="AN40" s="620" t="inlineStr"/>
      <c r="AO40" s="620" t="inlineStr"/>
      <c r="AP40" s="620" t="inlineStr"/>
      <c r="AQ40" s="629" t="inlineStr"/>
    </row>
    <row r="41">
      <c r="A41" s="537" t="inlineStr">
        <is>
          <t>Average rolling 60m active: first half of windows</t>
        </is>
      </c>
      <c r="B41" s="433">
        <f>AVERAGE(AO65:AO155)</f>
        <v>0.00176994325723884</v>
      </c>
      <c r="C41" s="433" t="n"/>
      <c r="D41" s="433" t="n"/>
      <c r="E41" s="433" t="n"/>
      <c r="F41" s="435" t="n"/>
      <c r="G41" s="435" t="n"/>
      <c r="H41" s="435" t="n"/>
      <c r="I41" s="433" t="n"/>
      <c r="J41" s="633" t="n"/>
      <c r="N41" s="554">
        <f>Data!A293</f>
        <v>39903.0</v>
      </c>
      <c r="O41" s="433">
        <f>Data!B293/Data!B292-1</f>
        <v>0.0805051028556612</v>
      </c>
      <c r="P41" s="433">
        <f>Data!C293/Data!C292-1</f>
        <v>-0.0215073265719494</v>
      </c>
      <c r="Q41" s="433">
        <f>Data!D293/Data!D292-1</f>
        <v>0.0157820783893583</v>
      </c>
      <c r="R41" s="433">
        <f>Data!E293/Data!E292-1</f>
        <v>-0.0519472503431596</v>
      </c>
      <c r="S41" s="433">
        <f>Data!F293/Data!F292-1</f>
        <v>-0.0390977028406294</v>
      </c>
      <c r="T41" s="433">
        <f>Data!G293/Data!G292-1</f>
        <v>0.000689210390220296</v>
      </c>
      <c r="U41" s="433">
        <f>Data!H293/Data!H292-1</f>
        <v>0.0274999999999996</v>
      </c>
      <c r="V41" s="433">
        <f>Data!I293/Data!I292-1</f>
        <v>-0.0543051407510961</v>
      </c>
      <c r="W41" s="433">
        <f>Data!J293/Data!J292-1</f>
        <v>0.00115119688067278</v>
      </c>
      <c r="X41" s="433">
        <f>Data!K293/Data!K292-1</f>
        <v>0.0105229471781938</v>
      </c>
      <c r="Y41" s="433">
        <f>Data!L293/Data!L292-1</f>
        <v>0.00262965025499851</v>
      </c>
      <c r="Z41" s="433">
        <f>SUMPRODUCT(O41:Y41,Risk!$B$56:$L$56)</f>
        <v>0.0239044416177649</v>
      </c>
      <c r="AA41" s="433">
        <f>Z41-$B$8/12</f>
        <v>0.0238111082844316</v>
      </c>
      <c r="AB41" s="433">
        <f>SUMPRODUCT(O41:Y41,Risk!$B$57:$L$57)</f>
        <v>0.011647605665018</v>
      </c>
      <c r="AC41" s="433">
        <f>AB41-$B$9/12</f>
        <v>0.0113659389983513</v>
      </c>
      <c r="AD41" s="433">
        <f>AA41-AC41</f>
        <v>0.0124451692860803</v>
      </c>
      <c r="AE41" s="560">
        <f>AE40*(1+AA41)</f>
        <v>0.83751468263228</v>
      </c>
      <c r="AF41" s="560">
        <f>AF40*(1+AC41)</f>
        <v>0.874103599530664</v>
      </c>
      <c r="AG41" s="433">
        <f>AE41/MAX(AE$5:AE41)-1</f>
        <v>-0.272145697154079</v>
      </c>
      <c r="AH41" s="433">
        <f>AF41/MAX(AF$5:AF41)-1</f>
        <v>-0.21964576514135</v>
      </c>
      <c r="AI41" s="620" t="inlineStr"/>
      <c r="AJ41" s="620" t="inlineStr"/>
      <c r="AK41" s="433">
        <f>AE41/AE29-1</f>
        <v>-0.180613421437222</v>
      </c>
      <c r="AL41" s="433">
        <f>AF41/AF29-1</f>
        <v>-0.147010618990246</v>
      </c>
      <c r="AM41" s="620" t="inlineStr"/>
      <c r="AN41" s="620" t="inlineStr"/>
      <c r="AO41" s="620" t="inlineStr"/>
      <c r="AP41" s="620" t="inlineStr"/>
      <c r="AQ41" s="629" t="inlineStr"/>
    </row>
    <row r="42">
      <c r="A42" s="537" t="inlineStr">
        <is>
          <t>Average rolling 60m active: second half of windows</t>
        </is>
      </c>
      <c r="B42" s="433">
        <f>AVERAGE(AO156:AO245)</f>
        <v>-0.000735680183583747</v>
      </c>
      <c r="C42" s="433" t="n"/>
      <c r="D42" s="433" t="n"/>
      <c r="E42" s="433" t="n"/>
      <c r="F42" s="435" t="n"/>
      <c r="G42" s="435" t="n"/>
      <c r="H42" s="435" t="n"/>
      <c r="I42" s="433" t="n"/>
      <c r="J42" s="633" t="n"/>
      <c r="N42" s="554">
        <f>Data!A294</f>
        <v>39933.0</v>
      </c>
      <c r="O42" s="433">
        <f>Data!B294/Data!B293-1</f>
        <v>0.0607095214359847</v>
      </c>
      <c r="P42" s="433">
        <f>Data!C294/Data!C293-1</f>
        <v>0.0443500809161106</v>
      </c>
      <c r="Q42" s="433">
        <f>Data!D294/Data!D293-1</f>
        <v>0.0611239065267684</v>
      </c>
      <c r="R42" s="433">
        <f>Data!E294/Data!E293-1</f>
        <v>0.13128682448412</v>
      </c>
      <c r="S42" s="433">
        <f>Data!F294/Data!F293-1</f>
        <v>-0.0629955764987222</v>
      </c>
      <c r="T42" s="433">
        <f>Data!G294/Data!G293-1</f>
        <v>0</v>
      </c>
      <c r="U42" s="433">
        <f>Data!H294/Data!H293-1</f>
        <v>-0.0125999999999998</v>
      </c>
      <c r="V42" s="433">
        <f>Data!I294/Data!I293-1</f>
        <v>0</v>
      </c>
      <c r="W42" s="433">
        <f>Data!J294/Data!J293-1</f>
        <v>3.63664701144018e-05</v>
      </c>
      <c r="X42" s="433">
        <f>Data!K294/Data!K293-1</f>
        <v>0.00638959780928072</v>
      </c>
      <c r="Y42" s="433">
        <f>Data!L294/Data!L293-1</f>
        <v>0.00264242776456092</v>
      </c>
      <c r="Z42" s="433">
        <f>SUMPRODUCT(O42:Y42,Risk!$B$56:$L$56)</f>
        <v>0.0469840999448069</v>
      </c>
      <c r="AA42" s="433">
        <f>Z42-$B$8/12</f>
        <v>0.0468907666114736</v>
      </c>
      <c r="AB42" s="433">
        <f>SUMPRODUCT(O42:Y42,Risk!$B$57:$L$57)</f>
        <v>0.0359945030563535</v>
      </c>
      <c r="AC42" s="433">
        <f>AB42-$B$9/12</f>
        <v>0.0357128363896868</v>
      </c>
      <c r="AD42" s="433">
        <f>AA42-AC42</f>
        <v>0.0111779302217868</v>
      </c>
      <c r="AE42" s="560">
        <f>AE41*(1+AA42)</f>
        <v>0.876786388149272</v>
      </c>
      <c r="AF42" s="560">
        <f>AF41*(1+AC42)</f>
        <v>0.905320318368339</v>
      </c>
      <c r="AG42" s="433">
        <f>AE42/MAX(AE$5:AE42)-1</f>
        <v>-0.238016050912174</v>
      </c>
      <c r="AH42" s="433">
        <f>AF42/MAX(AF$5:AF42)-1</f>
        <v>-0.191777102025844</v>
      </c>
      <c r="AI42" s="620" t="inlineStr"/>
      <c r="AJ42" s="620" t="inlineStr"/>
      <c r="AK42" s="433">
        <f>AE42/AE30-1</f>
        <v>-0.163361614562936</v>
      </c>
      <c r="AL42" s="433">
        <f>AF42/AF30-1</f>
        <v>-0.135090549539388</v>
      </c>
      <c r="AM42" s="620" t="inlineStr"/>
      <c r="AN42" s="620" t="inlineStr"/>
      <c r="AO42" s="620" t="inlineStr"/>
      <c r="AP42" s="620" t="inlineStr"/>
      <c r="AQ42" s="629" t="inlineStr"/>
    </row>
    <row r="43">
      <c r="A43" s="539" t="inlineStr">
        <is>
          <t>Slope of rolling 60m active return (pp per year)</t>
        </is>
      </c>
      <c r="B43" s="622">
        <f>SLOPE(AO65:AO245,N65:N245)*365.25</f>
        <v>-0.000337348073164174</v>
      </c>
      <c r="C43" s="622" t="n"/>
      <c r="D43" s="622" t="n"/>
      <c r="E43" s="622" t="n"/>
      <c r="F43" s="571" t="n"/>
      <c r="G43" s="571" t="n"/>
      <c r="H43" s="571" t="n"/>
      <c r="I43" s="622" t="n"/>
      <c r="J43" s="634" t="n"/>
      <c r="N43" s="554">
        <f>Data!A295</f>
        <v>39962.0</v>
      </c>
      <c r="O43" s="433">
        <f>Data!B295/Data!B294-1</f>
        <v>0.0215025473810655</v>
      </c>
      <c r="P43" s="433">
        <f>Data!C295/Data!C294-1</f>
        <v>-0.0294036185012593</v>
      </c>
      <c r="Q43" s="433">
        <f>Data!D295/Data!D294-1</f>
        <v>0.0328572098275475</v>
      </c>
      <c r="R43" s="433">
        <f>Data!E295/Data!E294-1</f>
        <v>-0.0521185424377026</v>
      </c>
      <c r="S43" s="433">
        <f>Data!F295/Data!F294-1</f>
        <v>0.0983572476147632</v>
      </c>
      <c r="T43" s="433">
        <f>Data!G295/Data!G294-1</f>
        <v>0</v>
      </c>
      <c r="U43" s="433">
        <f>Data!H295/Data!H294-1</f>
        <v>-0.0188999999999997</v>
      </c>
      <c r="V43" s="433">
        <f>Data!I295/Data!I294-1</f>
        <v>0</v>
      </c>
      <c r="W43" s="433">
        <f>Data!J295/Data!J294-1</f>
        <v>-0.00719510421212299</v>
      </c>
      <c r="X43" s="433">
        <f>Data!K295/Data!K294-1</f>
        <v>0.00385014067821721</v>
      </c>
      <c r="Y43" s="433">
        <f>Data!L295/Data!L294-1</f>
        <v>0.00251470938955634</v>
      </c>
      <c r="Z43" s="433">
        <f>SUMPRODUCT(O43:Y43,Risk!$B$56:$L$56)</f>
        <v>-0.00308678371188805</v>
      </c>
      <c r="AA43" s="433">
        <f>Z43-$B$8/12</f>
        <v>-0.00318011704522138</v>
      </c>
      <c r="AB43" s="433">
        <f>SUMPRODUCT(O43:Y43,Risk!$B$57:$L$57)</f>
        <v>-0.00345202615195998</v>
      </c>
      <c r="AC43" s="433">
        <f>AB43-$B$9/12</f>
        <v>-0.00373369281862664</v>
      </c>
      <c r="AD43" s="433">
        <f>AA43-AC43</f>
        <v>0.000553575773405261</v>
      </c>
      <c r="AE43" s="560">
        <f>AE42*(1+AA43)</f>
        <v>0.873998104811301</v>
      </c>
      <c r="AF43" s="560">
        <f>AF42*(1+AC43)</f>
        <v>0.90194013039709</v>
      </c>
      <c r="AG43" s="433">
        <f>AE43/MAX(AE$5:AE43)-1</f>
        <v>-0.240439249056854</v>
      </c>
      <c r="AH43" s="433">
        <f>AF43/MAX(AF$5:AF43)-1</f>
        <v>-0.19479475805586</v>
      </c>
      <c r="AI43" s="620" t="inlineStr"/>
      <c r="AJ43" s="620" t="inlineStr"/>
      <c r="AK43" s="433">
        <f>AE43/AE31-1</f>
        <v>-0.172581320563993</v>
      </c>
      <c r="AL43" s="433">
        <f>AF43/AF31-1</f>
        <v>-0.144489505928292</v>
      </c>
      <c r="AM43" s="620" t="inlineStr"/>
      <c r="AN43" s="620" t="inlineStr"/>
      <c r="AO43" s="620" t="inlineStr"/>
      <c r="AP43" s="620" t="inlineStr"/>
      <c r="AQ43" s="629" t="inlineStr"/>
    </row>
    <row r="44">
      <c r="N44" s="554">
        <f>Data!A296</f>
        <v>39994.0</v>
      </c>
      <c r="O44" s="433">
        <f>Data!B296/Data!B295-1</f>
        <v>0.039252424374427</v>
      </c>
      <c r="P44" s="433">
        <f>Data!C296/Data!C295-1</f>
        <v>-0.0101499898457267</v>
      </c>
      <c r="Q44" s="433">
        <f>Data!D296/Data!D295-1</f>
        <v>-0.0231492647738907</v>
      </c>
      <c r="R44" s="433">
        <f>Data!E296/Data!E295-1</f>
        <v>-0.0132757235428479</v>
      </c>
      <c r="S44" s="433">
        <f>Data!F296/Data!F295-1</f>
        <v>-0.00424099994260652</v>
      </c>
      <c r="T44" s="433">
        <f>Data!G296/Data!G295-1</f>
        <v>0.0446948337945301</v>
      </c>
      <c r="U44" s="433">
        <f>Data!H296/Data!H295-1</f>
        <v>0.0237999999999996</v>
      </c>
      <c r="V44" s="433">
        <f>Data!I296/Data!I295-1</f>
        <v>0.00339998924904594</v>
      </c>
      <c r="W44" s="433">
        <f>Data!J296/Data!J295-1</f>
        <v>-0.00614315540508725</v>
      </c>
      <c r="X44" s="433">
        <f>Data!K296/Data!K295-1</f>
        <v>0.0113032895707328</v>
      </c>
      <c r="Y44" s="433">
        <f>Data!L296/Data!L295-1</f>
        <v>0.00267552787848802</v>
      </c>
      <c r="Z44" s="433">
        <f>SUMPRODUCT(O44:Y44,Risk!$B$56:$L$56)</f>
        <v>0.0125134762327304</v>
      </c>
      <c r="AA44" s="433">
        <f>Z44-$B$8/12</f>
        <v>0.012420142899397</v>
      </c>
      <c r="AB44" s="433">
        <f>SUMPRODUCT(O44:Y44,Risk!$B$57:$L$57)</f>
        <v>0.00918283724018505</v>
      </c>
      <c r="AC44" s="433">
        <f>AB44-$B$9/12</f>
        <v>0.00890117057351838</v>
      </c>
      <c r="AD44" s="433">
        <f>AA44-AC44</f>
        <v>0.00351897232587866</v>
      </c>
      <c r="AE44" s="560">
        <f>AE43*(1+AA44)</f>
        <v>0.884853286166859</v>
      </c>
      <c r="AF44" s="560">
        <f>AF43*(1+AC44)</f>
        <v>0.909968453344856</v>
      </c>
      <c r="AG44" s="433">
        <f>AE44/MAX(AE$5:AE44)-1</f>
        <v>-0.231005395989366</v>
      </c>
      <c r="AH44" s="433">
        <f>AF44/MAX(AF$5:AF44)-1</f>
        <v>-0.187627488850624</v>
      </c>
      <c r="AI44" s="620" t="inlineStr"/>
      <c r="AJ44" s="620" t="inlineStr"/>
      <c r="AK44" s="433">
        <f>AE44/AE32-1</f>
        <v>-0.111337307922561</v>
      </c>
      <c r="AL44" s="433">
        <f>AF44/AF32-1</f>
        <v>-0.0925907599145495</v>
      </c>
      <c r="AM44" s="620" t="inlineStr"/>
      <c r="AN44" s="620" t="inlineStr"/>
      <c r="AO44" s="620" t="inlineStr"/>
      <c r="AP44" s="620" t="inlineStr"/>
      <c r="AQ44" s="629" t="inlineStr"/>
    </row>
    <row r="45">
      <c r="N45" s="554">
        <f>Data!A297</f>
        <v>40025.0</v>
      </c>
      <c r="O45" s="433">
        <f>Data!B297/Data!B296-1</f>
        <v>0.0765039583215654</v>
      </c>
      <c r="P45" s="433">
        <f>Data!C297/Data!C296-1</f>
        <v>0.0448737030744433</v>
      </c>
      <c r="Q45" s="433">
        <f>Data!D297/Data!D296-1</f>
        <v>0.068879465643013</v>
      </c>
      <c r="R45" s="433">
        <f>Data!E297/Data!E296-1</f>
        <v>0.0587864566019982</v>
      </c>
      <c r="S45" s="433">
        <f>Data!F297/Data!F296-1</f>
        <v>-0.0232255558839142</v>
      </c>
      <c r="T45" s="433">
        <f>Data!G297/Data!G296-1</f>
        <v>0</v>
      </c>
      <c r="U45" s="433">
        <f>Data!H297/Data!H296-1</f>
        <v>-0.0172999999999998</v>
      </c>
      <c r="V45" s="433">
        <f>Data!I297/Data!I296-1</f>
        <v>0</v>
      </c>
      <c r="W45" s="433">
        <f>Data!J297/Data!J296-1</f>
        <v>0.00313619364021345</v>
      </c>
      <c r="X45" s="433">
        <f>Data!K297/Data!K296-1</f>
        <v>0.0154617558574166</v>
      </c>
      <c r="Y45" s="433">
        <f>Data!L297/Data!L296-1</f>
        <v>0.00265036902446925</v>
      </c>
      <c r="Z45" s="433">
        <f>SUMPRODUCT(O45:Y45,Risk!$B$56:$L$56)</f>
        <v>0.0473478649500528</v>
      </c>
      <c r="AA45" s="433">
        <f>Z45-$B$8/12</f>
        <v>0.0472545316167195</v>
      </c>
      <c r="AB45" s="433">
        <f>SUMPRODUCT(O45:Y45,Risk!$B$57:$L$57)</f>
        <v>0.0373129744566895</v>
      </c>
      <c r="AC45" s="433">
        <f>AB45-$B$9/12</f>
        <v>0.0370313077900229</v>
      </c>
      <c r="AD45" s="433">
        <f>AA45-AC45</f>
        <v>0.0102232238266967</v>
      </c>
      <c r="AE45" s="560">
        <f>AE44*(1+AA45)</f>
        <v>0.926666613754189</v>
      </c>
      <c r="AF45" s="560">
        <f>AF44*(1+AC45)</f>
        <v>0.943665775219881</v>
      </c>
      <c r="AG45" s="433">
        <f>AE45/MAX(AE$5:AE45)-1</f>
        <v>-0.194666916161059</v>
      </c>
      <c r="AH45" s="433">
        <f>AF45/MAX(AF$5:AF45)-1</f>
        <v>-0.157544272350097</v>
      </c>
      <c r="AI45" s="620" t="inlineStr"/>
      <c r="AJ45" s="620" t="inlineStr"/>
      <c r="AK45" s="433">
        <f>AE45/AE33-1</f>
        <v>-0.0565466988794232</v>
      </c>
      <c r="AL45" s="433">
        <f>AF45/AF33-1</f>
        <v>-0.0498642404213255</v>
      </c>
      <c r="AM45" s="620" t="inlineStr"/>
      <c r="AN45" s="620" t="inlineStr"/>
      <c r="AO45" s="620" t="inlineStr"/>
      <c r="AP45" s="620" t="inlineStr"/>
      <c r="AQ45" s="629" t="inlineStr"/>
    </row>
    <row r="46">
      <c r="A46" s="504" t="inlineStr">
        <is>
          <t>4. Attribution of active return (allocation effect; asset classes held passively)</t>
        </is>
      </c>
      <c r="B46" s="505" t="n"/>
      <c r="C46" s="505" t="n"/>
      <c r="D46" s="505" t="n"/>
      <c r="E46" s="505" t="n"/>
      <c r="F46" s="505" t="n"/>
      <c r="G46" s="505" t="n"/>
      <c r="H46" s="506" t="n"/>
      <c r="N46" s="554">
        <f>Data!A298</f>
        <v>40056.0</v>
      </c>
      <c r="O46" s="433">
        <f>Data!B298/Data!B297-1</f>
        <v>0.064729265476789</v>
      </c>
      <c r="P46" s="433">
        <f>Data!C298/Data!C297-1</f>
        <v>0.0232661562913454</v>
      </c>
      <c r="Q46" s="433">
        <f>Data!D298/Data!D297-1</f>
        <v>-0.0131349304224856</v>
      </c>
      <c r="R46" s="433">
        <f>Data!E298/Data!E297-1</f>
        <v>0.112463621017693</v>
      </c>
      <c r="S46" s="433">
        <f>Data!F298/Data!F297-1</f>
        <v>-0.0372039413066183</v>
      </c>
      <c r="T46" s="433">
        <f>Data!G298/Data!G297-1</f>
        <v>0</v>
      </c>
      <c r="U46" s="433">
        <f>Data!H298/Data!H297-1</f>
        <v>0.0150999999999997</v>
      </c>
      <c r="V46" s="433">
        <f>Data!I298/Data!I297-1</f>
        <v>0</v>
      </c>
      <c r="W46" s="433">
        <f>Data!J298/Data!J297-1</f>
        <v>0.00716602575990333</v>
      </c>
      <c r="X46" s="433">
        <f>Data!K298/Data!K297-1</f>
        <v>0.0126407268417936</v>
      </c>
      <c r="Y46" s="433">
        <f>Data!L298/Data!L297-1</f>
        <v>0.0025310389240838</v>
      </c>
      <c r="Z46" s="433">
        <f>SUMPRODUCT(O46:Y46,Risk!$B$56:$L$56)</f>
        <v>0.0440546342867689</v>
      </c>
      <c r="AA46" s="433">
        <f>Z46-$B$8/12</f>
        <v>0.0439613009534356</v>
      </c>
      <c r="AB46" s="433">
        <f>SUMPRODUCT(O46:Y46,Risk!$B$57:$L$57)</f>
        <v>0.031423175338258</v>
      </c>
      <c r="AC46" s="433">
        <f>AB46-$B$9/12</f>
        <v>0.0311415086715914</v>
      </c>
      <c r="AD46" s="433">
        <f>AA46-AC46</f>
        <v>0.0128197922818442</v>
      </c>
      <c r="AE46" s="560">
        <f>AE45*(1+AA46)</f>
        <v>0.967404083644938</v>
      </c>
      <c r="AF46" s="560">
        <f>AF45*(1+AC46)</f>
        <v>0.973052951141975</v>
      </c>
      <c r="AG46" s="433">
        <f>AE46/MAX(AE$5:AE46)-1</f>
        <v>-0.159263426094657</v>
      </c>
      <c r="AH46" s="433">
        <f>AF46/MAX(AF$5:AF46)-1</f>
        <v>-0.131308930002056</v>
      </c>
      <c r="AI46" s="620" t="inlineStr"/>
      <c r="AJ46" s="620" t="inlineStr"/>
      <c r="AK46" s="433">
        <f>AE46/AE34-1</f>
        <v>-0.0655447661233186</v>
      </c>
      <c r="AL46" s="433">
        <f>AF46/AF34-1</f>
        <v>-0.0669821800615981</v>
      </c>
      <c r="AM46" s="620" t="inlineStr"/>
      <c r="AN46" s="620" t="inlineStr"/>
      <c r="AO46" s="620" t="inlineStr"/>
      <c r="AP46" s="620" t="inlineStr"/>
      <c r="AQ46" s="629" t="inlineStr"/>
    </row>
    <row r="47" ht="40" customHeight="1">
      <c r="A47" s="507" t="inlineStr">
        <is>
          <t>Asset class</t>
        </is>
      </c>
      <c r="B47" s="508" t="inlineStr">
        <is>
          <t>Current weight</t>
        </is>
      </c>
      <c r="C47" s="508" t="inlineStr">
        <is>
          <t>Benchmark weight</t>
        </is>
      </c>
      <c r="D47" s="508" t="inlineStr">
        <is>
          <t>Active weight</t>
        </is>
      </c>
      <c r="E47" s="508" t="inlineStr">
        <is>
          <t>5y: asset less benchmark (p.a.)</t>
        </is>
      </c>
      <c r="F47" s="508" t="inlineStr">
        <is>
          <t>5y: contribution</t>
        </is>
      </c>
      <c r="G47" s="508" t="inlineStr">
        <is>
          <t>20y: asset less benchmark (p.a.)</t>
        </is>
      </c>
      <c r="H47" s="509" t="inlineStr">
        <is>
          <t>20y: contribution</t>
        </is>
      </c>
      <c r="N47" s="554">
        <f>Data!A299</f>
        <v>40086.0</v>
      </c>
      <c r="O47" s="433">
        <f>Data!B299/Data!B298-1</f>
        <v>0.0604705452390471</v>
      </c>
      <c r="P47" s="433">
        <f>Data!C299/Data!C298-1</f>
        <v>-0.0150630175039581</v>
      </c>
      <c r="Q47" s="433">
        <f>Data!D299/Data!D298-1</f>
        <v>0.0155676490637537</v>
      </c>
      <c r="R47" s="433">
        <f>Data!E299/Data!E298-1</f>
        <v>0.00804075283606798</v>
      </c>
      <c r="S47" s="433">
        <f>Data!F299/Data!F298-1</f>
        <v>-0.043107568894482</v>
      </c>
      <c r="T47" s="433">
        <f>Data!G299/Data!G298-1</f>
        <v>0.0452557090846801</v>
      </c>
      <c r="U47" s="433">
        <f>Data!H299/Data!H298-1</f>
        <v>0.0177000000000001</v>
      </c>
      <c r="V47" s="433">
        <f>Data!I299/Data!I298-1</f>
        <v>0.0704078216031607</v>
      </c>
      <c r="W47" s="433">
        <f>Data!J299/Data!J298-1</f>
        <v>0.00723489704385405</v>
      </c>
      <c r="X47" s="433">
        <f>Data!K299/Data!K298-1</f>
        <v>0.0105147436920401</v>
      </c>
      <c r="Y47" s="433">
        <f>Data!L299/Data!L298-1</f>
        <v>0.00282939946220462</v>
      </c>
      <c r="Z47" s="433">
        <f>SUMPRODUCT(O47:Y47,Risk!$B$56:$L$56)</f>
        <v>0.0241041618927296</v>
      </c>
      <c r="AA47" s="433">
        <f>Z47-$B$8/12</f>
        <v>0.0240108285593963</v>
      </c>
      <c r="AB47" s="433">
        <f>SUMPRODUCT(O47:Y47,Risk!$B$57:$L$57)</f>
        <v>0.0188306523798185</v>
      </c>
      <c r="AC47" s="433">
        <f>AB47-$B$9/12</f>
        <v>0.0185489857131518</v>
      </c>
      <c r="AD47" s="433">
        <f>AA47-AC47</f>
        <v>0.00546184284624447</v>
      </c>
      <c r="AE47" s="560">
        <f>AE46*(1+AA47)</f>
        <v>0.990632257244997</v>
      </c>
      <c r="AF47" s="560">
        <f>AF46*(1+AC47)</f>
        <v>0.991102096430847</v>
      </c>
      <c r="AG47" s="433">
        <f>AE47/MAX(AE$5:AE47)-1</f>
        <v>-0.139076644355002</v>
      </c>
      <c r="AH47" s="433">
        <f>AF47/MAX(AF$5:AF47)-1</f>
        <v>-0.115195591755522</v>
      </c>
      <c r="AI47" s="620" t="inlineStr"/>
      <c r="AJ47" s="620" t="inlineStr"/>
      <c r="AK47" s="433">
        <f>AE47/AE35-1</f>
        <v>-0.00334833106282728</v>
      </c>
      <c r="AL47" s="433">
        <f>AF47/AF35-1</f>
        <v>-0.0192996938871522</v>
      </c>
      <c r="AM47" s="620" t="inlineStr"/>
      <c r="AN47" s="620" t="inlineStr"/>
      <c r="AO47" s="620" t="inlineStr"/>
      <c r="AP47" s="620" t="inlineStr"/>
      <c r="AQ47" s="629" t="inlineStr"/>
    </row>
    <row r="48">
      <c r="A48" s="510" t="inlineStr">
        <is>
          <t>Australian Equities</t>
        </is>
      </c>
      <c r="B48" s="483">
        <f>Portfolio!C6</f>
        <v>0.4</v>
      </c>
      <c r="C48" s="483">
        <f>Portfolio!D6</f>
        <v>0.25</v>
      </c>
      <c r="D48" s="483">
        <f>B48-C48</f>
        <v>0.15</v>
      </c>
      <c r="E48" s="433">
        <f>12*(AVERAGE(O186:O245)-AVERAGE(AB186:AB245))</f>
        <v>0.0117812470128983</v>
      </c>
      <c r="F48" s="433">
        <f>D48*E48</f>
        <v>0.00176718705193474</v>
      </c>
      <c r="G48" s="433">
        <f>12*(AVERAGE(O6:O245)-AVERAGE(AB6:AB245))</f>
        <v>0.00856314432597775</v>
      </c>
      <c r="H48" s="515">
        <f>D48*G48</f>
        <v>0.00128447164889666</v>
      </c>
      <c r="N48" s="554">
        <f>Data!A300</f>
        <v>40116.0</v>
      </c>
      <c r="O48" s="433">
        <f>Data!B300/Data!B299-1</f>
        <v>-0.0188994030218955</v>
      </c>
      <c r="P48" s="433">
        <f>Data!C300/Data!C299-1</f>
        <v>-0.0450123188442972</v>
      </c>
      <c r="Q48" s="433">
        <f>Data!D300/Data!D299-1</f>
        <v>-0.0270389505161358</v>
      </c>
      <c r="R48" s="433">
        <f>Data!E300/Data!E299-1</f>
        <v>-0.0593865600899227</v>
      </c>
      <c r="S48" s="433">
        <f>Data!F300/Data!F299-1</f>
        <v>0.0340637733832003</v>
      </c>
      <c r="T48" s="433">
        <f>Data!G300/Data!G299-1</f>
        <v>0</v>
      </c>
      <c r="U48" s="433">
        <f>Data!H300/Data!H299-1</f>
        <v>-0.00680000000000003</v>
      </c>
      <c r="V48" s="433">
        <f>Data!I300/Data!I299-1</f>
        <v>0</v>
      </c>
      <c r="W48" s="433">
        <f>Data!J300/Data!J299-1</f>
        <v>-0.000755371675631666</v>
      </c>
      <c r="X48" s="433">
        <f>Data!K300/Data!K299-1</f>
        <v>0.00457975083347972</v>
      </c>
      <c r="Y48" s="433">
        <f>Data!L300/Data!L299-1</f>
        <v>0.00255774668029241</v>
      </c>
      <c r="Z48" s="433">
        <f>SUMPRODUCT(O48:Y48,Risk!$B$56:$L$56)</f>
        <v>-0.0220687644036558</v>
      </c>
      <c r="AA48" s="433">
        <f>Z48-$B$8/12</f>
        <v>-0.0221620977369892</v>
      </c>
      <c r="AB48" s="433">
        <f>SUMPRODUCT(O48:Y48,Risk!$B$57:$L$57)</f>
        <v>-0.0195440065747168</v>
      </c>
      <c r="AC48" s="433">
        <f>AB48-$B$9/12</f>
        <v>-0.0198256732413834</v>
      </c>
      <c r="AD48" s="433">
        <f>AA48-AC48</f>
        <v>-0.00233642449560573</v>
      </c>
      <c r="AE48" s="560">
        <f>AE47*(1+AA48)</f>
        <v>0.968677768338519</v>
      </c>
      <c r="AF48" s="560">
        <f>AF47*(1+AC48)</f>
        <v>0.971452830118159</v>
      </c>
      <c r="AG48" s="433">
        <f>AE48/MAX(AE$5:AE48)-1</f>
        <v>-0.158156511906863</v>
      </c>
      <c r="AH48" s="433">
        <f>AF48/MAX(AF$5:AF48)-1</f>
        <v>-0.132737434835912</v>
      </c>
      <c r="AI48" s="620" t="inlineStr"/>
      <c r="AJ48" s="620" t="inlineStr"/>
      <c r="AK48" s="433">
        <f>AE48/AE36-1</f>
        <v>0.0435599412243541</v>
      </c>
      <c r="AL48" s="433">
        <f>AF48/AF36-1</f>
        <v>0.00812461943417819</v>
      </c>
      <c r="AM48" s="620" t="inlineStr"/>
      <c r="AN48" s="620" t="inlineStr"/>
      <c r="AO48" s="620" t="inlineStr"/>
      <c r="AP48" s="620" t="inlineStr"/>
      <c r="AQ48" s="629" t="inlineStr"/>
    </row>
    <row r="49">
      <c r="A49" s="510" t="inlineStr">
        <is>
          <t>World Equities</t>
        </is>
      </c>
      <c r="B49" s="483">
        <f>Portfolio!C7</f>
        <v>0.2</v>
      </c>
      <c r="C49" s="483">
        <f>Portfolio!D7</f>
        <v>0.24</v>
      </c>
      <c r="D49" s="483">
        <f>B49-C49</f>
        <v>-0.04</v>
      </c>
      <c r="E49" s="433">
        <f>12*(AVERAGE(P186:P245)-AVERAGE(AB186:AB245))</f>
        <v>0.0592774353906992</v>
      </c>
      <c r="F49" s="433">
        <f>D49*E49</f>
        <v>-0.00237109741562797</v>
      </c>
      <c r="G49" s="433">
        <f>12*(AVERAGE(P6:P245)-AVERAGE(AB6:AB245))</f>
        <v>0.0232995553826395</v>
      </c>
      <c r="H49" s="515">
        <f>D49*G49</f>
        <v>-0.000931982215305578</v>
      </c>
      <c r="N49" s="554">
        <f>Data!A301</f>
        <v>40147.0</v>
      </c>
      <c r="O49" s="433">
        <f>Data!B301/Data!B300-1</f>
        <v>0.019443464868879</v>
      </c>
      <c r="P49" s="433">
        <f>Data!C301/Data!C300-1</f>
        <v>0.0181870173834795</v>
      </c>
      <c r="Q49" s="433">
        <f>Data!D301/Data!D300-1</f>
        <v>0.0196052864753533</v>
      </c>
      <c r="R49" s="433">
        <f>Data!E301/Data!E300-1</f>
        <v>0.013407531060301</v>
      </c>
      <c r="S49" s="433">
        <f>Data!F301/Data!F300-1</f>
        <v>0.00221117799705195</v>
      </c>
      <c r="T49" s="433">
        <f>Data!G301/Data!G300-1</f>
        <v>0</v>
      </c>
      <c r="U49" s="433">
        <f>Data!H301/Data!H300-1</f>
        <v>-0.0163999999999999</v>
      </c>
      <c r="V49" s="433">
        <f>Data!I301/Data!I300-1</f>
        <v>0</v>
      </c>
      <c r="W49" s="433">
        <f>Data!J301/Data!J300-1</f>
        <v>0.0149825080383632</v>
      </c>
      <c r="X49" s="433">
        <f>Data!K301/Data!K300-1</f>
        <v>0.0127858028680719</v>
      </c>
      <c r="Y49" s="433">
        <f>Data!L301/Data!L300-1</f>
        <v>0.00303561160218746</v>
      </c>
      <c r="Z49" s="433">
        <f>SUMPRODUCT(O49:Y49,Risk!$B$56:$L$56)</f>
        <v>0.016238275777631</v>
      </c>
      <c r="AA49" s="433">
        <f>Z49-$B$8/12</f>
        <v>0.0161449424442976</v>
      </c>
      <c r="AB49" s="433">
        <f>SUMPRODUCT(O49:Y49,Risk!$B$57:$L$57)</f>
        <v>0.0138997175066019</v>
      </c>
      <c r="AC49" s="433">
        <f>AB49-$B$9/12</f>
        <v>0.0136180508399353</v>
      </c>
      <c r="AD49" s="433">
        <f>AA49-AC49</f>
        <v>0.00252689160436237</v>
      </c>
      <c r="AE49" s="560">
        <f>AE48*(1+AA49)</f>
        <v>0.984317015155415</v>
      </c>
      <c r="AF49" s="560">
        <f>AF48*(1+AC49)</f>
        <v>0.984682124147307</v>
      </c>
      <c r="AG49" s="433">
        <f>AE49/MAX(AE$5:AE49)-1</f>
        <v>-0.144564997244492</v>
      </c>
      <c r="AH49" s="433">
        <f>AF49/MAX(AF$5:AF49)-1</f>
        <v>-0.120927009131935</v>
      </c>
      <c r="AI49" s="620" t="inlineStr"/>
      <c r="AJ49" s="620" t="inlineStr"/>
      <c r="AK49" s="433">
        <f>AE49/AE37-1</f>
        <v>0.111527119783695</v>
      </c>
      <c r="AL49" s="433">
        <f>AF49/AF37-1</f>
        <v>0.0596442089924221</v>
      </c>
      <c r="AM49" s="620" t="inlineStr"/>
      <c r="AN49" s="620" t="inlineStr"/>
      <c r="AO49" s="620" t="inlineStr"/>
      <c r="AP49" s="620" t="inlineStr"/>
      <c r="AQ49" s="629" t="inlineStr"/>
    </row>
    <row r="50">
      <c r="A50" s="510" t="inlineStr">
        <is>
          <t>Emerging Markets</t>
        </is>
      </c>
      <c r="B50" s="483">
        <f>Portfolio!C8</f>
        <v>0</v>
      </c>
      <c r="C50" s="483">
        <f>Portfolio!D8</f>
        <v>0.03</v>
      </c>
      <c r="D50" s="483">
        <f>B50-C50</f>
        <v>-0.03</v>
      </c>
      <c r="E50" s="433">
        <f>12*(AVERAGE(Q186:Q245)-AVERAGE(AB186:AB245))</f>
        <v>0.0151482331166508</v>
      </c>
      <c r="F50" s="433">
        <f>D50*E50</f>
        <v>-0.000454446993499525</v>
      </c>
      <c r="G50" s="433">
        <f>12*(AVERAGE(Q6:Q245)-AVERAGE(AB6:AB245))</f>
        <v>0.0140482042286831</v>
      </c>
      <c r="H50" s="515">
        <f>D50*G50</f>
        <v>-0.000421446126860492</v>
      </c>
      <c r="N50" s="554">
        <f>Data!A302</f>
        <v>40178.0</v>
      </c>
      <c r="O50" s="433">
        <f>Data!B302/Data!B301-1</f>
        <v>0.0369208364562765</v>
      </c>
      <c r="P50" s="433">
        <f>Data!C302/Data!C301-1</f>
        <v>0.0557121591976726</v>
      </c>
      <c r="Q50" s="433">
        <f>Data!D302/Data!D301-1</f>
        <v>0.0604356902190606</v>
      </c>
      <c r="R50" s="433">
        <f>Data!E302/Data!E301-1</f>
        <v>0.07859845868301</v>
      </c>
      <c r="S50" s="433">
        <f>Data!F302/Data!F301-1</f>
        <v>0.026587640151672</v>
      </c>
      <c r="T50" s="433">
        <f>Data!G302/Data!G301-1</f>
        <v>0.0584845401438336</v>
      </c>
      <c r="U50" s="433">
        <f>Data!H302/Data!H301-1</f>
        <v>-0.00820000000000021</v>
      </c>
      <c r="V50" s="433">
        <f>Data!I302/Data!I301-1</f>
        <v>0.0579940441930884</v>
      </c>
      <c r="W50" s="433">
        <f>Data!J302/Data!J301-1</f>
        <v>-0.00381234164838695</v>
      </c>
      <c r="X50" s="433">
        <f>Data!K302/Data!K301-1</f>
        <v>-0.00619146991359543</v>
      </c>
      <c r="Y50" s="433">
        <f>Data!L302/Data!L301-1</f>
        <v>0.0032264085539826</v>
      </c>
      <c r="Z50" s="433">
        <f>SUMPRODUCT(O50:Y50,Risk!$B$56:$L$56)</f>
        <v>0.0329292920487792</v>
      </c>
      <c r="AA50" s="433">
        <f>Z50-$B$8/12</f>
        <v>0.0328359587154459</v>
      </c>
      <c r="AB50" s="433">
        <f>SUMPRODUCT(O50:Y50,Risk!$B$57:$L$57)</f>
        <v>0.0337478940072606</v>
      </c>
      <c r="AC50" s="433">
        <f>AB50-$B$9/12</f>
        <v>0.033466227340594</v>
      </c>
      <c r="AD50" s="433">
        <f>AA50-AC50</f>
        <v>-0.000630268625148082</v>
      </c>
      <c r="AE50" s="560">
        <f>AE49*(1+AA50)</f>
        <v>1.01663800802797</v>
      </c>
      <c r="AF50" s="560">
        <f>AF49*(1+AC50)</f>
        <v>1.01763571997224</v>
      </c>
      <c r="AG50" s="433">
        <f>AE50/MAX(AE$5:AE50)-1</f>
        <v>-0.116475968810265</v>
      </c>
      <c r="AH50" s="433">
        <f>AF50/MAX(AF$5:AF50)-1</f>
        <v>-0.0915077525705685</v>
      </c>
      <c r="AI50" s="620" t="inlineStr"/>
      <c r="AJ50" s="620" t="inlineStr"/>
      <c r="AK50" s="433">
        <f>AE50/AE38-1</f>
        <v>0.155138289966343</v>
      </c>
      <c r="AL50" s="433">
        <f>AF50/AF38-1</f>
        <v>0.112802815142414</v>
      </c>
      <c r="AM50" s="620" t="inlineStr"/>
      <c r="AN50" s="620" t="inlineStr"/>
      <c r="AO50" s="620" t="inlineStr"/>
      <c r="AP50" s="620" t="inlineStr"/>
      <c r="AQ50" s="629" t="inlineStr"/>
    </row>
    <row r="51">
      <c r="A51" s="510" t="inlineStr">
        <is>
          <t>Listed Property</t>
        </is>
      </c>
      <c r="B51" s="483">
        <f>Portfolio!C9</f>
        <v>0.1</v>
      </c>
      <c r="C51" s="483">
        <f>Portfolio!D9</f>
        <v>0.07</v>
      </c>
      <c r="D51" s="483">
        <f>B51-C51</f>
        <v>0.03</v>
      </c>
      <c r="E51" s="433">
        <f>12*(AVERAGE(R186:R245)-AVERAGE(AB186:AB245))</f>
        <v>-0.00103183508350661</v>
      </c>
      <c r="F51" s="433">
        <f>D51*E51</f>
        <v>-3.09550525051984e-05</v>
      </c>
      <c r="G51" s="433">
        <f>12*(AVERAGE(R6:R245)-AVERAGE(AB6:AB245))</f>
        <v>-0.00406104725862827</v>
      </c>
      <c r="H51" s="515">
        <f>D51*G51</f>
        <v>-0.000121831417758848</v>
      </c>
      <c r="N51" s="554">
        <f>Data!A303</f>
        <v>40207.0</v>
      </c>
      <c r="O51" s="433">
        <f>Data!B303/Data!B302-1</f>
        <v>-0.0584965064095211</v>
      </c>
      <c r="P51" s="433">
        <f>Data!C303/Data!C302-1</f>
        <v>-0.0245929832516895</v>
      </c>
      <c r="Q51" s="433">
        <f>Data!D303/Data!D302-1</f>
        <v>-0.0324802819058867</v>
      </c>
      <c r="R51" s="433">
        <f>Data!E303/Data!E302-1</f>
        <v>-0.0271979889182352</v>
      </c>
      <c r="S51" s="433">
        <f>Data!F303/Data!F302-1</f>
        <v>-0.0680635029936285</v>
      </c>
      <c r="T51" s="433">
        <f>Data!G303/Data!G302-1</f>
        <v>0</v>
      </c>
      <c r="U51" s="433">
        <f>Data!H303/Data!H302-1</f>
        <v>-0.0450999999999998</v>
      </c>
      <c r="V51" s="433">
        <f>Data!I303/Data!I302-1</f>
        <v>0</v>
      </c>
      <c r="W51" s="433">
        <f>Data!J303/Data!J302-1</f>
        <v>0.0134676571397361</v>
      </c>
      <c r="X51" s="433">
        <f>Data!K303/Data!K302-1</f>
        <v>0.0135013188949049</v>
      </c>
      <c r="Y51" s="433">
        <f>Data!L303/Data!L302-1</f>
        <v>0.00346853072506903</v>
      </c>
      <c r="Z51" s="433">
        <f>SUMPRODUCT(O51:Y51,Risk!$B$56:$L$56)</f>
        <v>-0.0276939468726622</v>
      </c>
      <c r="AA51" s="433">
        <f>Z51-$B$8/12</f>
        <v>-0.0277872802059955</v>
      </c>
      <c r="AB51" s="433">
        <f>SUMPRODUCT(O51:Y51,Risk!$B$57:$L$57)</f>
        <v>-0.0226443073243567</v>
      </c>
      <c r="AC51" s="433">
        <f>AB51-$B$9/12</f>
        <v>-0.0229259739910234</v>
      </c>
      <c r="AD51" s="433">
        <f>AA51-AC51</f>
        <v>-0.00486130621497217</v>
      </c>
      <c r="AE51" s="560">
        <f>AE50*(1+AA51)</f>
        <v>0.988388402830831</v>
      </c>
      <c r="AF51" s="560">
        <f>AF50*(1+AC51)</f>
        <v>0.99430542992382</v>
      </c>
      <c r="AG51" s="433">
        <f>AE51/MAX(AE$5:AE51)-1</f>
        <v>-0.141026698633665</v>
      </c>
      <c r="AH51" s="433">
        <f>AF51/MAX(AF$5:AF51)-1</f>
        <v>-0.112335822206182</v>
      </c>
      <c r="AI51" s="620" t="inlineStr"/>
      <c r="AJ51" s="620" t="inlineStr"/>
      <c r="AK51" s="433">
        <f>AE51/AE39-1</f>
        <v>0.143217573871205</v>
      </c>
      <c r="AL51" s="433">
        <f>AF51/AF39-1</f>
        <v>0.0955680504721483</v>
      </c>
      <c r="AM51" s="620" t="inlineStr"/>
      <c r="AN51" s="620" t="inlineStr"/>
      <c r="AO51" s="620" t="inlineStr"/>
      <c r="AP51" s="620" t="inlineStr"/>
      <c r="AQ51" s="629" t="inlineStr"/>
    </row>
    <row r="52">
      <c r="A52" s="510" t="inlineStr">
        <is>
          <t>Commodities</t>
        </is>
      </c>
      <c r="B52" s="483">
        <f>Portfolio!C10</f>
        <v>0</v>
      </c>
      <c r="C52" s="483">
        <f>Portfolio!D10</f>
        <v>0.02</v>
      </c>
      <c r="D52" s="483">
        <f>B52-C52</f>
        <v>-0.02</v>
      </c>
      <c r="E52" s="433">
        <f>12*(AVERAGE(S186:S245)-AVERAGE(AB186:AB245))</f>
        <v>0.145290079736181</v>
      </c>
      <c r="F52" s="433">
        <f>D52*E52</f>
        <v>-0.00290580159472362</v>
      </c>
      <c r="G52" s="433">
        <f>12*(AVERAGE(S6:S245)-AVERAGE(AB6:AB245))</f>
        <v>-0.0556673096521462</v>
      </c>
      <c r="H52" s="515">
        <f>D52*G52</f>
        <v>0.00111334619304292</v>
      </c>
      <c r="N52" s="554">
        <f>Data!A304</f>
        <v>40235.0</v>
      </c>
      <c r="O52" s="433">
        <f>Data!B304/Data!B303-1</f>
        <v>0.018189285399389</v>
      </c>
      <c r="P52" s="433">
        <f>Data!C304/Data!C303-1</f>
        <v>0.0122825468634293</v>
      </c>
      <c r="Q52" s="433">
        <f>Data!D304/Data!D303-1</f>
        <v>-0.00889399618342301</v>
      </c>
      <c r="R52" s="433">
        <f>Data!E304/Data!E303-1</f>
        <v>0.0237629965168626</v>
      </c>
      <c r="S52" s="433">
        <f>Data!F304/Data!F303-1</f>
        <v>0.0477454294901296</v>
      </c>
      <c r="T52" s="433">
        <f>Data!G304/Data!G303-1</f>
        <v>0</v>
      </c>
      <c r="U52" s="433">
        <f>Data!H304/Data!H303-1</f>
        <v>-0.0453999999999999</v>
      </c>
      <c r="V52" s="433">
        <f>Data!I304/Data!I303-1</f>
        <v>0</v>
      </c>
      <c r="W52" s="433">
        <f>Data!J304/Data!J303-1</f>
        <v>0.0049601002462365</v>
      </c>
      <c r="X52" s="433">
        <f>Data!K304/Data!K303-1</f>
        <v>0.00765384747097708</v>
      </c>
      <c r="Y52" s="433">
        <f>Data!L304/Data!L303-1</f>
        <v>0.00345212711950471</v>
      </c>
      <c r="Z52" s="433">
        <f>SUMPRODUCT(O52:Y52,Risk!$B$56:$L$56)</f>
        <v>0.0137064949171067</v>
      </c>
      <c r="AA52" s="433">
        <f>Z52-$B$8/12</f>
        <v>0.0136131615837734</v>
      </c>
      <c r="AB52" s="433">
        <f>SUMPRODUCT(O52:Y52,Risk!$B$57:$L$57)</f>
        <v>0.0101245321274163</v>
      </c>
      <c r="AC52" s="433">
        <f>AB52-$B$9/12</f>
        <v>0.00984286546074965</v>
      </c>
      <c r="AD52" s="433">
        <f>AA52-AC52</f>
        <v>0.00377029612302373</v>
      </c>
      <c r="AE52" s="560">
        <f>AE51*(1+AA52)</f>
        <v>1.00184349386609</v>
      </c>
      <c r="AF52" s="560">
        <f>AF51*(1+AC52)</f>
        <v>1.00409224449745</v>
      </c>
      <c r="AG52" s="433">
        <f>AE52/MAX(AE$5:AE52)-1</f>
        <v>-0.129333356286018</v>
      </c>
      <c r="AH52" s="433">
        <f>AF52/MAX(AF$5:AF52)-1</f>
        <v>-0.103598663129831</v>
      </c>
      <c r="AI52" s="620" t="inlineStr"/>
      <c r="AJ52" s="620" t="inlineStr"/>
      <c r="AK52" s="433">
        <f>AE52/AE40-1</f>
        <v>0.224693153508496</v>
      </c>
      <c r="AL52" s="433">
        <f>AF52/AF40-1</f>
        <v>0.161766976182672</v>
      </c>
      <c r="AM52" s="620" t="inlineStr"/>
      <c r="AN52" s="620" t="inlineStr"/>
      <c r="AO52" s="620" t="inlineStr"/>
      <c r="AP52" s="620" t="inlineStr"/>
      <c r="AQ52" s="629" t="inlineStr"/>
    </row>
    <row r="53">
      <c r="A53" s="510" t="inlineStr">
        <is>
          <t>Direct Property</t>
        </is>
      </c>
      <c r="B53" s="483">
        <f>Portfolio!C11</f>
        <v>0</v>
      </c>
      <c r="C53" s="483">
        <f>Portfolio!D11</f>
        <v>0.05</v>
      </c>
      <c r="D53" s="483">
        <f>B53-C53</f>
        <v>-0.05</v>
      </c>
      <c r="E53" s="433">
        <f>12*(AVERAGE(T186:T245)-AVERAGE(AB186:AB245))</f>
        <v>-0.0134696401913044</v>
      </c>
      <c r="F53" s="433">
        <f>D53*E53</f>
        <v>0.000673482009565222</v>
      </c>
      <c r="G53" s="433">
        <f>12*(AVERAGE(T6:T245)-AVERAGE(AB6:AB245))</f>
        <v>-0.00590015723586241</v>
      </c>
      <c r="H53" s="515">
        <f>D53*G53</f>
        <v>0.000295007861793121</v>
      </c>
      <c r="N53" s="554">
        <f>Data!A305</f>
        <v>40268.0</v>
      </c>
      <c r="O53" s="433">
        <f>Data!B305/Data!B304-1</f>
        <v>0.058309082049417</v>
      </c>
      <c r="P53" s="433">
        <f>Data!C305/Data!C304-1</f>
        <v>0.0398332622695941</v>
      </c>
      <c r="Q53" s="433">
        <f>Data!D305/Data!D304-1</f>
        <v>0.0364819381688555</v>
      </c>
      <c r="R53" s="433">
        <f>Data!E305/Data!E304-1</f>
        <v>0.0435586730780571</v>
      </c>
      <c r="S53" s="433">
        <f>Data!F305/Data!F304-1</f>
        <v>-0.00546769397003355</v>
      </c>
      <c r="T53" s="433">
        <f>Data!G305/Data!G304-1</f>
        <v>0.0343442352748016</v>
      </c>
      <c r="U53" s="433">
        <f>Data!H305/Data!H304-1</f>
        <v>-0.0117000000000005</v>
      </c>
      <c r="V53" s="433">
        <f>Data!I305/Data!I304-1</f>
        <v>0.0175029861513536</v>
      </c>
      <c r="W53" s="433">
        <f>Data!J305/Data!J304-1</f>
        <v>-0.00583224258106929</v>
      </c>
      <c r="X53" s="433">
        <f>Data!K305/Data!K304-1</f>
        <v>0.00557358663698659</v>
      </c>
      <c r="Y53" s="433">
        <f>Data!L305/Data!L304-1</f>
        <v>0.00326867831894018</v>
      </c>
      <c r="Z53" s="433">
        <f>SUMPRODUCT(O53:Y53,Risk!$B$56:$L$56)</f>
        <v>0.0354460106076157</v>
      </c>
      <c r="AA53" s="433">
        <f>Z53-$B$8/12</f>
        <v>0.0353526772742823</v>
      </c>
      <c r="AB53" s="433">
        <f>SUMPRODUCT(O53:Y53,Risk!$B$57:$L$57)</f>
        <v>0.0299574071047535</v>
      </c>
      <c r="AC53" s="433">
        <f>AB53-$B$9/12</f>
        <v>0.0296757404380868</v>
      </c>
      <c r="AD53" s="433">
        <f>AA53-AC53</f>
        <v>0.00567693683619548</v>
      </c>
      <c r="AE53" s="560">
        <f>AE52*(1+AA53)</f>
        <v>1.03726134358408</v>
      </c>
      <c r="AF53" s="560">
        <f>AF52*(1+AC53)</f>
        <v>1.03388942532106</v>
      </c>
      <c r="AG53" s="433">
        <f>AE53/MAX(AE$5:AE53)-1</f>
        <v>-0.0985529594173151</v>
      </c>
      <c r="AH53" s="433">
        <f>AF53/MAX(AF$5:AF53)-1</f>
        <v>-0.0769972897285174</v>
      </c>
      <c r="AI53" s="620" t="inlineStr"/>
      <c r="AJ53" s="620" t="inlineStr"/>
      <c r="AK53" s="433">
        <f>AE53/AE41-1</f>
        <v>0.238499294512671</v>
      </c>
      <c r="AL53" s="433">
        <f>AF53/AF41-1</f>
        <v>0.182799642829735</v>
      </c>
      <c r="AM53" s="620" t="inlineStr"/>
      <c r="AN53" s="620" t="inlineStr"/>
      <c r="AO53" s="620" t="inlineStr"/>
      <c r="AP53" s="620" t="inlineStr"/>
      <c r="AQ53" s="629" t="inlineStr"/>
    </row>
    <row r="54">
      <c r="A54" s="510" t="inlineStr">
        <is>
          <t>Hedge Funds</t>
        </is>
      </c>
      <c r="B54" s="483">
        <f>Portfolio!C12</f>
        <v>0</v>
      </c>
      <c r="C54" s="483">
        <f>Portfolio!D12</f>
        <v>0.03</v>
      </c>
      <c r="D54" s="483">
        <f>B54-C54</f>
        <v>-0.03</v>
      </c>
      <c r="E54" s="433">
        <f>12*(AVERAGE(U186:U245)-AVERAGE(AB186:AB245))</f>
        <v>0.00848446504032398</v>
      </c>
      <c r="F54" s="433">
        <f>D54*E54</f>
        <v>-0.000254533951209719</v>
      </c>
      <c r="G54" s="433">
        <f>12*(AVERAGE(U6:U245)-AVERAGE(AB6:AB245))</f>
        <v>0.00756914449049598</v>
      </c>
      <c r="H54" s="515">
        <f>D54*G54</f>
        <v>-0.000227074334714879</v>
      </c>
      <c r="N54" s="554">
        <f>Data!A306</f>
        <v>40298.0</v>
      </c>
      <c r="O54" s="433">
        <f>Data!B306/Data!B305-1</f>
        <v>-0.0117774019007211</v>
      </c>
      <c r="P54" s="433">
        <f>Data!C306/Data!C305-1</f>
        <v>-0.0109415690435539</v>
      </c>
      <c r="Q54" s="433">
        <f>Data!D306/Data!D305-1</f>
        <v>-0.0127561544723329</v>
      </c>
      <c r="R54" s="433">
        <f>Data!E306/Data!E305-1</f>
        <v>0.0287309131552145</v>
      </c>
      <c r="S54" s="433">
        <f>Data!F306/Data!F305-1</f>
        <v>0.013396521572892</v>
      </c>
      <c r="T54" s="433">
        <f>Data!G306/Data!G305-1</f>
        <v>0</v>
      </c>
      <c r="U54" s="433">
        <f>Data!H306/Data!H305-1</f>
        <v>0.00340000000000007</v>
      </c>
      <c r="V54" s="433">
        <f>Data!I306/Data!I305-1</f>
        <v>0</v>
      </c>
      <c r="W54" s="433">
        <f>Data!J306/Data!J305-1</f>
        <v>0.00550907530811551</v>
      </c>
      <c r="X54" s="433">
        <f>Data!K306/Data!K305-1</f>
        <v>0.00880409618601785</v>
      </c>
      <c r="Y54" s="433">
        <f>Data!L306/Data!L305-1</f>
        <v>0.00346266056279543</v>
      </c>
      <c r="Z54" s="433">
        <f>SUMPRODUCT(O54:Y54,Risk!$B$56:$L$56)</f>
        <v>-0.00225310802298333</v>
      </c>
      <c r="AA54" s="433">
        <f>Z54-$B$8/12</f>
        <v>-0.00234644135631667</v>
      </c>
      <c r="AB54" s="433">
        <f>SUMPRODUCT(O54:Y54,Risk!$B$57:$L$57)</f>
        <v>-0.00172831638699835</v>
      </c>
      <c r="AC54" s="433">
        <f>AB54-$B$9/12</f>
        <v>-0.00200998305366501</v>
      </c>
      <c r="AD54" s="433">
        <f>AA54-AC54</f>
        <v>-0.000336458302651654</v>
      </c>
      <c r="AE54" s="560">
        <f>AE53*(1+AA54)</f>
        <v>1.03482747067019</v>
      </c>
      <c r="AF54" s="560">
        <f>AF53*(1+AC54)</f>
        <v>1.0318113250968</v>
      </c>
      <c r="AG54" s="433">
        <f>AE54/MAX(AE$5:AE54)-1</f>
        <v>-0.100668152033867</v>
      </c>
      <c r="AH54" s="433">
        <f>AF54/MAX(AF$5:AF54)-1</f>
        <v>-0.0788525095346501</v>
      </c>
      <c r="AI54" s="620" t="inlineStr"/>
      <c r="AJ54" s="620" t="inlineStr"/>
      <c r="AK54" s="433">
        <f>AE54/AE42-1</f>
        <v>0.180250383282649</v>
      </c>
      <c r="AL54" s="433">
        <f>AF54/AF42-1</f>
        <v>0.139719615435598</v>
      </c>
      <c r="AM54" s="620" t="inlineStr"/>
      <c r="AN54" s="620" t="inlineStr"/>
      <c r="AO54" s="620" t="inlineStr"/>
      <c r="AP54" s="620" t="inlineStr"/>
      <c r="AQ54" s="629" t="inlineStr"/>
    </row>
    <row r="55">
      <c r="A55" s="510" t="inlineStr">
        <is>
          <t>Private Equity</t>
        </is>
      </c>
      <c r="B55" s="483">
        <f>Portfolio!C13</f>
        <v>0</v>
      </c>
      <c r="C55" s="483">
        <f>Portfolio!D13</f>
        <v>0.03</v>
      </c>
      <c r="D55" s="483">
        <f>B55-C55</f>
        <v>-0.03</v>
      </c>
      <c r="E55" s="433">
        <f>12*(AVERAGE(V186:V245)-AVERAGE(AB186:AB245))</f>
        <v>0.053865756801534</v>
      </c>
      <c r="F55" s="433">
        <f>D55*E55</f>
        <v>-0.00161597270404602</v>
      </c>
      <c r="G55" s="433">
        <f>12*(AVERAGE(V6:V245)-AVERAGE(AB6:AB245))</f>
        <v>0.0463491673834593</v>
      </c>
      <c r="H55" s="515">
        <f>D55*G55</f>
        <v>-0.00139047502150378</v>
      </c>
      <c r="N55" s="554">
        <f>Data!A307</f>
        <v>40329.0</v>
      </c>
      <c r="O55" s="433">
        <f>Data!B307/Data!B306-1</f>
        <v>-0.0756784656246482</v>
      </c>
      <c r="P55" s="433">
        <f>Data!C307/Data!C306-1</f>
        <v>0.0268169423525013</v>
      </c>
      <c r="Q55" s="433">
        <f>Data!D307/Data!D306-1</f>
        <v>0.052423413424785</v>
      </c>
      <c r="R55" s="433">
        <f>Data!E307/Data!E306-1</f>
        <v>0.0482726785505778</v>
      </c>
      <c r="S55" s="433">
        <f>Data!F307/Data!F306-1</f>
        <v>-0.03656834803621</v>
      </c>
      <c r="T55" s="433">
        <f>Data!G307/Data!G306-1</f>
        <v>0</v>
      </c>
      <c r="U55" s="433">
        <f>Data!H307/Data!H306-1</f>
        <v>-0.00869999999999982</v>
      </c>
      <c r="V55" s="433">
        <f>Data!I307/Data!I306-1</f>
        <v>0</v>
      </c>
      <c r="W55" s="433">
        <f>Data!J307/Data!J306-1</f>
        <v>0.016453440318138</v>
      </c>
      <c r="X55" s="433">
        <f>Data!K307/Data!K306-1</f>
        <v>0.0118429428121545</v>
      </c>
      <c r="Y55" s="433">
        <f>Data!L307/Data!L306-1</f>
        <v>0.0037536870470849</v>
      </c>
      <c r="Z55" s="433">
        <f>SUMPRODUCT(O55:Y55,Risk!$B$56:$L$56)</f>
        <v>-0.0164025203583122</v>
      </c>
      <c r="AA55" s="433">
        <f>Z55-$B$8/12</f>
        <v>-0.0164958536916456</v>
      </c>
      <c r="AB55" s="433">
        <f>SUMPRODUCT(O55:Y55,Risk!$B$57:$L$57)</f>
        <v>-0.00480531133571307</v>
      </c>
      <c r="AC55" s="433">
        <f>AB55-$B$9/12</f>
        <v>-0.00508697800237974</v>
      </c>
      <c r="AD55" s="433">
        <f>AA55-AC55</f>
        <v>-0.0114088756892658</v>
      </c>
      <c r="AE55" s="560">
        <f>AE54*(1+AA55)</f>
        <v>1.01775710811792</v>
      </c>
      <c r="AF55" s="560">
        <f>AF54*(1+AC55)</f>
        <v>1.02656252358342</v>
      </c>
      <c r="AG55" s="433">
        <f>AE55/MAX(AE$5:AE55)-1</f>
        <v>-0.115503398618154</v>
      </c>
      <c r="AH55" s="433">
        <f>AF55/MAX(AF$5:AF55)-1</f>
        <v>-0.0835383665555948</v>
      </c>
      <c r="AI55" s="620" t="inlineStr"/>
      <c r="AJ55" s="620" t="inlineStr"/>
      <c r="AK55" s="433">
        <f>AE55/AE43-1</f>
        <v>0.164484342145861</v>
      </c>
      <c r="AL55" s="433">
        <f>AF55/AF43-1</f>
        <v>0.138171469464903</v>
      </c>
      <c r="AM55" s="620" t="inlineStr"/>
      <c r="AN55" s="620" t="inlineStr"/>
      <c r="AO55" s="620" t="inlineStr"/>
      <c r="AP55" s="620" t="inlineStr"/>
      <c r="AQ55" s="629" t="inlineStr"/>
    </row>
    <row r="56">
      <c r="A56" s="510" t="inlineStr">
        <is>
          <t>Australian Fixed Income</t>
        </is>
      </c>
      <c r="B56" s="483">
        <f>Portfolio!C14</f>
        <v>0.15</v>
      </c>
      <c r="C56" s="483">
        <f>Portfolio!D14</f>
        <v>0.14</v>
      </c>
      <c r="D56" s="483">
        <f>B56-C56</f>
        <v>0.00999999999999998</v>
      </c>
      <c r="E56" s="433">
        <f>12*(AVERAGE(W186:W245)-AVERAGE(AB186:AB245))</f>
        <v>-0.0759901726042612</v>
      </c>
      <c r="F56" s="433">
        <f>D56*E56</f>
        <v>-0.00075990172604261</v>
      </c>
      <c r="G56" s="433">
        <f>12*(AVERAGE(W6:W245)-AVERAGE(AB6:AB245))</f>
        <v>-0.0293307149077873</v>
      </c>
      <c r="H56" s="515">
        <f>D56*G56</f>
        <v>-0.000293307149077873</v>
      </c>
      <c r="N56" s="554">
        <f>Data!A308</f>
        <v>40359.0</v>
      </c>
      <c r="O56" s="433">
        <f>Data!B308/Data!B307-1</f>
        <v>-0.0260485131084605</v>
      </c>
      <c r="P56" s="433">
        <f>Data!C308/Data!C307-1</f>
        <v>-0.048002152169596</v>
      </c>
      <c r="Q56" s="433">
        <f>Data!D308/Data!D307-1</f>
        <v>-0.0119389298081641</v>
      </c>
      <c r="R56" s="433">
        <f>Data!E308/Data!E307-1</f>
        <v>-0.0380182559309872</v>
      </c>
      <c r="S56" s="433">
        <f>Data!F308/Data!F307-1</f>
        <v>-0.00284247922208458</v>
      </c>
      <c r="T56" s="433">
        <f>Data!G308/Data!G307-1</f>
        <v>0.022608323804113</v>
      </c>
      <c r="U56" s="433">
        <f>Data!H308/Data!H307-1</f>
        <v>0.0176999999999998</v>
      </c>
      <c r="V56" s="433">
        <f>Data!I308/Data!I307-1</f>
        <v>0.0216999662935713</v>
      </c>
      <c r="W56" s="433">
        <f>Data!J308/Data!J307-1</f>
        <v>0.0136503459594084</v>
      </c>
      <c r="X56" s="433">
        <f>Data!K308/Data!K307-1</f>
        <v>0.00398973594901086</v>
      </c>
      <c r="Y56" s="433">
        <f>Data!L308/Data!L307-1</f>
        <v>0.0039500683498237</v>
      </c>
      <c r="Z56" s="433">
        <f>SUMPRODUCT(O56:Y56,Risk!$B$56:$L$56)</f>
        <v>-0.0211784257160823</v>
      </c>
      <c r="AA56" s="433">
        <f>Z56-$B$8/12</f>
        <v>-0.0212717590494157</v>
      </c>
      <c r="AB56" s="433">
        <f>SUMPRODUCT(O56:Y56,Risk!$B$57:$L$57)</f>
        <v>-0.016328103573458</v>
      </c>
      <c r="AC56" s="433">
        <f>AB56-$B$9/12</f>
        <v>-0.0166097702401247</v>
      </c>
      <c r="AD56" s="433">
        <f>AA56-AC56</f>
        <v>-0.00466198880929098</v>
      </c>
      <c r="AE56" s="560">
        <f>AE55*(1+AA56)</f>
        <v>0.996107624143202</v>
      </c>
      <c r="AF56" s="560">
        <f>AF55*(1+AC56)</f>
        <v>1.00951155592958</v>
      </c>
      <c r="AG56" s="433">
        <f>AE56/MAX(AE$5:AE56)-1</f>
        <v>-0.134318197202776</v>
      </c>
      <c r="AH56" s="433">
        <f>AF56/MAX(AF$5:AF56)-1</f>
        <v>-0.0987605837209957</v>
      </c>
      <c r="AI56" s="620" t="inlineStr"/>
      <c r="AJ56" s="620" t="inlineStr"/>
      <c r="AK56" s="433">
        <f>AE56/AE44-1</f>
        <v>0.125731959993381</v>
      </c>
      <c r="AL56" s="433">
        <f>AF56/AF44-1</f>
        <v>0.10939181706665</v>
      </c>
      <c r="AM56" s="620" t="inlineStr"/>
      <c r="AN56" s="620" t="inlineStr"/>
      <c r="AO56" s="620" t="inlineStr"/>
      <c r="AP56" s="620" t="inlineStr"/>
      <c r="AQ56" s="629" t="inlineStr"/>
    </row>
    <row r="57">
      <c r="A57" s="510" t="inlineStr">
        <is>
          <t>World Fixed Income</t>
        </is>
      </c>
      <c r="B57" s="483">
        <f>Portfolio!C15</f>
        <v>0.08</v>
      </c>
      <c r="C57" s="483">
        <f>Portfolio!D15</f>
        <v>0.11</v>
      </c>
      <c r="D57" s="483">
        <f>B57-C57</f>
        <v>-0.03</v>
      </c>
      <c r="E57" s="433">
        <f>12*(AVERAGE(X186:X245)-AVERAGE(AB186:AB245))</f>
        <v>-0.0870157685909276</v>
      </c>
      <c r="F57" s="433">
        <f>D57*E57</f>
        <v>0.00261047305772783</v>
      </c>
      <c r="G57" s="433">
        <f>12*(AVERAGE(X6:X245)-AVERAGE(AB6:AB245))</f>
        <v>-0.026180937272822</v>
      </c>
      <c r="H57" s="515">
        <f>D57*G57</f>
        <v>0.000785428118184659</v>
      </c>
      <c r="N57" s="554">
        <f>Data!A309</f>
        <v>40389.0</v>
      </c>
      <c r="O57" s="433">
        <f>Data!B309/Data!B308-1</f>
        <v>0.0422964260872425</v>
      </c>
      <c r="P57" s="433">
        <f>Data!C309/Data!C308-1</f>
        <v>-0.0131632298986797</v>
      </c>
      <c r="Q57" s="433">
        <f>Data!D309/Data!D308-1</f>
        <v>-0.00875902426007824</v>
      </c>
      <c r="R57" s="433">
        <f>Data!E309/Data!E308-1</f>
        <v>0.00705944742865361</v>
      </c>
      <c r="S57" s="433">
        <f>Data!F309/Data!F308-1</f>
        <v>-0.014410377378238</v>
      </c>
      <c r="T57" s="433">
        <f>Data!G309/Data!G308-1</f>
        <v>0</v>
      </c>
      <c r="U57" s="433">
        <f>Data!H309/Data!H308-1</f>
        <v>0.0368999999999999</v>
      </c>
      <c r="V57" s="433">
        <f>Data!I309/Data!I308-1</f>
        <v>0</v>
      </c>
      <c r="W57" s="433">
        <f>Data!J309/Data!J308-1</f>
        <v>0.00272714994931333</v>
      </c>
      <c r="X57" s="433">
        <f>Data!K309/Data!K308-1</f>
        <v>0.0199848299970322</v>
      </c>
      <c r="Y57" s="433">
        <f>Data!L309/Data!L308-1</f>
        <v>0.00422072665880302</v>
      </c>
      <c r="Z57" s="433">
        <f>SUMPRODUCT(O57:Y57,Risk!$B$56:$L$56)</f>
        <v>0.0172951789563022</v>
      </c>
      <c r="AA57" s="433">
        <f>Z57-$B$8/12</f>
        <v>0.0172018456229689</v>
      </c>
      <c r="AB57" s="433">
        <f>SUMPRODUCT(O57:Y57,Risk!$B$57:$L$57)</f>
        <v>0.0111718684831076</v>
      </c>
      <c r="AC57" s="433">
        <f>AB57-$B$9/12</f>
        <v>0.010890201816441</v>
      </c>
      <c r="AD57" s="433">
        <f>AA57-AC57</f>
        <v>0.0063116438065279</v>
      </c>
      <c r="AE57" s="560">
        <f>AE56*(1+AA57)</f>
        <v>1.01324251371758</v>
      </c>
      <c r="AF57" s="560">
        <f>AF56*(1+AC57)</f>
        <v>1.02050534050968</v>
      </c>
      <c r="AG57" s="433">
        <f>AE57/MAX(AE$5:AE57)-1</f>
        <v>-0.119426872472445</v>
      </c>
      <c r="AH57" s="433">
        <f>AF57/MAX(AF$5:AF57)-1</f>
        <v>-0.088945904592786</v>
      </c>
      <c r="AI57" s="620" t="inlineStr"/>
      <c r="AJ57" s="620" t="inlineStr"/>
      <c r="AK57" s="433">
        <f>AE57/AE45-1</f>
        <v>0.0934272355109924</v>
      </c>
      <c r="AL57" s="433">
        <f>AF57/AF45-1</f>
        <v>0.0814266738368221</v>
      </c>
      <c r="AM57" s="620" t="inlineStr"/>
      <c r="AN57" s="620" t="inlineStr"/>
      <c r="AO57" s="620" t="inlineStr"/>
      <c r="AP57" s="620" t="inlineStr"/>
      <c r="AQ57" s="629" t="inlineStr"/>
    </row>
    <row r="58">
      <c r="A58" s="510" t="inlineStr">
        <is>
          <t>Cash</t>
        </is>
      </c>
      <c r="B58" s="483">
        <f>Portfolio!C16</f>
        <v>0.07</v>
      </c>
      <c r="C58" s="483">
        <f>Portfolio!D16</f>
        <v>0.03</v>
      </c>
      <c r="D58" s="483">
        <f>B58-C58</f>
        <v>0.04</v>
      </c>
      <c r="E58" s="433">
        <f>12*(AVERAGE(Y186:Y245)-AVERAGE(AB186:AB245))</f>
        <v>-0.048219410515399</v>
      </c>
      <c r="F58" s="433">
        <f>D58*E58</f>
        <v>-0.00192877642061596</v>
      </c>
      <c r="G58" s="433">
        <f>12*(AVERAGE(Y6:Y245)-AVERAGE(AB6:AB245))</f>
        <v>-0.0364281435455464</v>
      </c>
      <c r="H58" s="515">
        <f>D58*G58</f>
        <v>-0.00145712574182186</v>
      </c>
      <c r="N58" s="554">
        <f>Data!A310</f>
        <v>40421.0</v>
      </c>
      <c r="O58" s="433">
        <f>Data!B310/Data!B309-1</f>
        <v>-0.00711815336643318</v>
      </c>
      <c r="P58" s="433">
        <f>Data!C310/Data!C309-1</f>
        <v>-0.0167207974433973</v>
      </c>
      <c r="Q58" s="433">
        <f>Data!D310/Data!D309-1</f>
        <v>0.00304539205128229</v>
      </c>
      <c r="R58" s="433">
        <f>Data!E310/Data!E309-1</f>
        <v>0.0165762051002578</v>
      </c>
      <c r="S58" s="433">
        <f>Data!F310/Data!F309-1</f>
        <v>-0.0391135697927297</v>
      </c>
      <c r="T58" s="433">
        <f>Data!G310/Data!G309-1</f>
        <v>0</v>
      </c>
      <c r="U58" s="433">
        <f>Data!H310/Data!H309-1</f>
        <v>0.0506</v>
      </c>
      <c r="V58" s="433">
        <f>Data!I310/Data!I309-1</f>
        <v>0</v>
      </c>
      <c r="W58" s="433">
        <f>Data!J310/Data!J309-1</f>
        <v>0.0192068960481115</v>
      </c>
      <c r="X58" s="433">
        <f>Data!K310/Data!K309-1</f>
        <v>0.0208380484335087</v>
      </c>
      <c r="Y58" s="433">
        <f>Data!L310/Data!L309-1</f>
        <v>0.00406048846769469</v>
      </c>
      <c r="Z58" s="433">
        <f>SUMPRODUCT(O58:Y58,Risk!$B$56:$L$56)</f>
        <v>0.000298512149409109</v>
      </c>
      <c r="AA58" s="433">
        <f>Z58-$B$8/12</f>
        <v>0.000205178816075776</v>
      </c>
      <c r="AB58" s="433">
        <f>SUMPRODUCT(O58:Y58,Risk!$B$57:$L$57)</f>
        <v>0.00129786042313069</v>
      </c>
      <c r="AC58" s="433">
        <f>AB58-$B$9/12</f>
        <v>0.00101619375646403</v>
      </c>
      <c r="AD58" s="433">
        <f>AA58-AC58</f>
        <v>-0.000811014940388249</v>
      </c>
      <c r="AE58" s="560">
        <f>AE57*(1+AA58)</f>
        <v>1.01345040961694</v>
      </c>
      <c r="AF58" s="560">
        <f>AF57*(1+AC58)</f>
        <v>1.02154237166515</v>
      </c>
      <c r="AG58" s="433">
        <f>AE58/MAX(AE$5:AE58)-1</f>
        <v>-0.11924619752067</v>
      </c>
      <c r="AH58" s="433">
        <f>AF58/MAX(AF$5:AF58)-1</f>
        <v>-0.0880200971092321</v>
      </c>
      <c r="AI58" s="620" t="inlineStr"/>
      <c r="AJ58" s="620" t="inlineStr"/>
      <c r="AK58" s="433">
        <f>AE58/AE46-1</f>
        <v>0.0475978205493082</v>
      </c>
      <c r="AL58" s="433">
        <f>AF58/AF46-1</f>
        <v>0.0498322526705912</v>
      </c>
      <c r="AM58" s="620" t="inlineStr"/>
      <c r="AN58" s="620" t="inlineStr"/>
      <c r="AO58" s="620" t="inlineStr"/>
      <c r="AP58" s="620" t="inlineStr"/>
      <c r="AQ58" s="629" t="inlineStr"/>
    </row>
    <row r="59">
      <c r="A59" s="510" t="inlineStr">
        <is>
          <t>Fee effect</t>
        </is>
      </c>
      <c r="B59" s="483" t="n"/>
      <c r="C59" s="483" t="n"/>
      <c r="D59" s="483" t="n"/>
      <c r="E59" s="433" t="n"/>
      <c r="F59" s="433">
        <f>-($B$8-$B$9)</f>
        <v>0.00226</v>
      </c>
      <c r="G59" s="433" t="n"/>
      <c r="H59" s="515">
        <f>-($B$8-$B$9)</f>
        <v>0.00226</v>
      </c>
      <c r="N59" s="554">
        <f>Data!A311</f>
        <v>40451.0</v>
      </c>
      <c r="O59" s="433">
        <f>Data!B311/Data!B310-1</f>
        <v>0.0501962730513799</v>
      </c>
      <c r="P59" s="433">
        <f>Data!C311/Data!C310-1</f>
        <v>-0.0165211405844414</v>
      </c>
      <c r="Q59" s="433">
        <f>Data!D311/Data!D310-1</f>
        <v>-0.00962801975407368</v>
      </c>
      <c r="R59" s="433">
        <f>Data!E311/Data!E310-1</f>
        <v>-0.0409977807288795</v>
      </c>
      <c r="S59" s="433">
        <f>Data!F311/Data!F310-1</f>
        <v>-0.00273789532614355</v>
      </c>
      <c r="T59" s="433">
        <f>Data!G311/Data!G310-1</f>
        <v>-0.00950086372330572</v>
      </c>
      <c r="U59" s="433">
        <f>Data!H311/Data!H310-1</f>
        <v>0.00499999999999989</v>
      </c>
      <c r="V59" s="433">
        <f>Data!I311/Data!I310-1</f>
        <v>0.0495995631598107</v>
      </c>
      <c r="W59" s="433">
        <f>Data!J311/Data!J310-1</f>
        <v>-0.00902442868902176</v>
      </c>
      <c r="X59" s="433">
        <f>Data!K311/Data!K310-1</f>
        <v>0.00197950813181946</v>
      </c>
      <c r="Y59" s="433">
        <f>Data!L311/Data!L310-1</f>
        <v>0.00371434920043323</v>
      </c>
      <c r="Z59" s="433">
        <f>SUMPRODUCT(O59:Y59,Risk!$B$56:$L$56)</f>
        <v>0.0117392038219983</v>
      </c>
      <c r="AA59" s="433">
        <f>Z59-$B$8/12</f>
        <v>0.011645870488665</v>
      </c>
      <c r="AB59" s="433">
        <f>SUMPRODUCT(O59:Y59,Risk!$B$57:$L$57)</f>
        <v>0.0055992514350915</v>
      </c>
      <c r="AC59" s="433">
        <f>AB59-$B$9/12</f>
        <v>0.00531758476842483</v>
      </c>
      <c r="AD59" s="433">
        <f>AA59-AC59</f>
        <v>0.00632828572024016</v>
      </c>
      <c r="AE59" s="560">
        <f>AE58*(1+AA59)</f>
        <v>1.02525292183402</v>
      </c>
      <c r="AF59" s="560">
        <f>AF58*(1+AC59)</f>
        <v>1.02697450982101</v>
      </c>
      <c r="AG59" s="433">
        <f>AE59/MAX(AE$5:AE59)-1</f>
        <v>-0.108989052804597</v>
      </c>
      <c r="AH59" s="433">
        <f>AF59/MAX(AF$5:AF59)-1</f>
        <v>-0.0831705666685106</v>
      </c>
      <c r="AI59" s="620" t="inlineStr"/>
      <c r="AJ59" s="620" t="inlineStr"/>
      <c r="AK59" s="433">
        <f>AE59/AE47-1</f>
        <v>0.0349480489211069</v>
      </c>
      <c r="AL59" s="433">
        <f>AF59/AF47-1</f>
        <v>0.0361944682786459</v>
      </c>
      <c r="AM59" s="620" t="inlineStr"/>
      <c r="AN59" s="620" t="inlineStr"/>
      <c r="AO59" s="620" t="inlineStr"/>
      <c r="AP59" s="620" t="inlineStr"/>
      <c r="AQ59" s="629" t="inlineStr"/>
    </row>
    <row r="60">
      <c r="A60" s="512" t="inlineStr">
        <is>
          <t>Total explained (arithmetic)</t>
        </is>
      </c>
      <c r="B60" s="513">
        <f>SUM(B48:B58)</f>
        <v>1</v>
      </c>
      <c r="C60" s="513">
        <f>SUM(C48:C58)</f>
        <v>1</v>
      </c>
      <c r="D60" s="513">
        <f>SUM(D48:D58)</f>
        <v>0</v>
      </c>
      <c r="E60" s="498" t="n"/>
      <c r="F60" s="498">
        <f>SUM(F48:F59)</f>
        <v>-0.00301034373904283</v>
      </c>
      <c r="G60" s="498" t="n"/>
      <c r="H60" s="635">
        <f>SUM(H48:H59)</f>
        <v>0.00089501181487406</v>
      </c>
      <c r="N60" s="554">
        <f>Data!A312</f>
        <v>40480.0</v>
      </c>
      <c r="O60" s="433">
        <f>Data!B312/Data!B311-1</f>
        <v>0.0217084328504364</v>
      </c>
      <c r="P60" s="433">
        <f>Data!C312/Data!C311-1</f>
        <v>0.0161731379604217</v>
      </c>
      <c r="Q60" s="433">
        <f>Data!D312/Data!D311-1</f>
        <v>0.0107361099481251</v>
      </c>
      <c r="R60" s="433">
        <f>Data!E312/Data!E311-1</f>
        <v>0.0242954760355119</v>
      </c>
      <c r="S60" s="433">
        <f>Data!F312/Data!F311-1</f>
        <v>0.013064782779534</v>
      </c>
      <c r="T60" s="433">
        <f>Data!G312/Data!G311-1</f>
        <v>0</v>
      </c>
      <c r="U60" s="433">
        <f>Data!H312/Data!H311-1</f>
        <v>0.0254000000000001</v>
      </c>
      <c r="V60" s="433">
        <f>Data!I312/Data!I311-1</f>
        <v>0</v>
      </c>
      <c r="W60" s="433">
        <f>Data!J312/Data!J311-1</f>
        <v>4.82001269253018e-06</v>
      </c>
      <c r="X60" s="433">
        <f>Data!K312/Data!K311-1</f>
        <v>0.002892274623846</v>
      </c>
      <c r="Y60" s="433">
        <f>Data!L312/Data!L311-1</f>
        <v>0.00420049246167986</v>
      </c>
      <c r="Z60" s="433">
        <f>SUMPRODUCT(O60:Y60,Risk!$B$56:$L$56)</f>
        <v>0.0148736877799393</v>
      </c>
      <c r="AA60" s="433">
        <f>Z60-$B$8/12</f>
        <v>0.0147803544466059</v>
      </c>
      <c r="AB60" s="433">
        <f>SUMPRODUCT(O60:Y60,Risk!$B$57:$L$57)</f>
        <v>0.012799563383881</v>
      </c>
      <c r="AC60" s="433">
        <f>AB60-$B$9/12</f>
        <v>0.0125178967172143</v>
      </c>
      <c r="AD60" s="433">
        <f>AA60-AC60</f>
        <v>0.00226245772939159</v>
      </c>
      <c r="AE60" s="560">
        <f>AE59*(1+AA60)</f>
        <v>1.04040652341615</v>
      </c>
      <c r="AF60" s="560">
        <f>AF59*(1+AC60)</f>
        <v>1.03983007066616</v>
      </c>
      <c r="AG60" s="433">
        <f>AE60/MAX(AE$5:AE60)-1</f>
        <v>-0.0958195951892427</v>
      </c>
      <c r="AH60" s="433">
        <f>AF60/MAX(AF$5:AF60)-1</f>
        <v>-0.071693790514765</v>
      </c>
      <c r="AI60" s="620" t="inlineStr"/>
      <c r="AJ60" s="620" t="inlineStr"/>
      <c r="AK60" s="433">
        <f>AE60/AE48-1</f>
        <v>0.0740481070404426</v>
      </c>
      <c r="AL60" s="433">
        <f>AF60/AF48-1</f>
        <v>0.0703865781519091</v>
      </c>
      <c r="AM60" s="620" t="inlineStr"/>
      <c r="AN60" s="620" t="inlineStr"/>
      <c r="AO60" s="620" t="inlineStr"/>
      <c r="AP60" s="620" t="inlineStr"/>
      <c r="AQ60" s="629" t="inlineStr"/>
    </row>
    <row r="61">
      <c r="A61" s="510" t="inlineStr">
        <is>
          <t>Active return, arithmetic (12 x mean monthly active)</t>
        </is>
      </c>
      <c r="B61" s="483" t="n"/>
      <c r="C61" s="483" t="n"/>
      <c r="D61" s="483" t="n"/>
      <c r="E61" s="433" t="n"/>
      <c r="F61" s="433">
        <f>12*AVERAGE(AD186:AD245)</f>
        <v>-0.00301034373904284</v>
      </c>
      <c r="G61" s="433" t="n"/>
      <c r="H61" s="515">
        <f>12*AVERAGE(AD6:AD245)</f>
        <v>0.000895011814874051</v>
      </c>
      <c r="N61" s="554">
        <f>Data!A313</f>
        <v>40512.0</v>
      </c>
      <c r="O61" s="433">
        <f>Data!B313/Data!B312-1</f>
        <v>-0.00697097256122059</v>
      </c>
      <c r="P61" s="433">
        <f>Data!C313/Data!C312-1</f>
        <v>0.0191791553904443</v>
      </c>
      <c r="Q61" s="433">
        <f>Data!D313/Data!D312-1</f>
        <v>0.0111732729007041</v>
      </c>
      <c r="R61" s="433">
        <f>Data!E313/Data!E312-1</f>
        <v>-0.00268170047826222</v>
      </c>
      <c r="S61" s="433">
        <f>Data!F313/Data!F312-1</f>
        <v>0.0331164041120378</v>
      </c>
      <c r="T61" s="433">
        <f>Data!G313/Data!G312-1</f>
        <v>0</v>
      </c>
      <c r="U61" s="433">
        <f>Data!H313/Data!H312-1</f>
        <v>0.0152000000000003</v>
      </c>
      <c r="V61" s="433">
        <f>Data!I313/Data!I312-1</f>
        <v>0</v>
      </c>
      <c r="W61" s="433">
        <f>Data!J313/Data!J312-1</f>
        <v>-0.00219791519389234</v>
      </c>
      <c r="X61" s="433">
        <f>Data!K313/Data!K312-1</f>
        <v>-0.00745410133165236</v>
      </c>
      <c r="Y61" s="433">
        <f>Data!L313/Data!L312-1</f>
        <v>0.00388708812582039</v>
      </c>
      <c r="Z61" s="433">
        <f>SUMPRODUCT(O61:Y61,Risk!$B$56:$L$56)</f>
        <v>0.000125352788965799</v>
      </c>
      <c r="AA61" s="433">
        <f>Z61-$B$8/12</f>
        <v>3.20194556324657e-05</v>
      </c>
      <c r="AB61" s="433">
        <f>SUMPRODUCT(O61:Y61,Risk!$B$57:$L$57)</f>
        <v>0.00311501475933295</v>
      </c>
      <c r="AC61" s="433">
        <f>AB61-$B$9/12</f>
        <v>0.00283334809266629</v>
      </c>
      <c r="AD61" s="433">
        <f>AA61-AC61</f>
        <v>-0.00280132863703382</v>
      </c>
      <c r="AE61" s="560">
        <f>AE60*(1+AA61)</f>
        <v>1.04043983666666</v>
      </c>
      <c r="AF61" s="560">
        <f>AF60*(1+AC61)</f>
        <v>1.04277627121358</v>
      </c>
      <c r="AG61" s="433">
        <f>AE61/MAX(AE$5:AE61)-1</f>
        <v>-0.095790643824887</v>
      </c>
      <c r="AH61" s="433">
        <f>AF61/MAX(AF$5:AF61)-1</f>
        <v>-0.0690635758867096</v>
      </c>
      <c r="AI61" s="620" t="inlineStr"/>
      <c r="AJ61" s="620" t="inlineStr"/>
      <c r="AK61" s="433">
        <f>AE61/AE49-1</f>
        <v>0.057017018549036</v>
      </c>
      <c r="AL61" s="433">
        <f>AF61/AF49-1</f>
        <v>0.0589978691007345</v>
      </c>
      <c r="AM61" s="620" t="inlineStr"/>
      <c r="AN61" s="620" t="inlineStr"/>
      <c r="AO61" s="620" t="inlineStr"/>
      <c r="AP61" s="620" t="inlineStr"/>
      <c r="AQ61" s="629" t="inlineStr"/>
    </row>
    <row r="62">
      <c r="A62" s="516" t="inlineStr">
        <is>
          <t>Compounding difference (geometric less arithmetic)</t>
        </is>
      </c>
      <c r="B62" s="636" t="n"/>
      <c r="C62" s="636" t="n"/>
      <c r="D62" s="636" t="n"/>
      <c r="E62" s="637" t="n"/>
      <c r="F62" s="637">
        <f>D17-F61</f>
        <v>-0.00132690932121373</v>
      </c>
      <c r="G62" s="637" t="n"/>
      <c r="H62" s="638">
        <f>G17-H61</f>
        <v>-0.00117583154966038</v>
      </c>
      <c r="N62" s="554">
        <f>Data!A314</f>
        <v>40543.0</v>
      </c>
      <c r="O62" s="433">
        <f>Data!B314/Data!B313-1</f>
        <v>0.038006890693524</v>
      </c>
      <c r="P62" s="433">
        <f>Data!C314/Data!C313-1</f>
        <v>-0.0111691761092657</v>
      </c>
      <c r="Q62" s="433">
        <f>Data!D314/Data!D313-1</f>
        <v>-0.0224856887650007</v>
      </c>
      <c r="R62" s="433">
        <f>Data!E314/Data!E313-1</f>
        <v>-0.0188841027419485</v>
      </c>
      <c r="S62" s="433">
        <f>Data!F314/Data!F313-1</f>
        <v>0.0235849611350822</v>
      </c>
      <c r="T62" s="433">
        <f>Data!G314/Data!G313-1</f>
        <v>0.00884225712713427</v>
      </c>
      <c r="U62" s="433">
        <f>Data!H314/Data!H313-1</f>
        <v>0.0266</v>
      </c>
      <c r="V62" s="433">
        <f>Data!I314/Data!I313-1</f>
        <v>-0.0114996098153125</v>
      </c>
      <c r="W62" s="433">
        <f>Data!J314/Data!J313-1</f>
        <v>0.000265683369831127</v>
      </c>
      <c r="X62" s="433">
        <f>Data!K314/Data!K313-1</f>
        <v>-0.000190530627798058</v>
      </c>
      <c r="Y62" s="433">
        <f>Data!L314/Data!L313-1</f>
        <v>0.00424181460124973</v>
      </c>
      <c r="Z62" s="433">
        <f>SUMPRODUCT(O62:Y62,Risk!$B$56:$L$56)</f>
        <v>0.0114020478586999</v>
      </c>
      <c r="AA62" s="433">
        <f>Z62-$B$8/12</f>
        <v>0.0113087145253666</v>
      </c>
      <c r="AB62" s="433">
        <f>SUMPRODUCT(O62:Y62,Risk!$B$57:$L$57)</f>
        <v>0.00633497807762587</v>
      </c>
      <c r="AC62" s="433">
        <f>AB62-$B$9/12</f>
        <v>0.0060533114109592</v>
      </c>
      <c r="AD62" s="433">
        <f>AA62-AC62</f>
        <v>0.00525540311440739</v>
      </c>
      <c r="AE62" s="560">
        <f>AE61*(1+AA62)</f>
        <v>1.05220587376035</v>
      </c>
      <c r="AF62" s="560">
        <f>AF61*(1+AC62)</f>
        <v>1.0490885207152</v>
      </c>
      <c r="AG62" s="433">
        <f>AE62/MAX(AE$5:AE62)-1</f>
        <v>-0.0855651983447371</v>
      </c>
      <c r="AH62" s="433">
        <f>AF62/MAX(AF$5:AF62)-1</f>
        <v>-0.0634283278077472</v>
      </c>
      <c r="AI62" s="620" t="inlineStr"/>
      <c r="AJ62" s="620" t="inlineStr"/>
      <c r="AK62" s="433">
        <f>AE62/AE50-1</f>
        <v>0.0349857721740792</v>
      </c>
      <c r="AL62" s="433">
        <f>AF62/AF50-1</f>
        <v>0.0309077208333606</v>
      </c>
      <c r="AM62" s="620" t="inlineStr"/>
      <c r="AN62" s="620" t="inlineStr"/>
      <c r="AO62" s="620" t="inlineStr"/>
      <c r="AP62" s="620" t="inlineStr"/>
      <c r="AQ62" s="629" t="inlineStr"/>
    </row>
    <row r="63">
      <c r="N63" s="554">
        <f>Data!A315</f>
        <v>40574.0</v>
      </c>
      <c r="O63" s="433">
        <f>Data!B315/Data!B314-1</f>
        <v>0.000670565772502796</v>
      </c>
      <c r="P63" s="433">
        <f>Data!C315/Data!C314-1</f>
        <v>0.0483074046515815</v>
      </c>
      <c r="Q63" s="433">
        <f>Data!D315/Data!D314-1</f>
        <v>0.00654019075506684</v>
      </c>
      <c r="R63" s="433">
        <f>Data!E315/Data!E314-1</f>
        <v>0.048741039677267</v>
      </c>
      <c r="S63" s="433">
        <f>Data!F315/Data!F314-1</f>
        <v>0.0595106557976624</v>
      </c>
      <c r="T63" s="433">
        <f>Data!G315/Data!G314-1</f>
        <v>0</v>
      </c>
      <c r="U63" s="433">
        <f>Data!H315/Data!H314-1</f>
        <v>-0.000199999999999978</v>
      </c>
      <c r="V63" s="433">
        <f>Data!I315/Data!I314-1</f>
        <v>0</v>
      </c>
      <c r="W63" s="433">
        <f>Data!J315/Data!J314-1</f>
        <v>0.00920147133393967</v>
      </c>
      <c r="X63" s="433">
        <f>Data!K315/Data!K314-1</f>
        <v>0.000857551214864083</v>
      </c>
      <c r="Y63" s="433">
        <f>Data!L315/Data!L314-1</f>
        <v>0.00428315068338514</v>
      </c>
      <c r="Z63" s="433">
        <f>SUMPRODUCT(O63:Y63,Risk!$B$56:$L$56)</f>
        <v>0.0165524565521611</v>
      </c>
      <c r="AA63" s="433">
        <f>Z63-$B$8/12</f>
        <v>0.0164591232188278</v>
      </c>
      <c r="AB63" s="433">
        <f>SUMPRODUCT(O63:Y63,Risk!$B$57:$L$57)</f>
        <v>0.0180647413164073</v>
      </c>
      <c r="AC63" s="433">
        <f>AB63-$B$9/12</f>
        <v>0.0177830746497407</v>
      </c>
      <c r="AD63" s="433">
        <f>AA63-AC63</f>
        <v>-0.00132395143091287</v>
      </c>
      <c r="AE63" s="560">
        <f>AE62*(1+AA63)</f>
        <v>1.06952425988814</v>
      </c>
      <c r="AF63" s="560">
        <f>AF62*(1+AC63)</f>
        <v>1.06774454019326</v>
      </c>
      <c r="AG63" s="433">
        <f>AE63/MAX(AE$5:AE63)-1</f>
        <v>-0.0705144032687088</v>
      </c>
      <c r="AH63" s="433">
        <f>AF63/MAX(AF$5:AF63)-1</f>
        <v>-0.0467732038463199</v>
      </c>
      <c r="AI63" s="620" t="inlineStr"/>
      <c r="AJ63" s="620" t="inlineStr"/>
      <c r="AK63" s="433">
        <f>AE63/AE51-1</f>
        <v>0.0820890419443714</v>
      </c>
      <c r="AL63" s="433">
        <f>AF63/AF51-1</f>
        <v>0.0738597095613458</v>
      </c>
      <c r="AM63" s="620" t="inlineStr"/>
      <c r="AN63" s="620" t="inlineStr"/>
      <c r="AO63" s="620" t="inlineStr"/>
      <c r="AP63" s="620" t="inlineStr"/>
      <c r="AQ63" s="629" t="inlineStr"/>
    </row>
    <row r="64">
      <c r="N64" s="554">
        <f>Data!A316</f>
        <v>40602.0</v>
      </c>
      <c r="O64" s="433">
        <f>Data!B316/Data!B315-1</f>
        <v>0.0219334355607366</v>
      </c>
      <c r="P64" s="433">
        <f>Data!C316/Data!C315-1</f>
        <v>0.00813268552992441</v>
      </c>
      <c r="Q64" s="433">
        <f>Data!D316/Data!D315-1</f>
        <v>-0.034466268817644</v>
      </c>
      <c r="R64" s="433">
        <f>Data!E316/Data!E315-1</f>
        <v>0.017075064708252</v>
      </c>
      <c r="S64" s="433">
        <f>Data!F316/Data!F315-1</f>
        <v>0.0157545950742299</v>
      </c>
      <c r="T64" s="433">
        <f>Data!G316/Data!G315-1</f>
        <v>0</v>
      </c>
      <c r="U64" s="433">
        <f>Data!H316/Data!H315-1</f>
        <v>0.0178</v>
      </c>
      <c r="V64" s="433">
        <f>Data!I316/Data!I315-1</f>
        <v>0</v>
      </c>
      <c r="W64" s="433">
        <f>Data!J316/Data!J315-1</f>
        <v>0.00424136374439543</v>
      </c>
      <c r="X64" s="433">
        <f>Data!K316/Data!K315-1</f>
        <v>0.0053154353896927</v>
      </c>
      <c r="Y64" s="433">
        <f>Data!L316/Data!L315-1</f>
        <v>0.00370999915713788</v>
      </c>
      <c r="Z64" s="433">
        <f>SUMPRODUCT(O64:Y64,Risk!$B$56:$L$56)</f>
        <v>0.0134285571349391</v>
      </c>
      <c r="AA64" s="433">
        <f>Z64-$B$8/12</f>
        <v>0.0133352238016058</v>
      </c>
      <c r="AB64" s="433">
        <f>SUMPRODUCT(O64:Y64,Risk!$B$57:$L$57)</f>
        <v>0.00973535057569462</v>
      </c>
      <c r="AC64" s="433">
        <f>AB64-$B$9/12</f>
        <v>0.00945368390902795</v>
      </c>
      <c r="AD64" s="433">
        <f>AA64-AC64</f>
        <v>0.00388153989257781</v>
      </c>
      <c r="AE64" s="560">
        <f>AE63*(1+AA64)</f>
        <v>1.083786605255</v>
      </c>
      <c r="AF64" s="560">
        <f>AF63*(1+AC64)</f>
        <v>1.07783865957184</v>
      </c>
      <c r="AG64" s="433">
        <f>AE64/MAX(AE$5:AE64)-1</f>
        <v>-0.058119504815928</v>
      </c>
      <c r="AH64" s="433">
        <f>AF64/MAX(AF$5:AF64)-1</f>
        <v>-0.0377616990218675</v>
      </c>
      <c r="AI64" s="620" t="inlineStr"/>
      <c r="AJ64" s="620" t="inlineStr"/>
      <c r="AK64" s="433">
        <f>AE64/AE52-1</f>
        <v>0.0817923277344297</v>
      </c>
      <c r="AL64" s="433">
        <f>AF64/AF52-1</f>
        <v>0.0734458566715621</v>
      </c>
      <c r="AM64" s="620" t="inlineStr"/>
      <c r="AN64" s="620" t="inlineStr"/>
      <c r="AO64" s="620" t="inlineStr"/>
      <c r="AP64" s="620" t="inlineStr"/>
      <c r="AQ64" s="629" t="inlineStr"/>
    </row>
    <row r="65">
      <c r="A65" s="548" t="inlineStr">
        <is>
          <t>5. Method notes</t>
        </is>
      </c>
      <c r="B65" s="549" t="n"/>
      <c r="C65" s="549" t="n"/>
      <c r="D65" s="549" t="n"/>
      <c r="E65" s="549" t="n"/>
      <c r="F65" s="549" t="n"/>
      <c r="G65" s="549" t="n"/>
      <c r="H65" s="549" t="n"/>
      <c r="I65" s="549" t="n"/>
      <c r="J65" s="550" t="n"/>
      <c r="N65" s="554">
        <f>Data!A317</f>
        <v>40633.0</v>
      </c>
      <c r="O65" s="433">
        <f>Data!B317/Data!B316-1</f>
        <v>0.00644453143422963</v>
      </c>
      <c r="P65" s="433">
        <f>Data!C317/Data!C316-1</f>
        <v>-0.0274245356196823</v>
      </c>
      <c r="Q65" s="433">
        <f>Data!D317/Data!D316-1</f>
        <v>0.0270877052076826</v>
      </c>
      <c r="R65" s="433">
        <f>Data!E317/Data!E316-1</f>
        <v>-0.0255514574260529</v>
      </c>
      <c r="S65" s="433">
        <f>Data!F317/Data!F316-1</f>
        <v>0.0275208566833072</v>
      </c>
      <c r="T65" s="433">
        <f>Data!G317/Data!G316-1</f>
        <v>-0.0057132728531043</v>
      </c>
      <c r="U65" s="433">
        <f>Data!H317/Data!H316-1</f>
        <v>-0.00480000000000014</v>
      </c>
      <c r="V65" s="433">
        <f>Data!I317/Data!I316-1</f>
        <v>0.0149008256307357</v>
      </c>
      <c r="W65" s="433">
        <f>Data!J317/Data!J316-1</f>
        <v>0.00682836176498602</v>
      </c>
      <c r="X65" s="433">
        <f>Data!K317/Data!K316-1</f>
        <v>0.00336179548288351</v>
      </c>
      <c r="Y65" s="433">
        <f>Data!L317/Data!L316-1</f>
        <v>0.00418893745425097</v>
      </c>
      <c r="Z65" s="433">
        <f>SUMPRODUCT(O65:Y65,Risk!$B$56:$L$56)</f>
        <v>-0.00387581676767374</v>
      </c>
      <c r="AA65" s="433">
        <f>Z65-$B$8/12</f>
        <v>-0.00396915010100708</v>
      </c>
      <c r="AB65" s="433">
        <f>SUMPRODUCT(O65:Y65,Risk!$B$57:$L$57)</f>
        <v>-0.00392751201998381</v>
      </c>
      <c r="AC65" s="433">
        <f>AB65-$B$9/12</f>
        <v>-0.00420917868665048</v>
      </c>
      <c r="AD65" s="433">
        <f>AA65-AC65</f>
        <v>0.000240028585643403</v>
      </c>
      <c r="AE65" s="560">
        <f>AE64*(1+AA65)</f>
        <v>1.07948489354128</v>
      </c>
      <c r="AF65" s="560">
        <f>AF64*(1+AC65)</f>
        <v>1.07330184405832</v>
      </c>
      <c r="AG65" s="433">
        <f>AE65/MAX(AE$5:AE65)-1</f>
        <v>-0.0618579698785244</v>
      </c>
      <c r="AH65" s="433">
        <f>AF65/MAX(AF$5:AF65)-1</f>
        <v>-0.0418119319698235</v>
      </c>
      <c r="AI65" s="620" t="inlineStr"/>
      <c r="AJ65" s="620" t="inlineStr"/>
      <c r="AK65" s="433">
        <f>AE65/AE53-1</f>
        <v>0.0407067613368295</v>
      </c>
      <c r="AL65" s="433">
        <f>AF65/AF53-1</f>
        <v>0.0381205356898084</v>
      </c>
      <c r="AM65" s="433">
        <f>(AE65/AE5)^(12/60)-1</f>
        <v>0.0154143902042594</v>
      </c>
      <c r="AN65" s="433">
        <f>(AF65/AF5)^(12/60)-1</f>
        <v>0.0142485023802232</v>
      </c>
      <c r="AO65" s="433">
        <f>AM65-AN65</f>
        <v>0.00116588782403615</v>
      </c>
      <c r="AP65" s="433">
        <f>STDEV(AD6:AD65)*SQRT(12)</f>
        <v>0.0225363211789793</v>
      </c>
      <c r="AQ65" s="628">
        <f>AO65/AP65</f>
        <v>0.0517337241858103</v>
      </c>
    </row>
    <row r="66">
      <c r="A66" s="551" t="inlineStr">
        <is>
          <t>Item</t>
        </is>
      </c>
      <c r="B66" s="639" t="inlineStr">
        <is>
          <t>Note</t>
        </is>
      </c>
      <c r="C66" s="640" t="n"/>
      <c r="D66" s="640" t="n"/>
      <c r="E66" s="640" t="n"/>
      <c r="F66" s="640" t="n"/>
      <c r="G66" s="640" t="n"/>
      <c r="H66" s="640" t="n"/>
      <c r="I66" s="640" t="n"/>
      <c r="J66" s="641" t="n"/>
      <c r="N66" s="554">
        <f>Data!A318</f>
        <v>40662.0</v>
      </c>
      <c r="O66" s="433">
        <f>Data!B318/Data!B317-1</f>
        <v>-0.00575621977458329</v>
      </c>
      <c r="P66" s="433">
        <f>Data!C318/Data!C317-1</f>
        <v>-0.0329936409096371</v>
      </c>
      <c r="Q66" s="433">
        <f>Data!D318/Data!D317-1</f>
        <v>-0.0472030687197409</v>
      </c>
      <c r="R66" s="433">
        <f>Data!E318/Data!E317-1</f>
        <v>-0.0151652817272844</v>
      </c>
      <c r="S66" s="433">
        <f>Data!F318/Data!F317-1</f>
        <v>-0.0133194901365138</v>
      </c>
      <c r="T66" s="433">
        <f>Data!G318/Data!G317-1</f>
        <v>0</v>
      </c>
      <c r="U66" s="433">
        <f>Data!H318/Data!H317-1</f>
        <v>0.00810000000000022</v>
      </c>
      <c r="V66" s="433">
        <f>Data!I318/Data!I317-1</f>
        <v>0</v>
      </c>
      <c r="W66" s="433">
        <f>Data!J318/Data!J317-1</f>
        <v>0.00478955762850641</v>
      </c>
      <c r="X66" s="433">
        <f>Data!K318/Data!K317-1</f>
        <v>0.0123953941987036</v>
      </c>
      <c r="Y66" s="433">
        <f>Data!L318/Data!L317-1</f>
        <v>0.00402651450743852</v>
      </c>
      <c r="Z66" s="433">
        <f>SUMPRODUCT(O66:Y66,Risk!$B$56:$L$56)</f>
        <v>-0.00842582306879622</v>
      </c>
      <c r="AA66" s="433">
        <f>Z66-$B$8/12</f>
        <v>-0.00851915640212956</v>
      </c>
      <c r="AB66" s="433">
        <f>SUMPRODUCT(O66:Y66,Risk!$B$57:$L$57)</f>
        <v>-0.00970375348211967</v>
      </c>
      <c r="AC66" s="433">
        <f>AB66-$B$9/12</f>
        <v>-0.00998542014878634</v>
      </c>
      <c r="AD66" s="433">
        <f>AA66-AC66</f>
        <v>0.00146626374665678</v>
      </c>
      <c r="AE66" s="560">
        <f>AE65*(1+AA66)</f>
        <v>1.07028859289946</v>
      </c>
      <c r="AF66" s="560">
        <f>AF65*(1+AC66)</f>
        <v>1.06258447419893</v>
      </c>
      <c r="AG66" s="433">
        <f>AE66/MAX(AE$5:AE66)-1</f>
        <v>-0.0698501485605406</v>
      </c>
      <c r="AH66" s="433">
        <f>AF66/MAX(AF$5:AF66)-1</f>
        <v>-0.0513798424106585</v>
      </c>
      <c r="AI66" s="620" t="inlineStr"/>
      <c r="AJ66" s="620" t="inlineStr"/>
      <c r="AK66" s="433">
        <f>AE66/AE54-1</f>
        <v>0.0342676660934702</v>
      </c>
      <c r="AL66" s="433">
        <f>AF66/AF54-1</f>
        <v>0.0298243955591875</v>
      </c>
      <c r="AM66" s="433">
        <f>(AE66/AE6)^(12/60)-1</f>
        <v>0.015748425698455</v>
      </c>
      <c r="AN66" s="433">
        <f>(AF66/AF6)^(12/60)-1</f>
        <v>0.0150437284403491</v>
      </c>
      <c r="AO66" s="433">
        <f>AM66-AN66</f>
        <v>0.000704697258105957</v>
      </c>
      <c r="AP66" s="433">
        <f>STDEV(AD7:AD66)*SQRT(12)</f>
        <v>0.02248792218514</v>
      </c>
      <c r="AQ66" s="628">
        <f>AO66/AP66</f>
        <v>0.0313366994204392</v>
      </c>
    </row>
    <row r="67" ht="27" customHeight="1">
      <c r="A67" s="595" t="inlineStr">
        <is>
          <t>Rebalancing</t>
        </is>
      </c>
      <c r="B67" s="605" t="inlineStr">
        <is>
          <t>Monthly to the stated weights, as the brief specifies; no transaction costs.</t>
        </is>
      </c>
      <c r="C67" s="606" t="n"/>
      <c r="D67" s="606" t="n"/>
      <c r="E67" s="606" t="n"/>
      <c r="F67" s="606" t="n"/>
      <c r="G67" s="606" t="n"/>
      <c r="H67" s="606" t="n"/>
      <c r="I67" s="606" t="n"/>
      <c r="J67" s="607" t="n"/>
      <c r="N67" s="554">
        <f>Data!A319</f>
        <v>40694.0</v>
      </c>
      <c r="O67" s="433">
        <f>Data!B319/Data!B318-1</f>
        <v>-0.0188512390519344</v>
      </c>
      <c r="P67" s="433">
        <f>Data!C319/Data!C318-1</f>
        <v>0.0150087698096488</v>
      </c>
      <c r="Q67" s="433">
        <f>Data!D319/Data!D318-1</f>
        <v>0.0110831348991338</v>
      </c>
      <c r="R67" s="433">
        <f>Data!E319/Data!E318-1</f>
        <v>0.0418984199392594</v>
      </c>
      <c r="S67" s="433">
        <f>Data!F319/Data!F318-1</f>
        <v>-0.0437178070554196</v>
      </c>
      <c r="T67" s="433">
        <f>Data!G319/Data!G318-1</f>
        <v>0</v>
      </c>
      <c r="U67" s="433">
        <f>Data!H319/Data!H318-1</f>
        <v>0.0236000000000001</v>
      </c>
      <c r="V67" s="433">
        <f>Data!I319/Data!I318-1</f>
        <v>0</v>
      </c>
      <c r="W67" s="433">
        <f>Data!J319/Data!J318-1</f>
        <v>0.0128400178987775</v>
      </c>
      <c r="X67" s="433">
        <f>Data!K319/Data!K318-1</f>
        <v>0.013844002486016</v>
      </c>
      <c r="Y67" s="433">
        <f>Data!L319/Data!L318-1</f>
        <v>0.00416445140987509</v>
      </c>
      <c r="Z67" s="433">
        <f>SUMPRODUCT(O67:Y67,Risk!$B$56:$L$56)</f>
        <v>0.0029761348174711</v>
      </c>
      <c r="AA67" s="433">
        <f>Z67-$B$8/12</f>
        <v>0.00288280148413777</v>
      </c>
      <c r="AB67" s="433">
        <f>SUMPRODUCT(O67:Y67,Risk!$B$57:$L$57)</f>
        <v>0.00543369861453276</v>
      </c>
      <c r="AC67" s="433">
        <f>AB67-$B$9/12</f>
        <v>0.0051520319478661</v>
      </c>
      <c r="AD67" s="433">
        <f>AA67-AC67</f>
        <v>-0.00226923046372833</v>
      </c>
      <c r="AE67" s="560">
        <f>AE66*(1+AA67)</f>
        <v>1.07337402244353</v>
      </c>
      <c r="AF67" s="560">
        <f>AF66*(1+AC67)</f>
        <v>1.06805894335731</v>
      </c>
      <c r="AG67" s="433">
        <f>AE67/MAX(AE$5:AE67)-1</f>
        <v>-0.0671687111883405</v>
      </c>
      <c r="AH67" s="433">
        <f>AF67/MAX(AF$5:AF67)-1</f>
        <v>-0.0464925210523685</v>
      </c>
      <c r="AI67" s="620" t="inlineStr"/>
      <c r="AJ67" s="620" t="inlineStr"/>
      <c r="AK67" s="433">
        <f>AE67/AE55-1</f>
        <v>0.0546465496354656</v>
      </c>
      <c r="AL67" s="433">
        <f>AF67/AF55-1</f>
        <v>0.0404226910885448</v>
      </c>
      <c r="AM67" s="433">
        <f>(AE67/AE7)^(12/60)-1</f>
        <v>0.0216453974347002</v>
      </c>
      <c r="AN67" s="433">
        <f>(AF67/AF7)^(12/60)-1</f>
        <v>0.020616391407374</v>
      </c>
      <c r="AO67" s="433">
        <f>AM67-AN67</f>
        <v>0.00102900602732614</v>
      </c>
      <c r="AP67" s="433">
        <f>STDEV(AD8:AD67)*SQRT(12)</f>
        <v>0.0224454469930312</v>
      </c>
      <c r="AQ67" s="628">
        <f>AO67/AP67</f>
        <v>0.0458447554038743</v>
      </c>
    </row>
    <row r="68" ht="27" customHeight="1">
      <c r="A68" s="595" t="inlineStr">
        <is>
          <t>Fees</t>
        </is>
      </c>
      <c r="B68" s="605" t="inlineStr">
        <is>
          <t>Deducted monthly at one twelfth of each portfolio's annual fee (Fee schedule).</t>
        </is>
      </c>
      <c r="C68" s="606" t="n"/>
      <c r="D68" s="606" t="n"/>
      <c r="E68" s="606" t="n"/>
      <c r="F68" s="606" t="n"/>
      <c r="G68" s="606" t="n"/>
      <c r="H68" s="606" t="n"/>
      <c r="I68" s="606" t="n"/>
      <c r="J68" s="607" t="n"/>
      <c r="N68" s="554">
        <f>Data!A320</f>
        <v>40724.0</v>
      </c>
      <c r="O68" s="433">
        <f>Data!B320/Data!B319-1</f>
        <v>-0.0238699342796931</v>
      </c>
      <c r="P68" s="433">
        <f>Data!C320/Data!C319-1</f>
        <v>-0.0201100084475075</v>
      </c>
      <c r="Q68" s="433">
        <f>Data!D320/Data!D319-1</f>
        <v>-0.0231437946333131</v>
      </c>
      <c r="R68" s="433">
        <f>Data!E320/Data!E319-1</f>
        <v>-0.0273429935286351</v>
      </c>
      <c r="S68" s="433">
        <f>Data!F320/Data!F319-1</f>
        <v>-0.0575204858949533</v>
      </c>
      <c r="T68" s="433">
        <f>Data!G320/Data!G319-1</f>
        <v>-0.0038357613154586</v>
      </c>
      <c r="U68" s="433">
        <f>Data!H320/Data!H319-1</f>
        <v>0.0117</v>
      </c>
      <c r="V68" s="433">
        <f>Data!I320/Data!I319-1</f>
        <v>0.0304984766967007</v>
      </c>
      <c r="W68" s="433">
        <f>Data!J320/Data!J319-1</f>
        <v>0.00551393364987685</v>
      </c>
      <c r="X68" s="433">
        <f>Data!K320/Data!K319-1</f>
        <v>0.00223751360132396</v>
      </c>
      <c r="Y68" s="433">
        <f>Data!L320/Data!L319-1</f>
        <v>0.00404211876696015</v>
      </c>
      <c r="Z68" s="433">
        <f>SUMPRODUCT(O68:Y68,Risk!$B$56:$L$56)</f>
        <v>-0.0150152353049676</v>
      </c>
      <c r="AA68" s="433">
        <f>Z68-$B$8/12</f>
        <v>-0.0151085686383009</v>
      </c>
      <c r="AB68" s="433">
        <f>SUMPRODUCT(O68:Y68,Risk!$B$57:$L$57)</f>
        <v>-0.0123391116959627</v>
      </c>
      <c r="AC68" s="433">
        <f>AB68-$B$9/12</f>
        <v>-0.0126207783626294</v>
      </c>
      <c r="AD68" s="433">
        <f>AA68-AC68</f>
        <v>-0.00248779027567156</v>
      </c>
      <c r="AE68" s="560">
        <f>AE67*(1+AA68)</f>
        <v>1.05715687735087</v>
      </c>
      <c r="AF68" s="560">
        <f>AF67*(1+AC68)</f>
        <v>1.05457920815498</v>
      </c>
      <c r="AG68" s="433">
        <f>AE68/MAX(AE$5:AE68)-1</f>
        <v>-0.081262456743306</v>
      </c>
      <c r="AH68" s="433">
        <f>AF68/MAX(AF$5:AF68)-1</f>
        <v>-0.058526527611276</v>
      </c>
      <c r="AI68" s="620" t="inlineStr"/>
      <c r="AJ68" s="620" t="inlineStr"/>
      <c r="AK68" s="433">
        <f>AE68/AE56-1</f>
        <v>0.0612878083933772</v>
      </c>
      <c r="AL68" s="433">
        <f>AF68/AF56-1</f>
        <v>0.0446430275717813</v>
      </c>
      <c r="AM68" s="433">
        <f>(AE68/AE8)^(12/60)-1</f>
        <v>0.0148937449996867</v>
      </c>
      <c r="AN68" s="433">
        <f>(AF68/AF8)^(12/60)-1</f>
        <v>0.0139466685321563</v>
      </c>
      <c r="AO68" s="433">
        <f>AM68-AN68</f>
        <v>0.000947076467530339</v>
      </c>
      <c r="AP68" s="433">
        <f>STDEV(AD9:AD68)*SQRT(12)</f>
        <v>0.0224522261738166</v>
      </c>
      <c r="AQ68" s="628">
        <f>AO68/AP68</f>
        <v>0.0421818513762704</v>
      </c>
    </row>
    <row r="69" ht="27" customHeight="1">
      <c r="A69" s="595" t="inlineStr">
        <is>
          <t>Illiquid series</t>
        </is>
      </c>
      <c r="B69" s="605" t="inlineStr">
        <is>
          <t>Direct property and private equity indices update quarterly, so monthly benchmark volatility is understated; reported (not unsmoothed) returns are used because this tab measures realised performance.</t>
        </is>
      </c>
      <c r="C69" s="606" t="n"/>
      <c r="D69" s="606" t="n"/>
      <c r="E69" s="606" t="n"/>
      <c r="F69" s="606" t="n"/>
      <c r="G69" s="606" t="n"/>
      <c r="H69" s="606" t="n"/>
      <c r="I69" s="606" t="n"/>
      <c r="J69" s="607" t="n"/>
      <c r="N69" s="554">
        <f>Data!A321</f>
        <v>40753.0</v>
      </c>
      <c r="O69" s="433">
        <f>Data!B321/Data!B320-1</f>
        <v>-0.0340058101929464</v>
      </c>
      <c r="P69" s="433">
        <f>Data!C321/Data!C320-1</f>
        <v>-0.0516604838021949</v>
      </c>
      <c r="Q69" s="433">
        <f>Data!D321/Data!D320-1</f>
        <v>-0.0340333941722525</v>
      </c>
      <c r="R69" s="433">
        <f>Data!E321/Data!E320-1</f>
        <v>-0.0289071239260663</v>
      </c>
      <c r="S69" s="433">
        <f>Data!F321/Data!F320-1</f>
        <v>-0.00162247132583271</v>
      </c>
      <c r="T69" s="433">
        <f>Data!G321/Data!G320-1</f>
        <v>0</v>
      </c>
      <c r="U69" s="433">
        <f>Data!H321/Data!H320-1</f>
        <v>-0.0236000000000001</v>
      </c>
      <c r="V69" s="433">
        <f>Data!I321/Data!I320-1</f>
        <v>0</v>
      </c>
      <c r="W69" s="433">
        <f>Data!J321/Data!J320-1</f>
        <v>0.0167362984660451</v>
      </c>
      <c r="X69" s="433">
        <f>Data!K321/Data!K320-1</f>
        <v>0.0149395232197194</v>
      </c>
      <c r="Y69" s="433">
        <f>Data!L321/Data!L320-1</f>
        <v>0.00418142741292593</v>
      </c>
      <c r="Z69" s="433">
        <f>SUMPRODUCT(O69:Y69,Risk!$B$56:$L$56)</f>
        <v>-0.022826826683835</v>
      </c>
      <c r="AA69" s="433">
        <f>Z69-$B$8/12</f>
        <v>-0.0229201600171684</v>
      </c>
      <c r="AB69" s="433">
        <f>SUMPRODUCT(O69:Y69,Risk!$B$57:$L$57)</f>
        <v>-0.020573046425469</v>
      </c>
      <c r="AC69" s="433">
        <f>AB69-$B$9/12</f>
        <v>-0.0208547130921357</v>
      </c>
      <c r="AD69" s="433">
        <f>AA69-AC69</f>
        <v>-0.00206544692503268</v>
      </c>
      <c r="AE69" s="560">
        <f>AE68*(1+AA69)</f>
        <v>1.03292667255874</v>
      </c>
      <c r="AF69" s="560">
        <f>AF68*(1+AC69)</f>
        <v>1.03258626133597</v>
      </c>
      <c r="AG69" s="433">
        <f>AE69/MAX(AE$5:AE69)-1</f>
        <v>-0.10232006824853</v>
      </c>
      <c r="AH69" s="433">
        <f>AF69/MAX(AF$5:AF69)-1</f>
        <v>-0.0781606867617996</v>
      </c>
      <c r="AI69" s="620" t="inlineStr"/>
      <c r="AJ69" s="620" t="inlineStr"/>
      <c r="AK69" s="433">
        <f>AE69/AE57-1</f>
        <v>0.0194268978795058</v>
      </c>
      <c r="AL69" s="433">
        <f>AF69/AF57-1</f>
        <v>0.0118381750165621</v>
      </c>
      <c r="AM69" s="433">
        <f>(AE69/AE9)^(12/60)-1</f>
        <v>0.0121233479696459</v>
      </c>
      <c r="AN69" s="433">
        <f>(AF69/AF9)^(12/60)-1</f>
        <v>0.0113494221482475</v>
      </c>
      <c r="AO69" s="433">
        <f>AM69-AN69</f>
        <v>0.000773925821398347</v>
      </c>
      <c r="AP69" s="433">
        <f>STDEV(AD10:AD69)*SQRT(12)</f>
        <v>0.0224658020184995</v>
      </c>
      <c r="AQ69" s="628">
        <f>AO69/AP69</f>
        <v>0.0344490626580372</v>
      </c>
    </row>
    <row r="70" ht="27" customHeight="1">
      <c r="A70" s="595" t="inlineStr">
        <is>
          <t>Attribution</t>
        </is>
      </c>
      <c r="B70" s="605" t="inlineStr">
        <is>
          <t>The fund and benchmark hold each asset class passively, so all active return is allocation effect: (w fund - w benchmark) x (r asset - r benchmark), plus the fee difference.</t>
        </is>
      </c>
      <c r="C70" s="606" t="n"/>
      <c r="D70" s="606" t="n"/>
      <c r="E70" s="606" t="n"/>
      <c r="F70" s="606" t="n"/>
      <c r="G70" s="606" t="n"/>
      <c r="H70" s="606" t="n"/>
      <c r="I70" s="606" t="n"/>
      <c r="J70" s="607" t="n"/>
      <c r="N70" s="554">
        <f>Data!A322</f>
        <v>40786.0</v>
      </c>
      <c r="O70" s="433">
        <f>Data!B322/Data!B321-1</f>
        <v>-0.0200475594546909</v>
      </c>
      <c r="P70" s="433">
        <f>Data!C322/Data!C321-1</f>
        <v>-0.0432845296036823</v>
      </c>
      <c r="Q70" s="433">
        <f>Data!D322/Data!D321-1</f>
        <v>-0.0491130146146245</v>
      </c>
      <c r="R70" s="433">
        <f>Data!E322/Data!E321-1</f>
        <v>-0.0218618251573945</v>
      </c>
      <c r="S70" s="433">
        <f>Data!F322/Data!F321-1</f>
        <v>0.00675834370015682</v>
      </c>
      <c r="T70" s="433">
        <f>Data!G322/Data!G321-1</f>
        <v>0</v>
      </c>
      <c r="U70" s="433">
        <f>Data!H322/Data!H321-1</f>
        <v>-0.0041000000000001</v>
      </c>
      <c r="V70" s="433">
        <f>Data!I322/Data!I321-1</f>
        <v>0</v>
      </c>
      <c r="W70" s="433">
        <f>Data!J322/Data!J321-1</f>
        <v>0.019911873432539</v>
      </c>
      <c r="X70" s="433">
        <f>Data!K322/Data!K321-1</f>
        <v>0.0167987464971222</v>
      </c>
      <c r="Y70" s="433">
        <f>Data!L322/Data!L321-1</f>
        <v>0.00426273473148475</v>
      </c>
      <c r="Z70" s="433">
        <f>SUMPRODUCT(O70:Y70,Risk!$B$56:$L$56)</f>
        <v>-0.0142330400524977</v>
      </c>
      <c r="AA70" s="433">
        <f>Z70-$B$8/12</f>
        <v>-0.0143263733858311</v>
      </c>
      <c r="AB70" s="433">
        <f>SUMPRODUCT(O70:Y70,Risk!$B$57:$L$57)</f>
        <v>-0.0136283218568263</v>
      </c>
      <c r="AC70" s="433">
        <f>AB70-$B$9/12</f>
        <v>-0.0139099885234929</v>
      </c>
      <c r="AD70" s="433">
        <f>AA70-AC70</f>
        <v>-0.000416384862338141</v>
      </c>
      <c r="AE70" s="560">
        <f>AE69*(1+AA70)</f>
        <v>1.01812857936748</v>
      </c>
      <c r="AF70" s="560">
        <f>AF69*(1+AC70)</f>
        <v>1.01822299829127</v>
      </c>
      <c r="AG70" s="433">
        <f>AE70/MAX(AE$5:AE70)-1</f>
        <v>-0.115180566131769</v>
      </c>
      <c r="AH70" s="433">
        <f>AF70/MAX(AF$5:AF70)-1</f>
        <v>-0.0909834610294474</v>
      </c>
      <c r="AI70" s="620" t="inlineStr"/>
      <c r="AJ70" s="620" t="inlineStr"/>
      <c r="AK70" s="433">
        <f>AE70/AE58-1</f>
        <v>0.00461608156269899</v>
      </c>
      <c r="AL70" s="433">
        <f>AF70/AF58-1</f>
        <v>-0.00324937414829229</v>
      </c>
      <c r="AM70" s="433">
        <f>(AE70/AE10)^(12/60)-1</f>
        <v>0.0041018761425291</v>
      </c>
      <c r="AN70" s="433">
        <f>(AF70/AF10)^(12/60)-1</f>
        <v>0.00445308723379534</v>
      </c>
      <c r="AO70" s="433">
        <f>AM70-AN70</f>
        <v>-0.000351211091266235</v>
      </c>
      <c r="AP70" s="433">
        <f>STDEV(AD11:AD70)*SQRT(12)</f>
        <v>0.0223477381302648</v>
      </c>
      <c r="AQ70" s="628">
        <f>AO70/AP70</f>
        <v>-0.0157157332531385</v>
      </c>
    </row>
    <row r="71" ht="27" customHeight="1">
      <c r="A71" s="598" t="inlineStr">
        <is>
          <t>Target</t>
        </is>
      </c>
      <c r="B71" s="642" t="inlineStr">
        <is>
          <t>5-year Australian government bond yield at the start of each window plus 4%.</t>
        </is>
      </c>
      <c r="C71" s="643" t="n"/>
      <c r="D71" s="643" t="n"/>
      <c r="E71" s="643" t="n"/>
      <c r="F71" s="643" t="n"/>
      <c r="G71" s="643" t="n"/>
      <c r="H71" s="643" t="n"/>
      <c r="I71" s="643" t="n"/>
      <c r="J71" s="644" t="n"/>
      <c r="N71" s="554">
        <f>Data!A323</f>
        <v>40816.0</v>
      </c>
      <c r="O71" s="433">
        <f>Data!B323/Data!B322-1</f>
        <v>-0.0627467784550285</v>
      </c>
      <c r="P71" s="433">
        <f>Data!C323/Data!C322-1</f>
        <v>0.0355710276267243</v>
      </c>
      <c r="Q71" s="433">
        <f>Data!D323/Data!D322-1</f>
        <v>0.0203487716884034</v>
      </c>
      <c r="R71" s="433">
        <f>Data!E323/Data!E322-1</f>
        <v>0.00111511574996426</v>
      </c>
      <c r="S71" s="433">
        <f>Data!F323/Data!F322-1</f>
        <v>-0.0321757848595966</v>
      </c>
      <c r="T71" s="433">
        <f>Data!G323/Data!G322-1</f>
        <v>-0.0147001867543269</v>
      </c>
      <c r="U71" s="433">
        <f>Data!H323/Data!H322-1</f>
        <v>0.0157000000000003</v>
      </c>
      <c r="V71" s="433">
        <f>Data!I323/Data!I322-1</f>
        <v>0.00529433349059061</v>
      </c>
      <c r="W71" s="433">
        <f>Data!J323/Data!J322-1</f>
        <v>0.00900187024818711</v>
      </c>
      <c r="X71" s="433">
        <f>Data!K323/Data!K322-1</f>
        <v>0.0105054156973732</v>
      </c>
      <c r="Y71" s="433">
        <f>Data!L323/Data!L322-1</f>
        <v>0.00386782496624361</v>
      </c>
      <c r="Z71" s="433">
        <f>SUMPRODUCT(O71:Y71,Risk!$B$56:$L$56)</f>
        <v>-0.0154115327410152</v>
      </c>
      <c r="AA71" s="433">
        <f>Z71-$B$8/12</f>
        <v>-0.0155048660743485</v>
      </c>
      <c r="AB71" s="433">
        <f>SUMPRODUCT(O71:Y71,Risk!$B$57:$L$57)</f>
        <v>-0.00467792944993971</v>
      </c>
      <c r="AC71" s="433">
        <f>AB71-$B$9/12</f>
        <v>-0.00495959611660637</v>
      </c>
      <c r="AD71" s="433">
        <f>AA71-AC71</f>
        <v>-0.0105452699577421</v>
      </c>
      <c r="AE71" s="560">
        <f>AE70*(1+AA71)</f>
        <v>1.00234263209792</v>
      </c>
      <c r="AF71" s="560">
        <f>AF70*(1+AC71)</f>
        <v>1.01317302346311</v>
      </c>
      <c r="AG71" s="433">
        <f>AE71/MAX(AE$5:AE71)-1</f>
        <v>-0.128899572953876</v>
      </c>
      <c r="AH71" s="433">
        <f>AF71/MAX(AF$5:AF71)-1</f>
        <v>-0.0954918159260568</v>
      </c>
      <c r="AI71" s="620" t="inlineStr"/>
      <c r="AJ71" s="620" t="inlineStr"/>
      <c r="AK71" s="433">
        <f>AE71/AE59-1</f>
        <v>-0.0223459882417283</v>
      </c>
      <c r="AL71" s="433">
        <f>AF71/AF59-1</f>
        <v>-0.0134389765528953</v>
      </c>
      <c r="AM71" s="433">
        <f>(AE71/AE11)^(12/60)-1</f>
        <v>-0.0031298464469387</v>
      </c>
      <c r="AN71" s="433">
        <f>(AF71/AF11)^(12/60)-1</f>
        <v>-0.00069348571746175</v>
      </c>
      <c r="AO71" s="433">
        <f>AM71-AN71</f>
        <v>-0.00243636072947695</v>
      </c>
      <c r="AP71" s="433">
        <f>STDEV(AD12:AD71)*SQRT(12)</f>
        <v>0.0228485028484106</v>
      </c>
      <c r="AQ71" s="628">
        <f>AO71/AP71</f>
        <v>-0.106631088506809</v>
      </c>
    </row>
    <row r="72">
      <c r="N72" s="554">
        <f>Data!A324</f>
        <v>40847.0</v>
      </c>
      <c r="O72" s="433">
        <f>Data!B324/Data!B323-1</f>
        <v>0.0717107793084939</v>
      </c>
      <c r="P72" s="433">
        <f>Data!C324/Data!C323-1</f>
        <v>-0.00536782774796496</v>
      </c>
      <c r="Q72" s="433">
        <f>Data!D324/Data!D323-1</f>
        <v>-0.000859659695655379</v>
      </c>
      <c r="R72" s="433">
        <f>Data!E324/Data!E323-1</f>
        <v>0.00711339478794493</v>
      </c>
      <c r="S72" s="433">
        <f>Data!F324/Data!F323-1</f>
        <v>0.00534740676964396</v>
      </c>
      <c r="T72" s="433">
        <f>Data!G324/Data!G323-1</f>
        <v>0</v>
      </c>
      <c r="U72" s="433">
        <f>Data!H324/Data!H323-1</f>
        <v>0.00399999999999978</v>
      </c>
      <c r="V72" s="433">
        <f>Data!I324/Data!I323-1</f>
        <v>0</v>
      </c>
      <c r="W72" s="433">
        <f>Data!J324/Data!J323-1</f>
        <v>-0.00571539709412083</v>
      </c>
      <c r="X72" s="433">
        <f>Data!K324/Data!K323-1</f>
        <v>0.00341652247866509</v>
      </c>
      <c r="Y72" s="433">
        <f>Data!L324/Data!L323-1</f>
        <v>0.00420108637999372</v>
      </c>
      <c r="Z72" s="433">
        <f>SUMPRODUCT(O72:Y72,Risk!$B$56:$L$56)</f>
        <v>0.0280321739333737</v>
      </c>
      <c r="AA72" s="433">
        <f>Z72-$B$8/12</f>
        <v>0.0279388406000404</v>
      </c>
      <c r="AB72" s="433">
        <f>SUMPRODUCT(O72:Y72,Risk!$B$57:$L$57)</f>
        <v>0.0170402066181673</v>
      </c>
      <c r="AC72" s="433">
        <f>AB72-$B$9/12</f>
        <v>0.0167585399515006</v>
      </c>
      <c r="AD72" s="433">
        <f>AA72-AC72</f>
        <v>0.0111803006485397</v>
      </c>
      <c r="AE72" s="560">
        <f>AE71*(1+AA72)</f>
        <v>1.03034692312273</v>
      </c>
      <c r="AF72" s="560">
        <f>AF71*(1+AC72)</f>
        <v>1.0301523240546</v>
      </c>
      <c r="AG72" s="433">
        <f>AE72/MAX(AE$5:AE72)-1</f>
        <v>-0.104562036976008</v>
      </c>
      <c r="AH72" s="433">
        <f>AF72/MAX(AF$5:AF72)-1</f>
        <v>-0.0803335793867944</v>
      </c>
      <c r="AI72" s="620" t="inlineStr"/>
      <c r="AJ72" s="620" t="inlineStr"/>
      <c r="AK72" s="433">
        <f>AE72/AE60-1</f>
        <v>-0.00966891312867457</v>
      </c>
      <c r="AL72" s="433">
        <f>AF72/AF60-1</f>
        <v>-0.00930704629975532</v>
      </c>
      <c r="AM72" s="433">
        <f>(AE72/AE12)^(12/60)-1</f>
        <v>-0.00149977718648409</v>
      </c>
      <c r="AN72" s="433">
        <f>(AF72/AF12)^(12/60)-1</f>
        <v>0.000600151640915536</v>
      </c>
      <c r="AO72" s="433">
        <f>AM72-AN72</f>
        <v>-0.00209992882739962</v>
      </c>
      <c r="AP72" s="433">
        <f>STDEV(AD13:AD72)*SQRT(12)</f>
        <v>0.0230143136566106</v>
      </c>
      <c r="AQ72" s="628">
        <f>AO72/AP72</f>
        <v>-0.0912444689305973</v>
      </c>
    </row>
    <row r="73">
      <c r="N73" s="554">
        <f>Data!A325</f>
        <v>40877.0</v>
      </c>
      <c r="O73" s="433">
        <f>Data!B325/Data!B324-1</f>
        <v>-0.0343432670409879</v>
      </c>
      <c r="P73" s="433">
        <f>Data!C325/Data!C324-1</f>
        <v>0.0201099424859248</v>
      </c>
      <c r="Q73" s="433">
        <f>Data!D325/Data!D324-1</f>
        <v>-0.00696730664745893</v>
      </c>
      <c r="R73" s="433">
        <f>Data!E325/Data!E324-1</f>
        <v>0.00201505621873355</v>
      </c>
      <c r="S73" s="433">
        <f>Data!F325/Data!F324-1</f>
        <v>0.0473853792664298</v>
      </c>
      <c r="T73" s="433">
        <f>Data!G325/Data!G324-1</f>
        <v>0</v>
      </c>
      <c r="U73" s="433">
        <f>Data!H325/Data!H324-1</f>
        <v>0.0316000000000001</v>
      </c>
      <c r="V73" s="433">
        <f>Data!I325/Data!I324-1</f>
        <v>0</v>
      </c>
      <c r="W73" s="433">
        <f>Data!J325/Data!J324-1</f>
        <v>0.0173321833868298</v>
      </c>
      <c r="X73" s="433">
        <f>Data!K325/Data!K324-1</f>
        <v>-0.00200201662989019</v>
      </c>
      <c r="Y73" s="433">
        <f>Data!L325/Data!L324-1</f>
        <v>0.00392483494159457</v>
      </c>
      <c r="Z73" s="433">
        <f>SUMPRODUCT(O73:Y73,Risk!$B$56:$L$56)</f>
        <v>-0.00679940807379196</v>
      </c>
      <c r="AA73" s="433">
        <f>Z73-$B$8/12</f>
        <v>-0.0068927414071253</v>
      </c>
      <c r="AB73" s="433">
        <f>SUMPRODUCT(O73:Y73,Risk!$B$57:$L$57)</f>
        <v>0.000392340650707251</v>
      </c>
      <c r="AC73" s="433">
        <f>AB73-$B$9/12</f>
        <v>0.000110673984040584</v>
      </c>
      <c r="AD73" s="433">
        <f>AA73-AC73</f>
        <v>-0.00700341539116588</v>
      </c>
      <c r="AE73" s="560">
        <f>AE72*(1+AA73)</f>
        <v>1.02324500822202</v>
      </c>
      <c r="AF73" s="560">
        <f>AF72*(1+AC73)</f>
        <v>1.03026633511647</v>
      </c>
      <c r="AG73" s="433">
        <f>AE73/MAX(AE$5:AE73)-1</f>
        <v>-0.110734059301255</v>
      </c>
      <c r="AH73" s="433">
        <f>AF73/MAX(AF$5:AF73)-1</f>
        <v>-0.0802317962400367</v>
      </c>
      <c r="AI73" s="620" t="inlineStr"/>
      <c r="AJ73" s="620" t="inlineStr"/>
      <c r="AK73" s="433">
        <f>AE73/AE61-1</f>
        <v>-0.0165264995040308</v>
      </c>
      <c r="AL73" s="433">
        <f>AF73/AF61-1</f>
        <v>-0.0119967594607384</v>
      </c>
      <c r="AM73" s="433">
        <f>(AE73/AE13)^(12/60)-1</f>
        <v>-0.00543906774469227</v>
      </c>
      <c r="AN73" s="433">
        <f>(AF73/AF13)^(12/60)-1</f>
        <v>-0.0012871503343338</v>
      </c>
      <c r="AO73" s="433">
        <f>AM73-AN73</f>
        <v>-0.00415191741035847</v>
      </c>
      <c r="AP73" s="433">
        <f>STDEV(AD14:AD73)*SQRT(12)</f>
        <v>0.0231688893295188</v>
      </c>
      <c r="AQ73" s="628">
        <f>AO73/AP73</f>
        <v>-0.179202263488248</v>
      </c>
    </row>
    <row r="74">
      <c r="N74" s="554">
        <f>Data!A326</f>
        <v>40907.0</v>
      </c>
      <c r="O74" s="433">
        <f>Data!B326/Data!B325-1</f>
        <v>-0.0157472116751887</v>
      </c>
      <c r="P74" s="433">
        <f>Data!C326/Data!C325-1</f>
        <v>0.00830908918750795</v>
      </c>
      <c r="Q74" s="433">
        <f>Data!D326/Data!D325-1</f>
        <v>0.0019658547831054</v>
      </c>
      <c r="R74" s="433">
        <f>Data!E326/Data!E325-1</f>
        <v>0.0246082648052974</v>
      </c>
      <c r="S74" s="433">
        <f>Data!F326/Data!F325-1</f>
        <v>-0.0190693835992969</v>
      </c>
      <c r="T74" s="433">
        <f>Data!G326/Data!G325-1</f>
        <v>-0.00500871707409478</v>
      </c>
      <c r="U74" s="433">
        <f>Data!H326/Data!H325-1</f>
        <v>0.0217000000000003</v>
      </c>
      <c r="V74" s="433">
        <f>Data!I326/Data!I325-1</f>
        <v>0.0242048180206487</v>
      </c>
      <c r="W74" s="433">
        <f>Data!J326/Data!J325-1</f>
        <v>0.00779304015964799</v>
      </c>
      <c r="X74" s="433">
        <f>Data!K326/Data!K325-1</f>
        <v>0.0189767768764459</v>
      </c>
      <c r="Y74" s="433">
        <f>Data!L326/Data!L325-1</f>
        <v>0.00403090359422276</v>
      </c>
      <c r="Z74" s="433">
        <f>SUMPRODUCT(O74:Y74,Risk!$B$56:$L$56)</f>
        <v>0.000793021073614333</v>
      </c>
      <c r="AA74" s="433">
        <f>Z74-$B$8/12</f>
        <v>0.000699687740281</v>
      </c>
      <c r="AB74" s="433">
        <f>SUMPRODUCT(O74:Y74,Risk!$B$57:$L$57)</f>
        <v>0.00388365186758397</v>
      </c>
      <c r="AC74" s="433">
        <f>AB74-$B$9/12</f>
        <v>0.0036019852009173</v>
      </c>
      <c r="AD74" s="433">
        <f>AA74-AC74</f>
        <v>-0.0029022974606363</v>
      </c>
      <c r="AE74" s="560">
        <f>AE73*(1+AA74)</f>
        <v>1.02396096020957</v>
      </c>
      <c r="AF74" s="560">
        <f>AF73*(1+AC74)</f>
        <v>1.03397733920856</v>
      </c>
      <c r="AG74" s="433">
        <f>AE74/MAX(AE$5:AE74)-1</f>
        <v>-0.110111850824699</v>
      </c>
      <c r="AH74" s="433">
        <f>AF74/MAX(AF$5:AF74)-1</f>
        <v>-0.0769188047818192</v>
      </c>
      <c r="AI74" s="620" t="inlineStr"/>
      <c r="AJ74" s="620" t="inlineStr"/>
      <c r="AK74" s="433">
        <f>AE74/AE62-1</f>
        <v>-0.0268435239292385</v>
      </c>
      <c r="AL74" s="433">
        <f>AF74/AF62-1</f>
        <v>-0.014404105285925</v>
      </c>
      <c r="AM74" s="433">
        <f>(AE74/AE14)^(12/60)-1</f>
        <v>-0.0094583956520049</v>
      </c>
      <c r="AN74" s="433">
        <f>(AF74/AF14)^(12/60)-1</f>
        <v>-0.0045373371489521</v>
      </c>
      <c r="AO74" s="433">
        <f>AM74-AN74</f>
        <v>-0.0049210585030528</v>
      </c>
      <c r="AP74" s="433">
        <f>STDEV(AD15:AD74)*SQRT(12)</f>
        <v>0.0231918450910491</v>
      </c>
      <c r="AQ74" s="628">
        <f>AO74/AP74</f>
        <v>-0.212189176140715</v>
      </c>
    </row>
    <row r="75">
      <c r="N75" s="554">
        <f>Data!A327</f>
        <v>40939.0</v>
      </c>
      <c r="O75" s="433">
        <f>Data!B327/Data!B326-1</f>
        <v>0.052261931773417</v>
      </c>
      <c r="P75" s="433">
        <f>Data!C327/Data!C326-1</f>
        <v>0.00668798657926573</v>
      </c>
      <c r="Q75" s="433">
        <f>Data!D327/Data!D326-1</f>
        <v>0.0363904713127441</v>
      </c>
      <c r="R75" s="433">
        <f>Data!E327/Data!E326-1</f>
        <v>0.019052875969086</v>
      </c>
      <c r="S75" s="433">
        <f>Data!F327/Data!F326-1</f>
        <v>-0.0137991058951462</v>
      </c>
      <c r="T75" s="433">
        <f>Data!G327/Data!G326-1</f>
        <v>0</v>
      </c>
      <c r="U75" s="433">
        <f>Data!H327/Data!H326-1</f>
        <v>0.00279999999999991</v>
      </c>
      <c r="V75" s="433">
        <f>Data!I327/Data!I326-1</f>
        <v>0</v>
      </c>
      <c r="W75" s="433">
        <f>Data!J327/Data!J326-1</f>
        <v>0.0013586563755672</v>
      </c>
      <c r="X75" s="433">
        <f>Data!K327/Data!K326-1</f>
        <v>0.0133352493174308</v>
      </c>
      <c r="Y75" s="433">
        <f>Data!L327/Data!L326-1</f>
        <v>0.0038937953218019</v>
      </c>
      <c r="Z75" s="433">
        <f>SUMPRODUCT(O75:Y75,Risk!$B$56:$L$56)</f>
        <v>0.0256908416963842</v>
      </c>
      <c r="AA75" s="433">
        <f>Z75-$B$8/12</f>
        <v>0.0255975083630509</v>
      </c>
      <c r="AB75" s="433">
        <f>SUMPRODUCT(O75:Y75,Risk!$B$57:$L$57)</f>
        <v>0.0186779362388443</v>
      </c>
      <c r="AC75" s="433">
        <f>AB75-$B$9/12</f>
        <v>0.0183962695721776</v>
      </c>
      <c r="AD75" s="433">
        <f>AA75-AC75</f>
        <v>0.00720123879087326</v>
      </c>
      <c r="AE75" s="560">
        <f>AE74*(1+AA75)</f>
        <v>1.05017180945198</v>
      </c>
      <c r="AF75" s="560">
        <f>AF74*(1+AC75)</f>
        <v>1.05299866507216</v>
      </c>
      <c r="AG75" s="433">
        <f>AE75/MAX(AE$5:AE75)-1</f>
        <v>-0.087332931484004</v>
      </c>
      <c r="AH75" s="433">
        <f>AF75/MAX(AF$5:AF75)-1</f>
        <v>-0.0599375542775776</v>
      </c>
      <c r="AI75" s="620" t="inlineStr"/>
      <c r="AJ75" s="620" t="inlineStr"/>
      <c r="AK75" s="433">
        <f>AE75/AE63-1</f>
        <v>-0.0180944473743764</v>
      </c>
      <c r="AL75" s="433">
        <f>AF75/AF63-1</f>
        <v>-0.0138103025265096</v>
      </c>
      <c r="AM75" s="433">
        <f>(AE75/AE15)^(12/60)-1</f>
        <v>-0.00939457000477628</v>
      </c>
      <c r="AN75" s="433">
        <f>(AF75/AF15)^(12/60)-1</f>
        <v>-0.00511819632812049</v>
      </c>
      <c r="AO75" s="433">
        <f>AM75-AN75</f>
        <v>-0.00427637367665579</v>
      </c>
      <c r="AP75" s="433">
        <f>STDEV(AD16:AD75)*SQRT(12)</f>
        <v>0.0233597096162957</v>
      </c>
      <c r="AQ75" s="628">
        <f>AO75/AP75</f>
        <v>-0.183066217298891</v>
      </c>
    </row>
    <row r="76">
      <c r="N76" s="554">
        <f>Data!A328</f>
        <v>40968.0</v>
      </c>
      <c r="O76" s="433">
        <f>Data!B328/Data!B327-1</f>
        <v>0.024116760733836</v>
      </c>
      <c r="P76" s="433">
        <f>Data!C328/Data!C327-1</f>
        <v>0.0306804917596182</v>
      </c>
      <c r="Q76" s="433">
        <f>Data!D328/Data!D327-1</f>
        <v>0.0283712796291133</v>
      </c>
      <c r="R76" s="433">
        <f>Data!E328/Data!E327-1</f>
        <v>-0.00928159558543418</v>
      </c>
      <c r="S76" s="433">
        <f>Data!F328/Data!F327-1</f>
        <v>0.0432592717509039</v>
      </c>
      <c r="T76" s="433">
        <f>Data!G328/Data!G327-1</f>
        <v>0</v>
      </c>
      <c r="U76" s="433">
        <f>Data!H328/Data!H327-1</f>
        <v>0.00360000000000027</v>
      </c>
      <c r="V76" s="433">
        <f>Data!I328/Data!I327-1</f>
        <v>0</v>
      </c>
      <c r="W76" s="433">
        <f>Data!J328/Data!J327-1</f>
        <v>-0.00212038106235546</v>
      </c>
      <c r="X76" s="433">
        <f>Data!K328/Data!K327-1</f>
        <v>0.0068351342919537</v>
      </c>
      <c r="Y76" s="433">
        <f>Data!L328/Data!L327-1</f>
        <v>0.00332459356040715</v>
      </c>
      <c r="Z76" s="433">
        <f>SUMPRODUCT(O76:Y76,Risk!$B$56:$L$56)</f>
        <v>0.0153161182201461</v>
      </c>
      <c r="AA76" s="433">
        <f>Z76-$B$8/12</f>
        <v>0.0152227848868127</v>
      </c>
      <c r="AB76" s="433">
        <f>SUMPRODUCT(O76:Y76,Risk!$B$57:$L$57)</f>
        <v>0.0151218695688758</v>
      </c>
      <c r="AC76" s="433">
        <f>AB76-$B$9/12</f>
        <v>0.0148402029022091</v>
      </c>
      <c r="AD76" s="433">
        <f>AA76-AC76</f>
        <v>0.000382581984603609</v>
      </c>
      <c r="AE76" s="560">
        <f>AE75*(1+AA76)</f>
        <v>1.06615834900146</v>
      </c>
      <c r="AF76" s="560">
        <f>AF75*(1+AC76)</f>
        <v>1.06862537891759</v>
      </c>
      <c r="AG76" s="433">
        <f>AE76/MAX(AE$5:AE76)-1</f>
        <v>-0.0734395970267071</v>
      </c>
      <c r="AH76" s="433">
        <f>AF76/MAX(AF$5:AF76)-1</f>
        <v>-0.0459868368423098</v>
      </c>
      <c r="AI76" s="620" t="inlineStr"/>
      <c r="AJ76" s="620" t="inlineStr"/>
      <c r="AK76" s="433">
        <f>AE76/AE64-1</f>
        <v>-0.0162654310064942</v>
      </c>
      <c r="AL76" s="433">
        <f>AF76/AF64-1</f>
        <v>-0.00854792187349152</v>
      </c>
      <c r="AM76" s="433">
        <f>(AE76/AE16)^(12/60)-1</f>
        <v>-0.00665968686123886</v>
      </c>
      <c r="AN76" s="433">
        <f>(AF76/AF16)^(12/60)-1</f>
        <v>-0.00194071882841174</v>
      </c>
      <c r="AO76" s="433">
        <f>AM76-AN76</f>
        <v>-0.00471896803282712</v>
      </c>
      <c r="AP76" s="433">
        <f>STDEV(AD17:AD76)*SQRT(12)</f>
        <v>0.02332761181047</v>
      </c>
      <c r="AQ76" s="628">
        <f>AO76/AP76</f>
        <v>-0.202291090539716</v>
      </c>
    </row>
    <row r="77">
      <c r="N77" s="554">
        <f>Data!A329</f>
        <v>40998.0</v>
      </c>
      <c r="O77" s="433">
        <f>Data!B329/Data!B328-1</f>
        <v>0.0114655353847724</v>
      </c>
      <c r="P77" s="433">
        <f>Data!C329/Data!C328-1</f>
        <v>0.0619171743150313</v>
      </c>
      <c r="Q77" s="433">
        <f>Data!D329/Data!D328-1</f>
        <v>0.0282886746105908</v>
      </c>
      <c r="R77" s="433">
        <f>Data!E329/Data!E328-1</f>
        <v>0.0847871223233605</v>
      </c>
      <c r="S77" s="433">
        <f>Data!F329/Data!F328-1</f>
        <v>0.0184437223114469</v>
      </c>
      <c r="T77" s="433">
        <f>Data!G329/Data!G328-1</f>
        <v>0.00905444859160465</v>
      </c>
      <c r="U77" s="433">
        <f>Data!H329/Data!H328-1</f>
        <v>0.0114999999999998</v>
      </c>
      <c r="V77" s="433">
        <f>Data!I329/Data!I328-1</f>
        <v>0.015700888902465</v>
      </c>
      <c r="W77" s="433">
        <f>Data!J329/Data!J328-1</f>
        <v>0.00861526533599677</v>
      </c>
      <c r="X77" s="433">
        <f>Data!K329/Data!K328-1</f>
        <v>0.00197183098591558</v>
      </c>
      <c r="Y77" s="433">
        <f>Data!L329/Data!L328-1</f>
        <v>0.00390452522067153</v>
      </c>
      <c r="Z77" s="433">
        <f>SUMPRODUCT(O77:Y77,Risk!$B$56:$L$56)</f>
        <v>0.027171714293971</v>
      </c>
      <c r="AA77" s="433">
        <f>Z77-$B$8/12</f>
        <v>0.0270783809606377</v>
      </c>
      <c r="AB77" s="433">
        <f>SUMPRODUCT(O77:Y77,Risk!$B$57:$L$57)</f>
        <v>0.0276880623377471</v>
      </c>
      <c r="AC77" s="433">
        <f>AB77-$B$9/12</f>
        <v>0.0274063956710804</v>
      </c>
      <c r="AD77" s="433">
        <f>AA77-AC77</f>
        <v>-0.000328014710442727</v>
      </c>
      <c r="AE77" s="560">
        <f>AE76*(1+AA77)</f>
        <v>1.09502819094008</v>
      </c>
      <c r="AF77" s="560">
        <f>AF76*(1+AC77)</f>
        <v>1.09791254887636</v>
      </c>
      <c r="AG77" s="433">
        <f>AE77/MAX(AE$5:AE77)-1</f>
        <v>-0.0483498414519543</v>
      </c>
      <c r="AH77" s="433">
        <f>AF77/MAX(AF$5:AF77)-1</f>
        <v>-0.0198407746173911</v>
      </c>
      <c r="AI77" s="620" t="inlineStr"/>
      <c r="AJ77" s="620" t="inlineStr"/>
      <c r="AK77" s="433">
        <f>AE77/AE65-1</f>
        <v>0.0143988095542644</v>
      </c>
      <c r="AL77" s="433">
        <f>AF77/AF65-1</f>
        <v>0.0229299008049644</v>
      </c>
      <c r="AM77" s="433">
        <f>(AE77/AE17)^(12/60)-1</f>
        <v>-0.00293187939223194</v>
      </c>
      <c r="AN77" s="433">
        <f>(AF77/AF17)^(12/60)-1</f>
        <v>0.00239650989969231</v>
      </c>
      <c r="AO77" s="433">
        <f>AM77-AN77</f>
        <v>-0.00532838929192425</v>
      </c>
      <c r="AP77" s="433">
        <f>STDEV(AD18:AD77)*SQRT(12)</f>
        <v>0.0232897676749835</v>
      </c>
      <c r="AQ77" s="628">
        <f>AO77/AP77</f>
        <v>-0.228786708664668</v>
      </c>
    </row>
    <row r="78">
      <c r="N78" s="554">
        <f>Data!A330</f>
        <v>41029.0</v>
      </c>
      <c r="O78" s="433">
        <f>Data!B330/Data!B329-1</f>
        <v>0.0110263124917516</v>
      </c>
      <c r="P78" s="433">
        <f>Data!C330/Data!C329-1</f>
        <v>-0.0194602615787265</v>
      </c>
      <c r="Q78" s="433">
        <f>Data!D330/Data!D329-1</f>
        <v>-0.0102994317581159</v>
      </c>
      <c r="R78" s="433">
        <f>Data!E330/Data!E329-1</f>
        <v>0.0190577876606146</v>
      </c>
      <c r="S78" s="433">
        <f>Data!F330/Data!F329-1</f>
        <v>-0.0100065661762516</v>
      </c>
      <c r="T78" s="433">
        <f>Data!G330/Data!G329-1</f>
        <v>0</v>
      </c>
      <c r="U78" s="433">
        <f>Data!H330/Data!H329-1</f>
        <v>0.00320000000000031</v>
      </c>
      <c r="V78" s="433">
        <f>Data!I330/Data!I329-1</f>
        <v>0</v>
      </c>
      <c r="W78" s="433">
        <f>Data!J330/Data!J329-1</f>
        <v>0.0159389175475808</v>
      </c>
      <c r="X78" s="433">
        <f>Data!K330/Data!K329-1</f>
        <v>0.00960078718020818</v>
      </c>
      <c r="Y78" s="433">
        <f>Data!L330/Data!L329-1</f>
        <v>0.00378303679391956</v>
      </c>
      <c r="Z78" s="433">
        <f>SUMPRODUCT(O78:Y78,Risk!$B$56:$L$56)</f>
        <v>0.00584796462914494</v>
      </c>
      <c r="AA78" s="433">
        <f>Z78-$B$8/12</f>
        <v>0.0057546312958116</v>
      </c>
      <c r="AB78" s="433">
        <f>SUMPRODUCT(O78:Y78,Risk!$B$57:$L$57)</f>
        <v>0.00240807235431986</v>
      </c>
      <c r="AC78" s="433">
        <f>AB78-$B$9/12</f>
        <v>0.00212640568765319</v>
      </c>
      <c r="AD78" s="433">
        <f>AA78-AC78</f>
        <v>0.00362822560815841</v>
      </c>
      <c r="AE78" s="560">
        <f>AE77*(1+AA78)</f>
        <v>1.10132967443746</v>
      </c>
      <c r="AF78" s="560">
        <f>AF77*(1+AC78)</f>
        <v>1.10024715636484</v>
      </c>
      <c r="AG78" s="433">
        <f>AE78/MAX(AE$5:AE78)-1</f>
        <v>-0.0428734456669097</v>
      </c>
      <c r="AH78" s="433">
        <f>AF78/MAX(AF$5:AF78)-1</f>
        <v>-0.0177565584657318</v>
      </c>
      <c r="AI78" s="620" t="inlineStr"/>
      <c r="AJ78" s="620" t="inlineStr"/>
      <c r="AK78" s="433">
        <f>AE78/AE66-1</f>
        <v>0.0290025342173448</v>
      </c>
      <c r="AL78" s="433">
        <f>AF78/AF66-1</f>
        <v>0.0354444122612481</v>
      </c>
      <c r="AM78" s="433">
        <f>(AE78/AE18)^(12/60)-1</f>
        <v>-0.00410333978969202</v>
      </c>
      <c r="AN78" s="433">
        <f>(AF78/AF18)^(12/60)-1</f>
        <v>0.00120953079866215</v>
      </c>
      <c r="AO78" s="433">
        <f>AM78-AN78</f>
        <v>-0.00531287058835417</v>
      </c>
      <c r="AP78" s="433">
        <f>STDEV(AD19:AD78)*SQRT(12)</f>
        <v>0.0232906342643446</v>
      </c>
      <c r="AQ78" s="628">
        <f>AO78/AP78</f>
        <v>-0.228111889442512</v>
      </c>
    </row>
    <row r="79">
      <c r="N79" s="554">
        <f>Data!A331</f>
        <v>41060.0</v>
      </c>
      <c r="O79" s="433">
        <f>Data!B331/Data!B330-1</f>
        <v>-0.0689927067485853</v>
      </c>
      <c r="P79" s="433">
        <f>Data!C331/Data!C330-1</f>
        <v>0.00174158629450494</v>
      </c>
      <c r="Q79" s="433">
        <f>Data!D331/Data!D330-1</f>
        <v>0.00183993876693744</v>
      </c>
      <c r="R79" s="433">
        <f>Data!E331/Data!E330-1</f>
        <v>0.0351844970383706</v>
      </c>
      <c r="S79" s="433">
        <f>Data!F331/Data!F330-1</f>
        <v>-0.0659903866618155</v>
      </c>
      <c r="T79" s="433">
        <f>Data!G331/Data!G330-1</f>
        <v>0</v>
      </c>
      <c r="U79" s="433">
        <f>Data!H331/Data!H330-1</f>
        <v>0.0148999999999997</v>
      </c>
      <c r="V79" s="433">
        <f>Data!I331/Data!I330-1</f>
        <v>0</v>
      </c>
      <c r="W79" s="433">
        <f>Data!J331/Data!J330-1</f>
        <v>0.030965512471044</v>
      </c>
      <c r="X79" s="433">
        <f>Data!K331/Data!K330-1</f>
        <v>0.0146053492613787</v>
      </c>
      <c r="Y79" s="433">
        <f>Data!L331/Data!L330-1</f>
        <v>0.0038098163001361</v>
      </c>
      <c r="Z79" s="433">
        <f>SUMPRODUCT(O79:Y79,Risk!$B$56:$L$56)</f>
        <v>-0.0176503737841196</v>
      </c>
      <c r="AA79" s="433">
        <f>Z79-$B$8/12</f>
        <v>-0.017743707117453</v>
      </c>
      <c r="AB79" s="433">
        <f>SUMPRODUCT(O79:Y79,Risk!$B$57:$L$57)</f>
        <v>-0.00912883610030549</v>
      </c>
      <c r="AC79" s="433">
        <f>AB79-$B$9/12</f>
        <v>-0.00941050276697216</v>
      </c>
      <c r="AD79" s="433">
        <f>AA79-AC79</f>
        <v>-0.00833320435048082</v>
      </c>
      <c r="AE79" s="560">
        <f>AE78*(1+AA79)</f>
        <v>1.08178800325449</v>
      </c>
      <c r="AF79" s="560">
        <f>AF78*(1+AC79)</f>
        <v>1.08989327745552</v>
      </c>
      <c r="AG79" s="433">
        <f>AE79/MAX(AE$5:AE79)-1</f>
        <v>-0.0598564189213329</v>
      </c>
      <c r="AH79" s="433">
        <f>AF79/MAX(AF$5:AF79)-1</f>
        <v>-0.0269999630901304</v>
      </c>
      <c r="AI79" s="620" t="inlineStr"/>
      <c r="AJ79" s="620" t="inlineStr"/>
      <c r="AK79" s="433">
        <f>AE79/AE67-1</f>
        <v>0.00783881539428499</v>
      </c>
      <c r="AL79" s="433">
        <f>AF79/AF67-1</f>
        <v>0.0204430047929478</v>
      </c>
      <c r="AM79" s="433">
        <f>(AE79/AE19)^(12/60)-1</f>
        <v>-0.0120482253054017</v>
      </c>
      <c r="AN79" s="433">
        <f>(AF79/AF19)^(12/60)-1</f>
        <v>-0.00443605686086668</v>
      </c>
      <c r="AO79" s="433">
        <f>AM79-AN79</f>
        <v>-0.00761216844453505</v>
      </c>
      <c r="AP79" s="433">
        <f>STDEV(AD20:AD79)*SQRT(12)</f>
        <v>0.0234998764701725</v>
      </c>
      <c r="AQ79" s="628">
        <f>AO79/AP79</f>
        <v>-0.323923764203479</v>
      </c>
    </row>
    <row r="80">
      <c r="N80" s="554">
        <f>Data!A332</f>
        <v>41089.0</v>
      </c>
      <c r="O80" s="433">
        <f>Data!B332/Data!B331-1</f>
        <v>0.00252181595510126</v>
      </c>
      <c r="P80" s="433">
        <f>Data!C332/Data!C331-1</f>
        <v>-0.012755963539134</v>
      </c>
      <c r="Q80" s="433">
        <f>Data!D332/Data!D331-1</f>
        <v>-0.0330436004531167</v>
      </c>
      <c r="R80" s="433">
        <f>Data!E332/Data!E331-1</f>
        <v>-0.0044916777631302</v>
      </c>
      <c r="S80" s="433">
        <f>Data!F332/Data!F331-1</f>
        <v>-0.0423856048005327</v>
      </c>
      <c r="T80" s="433">
        <f>Data!G332/Data!G331-1</f>
        <v>0.0070122500481884</v>
      </c>
      <c r="U80" s="433">
        <f>Data!H332/Data!H331-1</f>
        <v>-0.00789999999999991</v>
      </c>
      <c r="V80" s="433">
        <f>Data!I332/Data!I331-1</f>
        <v>-0.00210519984361368</v>
      </c>
      <c r="W80" s="433">
        <f>Data!J332/Data!J331-1</f>
        <v>-0.00162938479085684</v>
      </c>
      <c r="X80" s="433">
        <f>Data!K332/Data!K331-1</f>
        <v>0.00138599187616628</v>
      </c>
      <c r="Y80" s="433">
        <f>Data!L332/Data!L331-1</f>
        <v>0.00283794565439588</v>
      </c>
      <c r="Z80" s="433">
        <f>SUMPRODUCT(O80:Y80,Risk!$B$56:$L$56)</f>
        <v>-0.00192650627482683</v>
      </c>
      <c r="AA80" s="433">
        <f>Z80-$B$8/12</f>
        <v>-0.00201983960816016</v>
      </c>
      <c r="AB80" s="433">
        <f>SUMPRODUCT(O80:Y80,Risk!$B$57:$L$57)</f>
        <v>-0.00452447470124889</v>
      </c>
      <c r="AC80" s="433">
        <f>AB80-$B$9/12</f>
        <v>-0.00480614136791556</v>
      </c>
      <c r="AD80" s="433">
        <f>AA80-AC80</f>
        <v>0.0027863017597554</v>
      </c>
      <c r="AE80" s="560">
        <f>AE79*(1+AA80)</f>
        <v>1.07960296499788</v>
      </c>
      <c r="AF80" s="560">
        <f>AF79*(1+AC80)</f>
        <v>1.08465509628812</v>
      </c>
      <c r="AG80" s="433">
        <f>AE80/MAX(AE$5:AE80)-1</f>
        <v>-0.0617553581637531</v>
      </c>
      <c r="AH80" s="433">
        <f>AF80/MAX(AF$5:AF80)-1</f>
        <v>-0.0316763388185063</v>
      </c>
      <c r="AI80" s="620" t="inlineStr"/>
      <c r="AJ80" s="620" t="inlineStr"/>
      <c r="AK80" s="433">
        <f>AE80/AE68-1</f>
        <v>0.0212325040189445</v>
      </c>
      <c r="AL80" s="433">
        <f>AF80/AF68-1</f>
        <v>0.0285193259079779</v>
      </c>
      <c r="AM80" s="433">
        <f>(AE80/AE20)^(12/60)-1</f>
        <v>-0.00881967360664948</v>
      </c>
      <c r="AN80" s="433">
        <f>(AF80/AF20)^(12/60)-1</f>
        <v>-0.0033879126684716</v>
      </c>
      <c r="AO80" s="433">
        <f>AM80-AN80</f>
        <v>-0.00543176093817788</v>
      </c>
      <c r="AP80" s="433">
        <f>STDEV(AD21:AD80)*SQRT(12)</f>
        <v>0.0232858516882681</v>
      </c>
      <c r="AQ80" s="628">
        <f>AO80/AP80</f>
        <v>-0.233264430732182</v>
      </c>
    </row>
    <row r="81">
      <c r="N81" s="554">
        <f>Data!A333</f>
        <v>41121.0</v>
      </c>
      <c r="O81" s="433">
        <f>Data!B333/Data!B332-1</f>
        <v>0.0374318678468801</v>
      </c>
      <c r="P81" s="433">
        <f>Data!C333/Data!C332-1</f>
        <v>-0.0125522391385215</v>
      </c>
      <c r="Q81" s="433">
        <f>Data!D333/Data!D332-1</f>
        <v>-0.00815964945476</v>
      </c>
      <c r="R81" s="433">
        <f>Data!E333/Data!E332-1</f>
        <v>0.00243827318103285</v>
      </c>
      <c r="S81" s="433">
        <f>Data!F333/Data!F332-1</f>
        <v>0.0361396814370378</v>
      </c>
      <c r="T81" s="433">
        <f>Data!G333/Data!G332-1</f>
        <v>0</v>
      </c>
      <c r="U81" s="433">
        <f>Data!H333/Data!H332-1</f>
        <v>-0.0104000000000001</v>
      </c>
      <c r="V81" s="433">
        <f>Data!I333/Data!I332-1</f>
        <v>0</v>
      </c>
      <c r="W81" s="433">
        <f>Data!J333/Data!J332-1</f>
        <v>0.00371530020695454</v>
      </c>
      <c r="X81" s="433">
        <f>Data!K333/Data!K332-1</f>
        <v>0.0161840680799747</v>
      </c>
      <c r="Y81" s="433">
        <f>Data!L333/Data!L332-1</f>
        <v>0.00292459566544379</v>
      </c>
      <c r="Z81" s="433">
        <f>SUMPRODUCT(O81:Y81,Risk!$B$56:$L$56)</f>
        <v>0.0147628688031733</v>
      </c>
      <c r="AA81" s="433">
        <f>Z81-$B$8/12</f>
        <v>0.0146695354698399</v>
      </c>
      <c r="AB81" s="433">
        <f>SUMPRODUCT(O81:Y81,Risk!$B$57:$L$57)</f>
        <v>0.00907024022397929</v>
      </c>
      <c r="AC81" s="433">
        <f>AB81-$B$9/12</f>
        <v>0.00878857355731262</v>
      </c>
      <c r="AD81" s="433">
        <f>AA81-AC81</f>
        <v>0.0058809619125273</v>
      </c>
      <c r="AE81" s="560">
        <f>AE80*(1+AA81)</f>
        <v>1.09544023898626</v>
      </c>
      <c r="AF81" s="560">
        <f>AF80*(1+AC81)</f>
        <v>1.09418766738617</v>
      </c>
      <c r="AG81" s="433">
        <f>AE81/MAX(AE$5:AE81)-1</f>
        <v>-0.0479917451109491</v>
      </c>
      <c r="AH81" s="433">
        <f>AF81/MAX(AF$5:AF81)-1</f>
        <v>-0.0231661550949266</v>
      </c>
      <c r="AI81" s="620" t="inlineStr"/>
      <c r="AJ81" s="620" t="inlineStr"/>
      <c r="AK81" s="433">
        <f>AE81/AE69-1</f>
        <v>0.0605208172935092</v>
      </c>
      <c r="AL81" s="433">
        <f>AF81/AF69-1</f>
        <v>0.0596573945991632</v>
      </c>
      <c r="AM81" s="433">
        <f>(AE81/AE21)^(12/60)-1</f>
        <v>-0.00160037442388761</v>
      </c>
      <c r="AN81" s="433">
        <f>(AF81/AF21)^(12/60)-1</f>
        <v>0.00135812834092341</v>
      </c>
      <c r="AO81" s="433">
        <f>AM81-AN81</f>
        <v>-0.00295850276481102</v>
      </c>
      <c r="AP81" s="433">
        <f>STDEV(AD22:AD81)*SQRT(12)</f>
        <v>0.023271767673833</v>
      </c>
      <c r="AQ81" s="628">
        <f>AO81/AP81</f>
        <v>-0.127128407531225</v>
      </c>
    </row>
    <row r="82">
      <c r="N82" s="554">
        <f>Data!A334</f>
        <v>41152.0</v>
      </c>
      <c r="O82" s="433">
        <f>Data!B334/Data!B333-1</f>
        <v>0.0212360816778137</v>
      </c>
      <c r="P82" s="433">
        <f>Data!C334/Data!C333-1</f>
        <v>0.0391970353014695</v>
      </c>
      <c r="Q82" s="433">
        <f>Data!D334/Data!D333-1</f>
        <v>0.0168408214393723</v>
      </c>
      <c r="R82" s="433">
        <f>Data!E334/Data!E333-1</f>
        <v>0.0224164662386108</v>
      </c>
      <c r="S82" s="433">
        <f>Data!F334/Data!F333-1</f>
        <v>0.0831042242966693</v>
      </c>
      <c r="T82" s="433">
        <f>Data!G334/Data!G333-1</f>
        <v>0</v>
      </c>
      <c r="U82" s="433">
        <f>Data!H334/Data!H333-1</f>
        <v>0.00439999999999974</v>
      </c>
      <c r="V82" s="433">
        <f>Data!I334/Data!I333-1</f>
        <v>0</v>
      </c>
      <c r="W82" s="433">
        <f>Data!J334/Data!J333-1</f>
        <v>0.00627582475241018</v>
      </c>
      <c r="X82" s="433">
        <f>Data!K334/Data!K333-1</f>
        <v>0.0054346360277262</v>
      </c>
      <c r="Y82" s="433">
        <f>Data!L334/Data!L333-1</f>
        <v>0.00299211586647452</v>
      </c>
      <c r="Z82" s="433">
        <f>SUMPRODUCT(O82:Y82,Risk!$B$56:$L$56)</f>
        <v>0.0201610790610133</v>
      </c>
      <c r="AA82" s="433">
        <f>Z82-$B$8/12</f>
        <v>0.0200677457276799</v>
      </c>
      <c r="AB82" s="433">
        <f>SUMPRODUCT(O82:Y82,Risk!$B$57:$L$57)</f>
        <v>0.0201509595620049</v>
      </c>
      <c r="AC82" s="433">
        <f>AB82-$B$9/12</f>
        <v>0.0198692928953383</v>
      </c>
      <c r="AD82" s="433">
        <f>AA82-AC82</f>
        <v>0.000198452832341677</v>
      </c>
      <c r="AE82" s="560">
        <f>AE81*(1+AA82)</f>
        <v>1.11742325516211</v>
      </c>
      <c r="AF82" s="560">
        <f>AF81*(1+AC82)</f>
        <v>1.11592840263193</v>
      </c>
      <c r="AG82" s="433">
        <f>AE82/MAX(AE$5:AE82)-1</f>
        <v>-0.0288870855211834</v>
      </c>
      <c r="AH82" s="433">
        <f>AF82/MAX(AF$5:AF82)-1</f>
        <v>-0.00375715732042814</v>
      </c>
      <c r="AI82" s="620" t="inlineStr"/>
      <c r="AJ82" s="620" t="inlineStr"/>
      <c r="AK82" s="433">
        <f>AE82/AE70-1</f>
        <v>0.0975266560696226</v>
      </c>
      <c r="AL82" s="433">
        <f>AF82/AF70-1</f>
        <v>0.0959567840292563</v>
      </c>
      <c r="AM82" s="433">
        <f>(AE82/AE22)^(12/60)-1</f>
        <v>-0.00365651989363291</v>
      </c>
      <c r="AN82" s="433">
        <f>(AF82/AF22)^(12/60)-1</f>
        <v>-0.000339235905734814</v>
      </c>
      <c r="AO82" s="433">
        <f>AM82-AN82</f>
        <v>-0.0033172839878981</v>
      </c>
      <c r="AP82" s="433">
        <f>STDEV(AD23:AD82)*SQRT(12)</f>
        <v>0.0232507255959928</v>
      </c>
      <c r="AQ82" s="628">
        <f>AO82/AP82</f>
        <v>-0.142674428555031</v>
      </c>
    </row>
    <row r="83">
      <c r="N83" s="554">
        <f>Data!A335</f>
        <v>41180.0</v>
      </c>
      <c r="O83" s="433">
        <f>Data!B335/Data!B334-1</f>
        <v>0.0212837384195799</v>
      </c>
      <c r="P83" s="433">
        <f>Data!C335/Data!C334-1</f>
        <v>0.0156015002321994</v>
      </c>
      <c r="Q83" s="433">
        <f>Data!D335/Data!D334-1</f>
        <v>0.036469168459379</v>
      </c>
      <c r="R83" s="433">
        <f>Data!E335/Data!E334-1</f>
        <v>-0.0118007852720455</v>
      </c>
      <c r="S83" s="433">
        <f>Data!F335/Data!F334-1</f>
        <v>-0.0203367570492017</v>
      </c>
      <c r="T83" s="433">
        <f>Data!G335/Data!G334-1</f>
        <v>0.00100156678670649</v>
      </c>
      <c r="U83" s="433">
        <f>Data!H335/Data!H334-1</f>
        <v>-0.0220999999999997</v>
      </c>
      <c r="V83" s="433">
        <f>Data!I335/Data!I334-1</f>
        <v>0.0318053504515636</v>
      </c>
      <c r="W83" s="433">
        <f>Data!J335/Data!J334-1</f>
        <v>0.00973047692372453</v>
      </c>
      <c r="X83" s="433">
        <f>Data!K335/Data!K334-1</f>
        <v>0.00674651608836197</v>
      </c>
      <c r="Y83" s="433">
        <f>Data!L335/Data!L334-1</f>
        <v>0.00313221858074986</v>
      </c>
      <c r="Z83" s="433">
        <f>SUMPRODUCT(O83:Y83,Risk!$B$56:$L$56)</f>
        <v>0.0126722650133474</v>
      </c>
      <c r="AA83" s="433">
        <f>Z83-$B$8/12</f>
        <v>0.0125789316800141</v>
      </c>
      <c r="AB83" s="433">
        <f>SUMPRODUCT(O83:Y83,Risk!$B$57:$L$57)</f>
        <v>0.011466168553723</v>
      </c>
      <c r="AC83" s="433">
        <f>AB83-$B$9/12</f>
        <v>0.0111845018870563</v>
      </c>
      <c r="AD83" s="433">
        <f>AA83-AC83</f>
        <v>0.00139442979295777</v>
      </c>
      <c r="AE83" s="560">
        <f>AE82*(1+AA83)</f>
        <v>1.13147924594645</v>
      </c>
      <c r="AF83" s="560">
        <f>AF82*(1+AC83)</f>
        <v>1.12840950595699</v>
      </c>
      <c r="AG83" s="433">
        <f>AE83/MAX(AE$5:AE83)-1</f>
        <v>-0.016671522516375</v>
      </c>
      <c r="AH83" s="433">
        <f>AF83/MAX(AF$5:AF83)-1</f>
        <v>0</v>
      </c>
      <c r="AI83" s="620" t="inlineStr"/>
      <c r="AJ83" s="620" t="inlineStr"/>
      <c r="AK83" s="433">
        <f>AE83/AE71-1</f>
        <v>0.128834801307656</v>
      </c>
      <c r="AL83" s="433">
        <f>AF83/AF71-1</f>
        <v>0.113738206431899</v>
      </c>
      <c r="AM83" s="433">
        <f>(AE83/AE23)^(12/60)-1</f>
        <v>-0.00261567345455516</v>
      </c>
      <c r="AN83" s="433">
        <f>(AF83/AF23)^(12/60)-1</f>
        <v>0.00191683314902957</v>
      </c>
      <c r="AO83" s="433">
        <f>AM83-AN83</f>
        <v>-0.00453250660358473</v>
      </c>
      <c r="AP83" s="433">
        <f>STDEV(AD24:AD83)*SQRT(12)</f>
        <v>0.0230038631696867</v>
      </c>
      <c r="AQ83" s="628">
        <f>AO83/AP83</f>
        <v>-0.197032410171759</v>
      </c>
    </row>
    <row r="84">
      <c r="N84" s="554">
        <f>Data!A336</f>
        <v>41213.0</v>
      </c>
      <c r="O84" s="433">
        <f>Data!B336/Data!B335-1</f>
        <v>0.0296556315557033</v>
      </c>
      <c r="P84" s="433">
        <f>Data!C336/Data!C335-1</f>
        <v>-0.00149546277083501</v>
      </c>
      <c r="Q84" s="433">
        <f>Data!D336/Data!D335-1</f>
        <v>0.000321887007010746</v>
      </c>
      <c r="R84" s="433">
        <f>Data!E336/Data!E335-1</f>
        <v>0.0148788233041957</v>
      </c>
      <c r="S84" s="433">
        <f>Data!F336/Data!F335-1</f>
        <v>-0.0379284773328186</v>
      </c>
      <c r="T84" s="433">
        <f>Data!G336/Data!G335-1</f>
        <v>0</v>
      </c>
      <c r="U84" s="433">
        <f>Data!H336/Data!H335-1</f>
        <v>-0.0258000000000003</v>
      </c>
      <c r="V84" s="433">
        <f>Data!I336/Data!I335-1</f>
        <v>0</v>
      </c>
      <c r="W84" s="433">
        <f>Data!J336/Data!J335-1</f>
        <v>0.000181545557849105</v>
      </c>
      <c r="X84" s="433">
        <f>Data!K336/Data!K335-1</f>
        <v>0.00575539568345329</v>
      </c>
      <c r="Y84" s="433">
        <f>Data!L336/Data!L335-1</f>
        <v>0.00296475267446739</v>
      </c>
      <c r="Z84" s="433">
        <f>SUMPRODUCT(O84:Y84,Risk!$B$56:$L$56)</f>
        <v>0.0137462385741002</v>
      </c>
      <c r="AA84" s="433">
        <f>Z84-$B$8/12</f>
        <v>0.0136529052407669</v>
      </c>
      <c r="AB84" s="433">
        <f>SUMPRODUCT(O84:Y84,Risk!$B$57:$L$57)</f>
        <v>0.00732105400228581</v>
      </c>
      <c r="AC84" s="433">
        <f>AB84-$B$9/12</f>
        <v>0.00703938733561915</v>
      </c>
      <c r="AD84" s="433">
        <f>AA84-AC84</f>
        <v>0.00661351790514774</v>
      </c>
      <c r="AE84" s="560">
        <f>AE83*(1+AA84)</f>
        <v>1.14692722487325</v>
      </c>
      <c r="AF84" s="560">
        <f>AF83*(1+AC84)</f>
        <v>1.13635281754261</v>
      </c>
      <c r="AG84" s="433">
        <f>AE84/MAX(AE$5:AE84)-1</f>
        <v>-0.00324623199274354</v>
      </c>
      <c r="AH84" s="433">
        <f>AF84/MAX(AF$5:AF84)-1</f>
        <v>0</v>
      </c>
      <c r="AI84" s="620" t="inlineStr"/>
      <c r="AJ84" s="620" t="inlineStr"/>
      <c r="AK84" s="433">
        <f>AE84/AE72-1</f>
        <v>0.113146649089022</v>
      </c>
      <c r="AL84" s="433">
        <f>AF84/AF72-1</f>
        <v>0.103092029215659</v>
      </c>
      <c r="AM84" s="433">
        <f>(AE84/AE24)^(12/60)-1</f>
        <v>-0.000650091086086824</v>
      </c>
      <c r="AN84" s="433">
        <f>(AF84/AF24)^(12/60)-1</f>
        <v>0.00287871781000848</v>
      </c>
      <c r="AO84" s="433">
        <f>AM84-AN84</f>
        <v>-0.0035288088960953</v>
      </c>
      <c r="AP84" s="433">
        <f>STDEV(AD25:AD84)*SQRT(12)</f>
        <v>0.0231960966929525</v>
      </c>
      <c r="AQ84" s="628">
        <f>AO84/AP84</f>
        <v>-0.152129426894803</v>
      </c>
    </row>
    <row r="85">
      <c r="N85" s="554">
        <f>Data!A337</f>
        <v>41243.0</v>
      </c>
      <c r="O85" s="433">
        <f>Data!B337/Data!B336-1</f>
        <v>0.00265150989672369</v>
      </c>
      <c r="P85" s="433">
        <f>Data!C337/Data!C336-1</f>
        <v>0.00910746822163366</v>
      </c>
      <c r="Q85" s="433">
        <f>Data!D337/Data!D336-1</f>
        <v>0.00999438340321746</v>
      </c>
      <c r="R85" s="433">
        <f>Data!E337/Data!E336-1</f>
        <v>-0.0033427877045038</v>
      </c>
      <c r="S85" s="433">
        <f>Data!F337/Data!F336-1</f>
        <v>0.00864191449320861</v>
      </c>
      <c r="T85" s="433">
        <f>Data!G337/Data!G336-1</f>
        <v>0</v>
      </c>
      <c r="U85" s="433">
        <f>Data!H337/Data!H336-1</f>
        <v>0.0218</v>
      </c>
      <c r="V85" s="433">
        <f>Data!I337/Data!I336-1</f>
        <v>0</v>
      </c>
      <c r="W85" s="433">
        <f>Data!J337/Data!J336-1</f>
        <v>7.66386554620357e-05</v>
      </c>
      <c r="X85" s="433">
        <f>Data!K337/Data!K336-1</f>
        <v>0.00740475812006558</v>
      </c>
      <c r="Y85" s="433">
        <f>Data!L337/Data!L336-1</f>
        <v>0.00254409945635814</v>
      </c>
      <c r="Z85" s="433">
        <f>SUMPRODUCT(O85:Y85,Risk!$B$56:$L$56)</f>
        <v>0.00332978224243545</v>
      </c>
      <c r="AA85" s="433">
        <f>Z85-$B$8/12</f>
        <v>0.00323644890910212</v>
      </c>
      <c r="AB85" s="433">
        <f>SUMPRODUCT(O85:Y85,Risk!$B$57:$L$57)</f>
        <v>0.00464292028868108</v>
      </c>
      <c r="AC85" s="433">
        <f>AB85-$B$9/12</f>
        <v>0.00436125362201441</v>
      </c>
      <c r="AD85" s="433">
        <f>AA85-AC85</f>
        <v>-0.00112480471291229</v>
      </c>
      <c r="AE85" s="560">
        <f>AE84*(1+AA85)</f>
        <v>1.15063919623901</v>
      </c>
      <c r="AF85" s="560">
        <f>AF84*(1+AC85)</f>
        <v>1.14130874038401</v>
      </c>
      <c r="AG85" s="433">
        <f>AE85/MAX(AE$5:AE85)-1</f>
        <v>-2.02893476330956e-05</v>
      </c>
      <c r="AH85" s="433">
        <f>AF85/MAX(AF$5:AF85)-1</f>
        <v>0</v>
      </c>
      <c r="AI85" s="620" t="inlineStr"/>
      <c r="AJ85" s="620" t="inlineStr"/>
      <c r="AK85" s="433">
        <f>AE85/AE73-1</f>
        <v>0.124500180302225</v>
      </c>
      <c r="AL85" s="433">
        <f>AF85/AF73-1</f>
        <v>0.107780290865259</v>
      </c>
      <c r="AM85" s="433">
        <f>(AE85/AE25)^(12/60)-1</f>
        <v>0.00206968256353246</v>
      </c>
      <c r="AN85" s="433">
        <f>(AF85/AF25)^(12/60)-1</f>
        <v>0.00503002729635216</v>
      </c>
      <c r="AO85" s="433">
        <f>AM85-AN85</f>
        <v>-0.0029603447328197</v>
      </c>
      <c r="AP85" s="433">
        <f>STDEV(AD26:AD85)*SQRT(12)</f>
        <v>0.0231364194080762</v>
      </c>
      <c r="AQ85" s="628">
        <f>AO85/AP85</f>
        <v>-0.127951723237967</v>
      </c>
    </row>
    <row r="86">
      <c r="N86" s="554">
        <f>Data!A338</f>
        <v>41274.0</v>
      </c>
      <c r="O86" s="433">
        <f>Data!B338/Data!B337-1</f>
        <v>0.0343265537955451</v>
      </c>
      <c r="P86" s="433">
        <f>Data!C338/Data!C337-1</f>
        <v>0.0246263348410272</v>
      </c>
      <c r="Q86" s="433">
        <f>Data!D338/Data!D337-1</f>
        <v>0.0445758039568049</v>
      </c>
      <c r="R86" s="433">
        <f>Data!E338/Data!E337-1</f>
        <v>0.0363057618661775</v>
      </c>
      <c r="S86" s="433">
        <f>Data!F338/Data!F337-1</f>
        <v>-0.00165083044956249</v>
      </c>
      <c r="T86" s="433">
        <f>Data!G338/Data!G337-1</f>
        <v>0.0250221332984517</v>
      </c>
      <c r="U86" s="433">
        <f>Data!H338/Data!H337-1</f>
        <v>-0.00829999999999986</v>
      </c>
      <c r="V86" s="433">
        <f>Data!I338/Data!I337-1</f>
        <v>0.0125013387337038</v>
      </c>
      <c r="W86" s="433">
        <f>Data!J338/Data!J337-1</f>
        <v>0.0018190202565993</v>
      </c>
      <c r="X86" s="433">
        <f>Data!K338/Data!K337-1</f>
        <v>0.00344505660675076</v>
      </c>
      <c r="Y86" s="433">
        <f>Data!L338/Data!L337-1</f>
        <v>0.00287461345650852</v>
      </c>
      <c r="Z86" s="433">
        <f>SUMPRODUCT(O86:Y86,Risk!$B$56:$L$56)</f>
        <v>0.0230361451820268</v>
      </c>
      <c r="AA86" s="433">
        <f>Z86-$B$8/12</f>
        <v>0.0229428118486934</v>
      </c>
      <c r="AB86" s="433">
        <f>SUMPRODUCT(O86:Y86,Risk!$B$57:$L$57)</f>
        <v>0.0204346239443736</v>
      </c>
      <c r="AC86" s="433">
        <f>AB86-$B$9/12</f>
        <v>0.0201529572777069</v>
      </c>
      <c r="AD86" s="433">
        <f>AA86-AC86</f>
        <v>0.00278985457098654</v>
      </c>
      <c r="AE86" s="560">
        <f>AE85*(1+AA86)</f>
        <v>1.17703809482405</v>
      </c>
      <c r="AF86" s="560">
        <f>AF85*(1+AC86)</f>
        <v>1.16430948666964</v>
      </c>
      <c r="AG86" s="433">
        <f>AE86/MAX(AE$5:AE86)-1</f>
        <v>0</v>
      </c>
      <c r="AH86" s="433">
        <f>AF86/MAX(AF$5:AF86)-1</f>
        <v>0</v>
      </c>
      <c r="AI86" s="620" t="inlineStr"/>
      <c r="AJ86" s="620" t="inlineStr"/>
      <c r="AK86" s="433">
        <f>AE86/AE74-1</f>
        <v>0.149495088741616</v>
      </c>
      <c r="AL86" s="433">
        <f>AF86/AF74-1</f>
        <v>0.126049326729769</v>
      </c>
      <c r="AM86" s="433">
        <f>(AE86/AE26)^(12/60)-1</f>
        <v>0.00918871749462213</v>
      </c>
      <c r="AN86" s="433">
        <f>(AF86/AF26)^(12/60)-1</f>
        <v>0.0097019109670069</v>
      </c>
      <c r="AO86" s="433">
        <f>AM86-AN86</f>
        <v>-0.000513193472384765</v>
      </c>
      <c r="AP86" s="433">
        <f>STDEV(AD27:AD86)*SQRT(12)</f>
        <v>0.0227818821761043</v>
      </c>
      <c r="AQ86" s="628">
        <f>AO86/AP86</f>
        <v>-0.0225263860298185</v>
      </c>
    </row>
    <row r="87">
      <c r="N87" s="554">
        <f>Data!A339</f>
        <v>41305.0</v>
      </c>
      <c r="O87" s="433">
        <f>Data!B339/Data!B338-1</f>
        <v>0.0507966707590599</v>
      </c>
      <c r="P87" s="433">
        <f>Data!C339/Data!C338-1</f>
        <v>0.0491380950215874</v>
      </c>
      <c r="Q87" s="433">
        <f>Data!D339/Data!D338-1</f>
        <v>0.00925060938008349</v>
      </c>
      <c r="R87" s="433">
        <f>Data!E339/Data!E338-1</f>
        <v>0.0309090464924233</v>
      </c>
      <c r="S87" s="433">
        <f>Data!F339/Data!F338-1</f>
        <v>0.0387219596171675</v>
      </c>
      <c r="T87" s="433">
        <f>Data!G339/Data!G338-1</f>
        <v>0</v>
      </c>
      <c r="U87" s="433">
        <f>Data!H339/Data!H338-1</f>
        <v>0.0234999999999999</v>
      </c>
      <c r="V87" s="433">
        <f>Data!I339/Data!I338-1</f>
        <v>0</v>
      </c>
      <c r="W87" s="433">
        <f>Data!J339/Data!J338-1</f>
        <v>-0.00225857533952445</v>
      </c>
      <c r="X87" s="433">
        <f>Data!K339/Data!K338-1</f>
        <v>-0.00307942290304408</v>
      </c>
      <c r="Y87" s="433">
        <f>Data!L339/Data!L338-1</f>
        <v>0.00268415611269091</v>
      </c>
      <c r="Z87" s="433">
        <f>SUMPRODUCT(O87:Y87,Risk!$B$56:$L$56)</f>
        <v>0.0328399427519</v>
      </c>
      <c r="AA87" s="433">
        <f>Z87-$B$8/12</f>
        <v>0.0327466094185666</v>
      </c>
      <c r="AB87" s="433">
        <f>SUMPRODUCT(O87:Y87,Risk!$B$57:$L$57)</f>
        <v>0.0278384888396739</v>
      </c>
      <c r="AC87" s="433">
        <f>AB87-$B$9/12</f>
        <v>0.0275568221730072</v>
      </c>
      <c r="AD87" s="433">
        <f>AA87-AC87</f>
        <v>0.00518978724555939</v>
      </c>
      <c r="AE87" s="560">
        <f>AE86*(1+AA87)</f>
        <v>1.21558210158603</v>
      </c>
      <c r="AF87" s="560">
        <f>AF86*(1+AC87)</f>
        <v>1.19639415614814</v>
      </c>
      <c r="AG87" s="433">
        <f>AE87/MAX(AE$5:AE87)-1</f>
        <v>0</v>
      </c>
      <c r="AH87" s="433">
        <f>AF87/MAX(AF$5:AF87)-1</f>
        <v>0</v>
      </c>
      <c r="AI87" s="620" t="inlineStr"/>
      <c r="AJ87" s="620" t="inlineStr"/>
      <c r="AK87" s="433">
        <f>AE87/AE75-1</f>
        <v>0.15750783885579</v>
      </c>
      <c r="AL87" s="433">
        <f>AF87/AF75-1</f>
        <v>0.136178226841481</v>
      </c>
      <c r="AM87" s="433">
        <f>(AE87/AE27)^(12/60)-1</f>
        <v>0.0297926782893825</v>
      </c>
      <c r="AN87" s="433">
        <f>(AF87/AF27)^(12/60)-1</f>
        <v>0.027079688375925</v>
      </c>
      <c r="AO87" s="433">
        <f>AM87-AN87</f>
        <v>0.00271298991345748</v>
      </c>
      <c r="AP87" s="433">
        <f>STDEV(AD28:AD87)*SQRT(12)</f>
        <v>0.0224216881856311</v>
      </c>
      <c r="AQ87" s="628">
        <f>AO87/AP87</f>
        <v>0.120998467688802</v>
      </c>
    </row>
    <row r="88">
      <c r="N88" s="554">
        <f>Data!A340</f>
        <v>41333.0</v>
      </c>
      <c r="O88" s="433">
        <f>Data!B340/Data!B339-1</f>
        <v>0.0517689346160526</v>
      </c>
      <c r="P88" s="433">
        <f>Data!C340/Data!C339-1</f>
        <v>0.0343911384294782</v>
      </c>
      <c r="Q88" s="433">
        <f>Data!D340/Data!D339-1</f>
        <v>0.00906504319541512</v>
      </c>
      <c r="R88" s="433">
        <f>Data!E340/Data!E339-1</f>
        <v>0.0392944033935414</v>
      </c>
      <c r="S88" s="433">
        <f>Data!F340/Data!F339-1</f>
        <v>-0.025827031119206</v>
      </c>
      <c r="T88" s="433">
        <f>Data!G340/Data!G339-1</f>
        <v>0</v>
      </c>
      <c r="U88" s="433">
        <f>Data!H340/Data!H339-1</f>
        <v>0.0202000000000002</v>
      </c>
      <c r="V88" s="433">
        <f>Data!I340/Data!I339-1</f>
        <v>0</v>
      </c>
      <c r="W88" s="433">
        <f>Data!J340/Data!J339-1</f>
        <v>0.00594234925895476</v>
      </c>
      <c r="X88" s="433">
        <f>Data!K340/Data!K339-1</f>
        <v>0.00829411919345935</v>
      </c>
      <c r="Y88" s="433">
        <f>Data!L340/Data!L339-1</f>
        <v>0.00224649010087941</v>
      </c>
      <c r="Z88" s="433">
        <f>SUMPRODUCT(O88:Y88,Risk!$B$56:$L$56)</f>
        <v>0.0332273781030523</v>
      </c>
      <c r="AA88" s="433">
        <f>Z88-$B$8/12</f>
        <v>0.033134044769719</v>
      </c>
      <c r="AB88" s="433">
        <f>SUMPRODUCT(O88:Y88,Risk!$B$57:$L$57)</f>
        <v>0.0261198024986747</v>
      </c>
      <c r="AC88" s="433">
        <f>AB88-$B$9/12</f>
        <v>0.0258381358320081</v>
      </c>
      <c r="AD88" s="433">
        <f>AA88-AC88</f>
        <v>0.00729590893771094</v>
      </c>
      <c r="AE88" s="560">
        <f>AE87*(1+AA88)</f>
        <v>1.25585925336125</v>
      </c>
      <c r="AF88" s="560">
        <f>AF87*(1+AC88)</f>
        <v>1.22730675086331</v>
      </c>
      <c r="AG88" s="433">
        <f>AE88/MAX(AE$5:AE88)-1</f>
        <v>0</v>
      </c>
      <c r="AH88" s="433">
        <f>AF88/MAX(AF$5:AF88)-1</f>
        <v>0</v>
      </c>
      <c r="AI88" s="620" t="inlineStr"/>
      <c r="AJ88" s="620" t="inlineStr"/>
      <c r="AK88" s="433">
        <f>AE88/AE76-1</f>
        <v>0.177929389698503</v>
      </c>
      <c r="AL88" s="433">
        <f>AF88/AF76-1</f>
        <v>0.14849111304698</v>
      </c>
      <c r="AM88" s="433">
        <f>(AE88/AE28)^(12/60)-1</f>
        <v>0.0404260127980123</v>
      </c>
      <c r="AN88" s="433">
        <f>(AF88/AF28)^(12/60)-1</f>
        <v>0.0359996979728667</v>
      </c>
      <c r="AO88" s="433">
        <f>AM88-AN88</f>
        <v>0.00442631482514555</v>
      </c>
      <c r="AP88" s="433">
        <f>STDEV(AD29:AD88)*SQRT(12)</f>
        <v>0.0226271276977492</v>
      </c>
      <c r="AQ88" s="628">
        <f>AO88/AP88</f>
        <v>0.195619827857596</v>
      </c>
    </row>
    <row r="89">
      <c r="N89" s="554">
        <f>Data!A341</f>
        <v>41362.0</v>
      </c>
      <c r="O89" s="433">
        <f>Data!B341/Data!B340-1</f>
        <v>-0.0223961532766553</v>
      </c>
      <c r="P89" s="433">
        <f>Data!C341/Data!C340-1</f>
        <v>0.00876587525456363</v>
      </c>
      <c r="Q89" s="433">
        <f>Data!D341/Data!D340-1</f>
        <v>-0.0264688320958867</v>
      </c>
      <c r="R89" s="433">
        <f>Data!E341/Data!E340-1</f>
        <v>0.0142699738512722</v>
      </c>
      <c r="S89" s="433">
        <f>Data!F341/Data!F340-1</f>
        <v>-0.010459127878195</v>
      </c>
      <c r="T89" s="433">
        <f>Data!G341/Data!G340-1</f>
        <v>0.00985726828474398</v>
      </c>
      <c r="U89" s="433">
        <f>Data!H341/Data!H340-1</f>
        <v>0.000300000000000189</v>
      </c>
      <c r="V89" s="433">
        <f>Data!I341/Data!I340-1</f>
        <v>0.0255017164616849</v>
      </c>
      <c r="W89" s="433">
        <f>Data!J341/Data!J340-1</f>
        <v>-0.00202835959593239</v>
      </c>
      <c r="X89" s="433">
        <f>Data!K341/Data!K340-1</f>
        <v>0.00746978842117652</v>
      </c>
      <c r="Y89" s="433">
        <f>Data!L341/Data!L340-1</f>
        <v>0.00246264242174843</v>
      </c>
      <c r="Z89" s="433">
        <f>SUMPRODUCT(O89:Y89,Risk!$B$56:$L$56)</f>
        <v>-0.00531257477079554</v>
      </c>
      <c r="AA89" s="433">
        <f>Z89-$B$8/12</f>
        <v>-0.00540590810412888</v>
      </c>
      <c r="AB89" s="433">
        <f>SUMPRODUCT(O89:Y89,Risk!$B$57:$L$57)</f>
        <v>-0.00162107704528093</v>
      </c>
      <c r="AC89" s="433">
        <f>AB89-$B$9/12</f>
        <v>-0.0019027437119476</v>
      </c>
      <c r="AD89" s="433">
        <f>AA89-AC89</f>
        <v>-0.00350316439218128</v>
      </c>
      <c r="AE89" s="560">
        <f>AE88*(1+AA89)</f>
        <v>1.24907019364586</v>
      </c>
      <c r="AF89" s="560">
        <f>AF88*(1+AC89)</f>
        <v>1.22497150066048</v>
      </c>
      <c r="AG89" s="433">
        <f>AE89/MAX(AE$5:AE89)-1</f>
        <v>-0.00540590810412889</v>
      </c>
      <c r="AH89" s="433">
        <f>AF89/MAX(AF$5:AF89)-1</f>
        <v>-0.00190274371194754</v>
      </c>
      <c r="AI89" s="620" t="inlineStr"/>
      <c r="AJ89" s="620" t="inlineStr"/>
      <c r="AK89" s="433">
        <f>AE89/AE77-1</f>
        <v>0.140674006368303</v>
      </c>
      <c r="AL89" s="433">
        <f>AF89/AF77-1</f>
        <v>0.115727752555656</v>
      </c>
      <c r="AM89" s="433">
        <f>(AE89/AE29)^(12/60)-1</f>
        <v>0.0409183204352495</v>
      </c>
      <c r="AN89" s="433">
        <f>(AF89/AF29)^(12/60)-1</f>
        <v>0.0363378023803549</v>
      </c>
      <c r="AO89" s="433">
        <f>AM89-AN89</f>
        <v>0.00458051805489457</v>
      </c>
      <c r="AP89" s="433">
        <f>STDEV(AD30:AD89)*SQRT(12)</f>
        <v>0.0225989062839602</v>
      </c>
      <c r="AQ89" s="628">
        <f>AO89/AP89</f>
        <v>0.20268759900764</v>
      </c>
    </row>
    <row r="90">
      <c r="N90" s="554">
        <f>Data!A342</f>
        <v>41394.0</v>
      </c>
      <c r="O90" s="433">
        <f>Data!B342/Data!B341-1</f>
        <v>0.0382053994762648</v>
      </c>
      <c r="P90" s="433">
        <f>Data!C342/Data!C341-1</f>
        <v>0.0330205703697739</v>
      </c>
      <c r="Q90" s="433">
        <f>Data!D342/Data!D341-1</f>
        <v>0.00382986027781596</v>
      </c>
      <c r="R90" s="433">
        <f>Data!E342/Data!E341-1</f>
        <v>0.0659292046183209</v>
      </c>
      <c r="S90" s="433">
        <f>Data!F342/Data!F341-1</f>
        <v>-0.0431859615010818</v>
      </c>
      <c r="T90" s="433">
        <f>Data!G342/Data!G341-1</f>
        <v>0</v>
      </c>
      <c r="U90" s="433">
        <f>Data!H342/Data!H341-1</f>
        <v>-0.0022000000000002</v>
      </c>
      <c r="V90" s="433">
        <f>Data!I342/Data!I341-1</f>
        <v>0</v>
      </c>
      <c r="W90" s="433">
        <f>Data!J342/Data!J341-1</f>
        <v>0.0154211404944946</v>
      </c>
      <c r="X90" s="433">
        <f>Data!K342/Data!K341-1</f>
        <v>0.0132501746849198</v>
      </c>
      <c r="Y90" s="433">
        <f>Data!L342/Data!L341-1</f>
        <v>0.00261437908496731</v>
      </c>
      <c r="Z90" s="433">
        <f>SUMPRODUCT(O90:Y90,Risk!$B$56:$L$56)</f>
        <v>0.0320353859112083</v>
      </c>
      <c r="AA90" s="433">
        <f>Z90-$B$8/12</f>
        <v>0.0319420525778749</v>
      </c>
      <c r="AB90" s="433">
        <f>SUMPRODUCT(O90:Y90,Risk!$B$57:$L$57)</f>
        <v>0.0249714179165267</v>
      </c>
      <c r="AC90" s="433">
        <f>AB90-$B$9/12</f>
        <v>0.02468975124986</v>
      </c>
      <c r="AD90" s="433">
        <f>AA90-AC90</f>
        <v>0.00725230132801492</v>
      </c>
      <c r="AE90" s="560">
        <f>AE89*(1+AA90)</f>
        <v>1.28896805944475</v>
      </c>
      <c r="AF90" s="560">
        <f>AF89*(1+AC90)</f>
        <v>1.25521574229995</v>
      </c>
      <c r="AG90" s="433">
        <f>AE90/MAX(AE$5:AE90)-1</f>
        <v>0</v>
      </c>
      <c r="AH90" s="433">
        <f>AF90/MAX(AF$5:AF90)-1</f>
        <v>0</v>
      </c>
      <c r="AI90" s="620" t="inlineStr"/>
      <c r="AJ90" s="620" t="inlineStr"/>
      <c r="AK90" s="433">
        <f>AE90/AE78-1</f>
        <v>0.170374402290696</v>
      </c>
      <c r="AL90" s="433">
        <f>AF90/AF78-1</f>
        <v>0.14084888566958</v>
      </c>
      <c r="AM90" s="433">
        <f>(AE90/AE30)^(12/60)-1</f>
        <v>0.0422627789885588</v>
      </c>
      <c r="AN90" s="433">
        <f>(AF90/AF30)^(12/60)-1</f>
        <v>0.0369966429598325</v>
      </c>
      <c r="AO90" s="433">
        <f>AM90-AN90</f>
        <v>0.00526613602872628</v>
      </c>
      <c r="AP90" s="433">
        <f>STDEV(AD31:AD90)*SQRT(12)</f>
        <v>0.0227522632658203</v>
      </c>
      <c r="AQ90" s="628">
        <f>AO90/AP90</f>
        <v>0.231455480591127</v>
      </c>
    </row>
    <row r="91">
      <c r="N91" s="554">
        <f>Data!A343</f>
        <v>41425.0</v>
      </c>
      <c r="O91" s="433">
        <f>Data!B343/Data!B342-1</f>
        <v>-0.0438555152359065</v>
      </c>
      <c r="P91" s="433">
        <f>Data!C343/Data!C342-1</f>
        <v>0.0992457334281436</v>
      </c>
      <c r="Q91" s="433">
        <f>Data!D343/Data!D342-1</f>
        <v>0.0918599805843254</v>
      </c>
      <c r="R91" s="433">
        <f>Data!E343/Data!E342-1</f>
        <v>0.0222070764233251</v>
      </c>
      <c r="S91" s="433">
        <f>Data!F343/Data!F342-1</f>
        <v>0.0665890921415298</v>
      </c>
      <c r="T91" s="433">
        <f>Data!G343/Data!G342-1</f>
        <v>0</v>
      </c>
      <c r="U91" s="433">
        <f>Data!H343/Data!H342-1</f>
        <v>-0.0162999999999996</v>
      </c>
      <c r="V91" s="433">
        <f>Data!I343/Data!I342-1</f>
        <v>0</v>
      </c>
      <c r="W91" s="433">
        <f>Data!J343/Data!J342-1</f>
        <v>-0.000745492737713183</v>
      </c>
      <c r="X91" s="433">
        <f>Data!K343/Data!K342-1</f>
        <v>-0.013089673843639</v>
      </c>
      <c r="Y91" s="433">
        <f>Data!L343/Data!L342-1</f>
        <v>0.00256789832811521</v>
      </c>
      <c r="Z91" s="433">
        <f>SUMPRODUCT(O91:Y91,Risk!$B$56:$L$56)</f>
        <v>0.00354840329841861</v>
      </c>
      <c r="AA91" s="433">
        <f>Z91-$B$8/12</f>
        <v>0.00345506996508527</v>
      </c>
      <c r="AB91" s="433">
        <f>SUMPRODUCT(O91:Y91,Risk!$B$57:$L$57)</f>
        <v>0.0165409776675343</v>
      </c>
      <c r="AC91" s="433">
        <f>AB91-$B$9/12</f>
        <v>0.0162593110008676</v>
      </c>
      <c r="AD91" s="433">
        <f>AA91-AC91</f>
        <v>-0.0128042410357823</v>
      </c>
      <c r="AE91" s="560">
        <f>AE90*(1+AA91)</f>
        <v>1.2934215342729</v>
      </c>
      <c r="AF91" s="560">
        <f>AF90*(1+AC91)</f>
        <v>1.27562468542719</v>
      </c>
      <c r="AG91" s="433">
        <f>AE91/MAX(AE$5:AE91)-1</f>
        <v>0</v>
      </c>
      <c r="AH91" s="433">
        <f>AF91/MAX(AF$5:AF91)-1</f>
        <v>0</v>
      </c>
      <c r="AI91" s="620" t="inlineStr"/>
      <c r="AJ91" s="620" t="inlineStr"/>
      <c r="AK91" s="433">
        <f>AE91/AE79-1</f>
        <v>0.195633091124808</v>
      </c>
      <c r="AL91" s="433">
        <f>AF91/AF79-1</f>
        <v>0.170412472315903</v>
      </c>
      <c r="AM91" s="433">
        <f>(AE91/AE31)^(12/60)-1</f>
        <v>0.0413362418418128</v>
      </c>
      <c r="AN91" s="433">
        <f>(AF91/AF31)^(12/60)-1</f>
        <v>0.0388530259064883</v>
      </c>
      <c r="AO91" s="433">
        <f>AM91-AN91</f>
        <v>0.00248321593532452</v>
      </c>
      <c r="AP91" s="433">
        <f>STDEV(AD32:AD91)*SQRT(12)</f>
        <v>0.0235213745185278</v>
      </c>
      <c r="AQ91" s="628">
        <f>AO91/AP91</f>
        <v>0.105572739100281</v>
      </c>
    </row>
    <row r="92">
      <c r="N92" s="554">
        <f>Data!A344</f>
        <v>41453.0</v>
      </c>
      <c r="O92" s="433">
        <f>Data!B344/Data!B343-1</f>
        <v>-0.0262067540619543</v>
      </c>
      <c r="P92" s="433">
        <f>Data!C344/Data!C343-1</f>
        <v>0.022497289429614</v>
      </c>
      <c r="Q92" s="433">
        <f>Data!D344/Data!D343-1</f>
        <v>-0.00542712174222959</v>
      </c>
      <c r="R92" s="433">
        <f>Data!E344/Data!E343-1</f>
        <v>0.0230965791335271</v>
      </c>
      <c r="S92" s="433">
        <f>Data!F344/Data!F343-1</f>
        <v>0.0498649883265099</v>
      </c>
      <c r="T92" s="433">
        <f>Data!G344/Data!G343-1</f>
        <v>0.0282934485298825</v>
      </c>
      <c r="U92" s="433">
        <f>Data!H344/Data!H343-1</f>
        <v>0.00329999999999964</v>
      </c>
      <c r="V92" s="433">
        <f>Data!I344/Data!I343-1</f>
        <v>0.0613999718692859</v>
      </c>
      <c r="W92" s="433">
        <f>Data!J344/Data!J343-1</f>
        <v>-0.0104631709323501</v>
      </c>
      <c r="X92" s="433">
        <f>Data!K344/Data!K343-1</f>
        <v>-0.0123963199233965</v>
      </c>
      <c r="Y92" s="433">
        <f>Data!L344/Data!L343-1</f>
        <v>0.00229970137063229</v>
      </c>
      <c r="Z92" s="433">
        <f>SUMPRODUCT(O92:Y92,Risk!$B$56:$L$56)</f>
        <v>-0.00607378796328616</v>
      </c>
      <c r="AA92" s="433">
        <f>Z92-$B$8/12</f>
        <v>-0.00616712129661949</v>
      </c>
      <c r="AB92" s="433">
        <f>SUMPRODUCT(O92:Y92,Risk!$B$57:$L$57)</f>
        <v>0.00189513110281805</v>
      </c>
      <c r="AC92" s="433">
        <f>AB92-$B$9/12</f>
        <v>0.00161346443615138</v>
      </c>
      <c r="AD92" s="433">
        <f>AA92-AC92</f>
        <v>-0.00778058573277087</v>
      </c>
      <c r="AE92" s="560">
        <f>AE91*(1+AA92)</f>
        <v>1.28544484678337</v>
      </c>
      <c r="AF92" s="560">
        <f>AF91*(1+AC92)</f>
        <v>1.27768286049101</v>
      </c>
      <c r="AG92" s="433">
        <f>AE92/MAX(AE$5:AE92)-1</f>
        <v>-0.00616712129661945</v>
      </c>
      <c r="AH92" s="433">
        <f>AF92/MAX(AF$5:AF92)-1</f>
        <v>0</v>
      </c>
      <c r="AI92" s="620" t="inlineStr"/>
      <c r="AJ92" s="620" t="inlineStr"/>
      <c r="AK92" s="433">
        <f>AE92/AE80-1</f>
        <v>0.190664427997286</v>
      </c>
      <c r="AL92" s="433">
        <f>AF92/AF80-1</f>
        <v>0.177962344770662</v>
      </c>
      <c r="AM92" s="433">
        <f>(AE92/AE32)^(12/60)-1</f>
        <v>0.0524072359891041</v>
      </c>
      <c r="AN92" s="433">
        <f>(AF92/AF32)^(12/60)-1</f>
        <v>0.0496390656000132</v>
      </c>
      <c r="AO92" s="433">
        <f>AM92-AN92</f>
        <v>0.00276817038909094</v>
      </c>
      <c r="AP92" s="433">
        <f>STDEV(AD33:AD92)*SQRT(12)</f>
        <v>0.0234648078018483</v>
      </c>
      <c r="AQ92" s="628">
        <f>AO92/AP92</f>
        <v>0.117971151200859</v>
      </c>
    </row>
    <row r="93">
      <c r="N93" s="554">
        <f>Data!A345</f>
        <v>41486.0</v>
      </c>
      <c r="O93" s="433">
        <f>Data!B345/Data!B344-1</f>
        <v>0.0546116601868492</v>
      </c>
      <c r="P93" s="433">
        <f>Data!C345/Data!C344-1</f>
        <v>0.0685139549374514</v>
      </c>
      <c r="Q93" s="433">
        <f>Data!D345/Data!D344-1</f>
        <v>0.0353591809086102</v>
      </c>
      <c r="R93" s="433">
        <f>Data!E345/Data!E344-1</f>
        <v>0.0264325714562443</v>
      </c>
      <c r="S93" s="433">
        <f>Data!F345/Data!F344-1</f>
        <v>0.0700576765411913</v>
      </c>
      <c r="T93" s="433">
        <f>Data!G345/Data!G344-1</f>
        <v>0</v>
      </c>
      <c r="U93" s="433">
        <f>Data!H345/Data!H344-1</f>
        <v>0.0117000000000003</v>
      </c>
      <c r="V93" s="433">
        <f>Data!I345/Data!I344-1</f>
        <v>0</v>
      </c>
      <c r="W93" s="433">
        <f>Data!J345/Data!J344-1</f>
        <v>0.00855485529070621</v>
      </c>
      <c r="X93" s="433">
        <f>Data!K345/Data!K344-1</f>
        <v>0.0062890609645847</v>
      </c>
      <c r="Y93" s="433">
        <f>Data!L345/Data!L344-1</f>
        <v>0.00253125230779383</v>
      </c>
      <c r="Z93" s="433">
        <f>SUMPRODUCT(O93:Y93,Risk!$B$56:$L$56)</f>
        <v>0.0401542530401727</v>
      </c>
      <c r="AA93" s="433">
        <f>Z93-$B$8/12</f>
        <v>0.0400609197068393</v>
      </c>
      <c r="AB93" s="433">
        <f>SUMPRODUCT(O93:Y93,Risk!$B$57:$L$57)</f>
        <v>0.0367248872077569</v>
      </c>
      <c r="AC93" s="433">
        <f>AB93-$B$9/12</f>
        <v>0.0364432205410902</v>
      </c>
      <c r="AD93" s="433">
        <f>AA93-AC93</f>
        <v>0.00361769916574912</v>
      </c>
      <c r="AE93" s="560">
        <f>AE92*(1+AA93)</f>
        <v>1.33694094957793</v>
      </c>
      <c r="AF93" s="560">
        <f>AF92*(1+AC93)</f>
        <v>1.32424573875745</v>
      </c>
      <c r="AG93" s="433">
        <f>AE93/MAX(AE$5:AE93)-1</f>
        <v>0</v>
      </c>
      <c r="AH93" s="433">
        <f>AF93/MAX(AF$5:AF93)-1</f>
        <v>0</v>
      </c>
      <c r="AI93" s="620" t="inlineStr"/>
      <c r="AJ93" s="620" t="inlineStr"/>
      <c r="AK93" s="433">
        <f>AE93/AE81-1</f>
        <v>0.22045995938141</v>
      </c>
      <c r="AL93" s="433">
        <f>AF93/AF81-1</f>
        <v>0.210254674064145</v>
      </c>
      <c r="AM93" s="433">
        <f>(AE93/AE33)^(12/60)-1</f>
        <v>0.0636085590684659</v>
      </c>
      <c r="AN93" s="433">
        <f>(AF93/AF33)^(12/60)-1</f>
        <v>0.0592225273061118</v>
      </c>
      <c r="AO93" s="433">
        <f>AM93-AN93</f>
        <v>0.00438603176235408</v>
      </c>
      <c r="AP93" s="433">
        <f>STDEV(AD34:AD93)*SQRT(12)</f>
        <v>0.0234278446159645</v>
      </c>
      <c r="AQ93" s="628">
        <f>AO93/AP93</f>
        <v>0.187214480642632</v>
      </c>
    </row>
    <row r="94">
      <c r="N94" s="554">
        <f>Data!A346</f>
        <v>41516.0</v>
      </c>
      <c r="O94" s="433">
        <f>Data!B346/Data!B345-1</f>
        <v>0.0259229511468362</v>
      </c>
      <c r="P94" s="433">
        <f>Data!C346/Data!C345-1</f>
        <v>-0.0127137917283632</v>
      </c>
      <c r="Q94" s="433">
        <f>Data!D346/Data!D345-1</f>
        <v>0.00704671537932122</v>
      </c>
      <c r="R94" s="433">
        <f>Data!E346/Data!E345-1</f>
        <v>-0.0476108855812802</v>
      </c>
      <c r="S94" s="433">
        <f>Data!F346/Data!F345-1</f>
        <v>0.0416529550324398</v>
      </c>
      <c r="T94" s="433">
        <f>Data!G346/Data!G345-1</f>
        <v>0</v>
      </c>
      <c r="U94" s="433">
        <f>Data!H346/Data!H345-1</f>
        <v>0.00790000000000002</v>
      </c>
      <c r="V94" s="433">
        <f>Data!I346/Data!I345-1</f>
        <v>0</v>
      </c>
      <c r="W94" s="433">
        <f>Data!J346/Data!J345-1</f>
        <v>-0.00320583215358361</v>
      </c>
      <c r="X94" s="433">
        <f>Data!K346/Data!K345-1</f>
        <v>-0.001653581240316</v>
      </c>
      <c r="Y94" s="433">
        <f>Data!L346/Data!L345-1</f>
        <v>0.00231403279271492</v>
      </c>
      <c r="Z94" s="433">
        <f>SUMPRODUCT(O94:Y94,Risk!$B$56:$L$56)</f>
        <v>0.00261415452816104</v>
      </c>
      <c r="AA94" s="433">
        <f>Z94-$B$8/12</f>
        <v>0.0025208211948277</v>
      </c>
      <c r="AB94" s="433">
        <f>SUMPRODUCT(O94:Y94,Risk!$B$57:$L$57)</f>
        <v>0.000816836889085681</v>
      </c>
      <c r="AC94" s="433">
        <f>AB94-$B$9/12</f>
        <v>0.000535170222419014</v>
      </c>
      <c r="AD94" s="433">
        <f>AA94-AC94</f>
        <v>0.00198565097240869</v>
      </c>
      <c r="AE94" s="560">
        <f>AE93*(1+AA94)</f>
        <v>1.34031113865986</v>
      </c>
      <c r="AF94" s="560">
        <f>AF93*(1+AC94)</f>
        <v>1.324954435644</v>
      </c>
      <c r="AG94" s="433">
        <f>AE94/MAX(AE$5:AE94)-1</f>
        <v>0</v>
      </c>
      <c r="AH94" s="433">
        <f>AF94/MAX(AF$5:AF94)-1</f>
        <v>0</v>
      </c>
      <c r="AI94" s="620" t="inlineStr"/>
      <c r="AJ94" s="620" t="inlineStr"/>
      <c r="AK94" s="433">
        <f>AE94/AE82-1</f>
        <v>0.199465943158148</v>
      </c>
      <c r="AL94" s="433">
        <f>AF94/AF82-1</f>
        <v>0.187311329758326</v>
      </c>
      <c r="AM94" s="433">
        <f>(AE94/AE34)^(12/60)-1</f>
        <v>0.0530069613148716</v>
      </c>
      <c r="AN94" s="433">
        <f>(AF94/AF34)^(12/60)-1</f>
        <v>0.0490371819729418</v>
      </c>
      <c r="AO94" s="433">
        <f>AM94-AN94</f>
        <v>0.00396977934192977</v>
      </c>
      <c r="AP94" s="433">
        <f>STDEV(AD35:AD94)*SQRT(12)</f>
        <v>0.0233845204742213</v>
      </c>
      <c r="AQ94" s="628">
        <f>AO94/AP94</f>
        <v>0.169760989809732</v>
      </c>
    </row>
    <row r="95">
      <c r="N95" s="554">
        <f>Data!A347</f>
        <v>41547.0</v>
      </c>
      <c r="O95" s="433">
        <f>Data!B347/Data!B346-1</f>
        <v>0.0238670848104881</v>
      </c>
      <c r="P95" s="433">
        <f>Data!C347/Data!C346-1</f>
        <v>-0.0115608992896926</v>
      </c>
      <c r="Q95" s="433">
        <f>Data!D347/Data!D346-1</f>
        <v>-0.00699257054818259</v>
      </c>
      <c r="R95" s="433">
        <f>Data!E347/Data!E346-1</f>
        <v>-0.00775849834151376</v>
      </c>
      <c r="S95" s="433">
        <f>Data!F347/Data!F346-1</f>
        <v>-0.0797900442259136</v>
      </c>
      <c r="T95" s="433">
        <f>Data!G347/Data!G346-1</f>
        <v>0.027671227638695</v>
      </c>
      <c r="U95" s="433">
        <f>Data!H347/Data!H346-1</f>
        <v>0.0102999999999998</v>
      </c>
      <c r="V95" s="433">
        <f>Data!I347/Data!I346-1</f>
        <v>0.0269981359271332</v>
      </c>
      <c r="W95" s="433">
        <f>Data!J347/Data!J346-1</f>
        <v>0.0050067229723898</v>
      </c>
      <c r="X95" s="433">
        <f>Data!K347/Data!K346-1</f>
        <v>0.00976837602378833</v>
      </c>
      <c r="Y95" s="433">
        <f>Data!L347/Data!L346-1</f>
        <v>0.00211101987855944</v>
      </c>
      <c r="Z95" s="433">
        <f>SUMPRODUCT(O95:Y95,Risk!$B$56:$L$56)</f>
        <v>0.00813905415136602</v>
      </c>
      <c r="AA95" s="433">
        <f>Z95-$B$8/12</f>
        <v>0.00804572081803268</v>
      </c>
      <c r="AB95" s="433">
        <f>SUMPRODUCT(O95:Y95,Risk!$B$57:$L$57)</f>
        <v>0.00518478112308288</v>
      </c>
      <c r="AC95" s="433">
        <f>AB95-$B$9/12</f>
        <v>0.00490311445641621</v>
      </c>
      <c r="AD95" s="433">
        <f>AA95-AC95</f>
        <v>0.00314260636161647</v>
      </c>
      <c r="AE95" s="560">
        <f>AE94*(1+AA95)</f>
        <v>1.35109490789082</v>
      </c>
      <c r="AF95" s="560">
        <f>AF94*(1+AC95)</f>
        <v>1.3314508388915</v>
      </c>
      <c r="AG95" s="433">
        <f>AE95/MAX(AE$5:AE95)-1</f>
        <v>0</v>
      </c>
      <c r="AH95" s="433">
        <f>AF95/MAX(AF$5:AF95)-1</f>
        <v>0</v>
      </c>
      <c r="AI95" s="620" t="inlineStr"/>
      <c r="AJ95" s="620" t="inlineStr"/>
      <c r="AK95" s="433">
        <f>AE95/AE83-1</f>
        <v>0.194096058527939</v>
      </c>
      <c r="AL95" s="433">
        <f>AF95/AF83-1</f>
        <v>0.179935858270103</v>
      </c>
      <c r="AM95" s="433">
        <f>(AE95/AE35)^(12/60)-1</f>
        <v>0.0633184707426586</v>
      </c>
      <c r="AN95" s="433">
        <f>(AF95/AF35)^(12/60)-1</f>
        <v>0.0566924643897</v>
      </c>
      <c r="AO95" s="433">
        <f>AM95-AN95</f>
        <v>0.00662600635295862</v>
      </c>
      <c r="AP95" s="433">
        <f>STDEV(AD36:AD95)*SQRT(12)</f>
        <v>0.023024054730378</v>
      </c>
      <c r="AQ95" s="628">
        <f>AO95/AP95</f>
        <v>0.287786249231603</v>
      </c>
    </row>
    <row r="96">
      <c r="N96" s="554">
        <f>Data!A348</f>
        <v>41578.0</v>
      </c>
      <c r="O96" s="433">
        <f>Data!B348/Data!B347-1</f>
        <v>0.0391397379008613</v>
      </c>
      <c r="P96" s="433">
        <f>Data!C348/Data!C347-1</f>
        <v>0.026750092240611</v>
      </c>
      <c r="Q96" s="433">
        <f>Data!D348/Data!D347-1</f>
        <v>0.0272339339324925</v>
      </c>
      <c r="R96" s="433">
        <f>Data!E348/Data!E347-1</f>
        <v>0.0244140550149534</v>
      </c>
      <c r="S96" s="433">
        <f>Data!F348/Data!F347-1</f>
        <v>-0.0268141406893551</v>
      </c>
      <c r="T96" s="433">
        <f>Data!G348/Data!G347-1</f>
        <v>0</v>
      </c>
      <c r="U96" s="433">
        <f>Data!H348/Data!H347-1</f>
        <v>-0.00129999999999952</v>
      </c>
      <c r="V96" s="433">
        <f>Data!I348/Data!I347-1</f>
        <v>0</v>
      </c>
      <c r="W96" s="433">
        <f>Data!J348/Data!J347-1</f>
        <v>-0.000561308787190074</v>
      </c>
      <c r="X96" s="433">
        <f>Data!K348/Data!K347-1</f>
        <v>0.0110687762350663</v>
      </c>
      <c r="Y96" s="433">
        <f>Data!L348/Data!L347-1</f>
        <v>0.00217864648268118</v>
      </c>
      <c r="Z96" s="433">
        <f>SUMPRODUCT(O96:Y96,Risk!$B$56:$L$56)</f>
        <v>0.0244011301444766</v>
      </c>
      <c r="AA96" s="433">
        <f>Z96-$B$8/12</f>
        <v>0.0243077968111432</v>
      </c>
      <c r="AB96" s="433">
        <f>SUMPRODUCT(O96:Y96,Risk!$B$57:$L$57)</f>
        <v>0.0193600172183275</v>
      </c>
      <c r="AC96" s="433">
        <f>AB96-$B$9/12</f>
        <v>0.0190783505516609</v>
      </c>
      <c r="AD96" s="433">
        <f>AA96-AC96</f>
        <v>0.00522944625948237</v>
      </c>
      <c r="AE96" s="560">
        <f>AE95*(1+AA96)</f>
        <v>1.3839370483844</v>
      </c>
      <c r="AF96" s="560">
        <f>AF95*(1+AC96)</f>
        <v>1.35685272473817</v>
      </c>
      <c r="AG96" s="433">
        <f>AE96/MAX(AE$5:AE96)-1</f>
        <v>0</v>
      </c>
      <c r="AH96" s="433">
        <f>AF96/MAX(AF$5:AF96)-1</f>
        <v>0</v>
      </c>
      <c r="AI96" s="620" t="inlineStr"/>
      <c r="AJ96" s="620" t="inlineStr"/>
      <c r="AK96" s="433">
        <f>AE96/AE84-1</f>
        <v>0.206647656774685</v>
      </c>
      <c r="AL96" s="433">
        <f>AF96/AF84-1</f>
        <v>0.194041765718854</v>
      </c>
      <c r="AM96" s="433">
        <f>(AE96/AE36)^(12/60)-1</f>
        <v>0.0831556777020253</v>
      </c>
      <c r="AN96" s="433">
        <f>(AF96/AF36)^(12/60)-1</f>
        <v>0.0708411278636869</v>
      </c>
      <c r="AO96" s="433">
        <f>AM96-AN96</f>
        <v>0.0123145498383384</v>
      </c>
      <c r="AP96" s="433">
        <f>STDEV(AD37:AD96)*SQRT(12)</f>
        <v>0.0211882834152289</v>
      </c>
      <c r="AQ96" s="628">
        <f>AO96/AP96</f>
        <v>0.581196201552004</v>
      </c>
    </row>
    <row r="97">
      <c r="N97" s="554">
        <f>Data!A349</f>
        <v>41607.0</v>
      </c>
      <c r="O97" s="433">
        <f>Data!B349/Data!B348-1</f>
        <v>-0.0138075841533666</v>
      </c>
      <c r="P97" s="433">
        <f>Data!C349/Data!C348-1</f>
        <v>0.0592021215966574</v>
      </c>
      <c r="Q97" s="433">
        <f>Data!D349/Data!D348-1</f>
        <v>0.0359159674961134</v>
      </c>
      <c r="R97" s="433">
        <f>Data!E349/Data!E348-1</f>
        <v>-0.00222577097061827</v>
      </c>
      <c r="S97" s="433">
        <f>Data!F349/Data!F348-1</f>
        <v>0.0281424768556244</v>
      </c>
      <c r="T97" s="433">
        <f>Data!G349/Data!G348-1</f>
        <v>0</v>
      </c>
      <c r="U97" s="433">
        <f>Data!H349/Data!H348-1</f>
        <v>0.00560000000000005</v>
      </c>
      <c r="V97" s="433">
        <f>Data!I349/Data!I348-1</f>
        <v>0</v>
      </c>
      <c r="W97" s="433">
        <f>Data!J349/Data!J348-1</f>
        <v>-0.000987136827471646</v>
      </c>
      <c r="X97" s="433">
        <f>Data!K349/Data!K348-1</f>
        <v>0.000510973148361238</v>
      </c>
      <c r="Y97" s="433">
        <f>Data!L349/Data!L348-1</f>
        <v>0.00213227417765483</v>
      </c>
      <c r="Z97" s="433">
        <f>SUMPRODUCT(O97:Y97,Risk!$B$56:$L$56)</f>
        <v>0.00613688008110701</v>
      </c>
      <c r="AA97" s="433">
        <f>Z97-$B$8/12</f>
        <v>0.00604354674777368</v>
      </c>
      <c r="AB97" s="433">
        <f>SUMPRODUCT(O97:Y97,Risk!$B$57:$L$57)</f>
        <v>0.0123911138547121</v>
      </c>
      <c r="AC97" s="433">
        <f>AB97-$B$9/12</f>
        <v>0.0121094471880454</v>
      </c>
      <c r="AD97" s="433">
        <f>AA97-AC97</f>
        <v>-0.00606590044027175</v>
      </c>
      <c r="AE97" s="560">
        <f>AE96*(1+AA97)</f>
        <v>1.39230093663229</v>
      </c>
      <c r="AF97" s="560">
        <f>AF96*(1+AC97)</f>
        <v>1.37328346115035</v>
      </c>
      <c r="AG97" s="433">
        <f>AE97/MAX(AE$5:AE97)-1</f>
        <v>0</v>
      </c>
      <c r="AH97" s="433">
        <f>AF97/MAX(AF$5:AF97)-1</f>
        <v>0</v>
      </c>
      <c r="AI97" s="620" t="inlineStr"/>
      <c r="AJ97" s="620" t="inlineStr"/>
      <c r="AK97" s="433">
        <f>AE97/AE85-1</f>
        <v>0.210023907740301</v>
      </c>
      <c r="AL97" s="433">
        <f>AF97/AF85-1</f>
        <v>0.203253258788057</v>
      </c>
      <c r="AM97" s="433">
        <f>(AE97/AE37)^(12/60)-1</f>
        <v>0.0947214739216016</v>
      </c>
      <c r="AN97" s="433">
        <f>(AF97/AF37)^(12/60)-1</f>
        <v>0.0812468145124696</v>
      </c>
      <c r="AO97" s="433">
        <f>AM97-AN97</f>
        <v>0.013474659409132</v>
      </c>
      <c r="AP97" s="433">
        <f>STDEV(AD38:AD97)*SQRT(12)</f>
        <v>0.0208058464504813</v>
      </c>
      <c r="AQ97" s="628">
        <f>AO97/AP97</f>
        <v>0.647638126196989</v>
      </c>
    </row>
    <row r="98">
      <c r="N98" s="554">
        <f>Data!A350</f>
        <v>41639.0</v>
      </c>
      <c r="O98" s="433">
        <f>Data!B350/Data!B349-1</f>
        <v>0.00918671630328372</v>
      </c>
      <c r="P98" s="433">
        <f>Data!C350/Data!C349-1</f>
        <v>0.0431725642817431</v>
      </c>
      <c r="Q98" s="433">
        <f>Data!D350/Data!D349-1</f>
        <v>0.0115157057940467</v>
      </c>
      <c r="R98" s="433">
        <f>Data!E350/Data!E349-1</f>
        <v>0.0238281535117781</v>
      </c>
      <c r="S98" s="433">
        <f>Data!F350/Data!F349-1</f>
        <v>0.0411482726303625</v>
      </c>
      <c r="T98" s="433">
        <f>Data!G350/Data!G349-1</f>
        <v>0.0428241094203139</v>
      </c>
      <c r="U98" s="433">
        <f>Data!H350/Data!H349-1</f>
        <v>0.0218999999999998</v>
      </c>
      <c r="V98" s="433">
        <f>Data!I350/Data!I349-1</f>
        <v>0.0981943930700482</v>
      </c>
      <c r="W98" s="433">
        <f>Data!J350/Data!J349-1</f>
        <v>0.00525141305339916</v>
      </c>
      <c r="X98" s="433">
        <f>Data!K350/Data!K349-1</f>
        <v>-0.00354944970761717</v>
      </c>
      <c r="Y98" s="433">
        <f>Data!L350/Data!L349-1</f>
        <v>0.00214788151650991</v>
      </c>
      <c r="Z98" s="433">
        <f>SUMPRODUCT(O98:Y98,Risk!$B$56:$L$56)</f>
        <v>0.0153461224163961</v>
      </c>
      <c r="AA98" s="433">
        <f>Z98-$B$8/12</f>
        <v>0.0152527890830628</v>
      </c>
      <c r="AB98" s="433">
        <f>SUMPRODUCT(O98:Y98,Risk!$B$57:$L$57)</f>
        <v>0.0216477339439428</v>
      </c>
      <c r="AC98" s="433">
        <f>AB98-$B$9/12</f>
        <v>0.0213660672772762</v>
      </c>
      <c r="AD98" s="433">
        <f>AA98-AC98</f>
        <v>-0.00611327819421337</v>
      </c>
      <c r="AE98" s="560">
        <f>AE97*(1+AA98)</f>
        <v>1.41353740915889</v>
      </c>
      <c r="AF98" s="560">
        <f>AF97*(1+AC98)</f>
        <v>1.40262512797206</v>
      </c>
      <c r="AG98" s="433">
        <f>AE98/MAX(AE$5:AE98)-1</f>
        <v>0</v>
      </c>
      <c r="AH98" s="433">
        <f>AF98/MAX(AF$5:AF98)-1</f>
        <v>0</v>
      </c>
      <c r="AI98" s="620" t="inlineStr"/>
      <c r="AJ98" s="620" t="inlineStr"/>
      <c r="AK98" s="433">
        <f>AE98/AE86-1</f>
        <v>0.200927493659573</v>
      </c>
      <c r="AL98" s="433">
        <f>AF98/AF86-1</f>
        <v>0.20468410163357</v>
      </c>
      <c r="AM98" s="433">
        <f>(AE98/AE38)^(12/60)-1</f>
        <v>0.0993981171368241</v>
      </c>
      <c r="AN98" s="433">
        <f>(AF98/AF38)^(12/60)-1</f>
        <v>0.0893150341766678</v>
      </c>
      <c r="AO98" s="433">
        <f>AM98-AN98</f>
        <v>0.0100830829601564</v>
      </c>
      <c r="AP98" s="433">
        <f>STDEV(AD39:AD98)*SQRT(12)</f>
        <v>0.0206750812589858</v>
      </c>
      <c r="AQ98" s="628">
        <f>AO98/AP98</f>
        <v>0.48769254320459</v>
      </c>
    </row>
    <row r="99">
      <c r="N99" s="554">
        <f>Data!A351</f>
        <v>41670.0</v>
      </c>
      <c r="O99" s="433">
        <f>Data!B351/Data!B350-1</f>
        <v>-0.0276088583818863</v>
      </c>
      <c r="P99" s="433">
        <f>Data!C351/Data!C350-1</f>
        <v>-0.00762367454208557</v>
      </c>
      <c r="Q99" s="433">
        <f>Data!D351/Data!D350-1</f>
        <v>-0.0200030102979194</v>
      </c>
      <c r="R99" s="433">
        <f>Data!E351/Data!E350-1</f>
        <v>0.0480594952381714</v>
      </c>
      <c r="S99" s="433">
        <f>Data!F351/Data!F350-1</f>
        <v>0.0086068748611503</v>
      </c>
      <c r="T99" s="433">
        <f>Data!G351/Data!G350-1</f>
        <v>0</v>
      </c>
      <c r="U99" s="433">
        <f>Data!H351/Data!H350-1</f>
        <v>0.00249999999999995</v>
      </c>
      <c r="V99" s="433">
        <f>Data!I351/Data!I350-1</f>
        <v>0</v>
      </c>
      <c r="W99" s="433">
        <f>Data!J351/Data!J350-1</f>
        <v>0.0108742994669435</v>
      </c>
      <c r="X99" s="433">
        <f>Data!K351/Data!K350-1</f>
        <v>0.0167341499666853</v>
      </c>
      <c r="Y99" s="433">
        <f>Data!L351/Data!L350-1</f>
        <v>0.00224252710819539</v>
      </c>
      <c r="Z99" s="433">
        <f>SUMPRODUCT(O99:Y99,Risk!$B$56:$L$56)</f>
        <v>-0.00463547492240447</v>
      </c>
      <c r="AA99" s="433">
        <f>Z99-$B$8/12</f>
        <v>-0.0047288082557378</v>
      </c>
      <c r="AB99" s="433">
        <f>SUMPRODUCT(O99:Y99,Risk!$B$57:$L$57)</f>
        <v>-0.00229025039566135</v>
      </c>
      <c r="AC99" s="433">
        <f>AB99-$B$9/12</f>
        <v>-0.00257191706232802</v>
      </c>
      <c r="AD99" s="433">
        <f>AA99-AC99</f>
        <v>-0.00215689119340978</v>
      </c>
      <c r="AE99" s="560">
        <f>AE98*(1+AA99)</f>
        <v>1.40685306178867</v>
      </c>
      <c r="AF99" s="560">
        <f>AF98*(1+AC99)</f>
        <v>1.39901769247337</v>
      </c>
      <c r="AG99" s="433">
        <f>AE99/MAX(AE$5:AE99)-1</f>
        <v>-0.00472880825573796</v>
      </c>
      <c r="AH99" s="433">
        <f>AF99/MAX(AF$5:AF99)-1</f>
        <v>-0.00257191706232807</v>
      </c>
      <c r="AI99" s="620" t="inlineStr"/>
      <c r="AJ99" s="620" t="inlineStr"/>
      <c r="AK99" s="433">
        <f>AE99/AE87-1</f>
        <v>0.157349273202586</v>
      </c>
      <c r="AL99" s="433">
        <f>AF99/AF87-1</f>
        <v>0.169361857280877</v>
      </c>
      <c r="AM99" s="433">
        <f>(AE99/AE39)^(12/60)-1</f>
        <v>0.102275103137871</v>
      </c>
      <c r="AN99" s="433">
        <f>(AF99/AF39)^(12/60)-1</f>
        <v>0.0904067991854123</v>
      </c>
      <c r="AO99" s="433">
        <f>AM99-AN99</f>
        <v>0.011868303952459</v>
      </c>
      <c r="AP99" s="433">
        <f>STDEV(AD40:AD99)*SQRT(12)</f>
        <v>0.0201182994136072</v>
      </c>
      <c r="AQ99" s="628">
        <f>AO99/AP99</f>
        <v>0.589925803789943</v>
      </c>
    </row>
    <row r="100">
      <c r="N100" s="554">
        <f>Data!A352</f>
        <v>41698.0</v>
      </c>
      <c r="O100" s="433">
        <f>Data!B352/Data!B351-1</f>
        <v>0.0483768984044071</v>
      </c>
      <c r="P100" s="433">
        <f>Data!C352/Data!C351-1</f>
        <v>0.0166061379746807</v>
      </c>
      <c r="Q100" s="433">
        <f>Data!D352/Data!D351-1</f>
        <v>-0.00369699830684211</v>
      </c>
      <c r="R100" s="433">
        <f>Data!E352/Data!E351-1</f>
        <v>0.0198847042380632</v>
      </c>
      <c r="S100" s="433">
        <f>Data!F352/Data!F351-1</f>
        <v>0.0189801351107322</v>
      </c>
      <c r="T100" s="433">
        <f>Data!G352/Data!G351-1</f>
        <v>0</v>
      </c>
      <c r="U100" s="433">
        <f>Data!H352/Data!H351-1</f>
        <v>0.00859999999999994</v>
      </c>
      <c r="V100" s="433">
        <f>Data!I352/Data!I351-1</f>
        <v>0</v>
      </c>
      <c r="W100" s="433">
        <f>Data!J352/Data!J351-1</f>
        <v>0.0034130803505763</v>
      </c>
      <c r="X100" s="433">
        <f>Data!K352/Data!K351-1</f>
        <v>0.00671707624448636</v>
      </c>
      <c r="Y100" s="433">
        <f>Data!L352/Data!L351-1</f>
        <v>0.00199307562907269</v>
      </c>
      <c r="Z100" s="433">
        <f>SUMPRODUCT(O100:Y100,Risk!$B$56:$L$56)</f>
        <v>0.0258493008266857</v>
      </c>
      <c r="AA100" s="433">
        <f>Z100-$B$8/12</f>
        <v>0.0257559674933524</v>
      </c>
      <c r="AB100" s="433">
        <f>SUMPRODUCT(O100:Y100,Risk!$B$57:$L$57)</f>
        <v>0.0192748216695453</v>
      </c>
      <c r="AC100" s="433">
        <f>AB100-$B$9/12</f>
        <v>0.0189931550028786</v>
      </c>
      <c r="AD100" s="433">
        <f>AA100-AC100</f>
        <v>0.00676281249047376</v>
      </c>
      <c r="AE100" s="560">
        <f>AE99*(1+AA100)</f>
        <v>1.44308792351602</v>
      </c>
      <c r="AF100" s="560">
        <f>AF99*(1+AC100)</f>
        <v>1.42558945235829</v>
      </c>
      <c r="AG100" s="433">
        <f>AE100/MAX(AE$5:AE100)-1</f>
        <v>0</v>
      </c>
      <c r="AH100" s="433">
        <f>AF100/MAX(AF$5:AF100)-1</f>
        <v>0</v>
      </c>
      <c r="AI100" s="620" t="inlineStr"/>
      <c r="AJ100" s="620" t="inlineStr"/>
      <c r="AK100" s="433">
        <f>AE100/AE88-1</f>
        <v>0.149084118824347</v>
      </c>
      <c r="AL100" s="433">
        <f>AF100/AF88-1</f>
        <v>0.161559203805813</v>
      </c>
      <c r="AM100" s="433">
        <f>(AE100/AE40)^(12/60)-1</f>
        <v>0.12022185172961</v>
      </c>
      <c r="AN100" s="433">
        <f>(AF100/AF40)^(12/60)-1</f>
        <v>0.105268970183143</v>
      </c>
      <c r="AO100" s="433">
        <f>AM100-AN100</f>
        <v>0.0149528815464672</v>
      </c>
      <c r="AP100" s="433">
        <f>STDEV(AD41:AD100)*SQRT(12)</f>
        <v>0.0200189086702951</v>
      </c>
      <c r="AQ100" s="628">
        <f>AO100/AP100</f>
        <v>0.746937897201906</v>
      </c>
    </row>
    <row r="101">
      <c r="N101" s="554">
        <f>Data!A353</f>
        <v>41729.0</v>
      </c>
      <c r="O101" s="433">
        <f>Data!B353/Data!B352-1</f>
        <v>0.0025456969089801</v>
      </c>
      <c r="P101" s="433">
        <f>Data!C353/Data!C352-1</f>
        <v>-0.0321795660374077</v>
      </c>
      <c r="Q101" s="433">
        <f>Data!D353/Data!D352-1</f>
        <v>-0.0159964871465508</v>
      </c>
      <c r="R101" s="433">
        <f>Data!E353/Data!E352-1</f>
        <v>-0.0353156146643947</v>
      </c>
      <c r="S101" s="433">
        <f>Data!F353/Data!F352-1</f>
        <v>-0.0331761104067894</v>
      </c>
      <c r="T101" s="433">
        <f>Data!G353/Data!G352-1</f>
        <v>0.0172519964756308</v>
      </c>
      <c r="U101" s="433">
        <f>Data!H353/Data!H352-1</f>
        <v>0.00760000000000005</v>
      </c>
      <c r="V101" s="433">
        <f>Data!I353/Data!I352-1</f>
        <v>0.0335020052638173</v>
      </c>
      <c r="W101" s="433">
        <f>Data!J353/Data!J352-1</f>
        <v>0.000190700311217817</v>
      </c>
      <c r="X101" s="433">
        <f>Data!K353/Data!K352-1</f>
        <v>0.00307950377426991</v>
      </c>
      <c r="Y101" s="433">
        <f>Data!L353/Data!L352-1</f>
        <v>0.00218051621813653</v>
      </c>
      <c r="Z101" s="433">
        <f>SUMPRODUCT(O101:Y101,Risk!$B$56:$L$56)</f>
        <v>-0.00852159442643515</v>
      </c>
      <c r="AA101" s="433">
        <f>Z101-$B$8/12</f>
        <v>-0.00861492775976848</v>
      </c>
      <c r="AB101" s="433">
        <f>SUMPRODUCT(O101:Y101,Risk!$B$57:$L$57)</f>
        <v>-0.00817566254379242</v>
      </c>
      <c r="AC101" s="433">
        <f>AB101-$B$9/12</f>
        <v>-0.00845732921045908</v>
      </c>
      <c r="AD101" s="433">
        <f>AA101-AC101</f>
        <v>-0.000157598549309397</v>
      </c>
      <c r="AE101" s="560">
        <f>AE100*(1+AA101)</f>
        <v>1.43065582530393</v>
      </c>
      <c r="AF101" s="560">
        <f>AF100*(1+AC101)</f>
        <v>1.41353277304074</v>
      </c>
      <c r="AG101" s="433">
        <f>AE101/MAX(AE$5:AE101)-1</f>
        <v>-0.00861492775976835</v>
      </c>
      <c r="AH101" s="433">
        <f>AF101/MAX(AF$5:AF101)-1</f>
        <v>-0.00845732921045905</v>
      </c>
      <c r="AI101" s="620" t="inlineStr"/>
      <c r="AJ101" s="620" t="inlineStr"/>
      <c r="AK101" s="433">
        <f>AE101/AE89-1</f>
        <v>0.145376643027601</v>
      </c>
      <c r="AL101" s="433">
        <f>AF101/AF89-1</f>
        <v>0.153931150462351</v>
      </c>
      <c r="AM101" s="433">
        <f>(AE101/AE41)^(12/60)-1</f>
        <v>0.113034298892342</v>
      </c>
      <c r="AN101" s="433">
        <f>(AF101/AF41)^(12/60)-1</f>
        <v>0.10090183268492</v>
      </c>
      <c r="AO101" s="433">
        <f>AM101-AN101</f>
        <v>0.0121324662074218</v>
      </c>
      <c r="AP101" s="433">
        <f>STDEV(AD42:AD101)*SQRT(12)</f>
        <v>0.0193602900530103</v>
      </c>
      <c r="AQ101" s="628">
        <f>AO101/AP101</f>
        <v>0.626667584741861</v>
      </c>
    </row>
    <row r="102">
      <c r="N102" s="554">
        <f>Data!A354</f>
        <v>41759.0</v>
      </c>
      <c r="O102" s="433">
        <f>Data!B354/Data!B353-1</f>
        <v>0.0129137212561077</v>
      </c>
      <c r="P102" s="433">
        <f>Data!C354/Data!C353-1</f>
        <v>0.00816215421901512</v>
      </c>
      <c r="Q102" s="433">
        <f>Data!D354/Data!D353-1</f>
        <v>-0.00103956721556986</v>
      </c>
      <c r="R102" s="433">
        <f>Data!E354/Data!E353-1</f>
        <v>0.034707221618614</v>
      </c>
      <c r="S102" s="433">
        <f>Data!F354/Data!F353-1</f>
        <v>0.00774246362318953</v>
      </c>
      <c r="T102" s="433">
        <f>Data!G354/Data!G353-1</f>
        <v>0</v>
      </c>
      <c r="U102" s="433">
        <f>Data!H354/Data!H353-1</f>
        <v>0.00550000000000006</v>
      </c>
      <c r="V102" s="433">
        <f>Data!I354/Data!I353-1</f>
        <v>0</v>
      </c>
      <c r="W102" s="433">
        <f>Data!J354/Data!J353-1</f>
        <v>0.00906626545091349</v>
      </c>
      <c r="X102" s="433">
        <f>Data!K354/Data!K353-1</f>
        <v>0.00898551086373223</v>
      </c>
      <c r="Y102" s="433">
        <f>Data!L354/Data!L353-1</f>
        <v>0.00221446894563071</v>
      </c>
      <c r="Z102" s="433">
        <f>SUMPRODUCT(O102:Y102,Risk!$B$56:$L$56)</f>
        <v>0.0125024350210372</v>
      </c>
      <c r="AA102" s="433">
        <f>Z102-$B$8/12</f>
        <v>0.0124091016877039</v>
      </c>
      <c r="AB102" s="433">
        <f>SUMPRODUCT(O102:Y102,Risk!$B$57:$L$57)</f>
        <v>0.0102296325223976</v>
      </c>
      <c r="AC102" s="433">
        <f>AB102-$B$9/12</f>
        <v>0.00994796585573091</v>
      </c>
      <c r="AD102" s="433">
        <f>AA102-AC102</f>
        <v>0.002461135831973</v>
      </c>
      <c r="AE102" s="560">
        <f>AE101*(1+AA102)</f>
        <v>1.44840897892024</v>
      </c>
      <c r="AF102" s="560">
        <f>AF101*(1+AC102)</f>
        <v>1.4275945488029</v>
      </c>
      <c r="AG102" s="433">
        <f>AE102/MAX(AE$5:AE102)-1</f>
        <v>0</v>
      </c>
      <c r="AH102" s="433">
        <f>AF102/MAX(AF$5:AF102)-1</f>
        <v>0</v>
      </c>
      <c r="AI102" s="620" t="inlineStr"/>
      <c r="AJ102" s="620" t="inlineStr"/>
      <c r="AK102" s="433">
        <f>AE102/AE90-1</f>
        <v>0.123696563547248</v>
      </c>
      <c r="AL102" s="433">
        <f>AF102/AF90-1</f>
        <v>0.137330022795203</v>
      </c>
      <c r="AM102" s="433">
        <f>(AE102/AE42)^(12/60)-1</f>
        <v>0.105603696094807</v>
      </c>
      <c r="AN102" s="433">
        <f>(AF102/AF42)^(12/60)-1</f>
        <v>0.0953691939099839</v>
      </c>
      <c r="AO102" s="433">
        <f>AM102-AN102</f>
        <v>0.0102345021848234</v>
      </c>
      <c r="AP102" s="433">
        <f>STDEV(AD43:AD102)*SQRT(12)</f>
        <v>0.0188110622439442</v>
      </c>
      <c r="AQ102" s="628">
        <f>AO102/AP102</f>
        <v>0.544068274938494</v>
      </c>
    </row>
    <row r="103">
      <c r="N103" s="554">
        <f>Data!A355</f>
        <v>41789.0</v>
      </c>
      <c r="O103" s="433">
        <f>Data!B355/Data!B354-1</f>
        <v>0.00612300816655442</v>
      </c>
      <c r="P103" s="433">
        <f>Data!C355/Data!C354-1</f>
        <v>0.0188730722136998</v>
      </c>
      <c r="Q103" s="433">
        <f>Data!D355/Data!D354-1</f>
        <v>0.0242010211899522</v>
      </c>
      <c r="R103" s="433">
        <f>Data!E355/Data!E354-1</f>
        <v>0.0228521687398624</v>
      </c>
      <c r="S103" s="433">
        <f>Data!F355/Data!F354-1</f>
        <v>-0.00620574187880141</v>
      </c>
      <c r="T103" s="433">
        <f>Data!G355/Data!G354-1</f>
        <v>0</v>
      </c>
      <c r="U103" s="433">
        <f>Data!H355/Data!H354-1</f>
        <v>-0.0131000000000001</v>
      </c>
      <c r="V103" s="433">
        <f>Data!I355/Data!I354-1</f>
        <v>0</v>
      </c>
      <c r="W103" s="433">
        <f>Data!J355/Data!J354-1</f>
        <v>0.0137291447080905</v>
      </c>
      <c r="X103" s="433">
        <f>Data!K355/Data!K354-1</f>
        <v>0.0117379312050858</v>
      </c>
      <c r="Y103" s="433">
        <f>Data!L355/Data!L354-1</f>
        <v>0.00224818743780086</v>
      </c>
      <c r="Z103" s="433">
        <f>SUMPRODUCT(O103:Y103,Risk!$B$56:$L$56)</f>
        <v>0.0116648139066145</v>
      </c>
      <c r="AA103" s="433">
        <f>Z103-$B$8/12</f>
        <v>0.0115714805732811</v>
      </c>
      <c r="AB103" s="433">
        <f>SUMPRODUCT(O103:Y103,Risk!$B$57:$L$57)</f>
        <v>0.0111495552976656</v>
      </c>
      <c r="AC103" s="433">
        <f>AB103-$B$9/12</f>
        <v>0.0108678886309989</v>
      </c>
      <c r="AD103" s="433">
        <f>AA103-AC103</f>
        <v>0.000703591942282207</v>
      </c>
      <c r="AE103" s="560">
        <f>AE102*(1+AA103)</f>
        <v>1.46516921528198</v>
      </c>
      <c r="AF103" s="560">
        <f>AF102*(1+AC103)</f>
        <v>1.44310948736952</v>
      </c>
      <c r="AG103" s="433">
        <f>AE103/MAX(AE$5:AE103)-1</f>
        <v>0</v>
      </c>
      <c r="AH103" s="433">
        <f>AF103/MAX(AF$5:AF103)-1</f>
        <v>0</v>
      </c>
      <c r="AI103" s="620" t="inlineStr"/>
      <c r="AJ103" s="620" t="inlineStr"/>
      <c r="AK103" s="433">
        <f>AE103/AE91-1</f>
        <v>0.132785543195421</v>
      </c>
      <c r="AL103" s="433">
        <f>AF103/AF91-1</f>
        <v>0.131296300436702</v>
      </c>
      <c r="AM103" s="433">
        <f>(AE103/AE43)^(12/60)-1</f>
        <v>0.108856786557184</v>
      </c>
      <c r="AN103" s="433">
        <f>(AF103/AF43)^(12/60)-1</f>
        <v>0.0985613469903646</v>
      </c>
      <c r="AO103" s="433">
        <f>AM103-AN103</f>
        <v>0.0102954395668191</v>
      </c>
      <c r="AP103" s="433">
        <f>STDEV(AD44:AD103)*SQRT(12)</f>
        <v>0.0188107264518288</v>
      </c>
      <c r="AQ103" s="628">
        <f>AO103/AP103</f>
        <v>0.547317488943559</v>
      </c>
    </row>
    <row r="104">
      <c r="N104" s="554">
        <f>Data!A356</f>
        <v>41820.0</v>
      </c>
      <c r="O104" s="433">
        <f>Data!B356/Data!B355-1</f>
        <v>-0.0141440944670538</v>
      </c>
      <c r="P104" s="433">
        <f>Data!C356/Data!C355-1</f>
        <v>0.00011013274784677</v>
      </c>
      <c r="Q104" s="433">
        <f>Data!D356/Data!D355-1</f>
        <v>0.0101292193669922</v>
      </c>
      <c r="R104" s="433">
        <f>Data!E356/Data!E355-1</f>
        <v>-9.66220248265204e-05</v>
      </c>
      <c r="S104" s="433">
        <f>Data!F356/Data!F355-1</f>
        <v>0.00694365341558334</v>
      </c>
      <c r="T104" s="433">
        <f>Data!G356/Data!G355-1</f>
        <v>0.0223219727653723</v>
      </c>
      <c r="U104" s="433">
        <f>Data!H356/Data!H355-1</f>
        <v>0.0133000000000001</v>
      </c>
      <c r="V104" s="433">
        <f>Data!I356/Data!I355-1</f>
        <v>0.0500981499306508</v>
      </c>
      <c r="W104" s="433">
        <f>Data!J356/Data!J355-1</f>
        <v>0.00804528181309849</v>
      </c>
      <c r="X104" s="433">
        <f>Data!K356/Data!K355-1</f>
        <v>0.005464681288051</v>
      </c>
      <c r="Y104" s="433">
        <f>Data!L356/Data!L355-1</f>
        <v>0.00220213403191849</v>
      </c>
      <c r="Z104" s="433">
        <f>SUMPRODUCT(O104:Y104,Risk!$B$56:$L$56)</f>
        <v>-0.00384715728249166</v>
      </c>
      <c r="AA104" s="433">
        <f>Z104-$B$8/12</f>
        <v>-0.003940490615825</v>
      </c>
      <c r="AB104" s="433">
        <f>SUMPRODUCT(O104:Y104,Risk!$B$57:$L$57)</f>
        <v>0.00173795590296845</v>
      </c>
      <c r="AC104" s="433">
        <f>AB104-$B$9/12</f>
        <v>0.00145628923630178</v>
      </c>
      <c r="AD104" s="433">
        <f>AA104-AC104</f>
        <v>-0.00539677985212678</v>
      </c>
      <c r="AE104" s="560">
        <f>AE103*(1+AA104)</f>
        <v>1.45939572973856</v>
      </c>
      <c r="AF104" s="560">
        <f>AF103*(1+AC104)</f>
        <v>1.44521107218278</v>
      </c>
      <c r="AG104" s="433">
        <f>AE104/MAX(AE$5:AE104)-1</f>
        <v>-0.00394049061582502</v>
      </c>
      <c r="AH104" s="433">
        <f>AF104/MAX(AF$5:AF104)-1</f>
        <v>0</v>
      </c>
      <c r="AI104" s="620" t="inlineStr"/>
      <c r="AJ104" s="620" t="inlineStr"/>
      <c r="AK104" s="433">
        <f>AE104/AE92-1</f>
        <v>0.135323490066861</v>
      </c>
      <c r="AL104" s="433">
        <f>AF104/AF92-1</f>
        <v>0.131118775145336</v>
      </c>
      <c r="AM104" s="433">
        <f>(AE104/AE44)^(12/60)-1</f>
        <v>0.105249585253784</v>
      </c>
      <c r="AN104" s="433">
        <f>(AF104/AF44)^(12/60)-1</f>
        <v>0.0969352398304268</v>
      </c>
      <c r="AO104" s="433">
        <f>AM104-AN104</f>
        <v>0.00831434542335696</v>
      </c>
      <c r="AP104" s="433">
        <f>STDEV(AD45:AD104)*SQRT(12)</f>
        <v>0.0189740399999306</v>
      </c>
      <c r="AQ104" s="628">
        <f>AO104/AP104</f>
        <v>0.438195841443751</v>
      </c>
    </row>
    <row r="105">
      <c r="N105" s="554">
        <f>Data!A357</f>
        <v>41851.0</v>
      </c>
      <c r="O105" s="433">
        <f>Data!B357/Data!B356-1</f>
        <v>0.0449159934942238</v>
      </c>
      <c r="P105" s="433">
        <f>Data!C357/Data!C356-1</f>
        <v>0.00752568707857892</v>
      </c>
      <c r="Q105" s="433">
        <f>Data!D357/Data!D356-1</f>
        <v>0.0462545497756421</v>
      </c>
      <c r="R105" s="433">
        <f>Data!E357/Data!E356-1</f>
        <v>0.0219254399300473</v>
      </c>
      <c r="S105" s="433">
        <f>Data!F357/Data!F356-1</f>
        <v>-0.0385583448525417</v>
      </c>
      <c r="T105" s="433">
        <f>Data!G357/Data!G356-1</f>
        <v>0</v>
      </c>
      <c r="U105" s="433">
        <f>Data!H357/Data!H356-1</f>
        <v>-0.00309999999999977</v>
      </c>
      <c r="V105" s="433">
        <f>Data!I357/Data!I356-1</f>
        <v>0</v>
      </c>
      <c r="W105" s="433">
        <f>Data!J357/Data!J356-1</f>
        <v>0.00291192770872151</v>
      </c>
      <c r="X105" s="433">
        <f>Data!K357/Data!K356-1</f>
        <v>0.00460818286825937</v>
      </c>
      <c r="Y105" s="433">
        <f>Data!L357/Data!L356-1</f>
        <v>0.00229897600087314</v>
      </c>
      <c r="Z105" s="433">
        <f>SUMPRODUCT(O105:Y105,Risk!$B$56:$L$56)</f>
        <v>0.0226304509122401</v>
      </c>
      <c r="AA105" s="433">
        <f>Z105-$B$8/12</f>
        <v>0.0225371175789068</v>
      </c>
      <c r="AB105" s="433">
        <f>SUMPRODUCT(O105:Y105,Risk!$B$57:$L$57)</f>
        <v>0.0160769529384924</v>
      </c>
      <c r="AC105" s="433">
        <f>AB105-$B$9/12</f>
        <v>0.0157952862718257</v>
      </c>
      <c r="AD105" s="433">
        <f>AA105-AC105</f>
        <v>0.00674183130708109</v>
      </c>
      <c r="AE105" s="560">
        <f>AE104*(1+AA105)</f>
        <v>1.49228630289384</v>
      </c>
      <c r="AF105" s="560">
        <f>AF104*(1+AC105)</f>
        <v>1.46803859479112</v>
      </c>
      <c r="AG105" s="433">
        <f>AE105/MAX(AE$5:AE105)-1</f>
        <v>0</v>
      </c>
      <c r="AH105" s="433">
        <f>AF105/MAX(AF$5:AF105)-1</f>
        <v>0</v>
      </c>
      <c r="AI105" s="620" t="inlineStr"/>
      <c r="AJ105" s="620" t="inlineStr"/>
      <c r="AK105" s="433">
        <f>AE105/AE93-1</f>
        <v>0.116194625772322</v>
      </c>
      <c r="AL105" s="433">
        <f>AF105/AF93-1</f>
        <v>0.108584722476499</v>
      </c>
      <c r="AM105" s="433">
        <f>(AE105/AE45)^(12/60)-1</f>
        <v>0.0999823769171755</v>
      </c>
      <c r="AN105" s="433">
        <f>(AF105/AF45)^(12/60)-1</f>
        <v>0.0924054390056059</v>
      </c>
      <c r="AO105" s="433">
        <f>AM105-AN105</f>
        <v>0.00757693791156955</v>
      </c>
      <c r="AP105" s="433">
        <f>STDEV(AD46:AD105)*SQRT(12)</f>
        <v>0.0186798067185348</v>
      </c>
      <c r="AQ105" s="628">
        <f>AO105/AP105</f>
        <v>0.40562185817755</v>
      </c>
    </row>
    <row r="106">
      <c r="N106" s="554">
        <f>Data!A358</f>
        <v>41880.0</v>
      </c>
      <c r="O106" s="433">
        <f>Data!B358/Data!B357-1</f>
        <v>0.00721613233718776</v>
      </c>
      <c r="P106" s="433">
        <f>Data!C358/Data!C357-1</f>
        <v>0.0206780564961437</v>
      </c>
      <c r="Q106" s="433">
        <f>Data!D358/Data!D357-1</f>
        <v>0.0141495565906076</v>
      </c>
      <c r="R106" s="433">
        <f>Data!E358/Data!E357-1</f>
        <v>0.0203916661871766</v>
      </c>
      <c r="S106" s="433">
        <f>Data!F358/Data!F357-1</f>
        <v>-0.0222845879823381</v>
      </c>
      <c r="T106" s="433">
        <f>Data!G358/Data!G357-1</f>
        <v>0</v>
      </c>
      <c r="U106" s="433">
        <f>Data!H358/Data!H357-1</f>
        <v>0.0141</v>
      </c>
      <c r="V106" s="433">
        <f>Data!I358/Data!I357-1</f>
        <v>0</v>
      </c>
      <c r="W106" s="433">
        <f>Data!J358/Data!J357-1</f>
        <v>0.0101414612182547</v>
      </c>
      <c r="X106" s="433">
        <f>Data!K358/Data!K357-1</f>
        <v>0.0142573586367158</v>
      </c>
      <c r="Y106" s="433">
        <f>Data!L358/Data!L357-1</f>
        <v>0.00226648521588513</v>
      </c>
      <c r="Z106" s="433">
        <f>SUMPRODUCT(O106:Y106,Risk!$B$56:$L$56)</f>
        <v>0.0118816926916089</v>
      </c>
      <c r="AA106" s="433">
        <f>Z106-$B$8/12</f>
        <v>0.0117883593582756</v>
      </c>
      <c r="AB106" s="433">
        <f>SUMPRODUCT(O106:Y106,Risk!$B$57:$L$57)</f>
        <v>0.0116520867916162</v>
      </c>
      <c r="AC106" s="433">
        <f>AB106-$B$9/12</f>
        <v>0.0113704201249495</v>
      </c>
      <c r="AD106" s="433">
        <f>AA106-AC106</f>
        <v>0.000417939233326056</v>
      </c>
      <c r="AE106" s="560">
        <f>AE105*(1+AA106)</f>
        <v>1.50987791009778</v>
      </c>
      <c r="AF106" s="560">
        <f>AF105*(1+AC106)</f>
        <v>1.48473081037353</v>
      </c>
      <c r="AG106" s="433">
        <f>AE106/MAX(AE$5:AE106)-1</f>
        <v>0</v>
      </c>
      <c r="AH106" s="433">
        <f>AF106/MAX(AF$5:AF106)-1</f>
        <v>0</v>
      </c>
      <c r="AI106" s="620" t="inlineStr"/>
      <c r="AJ106" s="620" t="inlineStr"/>
      <c r="AK106" s="433">
        <f>AE106/AE94-1</f>
        <v>0.126512991309959</v>
      </c>
      <c r="AL106" s="433">
        <f>AF106/AF94-1</f>
        <v>0.120590090067415</v>
      </c>
      <c r="AM106" s="433">
        <f>(AE106/AE46)^(12/60)-1</f>
        <v>0.0931173386872746</v>
      </c>
      <c r="AN106" s="433">
        <f>(AF106/AF46)^(12/60)-1</f>
        <v>0.0881837828460375</v>
      </c>
      <c r="AO106" s="433">
        <f>AM106-AN106</f>
        <v>0.00493355584123711</v>
      </c>
      <c r="AP106" s="433">
        <f>STDEV(AD47:AD106)*SQRT(12)</f>
        <v>0.017838223835217</v>
      </c>
      <c r="AQ106" s="628">
        <f>AO106/AP106</f>
        <v>0.276572145680618</v>
      </c>
    </row>
    <row r="107">
      <c r="N107" s="554">
        <f>Data!A359</f>
        <v>41912.0</v>
      </c>
      <c r="O107" s="433">
        <f>Data!B359/Data!B358-1</f>
        <v>-0.0526026849593246</v>
      </c>
      <c r="P107" s="433">
        <f>Data!C359/Data!C358-1</f>
        <v>0.0586537168558536</v>
      </c>
      <c r="Q107" s="433">
        <f>Data!D359/Data!D358-1</f>
        <v>0.0236560699111503</v>
      </c>
      <c r="R107" s="433">
        <f>Data!E359/Data!E358-1</f>
        <v>0.0189798886670438</v>
      </c>
      <c r="S107" s="433">
        <f>Data!F359/Data!F358-1</f>
        <v>0.00446732679810924</v>
      </c>
      <c r="T107" s="433">
        <f>Data!G359/Data!G358-1</f>
        <v>0.0150639478992616</v>
      </c>
      <c r="U107" s="433">
        <f>Data!H359/Data!H358-1</f>
        <v>0.0165999999999999</v>
      </c>
      <c r="V107" s="433">
        <f>Data!I359/Data!I358-1</f>
        <v>0.0665025874948577</v>
      </c>
      <c r="W107" s="433">
        <f>Data!J359/Data!J358-1</f>
        <v>-0.00332999340706031</v>
      </c>
      <c r="X107" s="433">
        <f>Data!K359/Data!K358-1</f>
        <v>-0.00114555738526534</v>
      </c>
      <c r="Y107" s="433">
        <f>Data!L359/Data!L358-1</f>
        <v>0.00192314338897859</v>
      </c>
      <c r="Z107" s="433">
        <f>SUMPRODUCT(O107:Y107,Risk!$B$56:$L$56)</f>
        <v>-0.00786886531050652</v>
      </c>
      <c r="AA107" s="433">
        <f>Z107-$B$8/12</f>
        <v>-0.00796219864383985</v>
      </c>
      <c r="AB107" s="433">
        <f>SUMPRODUCT(O107:Y107,Risk!$B$57:$L$57)</f>
        <v>0.00576560057767401</v>
      </c>
      <c r="AC107" s="433">
        <f>AB107-$B$9/12</f>
        <v>0.00548393391100734</v>
      </c>
      <c r="AD107" s="433">
        <f>AA107-AC107</f>
        <v>-0.0134461325548472</v>
      </c>
      <c r="AE107" s="560">
        <f>AE106*(1+AA107)</f>
        <v>1.49785596224964</v>
      </c>
      <c r="AF107" s="560">
        <f>AF106*(1+AC107)</f>
        <v>1.49287297601326</v>
      </c>
      <c r="AG107" s="433">
        <f>AE107/MAX(AE$5:AE107)-1</f>
        <v>-0.00796219864383985</v>
      </c>
      <c r="AH107" s="433">
        <f>AF107/MAX(AF$5:AF107)-1</f>
        <v>0</v>
      </c>
      <c r="AI107" s="620" t="inlineStr"/>
      <c r="AJ107" s="620" t="inlineStr"/>
      <c r="AK107" s="433">
        <f>AE107/AE95-1</f>
        <v>0.108623793563047</v>
      </c>
      <c r="AL107" s="433">
        <f>AF107/AF95-1</f>
        <v>0.121237774919387</v>
      </c>
      <c r="AM107" s="433">
        <f>(AE107/AE47)^(12/60)-1</f>
        <v>0.0862042991936107</v>
      </c>
      <c r="AN107" s="433">
        <f>(AF107/AF47)^(12/60)-1</f>
        <v>0.0853776948945821</v>
      </c>
      <c r="AO107" s="433">
        <f>AM107-AN107</f>
        <v>0.000826604299028588</v>
      </c>
      <c r="AP107" s="433">
        <f>STDEV(AD48:AD107)*SQRT(12)</f>
        <v>0.0187337400542434</v>
      </c>
      <c r="AQ107" s="628">
        <f>AO107/AP107</f>
        <v>0.0441238266696966</v>
      </c>
    </row>
    <row r="108">
      <c r="N108" s="554">
        <f>Data!A360</f>
        <v>41943.0</v>
      </c>
      <c r="O108" s="433">
        <f>Data!B360/Data!B359-1</f>
        <v>0.0396108142805183</v>
      </c>
      <c r="P108" s="433">
        <f>Data!C360/Data!C359-1</f>
        <v>0.00707149564165399</v>
      </c>
      <c r="Q108" s="433">
        <f>Data!D360/Data!D359-1</f>
        <v>0.00976195460434326</v>
      </c>
      <c r="R108" s="433">
        <f>Data!E360/Data!E359-1</f>
        <v>0.0707579865796084</v>
      </c>
      <c r="S108" s="433">
        <f>Data!F360/Data!F359-1</f>
        <v>-0.064062167672985</v>
      </c>
      <c r="T108" s="433">
        <f>Data!G360/Data!G359-1</f>
        <v>0</v>
      </c>
      <c r="U108" s="433">
        <f>Data!H360/Data!H359-1</f>
        <v>0.00849999999999995</v>
      </c>
      <c r="V108" s="433">
        <f>Data!I360/Data!I359-1</f>
        <v>0</v>
      </c>
      <c r="W108" s="433">
        <f>Data!J360/Data!J359-1</f>
        <v>0.0095661652496184</v>
      </c>
      <c r="X108" s="433">
        <f>Data!K360/Data!K359-1</f>
        <v>0.00954531335866027</v>
      </c>
      <c r="Y108" s="433">
        <f>Data!L360/Data!L359-1</f>
        <v>0.00246153088001577</v>
      </c>
      <c r="Z108" s="433">
        <f>SUMPRODUCT(O108:Y108,Risk!$B$56:$L$56)</f>
        <v>0.0267052805162356</v>
      </c>
      <c r="AA108" s="433">
        <f>Z108-$B$8/12</f>
        <v>0.0266119471829023</v>
      </c>
      <c r="AB108" s="433">
        <f>SUMPRODUCT(O108:Y108,Risk!$B$57:$L$57)</f>
        <v>0.0182826304001694</v>
      </c>
      <c r="AC108" s="433">
        <f>AB108-$B$9/12</f>
        <v>0.0180009637335027</v>
      </c>
      <c r="AD108" s="433">
        <f>AA108-AC108</f>
        <v>0.00861098344939958</v>
      </c>
      <c r="AE108" s="560">
        <f>AE107*(1+AA108)</f>
        <v>1.53771682600462</v>
      </c>
      <c r="AF108" s="560">
        <f>AF107*(1+AC108)</f>
        <v>1.5197461283132</v>
      </c>
      <c r="AG108" s="433">
        <f>AE108/MAX(AE$5:AE108)-1</f>
        <v>0</v>
      </c>
      <c r="AH108" s="433">
        <f>AF108/MAX(AF$5:AF108)-1</f>
        <v>0</v>
      </c>
      <c r="AI108" s="620" t="inlineStr"/>
      <c r="AJ108" s="620" t="inlineStr"/>
      <c r="AK108" s="433">
        <f>AE108/AE96-1</f>
        <v>0.111117610298633</v>
      </c>
      <c r="AL108" s="433">
        <f>AF108/AF96-1</f>
        <v>0.120052383434949</v>
      </c>
      <c r="AM108" s="433">
        <f>(AE108/AE48)^(12/60)-1</f>
        <v>0.0968302177561269</v>
      </c>
      <c r="AN108" s="433">
        <f>(AF108/AF48)^(12/60)-1</f>
        <v>0.0936286161525461</v>
      </c>
      <c r="AO108" s="433">
        <f>AM108-AN108</f>
        <v>0.00320160160358074</v>
      </c>
      <c r="AP108" s="433">
        <f>STDEV(AD49:AD108)*SQRT(12)</f>
        <v>0.0190796984638153</v>
      </c>
      <c r="AQ108" s="628">
        <f>AO108/AP108</f>
        <v>0.167801478081668</v>
      </c>
    </row>
    <row r="109">
      <c r="N109" s="554">
        <f>Data!A361</f>
        <v>41971.0</v>
      </c>
      <c r="O109" s="433">
        <f>Data!B361/Data!B360-1</f>
        <v>-0.0319914402107384</v>
      </c>
      <c r="P109" s="433">
        <f>Data!C361/Data!C360-1</f>
        <v>0.0601133568738299</v>
      </c>
      <c r="Q109" s="433">
        <f>Data!D361/Data!D360-1</f>
        <v>0.0415423992791757</v>
      </c>
      <c r="R109" s="433">
        <f>Data!E361/Data!E360-1</f>
        <v>0.0561912145591188</v>
      </c>
      <c r="S109" s="433">
        <f>Data!F361/Data!F360-1</f>
        <v>-0.0825899341305105</v>
      </c>
      <c r="T109" s="433">
        <f>Data!G361/Data!G360-1</f>
        <v>0</v>
      </c>
      <c r="U109" s="433">
        <f>Data!H361/Data!H360-1</f>
        <v>-0.00290000000000001</v>
      </c>
      <c r="V109" s="433">
        <f>Data!I361/Data!I360-1</f>
        <v>0</v>
      </c>
      <c r="W109" s="433">
        <f>Data!J361/Data!J360-1</f>
        <v>0.0126763935025003</v>
      </c>
      <c r="X109" s="433">
        <f>Data!K361/Data!K360-1</f>
        <v>0.0117271167386546</v>
      </c>
      <c r="Y109" s="433">
        <f>Data!L361/Data!L360-1</f>
        <v>0.002249019280117</v>
      </c>
      <c r="Z109" s="433">
        <f>SUMPRODUCT(O109:Y109,Risk!$B$56:$L$56)</f>
        <v>0.00784227646045809</v>
      </c>
      <c r="AA109" s="433">
        <f>Z109-$B$8/12</f>
        <v>0.00774894312712476</v>
      </c>
      <c r="AB109" s="433">
        <f>SUMPRODUCT(O109:Y109,Risk!$B$57:$L$57)</f>
        <v>0.0130023524219435</v>
      </c>
      <c r="AC109" s="433">
        <f>AB109-$B$9/12</f>
        <v>0.0127206857552768</v>
      </c>
      <c r="AD109" s="433">
        <f>AA109-AC109</f>
        <v>-0.00497174262815208</v>
      </c>
      <c r="AE109" s="560">
        <f>AE108*(1+AA109)</f>
        <v>1.54963250623495</v>
      </c>
      <c r="AF109" s="560">
        <f>AF108*(1+AC109)</f>
        <v>1.53907834123927</v>
      </c>
      <c r="AG109" s="433">
        <f>AE109/MAX(AE$5:AE109)-1</f>
        <v>0</v>
      </c>
      <c r="AH109" s="433">
        <f>AF109/MAX(AF$5:AF109)-1</f>
        <v>0</v>
      </c>
      <c r="AI109" s="620" t="inlineStr"/>
      <c r="AJ109" s="620" t="inlineStr"/>
      <c r="AK109" s="433">
        <f>AE109/AE97-1</f>
        <v>0.113001123150301</v>
      </c>
      <c r="AL109" s="433">
        <f>AF109/AF97-1</f>
        <v>0.120728811479344</v>
      </c>
      <c r="AM109" s="433">
        <f>(AE109/AE49)^(12/60)-1</f>
        <v>0.0950116634914799</v>
      </c>
      <c r="AN109" s="433">
        <f>(AF109/AF49)^(12/60)-1</f>
        <v>0.0934349077135799</v>
      </c>
      <c r="AO109" s="433">
        <f>AM109-AN109</f>
        <v>0.00157675577790006</v>
      </c>
      <c r="AP109" s="433">
        <f>STDEV(AD50:AD109)*SQRT(12)</f>
        <v>0.0191953184846978</v>
      </c>
      <c r="AQ109" s="628">
        <f>AO109/AP109</f>
        <v>0.0821427255378456</v>
      </c>
    </row>
    <row r="110">
      <c r="N110" s="554">
        <f>Data!A362</f>
        <v>42004.0</v>
      </c>
      <c r="O110" s="433">
        <f>Data!B362/Data!B361-1</f>
        <v>0.0192828916032313</v>
      </c>
      <c r="P110" s="433">
        <f>Data!C362/Data!C361-1</f>
        <v>0.0352835680231181</v>
      </c>
      <c r="Q110" s="433">
        <f>Data!D362/Data!D361-1</f>
        <v>0.0175191800507575</v>
      </c>
      <c r="R110" s="433">
        <f>Data!E362/Data!E361-1</f>
        <v>0.0603917246329393</v>
      </c>
      <c r="S110" s="433">
        <f>Data!F362/Data!F361-1</f>
        <v>-0.0992059471502528</v>
      </c>
      <c r="T110" s="433">
        <f>Data!G362/Data!G361-1</f>
        <v>0.0234351914374153</v>
      </c>
      <c r="U110" s="433">
        <f>Data!H362/Data!H361-1</f>
        <v>0.0178</v>
      </c>
      <c r="V110" s="433">
        <f>Data!I362/Data!I361-1</f>
        <v>0.0573004432714106</v>
      </c>
      <c r="W110" s="433">
        <f>Data!J362/Data!J361-1</f>
        <v>0.016851940532024</v>
      </c>
      <c r="X110" s="433">
        <f>Data!K362/Data!K361-1</f>
        <v>0.00750912323383535</v>
      </c>
      <c r="Y110" s="433">
        <f>Data!L362/Data!L361-1</f>
        <v>0.00231754541285412</v>
      </c>
      <c r="Z110" s="433">
        <f>SUMPRODUCT(O110:Y110,Risk!$B$56:$L$56)</f>
        <v>0.0240997918266203</v>
      </c>
      <c r="AA110" s="433">
        <f>Z110-$B$8/12</f>
        <v>0.0240064584932869</v>
      </c>
      <c r="AB110" s="433">
        <f>SUMPRODUCT(O110:Y110,Risk!$B$57:$L$57)</f>
        <v>0.0227372308717835</v>
      </c>
      <c r="AC110" s="433">
        <f>AB110-$B$9/12</f>
        <v>0.0224555642051169</v>
      </c>
      <c r="AD110" s="433">
        <f>AA110-AC110</f>
        <v>0.00155089428817007</v>
      </c>
      <c r="AE110" s="560">
        <f>AE109*(1+AA110)</f>
        <v>1.58683369467573</v>
      </c>
      <c r="AF110" s="560">
        <f>AF109*(1+AC110)</f>
        <v>1.57363921374767</v>
      </c>
      <c r="AG110" s="433">
        <f>AE110/MAX(AE$5:AE110)-1</f>
        <v>0</v>
      </c>
      <c r="AH110" s="433">
        <f>AF110/MAX(AF$5:AF110)-1</f>
        <v>0</v>
      </c>
      <c r="AI110" s="620" t="inlineStr"/>
      <c r="AJ110" s="620" t="inlineStr"/>
      <c r="AK110" s="433">
        <f>AE110/AE98-1</f>
        <v>0.122597594088406</v>
      </c>
      <c r="AL110" s="433">
        <f>AF110/AF98-1</f>
        <v>0.121924299205213</v>
      </c>
      <c r="AM110" s="433">
        <f>(AE110/AE50)^(12/60)-1</f>
        <v>0.0931330229341887</v>
      </c>
      <c r="AN110" s="433">
        <f>(AF110/AF50)^(12/60)-1</f>
        <v>0.0910949992807357</v>
      </c>
      <c r="AO110" s="433">
        <f>AM110-AN110</f>
        <v>0.00203802365345296</v>
      </c>
      <c r="AP110" s="433">
        <f>STDEV(AD51:AD110)*SQRT(12)</f>
        <v>0.0192017019387337</v>
      </c>
      <c r="AQ110" s="628">
        <f>AO110/AP110</f>
        <v>0.106137656961639</v>
      </c>
    </row>
    <row r="111">
      <c r="N111" s="554">
        <f>Data!A363</f>
        <v>42034.0</v>
      </c>
      <c r="O111" s="433">
        <f>Data!B363/Data!B362-1</f>
        <v>0.0302890625498276</v>
      </c>
      <c r="P111" s="433">
        <f>Data!C363/Data!C362-1</f>
        <v>0.0453542944889842</v>
      </c>
      <c r="Q111" s="433">
        <f>Data!D363/Data!D362-1</f>
        <v>0.0658658779448338</v>
      </c>
      <c r="R111" s="433">
        <f>Data!E363/Data!E362-1</f>
        <v>0.120838195953948</v>
      </c>
      <c r="S111" s="433">
        <f>Data!F363/Data!F362-1</f>
        <v>-0.0279260799235274</v>
      </c>
      <c r="T111" s="433">
        <f>Data!G363/Data!G362-1</f>
        <v>0</v>
      </c>
      <c r="U111" s="433">
        <f>Data!H363/Data!H362-1</f>
        <v>-0.00119999999999987</v>
      </c>
      <c r="V111" s="433">
        <f>Data!I363/Data!I362-1</f>
        <v>0</v>
      </c>
      <c r="W111" s="433">
        <f>Data!J363/Data!J362-1</f>
        <v>0.0161029206465615</v>
      </c>
      <c r="X111" s="433">
        <f>Data!K363/Data!K362-1</f>
        <v>0.0217673965032854</v>
      </c>
      <c r="Y111" s="433">
        <f>Data!L363/Data!L362-1</f>
        <v>0.00251526777325406</v>
      </c>
      <c r="Z111" s="433">
        <f>SUMPRODUCT(O111:Y111,Risk!$B$56:$L$56)</f>
        <v>0.0376032020744975</v>
      </c>
      <c r="AA111" s="433">
        <f>Z111-$B$8/12</f>
        <v>0.0375098687411641</v>
      </c>
      <c r="AB111" s="433">
        <f>SUMPRODUCT(O111:Y111,Risk!$B$57:$L$57)</f>
        <v>0.0330217053105415</v>
      </c>
      <c r="AC111" s="433">
        <f>AB111-$B$9/12</f>
        <v>0.0327400386438749</v>
      </c>
      <c r="AD111" s="433">
        <f>AA111-AC111</f>
        <v>0.00476983009728926</v>
      </c>
      <c r="AE111" s="560">
        <f>AE110*(1+AA111)</f>
        <v>1.64635561827707</v>
      </c>
      <c r="AF111" s="560">
        <f>AF110*(1+AC111)</f>
        <v>1.62516022241729</v>
      </c>
      <c r="AG111" s="433">
        <f>AE111/MAX(AE$5:AE111)-1</f>
        <v>0</v>
      </c>
      <c r="AH111" s="433">
        <f>AF111/MAX(AF$5:AF111)-1</f>
        <v>0</v>
      </c>
      <c r="AI111" s="620" t="inlineStr"/>
      <c r="AJ111" s="620" t="inlineStr"/>
      <c r="AK111" s="433">
        <f>AE111/AE99-1</f>
        <v>0.170239922699464</v>
      </c>
      <c r="AL111" s="433">
        <f>AF111/AF99-1</f>
        <v>0.161643795614984</v>
      </c>
      <c r="AM111" s="433">
        <f>(AE111/AE51)^(12/60)-1</f>
        <v>0.107437439630579</v>
      </c>
      <c r="AN111" s="433">
        <f>(AF111/AF51)^(12/60)-1</f>
        <v>0.103253400101141</v>
      </c>
      <c r="AO111" s="433">
        <f>AM111-AN111</f>
        <v>0.00418403952943747</v>
      </c>
      <c r="AP111" s="433">
        <f>STDEV(AD52:AD111)*SQRT(12)</f>
        <v>0.0191681876267377</v>
      </c>
      <c r="AQ111" s="628">
        <f>AO111/AP111</f>
        <v>0.218280393061322</v>
      </c>
    </row>
    <row r="112">
      <c r="N112" s="554">
        <f>Data!A364</f>
        <v>42062.0</v>
      </c>
      <c r="O112" s="433">
        <f>Data!B364/Data!B363-1</f>
        <v>0.0699501437082832</v>
      </c>
      <c r="P112" s="433">
        <f>Data!C364/Data!C363-1</f>
        <v>0.0540226075195625</v>
      </c>
      <c r="Q112" s="433">
        <f>Data!D364/Data!D363-1</f>
        <v>0.0277005532579289</v>
      </c>
      <c r="R112" s="433">
        <f>Data!E364/Data!E363-1</f>
        <v>-0.021206928229703</v>
      </c>
      <c r="S112" s="433">
        <f>Data!F364/Data!F363-1</f>
        <v>0.0592118919843592</v>
      </c>
      <c r="T112" s="433">
        <f>Data!G364/Data!G363-1</f>
        <v>0</v>
      </c>
      <c r="U112" s="433">
        <f>Data!H364/Data!H363-1</f>
        <v>0.000199999999999978</v>
      </c>
      <c r="V112" s="433">
        <f>Data!I364/Data!I363-1</f>
        <v>0</v>
      </c>
      <c r="W112" s="433">
        <f>Data!J364/Data!J363-1</f>
        <v>0.00279853056507196</v>
      </c>
      <c r="X112" s="433">
        <f>Data!K364/Data!K363-1</f>
        <v>-0.0040562189676524</v>
      </c>
      <c r="Y112" s="433">
        <f>Data!L364/Data!L363-1</f>
        <v>0.00208917048216883</v>
      </c>
      <c r="Z112" s="433">
        <f>SUMPRODUCT(O112:Y112,Risk!$B$56:$L$56)</f>
        <v>0.0369054101653559</v>
      </c>
      <c r="AA112" s="433">
        <f>Z112-$B$8/12</f>
        <v>0.0368120768320226</v>
      </c>
      <c r="AB112" s="433">
        <f>SUMPRODUCT(O112:Y112,Risk!$B$57:$L$57)</f>
        <v>0.030998016500245</v>
      </c>
      <c r="AC112" s="433">
        <f>AB112-$B$9/12</f>
        <v>0.0307163498335783</v>
      </c>
      <c r="AD112" s="433">
        <f>AA112-AC112</f>
        <v>0.00609572699844423</v>
      </c>
      <c r="AE112" s="560">
        <f>AE111*(1+AA112)</f>
        <v>1.70696138778992</v>
      </c>
      <c r="AF112" s="560">
        <f>AF111*(1+AC112)</f>
        <v>1.67507921234467</v>
      </c>
      <c r="AG112" s="433">
        <f>AE112/MAX(AE$5:AE112)-1</f>
        <v>0</v>
      </c>
      <c r="AH112" s="433">
        <f>AF112/MAX(AF$5:AF112)-1</f>
        <v>0</v>
      </c>
      <c r="AI112" s="620" t="inlineStr"/>
      <c r="AJ112" s="620" t="inlineStr"/>
      <c r="AK112" s="433">
        <f>AE112/AE100-1</f>
        <v>0.182853352158188</v>
      </c>
      <c r="AL112" s="433">
        <f>AF112/AF100-1</f>
        <v>0.175008141070111</v>
      </c>
      <c r="AM112" s="433">
        <f>(AE112/AE52)^(12/60)-1</f>
        <v>0.112460918922917</v>
      </c>
      <c r="AN112" s="433">
        <f>(AF112/AF52)^(12/60)-1</f>
        <v>0.1077770085116</v>
      </c>
      <c r="AO112" s="433">
        <f>AM112-AN112</f>
        <v>0.00468391041131699</v>
      </c>
      <c r="AP112" s="433">
        <f>STDEV(AD53:AD112)*SQRT(12)</f>
        <v>0.0192801520858558</v>
      </c>
      <c r="AQ112" s="628">
        <f>AO112/AP112</f>
        <v>0.242939495002904</v>
      </c>
    </row>
    <row r="113">
      <c r="N113" s="554">
        <f>Data!A365</f>
        <v>42094.0</v>
      </c>
      <c r="O113" s="433">
        <f>Data!B365/Data!B364-1</f>
        <v>-0.000270245202258046</v>
      </c>
      <c r="P113" s="433">
        <f>Data!C365/Data!C364-1</f>
        <v>0.0208653108932251</v>
      </c>
      <c r="Q113" s="433">
        <f>Data!D365/Data!D364-1</f>
        <v>0.0262732814291862</v>
      </c>
      <c r="R113" s="433">
        <f>Data!E365/Data!E364-1</f>
        <v>0.0339996449860678</v>
      </c>
      <c r="S113" s="433">
        <f>Data!F365/Data!F364-1</f>
        <v>-0.0451201745364956</v>
      </c>
      <c r="T113" s="433">
        <f>Data!G365/Data!G364-1</f>
        <v>0.0188535539669354</v>
      </c>
      <c r="U113" s="433">
        <f>Data!H365/Data!H364-1</f>
        <v>0.0105999999999999</v>
      </c>
      <c r="V113" s="433">
        <f>Data!I365/Data!I364-1</f>
        <v>0.0686991141379487</v>
      </c>
      <c r="W113" s="433">
        <f>Data!J365/Data!J364-1</f>
        <v>0.00759715776921133</v>
      </c>
      <c r="X113" s="433">
        <f>Data!K365/Data!K364-1</f>
        <v>0.00783745550789439</v>
      </c>
      <c r="Y113" s="433">
        <f>Data!L365/Data!L364-1</f>
        <v>0.00205315303905596</v>
      </c>
      <c r="Z113" s="433">
        <f>SUMPRODUCT(O113:Y113,Risk!$B$56:$L$56)</f>
        <v>0.00937521941509574</v>
      </c>
      <c r="AA113" s="433">
        <f>Z113-$B$8/12</f>
        <v>0.00928188608176241</v>
      </c>
      <c r="AB113" s="433">
        <f>SUMPRODUCT(O113:Y113,Risk!$B$57:$L$57)</f>
        <v>0.0125148513221948</v>
      </c>
      <c r="AC113" s="433">
        <f>AB113-$B$9/12</f>
        <v>0.0122331846555281</v>
      </c>
      <c r="AD113" s="433">
        <f>AA113-AC113</f>
        <v>-0.00295129857376573</v>
      </c>
      <c r="AE113" s="560">
        <f>AE112*(1+AA113)</f>
        <v>1.72280520893735</v>
      </c>
      <c r="AF113" s="560">
        <f>AF112*(1+AC113)</f>
        <v>1.69557076566192</v>
      </c>
      <c r="AG113" s="433">
        <f>AE113/MAX(AE$5:AE113)-1</f>
        <v>0</v>
      </c>
      <c r="AH113" s="433">
        <f>AF113/MAX(AF$5:AF113)-1</f>
        <v>0</v>
      </c>
      <c r="AI113" s="620" t="inlineStr"/>
      <c r="AJ113" s="620" t="inlineStr"/>
      <c r="AK113" s="433">
        <f>AE113/AE101-1</f>
        <v>0.204206615222326</v>
      </c>
      <c r="AL113" s="433">
        <f>AF113/AF101-1</f>
        <v>0.199527027600834</v>
      </c>
      <c r="AM113" s="433">
        <f>(AE113/AE53)^(12/60)-1</f>
        <v>0.106801137057997</v>
      </c>
      <c r="AN113" s="433">
        <f>(AF113/AF53)^(12/60)-1</f>
        <v>0.103998200077933</v>
      </c>
      <c r="AO113" s="433">
        <f>AM113-AN113</f>
        <v>0.0028029369800644</v>
      </c>
      <c r="AP113" s="433">
        <f>STDEV(AD54:AD113)*SQRT(12)</f>
        <v>0.0191858781478255</v>
      </c>
      <c r="AQ113" s="628">
        <f>AO113/AP113</f>
        <v>0.146093754920573</v>
      </c>
    </row>
    <row r="114">
      <c r="N114" s="554">
        <f>Data!A366</f>
        <v>42124.0</v>
      </c>
      <c r="O114" s="433">
        <f>Data!B366/Data!B365-1</f>
        <v>-0.0147234536770757</v>
      </c>
      <c r="P114" s="433">
        <f>Data!C366/Data!C365-1</f>
        <v>-0.0208637781191012</v>
      </c>
      <c r="Q114" s="433">
        <f>Data!D366/Data!D365-1</f>
        <v>0.0237910128443035</v>
      </c>
      <c r="R114" s="433">
        <f>Data!E366/Data!E365-1</f>
        <v>-0.0682699462981988</v>
      </c>
      <c r="S114" s="433">
        <f>Data!F366/Data!F365-1</f>
        <v>0.0756588895447188</v>
      </c>
      <c r="T114" s="433">
        <f>Data!G366/Data!G365-1</f>
        <v>0</v>
      </c>
      <c r="U114" s="433">
        <f>Data!H366/Data!H365-1</f>
        <v>0.0111000000000003</v>
      </c>
      <c r="V114" s="433">
        <f>Data!I366/Data!I365-1</f>
        <v>0</v>
      </c>
      <c r="W114" s="433">
        <f>Data!J366/Data!J365-1</f>
        <v>-0.0110798830035318</v>
      </c>
      <c r="X114" s="433">
        <f>Data!K366/Data!K365-1</f>
        <v>-0.00354300850095646</v>
      </c>
      <c r="Y114" s="433">
        <f>Data!L366/Data!L365-1</f>
        <v>0.00179738522376782</v>
      </c>
      <c r="Z114" s="433">
        <f>SUMPRODUCT(O114:Y114,Risk!$B$56:$L$56)</f>
        <v>-0.018708737889413</v>
      </c>
      <c r="AA114" s="433">
        <f>Z114-$B$8/12</f>
        <v>-0.0188020712227463</v>
      </c>
      <c r="AB114" s="433">
        <f>SUMPRODUCT(O114:Y114,Risk!$B$57:$L$57)</f>
        <v>-0.0127941512313903</v>
      </c>
      <c r="AC114" s="433">
        <f>AB114-$B$9/12</f>
        <v>-0.0130758178980569</v>
      </c>
      <c r="AD114" s="433">
        <f>AA114-AC114</f>
        <v>-0.00572625332468935</v>
      </c>
      <c r="AE114" s="560">
        <f>AE113*(1+AA114)</f>
        <v>1.69041290269599</v>
      </c>
      <c r="AF114" s="560">
        <f>AF113*(1+AC114)</f>
        <v>1.67339979109686</v>
      </c>
      <c r="AG114" s="433">
        <f>AE114/MAX(AE$5:AE114)-1</f>
        <v>-0.0188020712227462</v>
      </c>
      <c r="AH114" s="433">
        <f>AF114/MAX(AF$5:AF114)-1</f>
        <v>-0.0130758178980569</v>
      </c>
      <c r="AI114" s="620" t="inlineStr"/>
      <c r="AJ114" s="620" t="inlineStr"/>
      <c r="AK114" s="433">
        <f>AE114/AE102-1</f>
        <v>0.167082590137055</v>
      </c>
      <c r="AL114" s="433">
        <f>AF114/AF102-1</f>
        <v>0.172181409980915</v>
      </c>
      <c r="AM114" s="433">
        <f>(AE114/AE54)^(12/60)-1</f>
        <v>0.10312561702215</v>
      </c>
      <c r="AN114" s="433">
        <f>(AF114/AF54)^(12/60)-1</f>
        <v>0.101539015361445</v>
      </c>
      <c r="AO114" s="433">
        <f>AM114-AN114</f>
        <v>0.0015866016607049</v>
      </c>
      <c r="AP114" s="433">
        <f>STDEV(AD55:AD114)*SQRT(12)</f>
        <v>0.0193703532745187</v>
      </c>
      <c r="AQ114" s="628">
        <f>AO114/AP114</f>
        <v>0.0819087622316133</v>
      </c>
    </row>
    <row r="115">
      <c r="N115" s="554">
        <f>Data!A367</f>
        <v>42153.0</v>
      </c>
      <c r="O115" s="433">
        <f>Data!B367/Data!B366-1</f>
        <v>0.00580848016599878</v>
      </c>
      <c r="P115" s="433">
        <f>Data!C367/Data!C366-1</f>
        <v>0.0443861129372301</v>
      </c>
      <c r="Q115" s="433">
        <f>Data!D367/Data!D366-1</f>
        <v>0.00474242905445177</v>
      </c>
      <c r="R115" s="433">
        <f>Data!E367/Data!E366-1</f>
        <v>0.0268753563802524</v>
      </c>
      <c r="S115" s="433">
        <f>Data!F367/Data!F366-1</f>
        <v>0.00996476443553207</v>
      </c>
      <c r="T115" s="433">
        <f>Data!G367/Data!G366-1</f>
        <v>0</v>
      </c>
      <c r="U115" s="433">
        <f>Data!H367/Data!H366-1</f>
        <v>-0.00109999999999999</v>
      </c>
      <c r="V115" s="433">
        <f>Data!I367/Data!I366-1</f>
        <v>0</v>
      </c>
      <c r="W115" s="433">
        <f>Data!J367/Data!J366-1</f>
        <v>0.000362333807396364</v>
      </c>
      <c r="X115" s="433">
        <f>Data!K367/Data!K366-1</f>
        <v>-0.00260138589117331</v>
      </c>
      <c r="Y115" s="433">
        <f>Data!L367/Data!L366-1</f>
        <v>0.00200281194311591</v>
      </c>
      <c r="Z115" s="433">
        <f>SUMPRODUCT(O115:Y115,Risk!$B$56:$L$56)</f>
        <v>0.0138745863277045</v>
      </c>
      <c r="AA115" s="433">
        <f>Z115-$B$8/12</f>
        <v>0.0137812529943711</v>
      </c>
      <c r="AB115" s="433">
        <f>SUMPRODUCT(O115:Y115,Risk!$B$57:$L$57)</f>
        <v>0.0141192888966967</v>
      </c>
      <c r="AC115" s="433">
        <f>AB115-$B$9/12</f>
        <v>0.01383762223003</v>
      </c>
      <c r="AD115" s="433">
        <f>AA115-AC115</f>
        <v>-5.63692356588749e-05</v>
      </c>
      <c r="AE115" s="560">
        <f>AE114*(1+AA115)</f>
        <v>1.713708910573</v>
      </c>
      <c r="AF115" s="560">
        <f>AF114*(1+AC115)</f>
        <v>1.69655566524587</v>
      </c>
      <c r="AG115" s="433">
        <f>AE115/MAX(AE$5:AE115)-1</f>
        <v>-0.00527993432871399</v>
      </c>
      <c r="AH115" s="433">
        <f>AF115/MAX(AF$5:AF115)-1</f>
        <v>0</v>
      </c>
      <c r="AI115" s="620" t="inlineStr"/>
      <c r="AJ115" s="620" t="inlineStr"/>
      <c r="AK115" s="433">
        <f>AE115/AE103-1</f>
        <v>0.169632075734807</v>
      </c>
      <c r="AL115" s="433">
        <f>AF115/AF103-1</f>
        <v>0.175625051387008</v>
      </c>
      <c r="AM115" s="433">
        <f>(AE115/AE55)^(12/60)-1</f>
        <v>0.109835422763902</v>
      </c>
      <c r="AN115" s="433">
        <f>(AF115/AF55)^(12/60)-1</f>
        <v>0.105698044811145</v>
      </c>
      <c r="AO115" s="433">
        <f>AM115-AN115</f>
        <v>0.00413737795275693</v>
      </c>
      <c r="AP115" s="433">
        <f>STDEV(AD56:AD115)*SQRT(12)</f>
        <v>0.0186420324726628</v>
      </c>
      <c r="AQ115" s="628">
        <f>AO115/AP115</f>
        <v>0.221938136779029</v>
      </c>
    </row>
    <row r="116">
      <c r="N116" s="554">
        <f>Data!A368</f>
        <v>42185.0</v>
      </c>
      <c r="O116" s="433">
        <f>Data!B368/Data!B367-1</f>
        <v>-0.053983453411653</v>
      </c>
      <c r="P116" s="433">
        <f>Data!C368/Data!C367-1</f>
        <v>-0.0329909234921689</v>
      </c>
      <c r="Q116" s="433">
        <f>Data!D368/Data!D367-1</f>
        <v>-0.0258146627034782</v>
      </c>
      <c r="R116" s="433">
        <f>Data!E368/Data!E367-1</f>
        <v>-0.04501135317362</v>
      </c>
      <c r="S116" s="433">
        <f>Data!F368/Data!F367-1</f>
        <v>-0.00521638486369569</v>
      </c>
      <c r="T116" s="433">
        <f>Data!G368/Data!G367-1</f>
        <v>0.0498231635366562</v>
      </c>
      <c r="U116" s="433">
        <f>Data!H368/Data!H367-1</f>
        <v>0.0118999999999998</v>
      </c>
      <c r="V116" s="433">
        <f>Data!I368/Data!I367-1</f>
        <v>0.0212020483334829</v>
      </c>
      <c r="W116" s="433">
        <f>Data!J368/Data!J367-1</f>
        <v>-0.00925681223985131</v>
      </c>
      <c r="X116" s="433">
        <f>Data!K368/Data!K367-1</f>
        <v>-0.0106718602293827</v>
      </c>
      <c r="Y116" s="433">
        <f>Data!L368/Data!L367-1</f>
        <v>0.00175909694040621</v>
      </c>
      <c r="Z116" s="433">
        <f>SUMPRODUCT(O116:Y116,Risk!$B$56:$L$56)</f>
        <v>-0.0348118352489569</v>
      </c>
      <c r="AA116" s="433">
        <f>Z116-$B$8/12</f>
        <v>-0.0349051685822902</v>
      </c>
      <c r="AB116" s="433">
        <f>SUMPRODUCT(O116:Y116,Risk!$B$57:$L$57)</f>
        <v>-0.0243761130953273</v>
      </c>
      <c r="AC116" s="433">
        <f>AB116-$B$9/12</f>
        <v>-0.0246577797619939</v>
      </c>
      <c r="AD116" s="433">
        <f>AA116-AC116</f>
        <v>-0.0102473888202963</v>
      </c>
      <c r="AE116" s="560">
        <f>AE115*(1+AA116)</f>
        <v>1.65389161214847</v>
      </c>
      <c r="AF116" s="560">
        <f>AF115*(1+AC116)</f>
        <v>1.65472236929827</v>
      </c>
      <c r="AG116" s="433">
        <f>AE116/MAX(AE$5:AE116)-1</f>
        <v>-0.040000805913157</v>
      </c>
      <c r="AH116" s="433">
        <f>AF116/MAX(AF$5:AF116)-1</f>
        <v>-0.0246577797619939</v>
      </c>
      <c r="AI116" s="620" t="inlineStr"/>
      <c r="AJ116" s="620" t="inlineStr"/>
      <c r="AK116" s="433">
        <f>AE116/AE104-1</f>
        <v>0.133271516728882</v>
      </c>
      <c r="AL116" s="433">
        <f>AF116/AF104-1</f>
        <v>0.144969341259653</v>
      </c>
      <c r="AM116" s="433">
        <f>(AE116/AE56)^(12/60)-1</f>
        <v>0.106726110267908</v>
      </c>
      <c r="AN116" s="433">
        <f>(AF116/AF56)^(12/60)-1</f>
        <v>0.103882297111732</v>
      </c>
      <c r="AO116" s="433">
        <f>AM116-AN116</f>
        <v>0.00284381315617632</v>
      </c>
      <c r="AP116" s="433">
        <f>STDEV(AD57:AD116)*SQRT(12)</f>
        <v>0.01910937442961</v>
      </c>
      <c r="AQ116" s="628">
        <f>AO116/AP116</f>
        <v>0.148817700268086</v>
      </c>
    </row>
    <row r="117">
      <c r="N117" s="554">
        <f>Data!A369</f>
        <v>42216.0</v>
      </c>
      <c r="O117" s="433">
        <f>Data!B369/Data!B368-1</f>
        <v>0.0423430599109242</v>
      </c>
      <c r="P117" s="433">
        <f>Data!C369/Data!C368-1</f>
        <v>0.0730928811995768</v>
      </c>
      <c r="Q117" s="433">
        <f>Data!D369/Data!D368-1</f>
        <v>0.00169542810214018</v>
      </c>
      <c r="R117" s="433">
        <f>Data!E369/Data!E368-1</f>
        <v>0.0957336174178645</v>
      </c>
      <c r="S117" s="433">
        <f>Data!F369/Data!F368-1</f>
        <v>-0.100958245583495</v>
      </c>
      <c r="T117" s="433">
        <f>Data!G369/Data!G368-1</f>
        <v>0</v>
      </c>
      <c r="U117" s="433">
        <f>Data!H369/Data!H368-1</f>
        <v>-0.00260000000000027</v>
      </c>
      <c r="V117" s="433">
        <f>Data!I369/Data!I368-1</f>
        <v>0</v>
      </c>
      <c r="W117" s="433">
        <f>Data!J369/Data!J368-1</f>
        <v>0.0130003596325559</v>
      </c>
      <c r="X117" s="433">
        <f>Data!K369/Data!K368-1</f>
        <v>0.0121108859826855</v>
      </c>
      <c r="Y117" s="433">
        <f>Data!L369/Data!L368-1</f>
        <v>0.0018031409942656</v>
      </c>
      <c r="Z117" s="433">
        <f>SUMPRODUCT(O117:Y117,Risk!$B$56:$L$56)</f>
        <v>0.0441743066391683</v>
      </c>
      <c r="AA117" s="433">
        <f>Z117-$B$8/12</f>
        <v>0.044080973305835</v>
      </c>
      <c r="AB117" s="433">
        <f>SUMPRODUCT(O117:Y117,Risk!$B$57:$L$57)</f>
        <v>0.0359894496527555</v>
      </c>
      <c r="AC117" s="433">
        <f>AB117-$B$9/12</f>
        <v>0.0357077829860888</v>
      </c>
      <c r="AD117" s="433">
        <f>AA117-AC117</f>
        <v>0.00837319031974616</v>
      </c>
      <c r="AE117" s="560">
        <f>AE116*(1+AA117)</f>
        <v>1.72679676415433</v>
      </c>
      <c r="AF117" s="560">
        <f>AF116*(1+AC117)</f>
        <v>1.7138088365634</v>
      </c>
      <c r="AG117" s="433">
        <f>AE117/MAX(AE$5:AE117)-1</f>
        <v>0</v>
      </c>
      <c r="AH117" s="433">
        <f>AF117/MAX(AF$5:AF117)-1</f>
        <v>0</v>
      </c>
      <c r="AI117" s="620" t="inlineStr"/>
      <c r="AJ117" s="620" t="inlineStr"/>
      <c r="AK117" s="433">
        <f>AE117/AE105-1</f>
        <v>0.157148437806967</v>
      </c>
      <c r="AL117" s="433">
        <f>AF117/AF105-1</f>
        <v>0.167414019389084</v>
      </c>
      <c r="AM117" s="433">
        <f>(AE117/AE57)^(12/60)-1</f>
        <v>0.112514203911344</v>
      </c>
      <c r="AN117" s="433">
        <f>(AF117/AF57)^(12/60)-1</f>
        <v>0.109249953521427</v>
      </c>
      <c r="AO117" s="433">
        <f>AM117-AN117</f>
        <v>0.00326425038991673</v>
      </c>
      <c r="AP117" s="433">
        <f>STDEV(AD58:AD117)*SQRT(12)</f>
        <v>0.0192636889751564</v>
      </c>
      <c r="AQ117" s="628">
        <f>AO117/AP117</f>
        <v>0.169450949614402</v>
      </c>
    </row>
    <row r="118">
      <c r="N118" s="554">
        <f>Data!A370</f>
        <v>42247.0</v>
      </c>
      <c r="O118" s="433">
        <f>Data!B370/Data!B369-1</f>
        <v>-0.0729825025962915</v>
      </c>
      <c r="P118" s="433">
        <f>Data!C370/Data!C369-1</f>
        <v>-0.0326688153443165</v>
      </c>
      <c r="Q118" s="433">
        <f>Data!D370/Data!D369-1</f>
        <v>-0.0310284811341617</v>
      </c>
      <c r="R118" s="433">
        <f>Data!E370/Data!E369-1</f>
        <v>-0.0221656173960551</v>
      </c>
      <c r="S118" s="433">
        <f>Data!F370/Data!F369-1</f>
        <v>0.0389304980569258</v>
      </c>
      <c r="T118" s="433">
        <f>Data!G370/Data!G369-1</f>
        <v>0</v>
      </c>
      <c r="U118" s="433">
        <f>Data!H370/Data!H369-1</f>
        <v>-0.00139999999999962</v>
      </c>
      <c r="V118" s="433">
        <f>Data!I370/Data!I369-1</f>
        <v>0</v>
      </c>
      <c r="W118" s="433">
        <f>Data!J370/Data!J369-1</f>
        <v>0.0063703252639411</v>
      </c>
      <c r="X118" s="433">
        <f>Data!K370/Data!K369-1</f>
        <v>-0.000989580963646985</v>
      </c>
      <c r="Y118" s="433">
        <f>Data!L370/Data!L369-1</f>
        <v>0.00180954644321574</v>
      </c>
      <c r="Z118" s="433">
        <f>SUMPRODUCT(O118:Y118,Risk!$B$56:$L$56)</f>
        <v>-0.0369402752834609</v>
      </c>
      <c r="AA118" s="433">
        <f>Z118-$B$8/12</f>
        <v>-0.0370336086167942</v>
      </c>
      <c r="AB118" s="433">
        <f>SUMPRODUCT(O118:Y118,Risk!$B$57:$L$57)</f>
        <v>-0.026994700998072</v>
      </c>
      <c r="AC118" s="433">
        <f>AB118-$B$9/12</f>
        <v>-0.0272763676647386</v>
      </c>
      <c r="AD118" s="433">
        <f>AA118-AC118</f>
        <v>-0.00975724095205561</v>
      </c>
      <c r="AE118" s="560">
        <f>AE117*(1+AA118)</f>
        <v>1.6628472486299</v>
      </c>
      <c r="AF118" s="560">
        <f>AF117*(1+AC118)</f>
        <v>1.66706235663022</v>
      </c>
      <c r="AG118" s="433">
        <f>AE118/MAX(AE$5:AE118)-1</f>
        <v>-0.0370336086167943</v>
      </c>
      <c r="AH118" s="433">
        <f>AF118/MAX(AF$5:AF118)-1</f>
        <v>-0.0272763676647386</v>
      </c>
      <c r="AI118" s="620" t="inlineStr"/>
      <c r="AJ118" s="620" t="inlineStr"/>
      <c r="AK118" s="433">
        <f>AE118/AE106-1</f>
        <v>0.101312389239611</v>
      </c>
      <c r="AL118" s="433">
        <f>AF118/AF106-1</f>
        <v>0.122804447097596</v>
      </c>
      <c r="AM118" s="433">
        <f>(AE118/AE58)^(12/60)-1</f>
        <v>0.10410396811965</v>
      </c>
      <c r="AN118" s="433">
        <f>(AF118/AF58)^(12/60)-1</f>
        <v>0.102907504962777</v>
      </c>
      <c r="AO118" s="433">
        <f>AM118-AN118</f>
        <v>0.00119646315687261</v>
      </c>
      <c r="AP118" s="433">
        <f>STDEV(AD59:AD118)*SQRT(12)</f>
        <v>0.0197771046089423</v>
      </c>
      <c r="AQ118" s="628">
        <f>AO118/AP118</f>
        <v>0.0604973872834562</v>
      </c>
    </row>
    <row r="119">
      <c r="N119" s="554">
        <f>Data!A371</f>
        <v>42277.0</v>
      </c>
      <c r="O119" s="433">
        <f>Data!B371/Data!B370-1</f>
        <v>-0.0250130988795465</v>
      </c>
      <c r="P119" s="433">
        <f>Data!C371/Data!C370-1</f>
        <v>-0.0258356684503441</v>
      </c>
      <c r="Q119" s="433">
        <f>Data!D371/Data!D370-1</f>
        <v>-0.0073678091270617</v>
      </c>
      <c r="R119" s="433">
        <f>Data!E371/Data!E370-1</f>
        <v>0.0325605754065399</v>
      </c>
      <c r="S119" s="433">
        <f>Data!F371/Data!F370-1</f>
        <v>-0.0543289720111164</v>
      </c>
      <c r="T119" s="433">
        <f>Data!G371/Data!G370-1</f>
        <v>0.0234054562947461</v>
      </c>
      <c r="U119" s="433">
        <f>Data!H371/Data!H370-1</f>
        <v>0.0108999999999997</v>
      </c>
      <c r="V119" s="433">
        <f>Data!I371/Data!I370-1</f>
        <v>0.0350019061024605</v>
      </c>
      <c r="W119" s="433">
        <f>Data!J371/Data!J370-1</f>
        <v>0.00249976053695788</v>
      </c>
      <c r="X119" s="433">
        <f>Data!K371/Data!K370-1</f>
        <v>0.00753737376037522</v>
      </c>
      <c r="Y119" s="433">
        <f>Data!L371/Data!L370-1</f>
        <v>0.00176172304461386</v>
      </c>
      <c r="Z119" s="433">
        <f>SUMPRODUCT(O119:Y119,Risk!$B$56:$L$56)</f>
        <v>-0.0108150411067368</v>
      </c>
      <c r="AA119" s="433">
        <f>Z119-$B$8/12</f>
        <v>-0.0109083744400701</v>
      </c>
      <c r="AB119" s="433">
        <f>SUMPRODUCT(O119:Y119,Risk!$B$57:$L$57)</f>
        <v>-0.0077029493055807</v>
      </c>
      <c r="AC119" s="433">
        <f>AB119-$B$9/12</f>
        <v>-0.00798461597224737</v>
      </c>
      <c r="AD119" s="433">
        <f>AA119-AC119</f>
        <v>-0.00292375846782274</v>
      </c>
      <c r="AE119" s="560">
        <f>AE118*(1+AA119)</f>
        <v>1.6447082882052</v>
      </c>
      <c r="AF119" s="560">
        <f>AF118*(1+AC119)</f>
        <v>1.65375150391074</v>
      </c>
      <c r="AG119" s="433">
        <f>AE119/MAX(AE$5:AE119)-1</f>
        <v>-0.0475380065872054</v>
      </c>
      <c r="AH119" s="433">
        <f>AF119/MAX(AF$5:AF119)-1</f>
        <v>-0.0350431923160652</v>
      </c>
      <c r="AI119" s="620" t="inlineStr"/>
      <c r="AJ119" s="620" t="inlineStr"/>
      <c r="AK119" s="433">
        <f>AE119/AE107-1</f>
        <v>0.0980416873562442</v>
      </c>
      <c r="AL119" s="433">
        <f>AF119/AF107-1</f>
        <v>0.107764378136919</v>
      </c>
      <c r="AM119" s="433">
        <f>(AE119/AE59)^(12/60)-1</f>
        <v>0.0991363556352349</v>
      </c>
      <c r="AN119" s="433">
        <f>(AF119/AF59)^(12/60)-1</f>
        <v>0.0999732342937794</v>
      </c>
      <c r="AO119" s="433">
        <f>AM119-AN119</f>
        <v>-0.000836878658544427</v>
      </c>
      <c r="AP119" s="433">
        <f>STDEV(AD60:AD119)*SQRT(12)</f>
        <v>0.019621388151722</v>
      </c>
      <c r="AQ119" s="628">
        <f>AO119/AP119</f>
        <v>-0.0426513482162056</v>
      </c>
    </row>
    <row r="120">
      <c r="N120" s="554">
        <f>Data!A372</f>
        <v>42307.0</v>
      </c>
      <c r="O120" s="433">
        <f>Data!B372/Data!B371-1</f>
        <v>0.0459055278934126</v>
      </c>
      <c r="P120" s="433">
        <f>Data!C372/Data!C371-1</f>
        <v>0.0620926398924113</v>
      </c>
      <c r="Q120" s="433">
        <f>Data!D372/Data!D371-1</f>
        <v>0.0377600503576208</v>
      </c>
      <c r="R120" s="433">
        <f>Data!E372/Data!E371-1</f>
        <v>0.0378368705011425</v>
      </c>
      <c r="S120" s="433">
        <f>Data!F372/Data!F371-1</f>
        <v>-0.0134399014085995</v>
      </c>
      <c r="T120" s="433">
        <f>Data!G372/Data!G371-1</f>
        <v>0</v>
      </c>
      <c r="U120" s="433">
        <f>Data!H372/Data!H371-1</f>
        <v>0.00870000000000015</v>
      </c>
      <c r="V120" s="433">
        <f>Data!I372/Data!I371-1</f>
        <v>0</v>
      </c>
      <c r="W120" s="433">
        <f>Data!J372/Data!J371-1</f>
        <v>0.00292581639715617</v>
      </c>
      <c r="X120" s="433">
        <f>Data!K372/Data!K371-1</f>
        <v>0.00490445356024938</v>
      </c>
      <c r="Y120" s="433">
        <f>Data!L372/Data!L371-1</f>
        <v>0.00183435509075602</v>
      </c>
      <c r="Z120" s="433">
        <f>SUMPRODUCT(O120:Y120,Risk!$B$56:$L$56)</f>
        <v>0.0355240597867079</v>
      </c>
      <c r="AA120" s="433">
        <f>Z120-$B$8/12</f>
        <v>0.0354307264533745</v>
      </c>
      <c r="AB120" s="433">
        <f>SUMPRODUCT(O120:Y120,Risk!$B$57:$L$57)</f>
        <v>0.0311563348051205</v>
      </c>
      <c r="AC120" s="433">
        <f>AB120-$B$9/12</f>
        <v>0.0308746681384538</v>
      </c>
      <c r="AD120" s="433">
        <f>AA120-AC120</f>
        <v>0.00455605831492074</v>
      </c>
      <c r="AE120" s="560">
        <f>AE119*(1+AA120)</f>
        <v>1.7029814976602</v>
      </c>
      <c r="AF120" s="560">
        <f>AF119*(1+AC120)</f>
        <v>1.70481053277745</v>
      </c>
      <c r="AG120" s="433">
        <f>AE120/MAX(AE$5:AE120)-1</f>
        <v>-0.0137915862413608</v>
      </c>
      <c r="AH120" s="433">
        <f>AF120/MAX(AF$5:AF120)-1</f>
        <v>-0.00525047111088206</v>
      </c>
      <c r="AI120" s="620" t="inlineStr"/>
      <c r="AJ120" s="620" t="inlineStr"/>
      <c r="AK120" s="433">
        <f>AE120/AE108-1</f>
        <v>0.107474060802845</v>
      </c>
      <c r="AL120" s="433">
        <f>AF120/AF108-1</f>
        <v>0.121773236342875</v>
      </c>
      <c r="AM120" s="433">
        <f>(AE120/AE60)^(12/60)-1</f>
        <v>0.103573777800692</v>
      </c>
      <c r="AN120" s="433">
        <f>(AF120/AF60)^(12/60)-1</f>
        <v>0.103933085188233</v>
      </c>
      <c r="AO120" s="433">
        <f>AM120-AN120</f>
        <v>-0.000359307387540531</v>
      </c>
      <c r="AP120" s="433">
        <f>STDEV(AD61:AD120)*SQRT(12)</f>
        <v>0.0197019405280466</v>
      </c>
      <c r="AQ120" s="628">
        <f>AO120/AP120</f>
        <v>-0.0182371572500202</v>
      </c>
    </row>
    <row r="121">
      <c r="N121" s="554">
        <f>Data!A373</f>
        <v>42338.0</v>
      </c>
      <c r="O121" s="433">
        <f>Data!B373/Data!B372-1</f>
        <v>-0.00688318885186079</v>
      </c>
      <c r="P121" s="433">
        <f>Data!C373/Data!C372-1</f>
        <v>-0.00859699023609239</v>
      </c>
      <c r="Q121" s="433">
        <f>Data!D373/Data!D372-1</f>
        <v>-0.0417812956007831</v>
      </c>
      <c r="R121" s="433">
        <f>Data!E373/Data!E372-1</f>
        <v>-0.0242441158615894</v>
      </c>
      <c r="S121" s="433">
        <f>Data!F373/Data!F372-1</f>
        <v>-0.103667574801523</v>
      </c>
      <c r="T121" s="433">
        <f>Data!G373/Data!G372-1</f>
        <v>0</v>
      </c>
      <c r="U121" s="433">
        <f>Data!H373/Data!H372-1</f>
        <v>0.0175000000000001</v>
      </c>
      <c r="V121" s="433">
        <f>Data!I373/Data!I372-1</f>
        <v>0</v>
      </c>
      <c r="W121" s="433">
        <f>Data!J373/Data!J372-1</f>
        <v>-0.00869375288271712</v>
      </c>
      <c r="X121" s="433">
        <f>Data!K373/Data!K372-1</f>
        <v>0.002035423109362</v>
      </c>
      <c r="Y121" s="433">
        <f>Data!L373/Data!L372-1</f>
        <v>0.00172420826804065</v>
      </c>
      <c r="Z121" s="433">
        <f>SUMPRODUCT(O121:Y121,Risk!$B$56:$L$56)</f>
        <v>-0.00791761967901749</v>
      </c>
      <c r="AA121" s="433">
        <f>Z121-$B$8/12</f>
        <v>-0.00801095301235083</v>
      </c>
      <c r="AB121" s="433">
        <f>SUMPRODUCT(O121:Y121,Risk!$B$57:$L$57)</f>
        <v>-0.00922445595750194</v>
      </c>
      <c r="AC121" s="433">
        <f>AB121-$B$9/12</f>
        <v>-0.0095061226241686</v>
      </c>
      <c r="AD121" s="433">
        <f>AA121-AC121</f>
        <v>0.00149516961181777</v>
      </c>
      <c r="AE121" s="560">
        <f>AE120*(1+AA121)</f>
        <v>1.68933899290154</v>
      </c>
      <c r="AF121" s="560">
        <f>AF120*(1+AC121)</f>
        <v>1.68860439480189</v>
      </c>
      <c r="AG121" s="433">
        <f>AE121/MAX(AE$5:AE121)-1</f>
        <v>-0.0216920555043663</v>
      </c>
      <c r="AH121" s="433">
        <f>AF121/MAX(AF$5:AF121)-1</f>
        <v>-0.014706682112836</v>
      </c>
      <c r="AI121" s="620" t="inlineStr"/>
      <c r="AJ121" s="620" t="inlineStr"/>
      <c r="AK121" s="433">
        <f>AE121/AE109-1</f>
        <v>0.0901545922045894</v>
      </c>
      <c r="AL121" s="433">
        <f>AF121/AF109-1</f>
        <v>0.0971529840659222</v>
      </c>
      <c r="AM121" s="433">
        <f>(AE121/AE61)^(12/60)-1</f>
        <v>0.101792893426493</v>
      </c>
      <c r="AN121" s="433">
        <f>(AF121/AF61)^(12/60)-1</f>
        <v>0.101202921819633</v>
      </c>
      <c r="AO121" s="433">
        <f>AM121-AN121</f>
        <v>0.000589971606860251</v>
      </c>
      <c r="AP121" s="433">
        <f>STDEV(AD62:AD121)*SQRT(12)</f>
        <v>0.0196698834974837</v>
      </c>
      <c r="AQ121" s="628">
        <f>AO121/AP121</f>
        <v>0.0299936502895771</v>
      </c>
    </row>
    <row r="122">
      <c r="N122" s="554">
        <f>Data!A374</f>
        <v>42369.0</v>
      </c>
      <c r="O122" s="433">
        <f>Data!B374/Data!B373-1</f>
        <v>0.0264848340019892</v>
      </c>
      <c r="P122" s="433">
        <f>Data!C374/Data!C373-1</f>
        <v>-0.0251413999814243</v>
      </c>
      <c r="Q122" s="433">
        <f>Data!D374/Data!D373-1</f>
        <v>-0.0141491106436474</v>
      </c>
      <c r="R122" s="433">
        <f>Data!E374/Data!E373-1</f>
        <v>0.00528396717736324</v>
      </c>
      <c r="S122" s="433">
        <f>Data!F374/Data!F373-1</f>
        <v>-0.0900005634800593</v>
      </c>
      <c r="T122" s="433">
        <f>Data!G374/Data!G373-1</f>
        <v>0.00453871742396395</v>
      </c>
      <c r="U122" s="433">
        <f>Data!H374/Data!H373-1</f>
        <v>0.00750000000000028</v>
      </c>
      <c r="V122" s="433">
        <f>Data!I374/Data!I373-1</f>
        <v>0.0543992565434939</v>
      </c>
      <c r="W122" s="433">
        <f>Data!J374/Data!J373-1</f>
        <v>0.00332845004394922</v>
      </c>
      <c r="X122" s="433">
        <f>Data!K374/Data!K373-1</f>
        <v>-0.00095392005027739</v>
      </c>
      <c r="Y122" s="433">
        <f>Data!L374/Data!L373-1</f>
        <v>0.00191528430413124</v>
      </c>
      <c r="Z122" s="433">
        <f>SUMPRODUCT(O122:Y122,Risk!$B$56:$L$56)</f>
        <v>0.00665107412610653</v>
      </c>
      <c r="AA122" s="433">
        <f>Z122-$B$8/12</f>
        <v>0.00655774079277319</v>
      </c>
      <c r="AB122" s="433">
        <f>SUMPRODUCT(O122:Y122,Risk!$B$57:$L$57)</f>
        <v>0.00123508951570963</v>
      </c>
      <c r="AC122" s="433">
        <f>AB122-$B$9/12</f>
        <v>0.000953422849042961</v>
      </c>
      <c r="AD122" s="433">
        <f>AA122-AC122</f>
        <v>0.00560431794373023</v>
      </c>
      <c r="AE122" s="560">
        <f>AE121*(1+AA122)</f>
        <v>1.70041724012811</v>
      </c>
      <c r="AF122" s="560">
        <f>AF121*(1+AC122)</f>
        <v>1.69021434881489</v>
      </c>
      <c r="AG122" s="433">
        <f>AE122/MAX(AE$5:AE122)-1</f>
        <v>-0.0152765655888532</v>
      </c>
      <c r="AH122" s="433">
        <f>AF122/MAX(AF$5:AF122)-1</f>
        <v>-0.013767280950553</v>
      </c>
      <c r="AI122" s="620" t="inlineStr"/>
      <c r="AJ122" s="620" t="inlineStr"/>
      <c r="AK122" s="433">
        <f>AE122/AE110-1</f>
        <v>0.0715787330666646</v>
      </c>
      <c r="AL122" s="433">
        <f>AF122/AF110-1</f>
        <v>0.0740799632144349</v>
      </c>
      <c r="AM122" s="433">
        <f>(AE122/AE62)^(12/60)-1</f>
        <v>0.100755731705723</v>
      </c>
      <c r="AN122" s="433">
        <f>(AF122/AF62)^(12/60)-1</f>
        <v>0.10008420686433</v>
      </c>
      <c r="AO122" s="433">
        <f>AM122-AN122</f>
        <v>0.000671524841392657</v>
      </c>
      <c r="AP122" s="433">
        <f>STDEV(AD63:AD122)*SQRT(12)</f>
        <v>0.0196890752789936</v>
      </c>
      <c r="AQ122" s="628">
        <f>AO122/AP122</f>
        <v>0.0341064692920907</v>
      </c>
    </row>
    <row r="123">
      <c r="N123" s="554">
        <f>Data!A375</f>
        <v>42398.0</v>
      </c>
      <c r="O123" s="433">
        <f>Data!B375/Data!B374-1</f>
        <v>-0.053817813046009</v>
      </c>
      <c r="P123" s="433">
        <f>Data!C375/Data!C374-1</f>
        <v>-0.0268725137306887</v>
      </c>
      <c r="Q123" s="433">
        <f>Data!D375/Data!D374-1</f>
        <v>-0.0251117788680905</v>
      </c>
      <c r="R123" s="433">
        <f>Data!E375/Data!E374-1</f>
        <v>0.00211931955104849</v>
      </c>
      <c r="S123" s="433">
        <f>Data!F375/Data!F374-1</f>
        <v>-0.024626807193272</v>
      </c>
      <c r="T123" s="433">
        <f>Data!G375/Data!G374-1</f>
        <v>0</v>
      </c>
      <c r="U123" s="433">
        <f>Data!H375/Data!H374-1</f>
        <v>0.00930000000000009</v>
      </c>
      <c r="V123" s="433">
        <f>Data!I375/Data!I374-1</f>
        <v>0</v>
      </c>
      <c r="W123" s="433">
        <f>Data!J375/Data!J374-1</f>
        <v>0.0122</v>
      </c>
      <c r="X123" s="433">
        <f>Data!K375/Data!K374-1</f>
        <v>0.0165129576167422</v>
      </c>
      <c r="Y123" s="433">
        <f>Data!L375/Data!L374-1</f>
        <v>0.00199999999999978</v>
      </c>
      <c r="Z123" s="433">
        <f>SUMPRODUCT(O123:Y123,Risk!$B$56:$L$56)</f>
        <v>-0.0233986594000971</v>
      </c>
      <c r="AA123" s="433">
        <f>Z123-$B$8/12</f>
        <v>-0.0234919927334304</v>
      </c>
      <c r="AB123" s="433">
        <f>SUMPRODUCT(O123:Y123,Risk!$B$57:$L$57)</f>
        <v>-0.0171379683603606</v>
      </c>
      <c r="AC123" s="433">
        <f>AB123-$B$9/12</f>
        <v>-0.0174196350270273</v>
      </c>
      <c r="AD123" s="433">
        <f>AA123-AC123</f>
        <v>-0.00607235770640313</v>
      </c>
      <c r="AE123" s="560">
        <f>AE122*(1+AA123)</f>
        <v>1.66047105067922</v>
      </c>
      <c r="AF123" s="560">
        <f>AF122*(1+AC123)</f>
        <v>1.66077143174109</v>
      </c>
      <c r="AG123" s="433">
        <f>AE123/MAX(AE$5:AE123)-1</f>
        <v>-0.0384096813544784</v>
      </c>
      <c r="AH123" s="433">
        <f>AF123/MAX(AF$5:AF123)-1</f>
        <v>-0.0309470949681072</v>
      </c>
      <c r="AI123" s="620" t="inlineStr"/>
      <c r="AJ123" s="620" t="inlineStr"/>
      <c r="AK123" s="433">
        <f>AE123/AE111-1</f>
        <v>0.00857374448475623</v>
      </c>
      <c r="AL123" s="433">
        <f>AF123/AF111-1</f>
        <v>0.0219124298223568</v>
      </c>
      <c r="AM123" s="433">
        <f>(AE123/AE63)^(12/60)-1</f>
        <v>0.0919635296206696</v>
      </c>
      <c r="AN123" s="433">
        <f>(AF123/AF63)^(12/60)-1</f>
        <v>0.0923668225459133</v>
      </c>
      <c r="AO123" s="433">
        <f>AM123-AN123</f>
        <v>-0.00040329292524377</v>
      </c>
      <c r="AP123" s="433">
        <f>STDEV(AD64:AD123)*SQRT(12)</f>
        <v>0.0198731042050046</v>
      </c>
      <c r="AQ123" s="628">
        <f>AO123/AP123</f>
        <v>-0.0202934036416017</v>
      </c>
    </row>
    <row r="124">
      <c r="N124" s="554">
        <f>Data!A376</f>
        <v>42429.0</v>
      </c>
      <c r="O124" s="433">
        <f>Data!B376/Data!B375-1</f>
        <v>-0.0147325013314726</v>
      </c>
      <c r="P124" s="433">
        <f>Data!C376/Data!C375-1</f>
        <v>-0.0242486446553986</v>
      </c>
      <c r="Q124" s="433">
        <f>Data!D376/Data!D375-1</f>
        <v>-0.00891165592660026</v>
      </c>
      <c r="R124" s="433">
        <f>Data!E376/Data!E375-1</f>
        <v>-0.00671854639580627</v>
      </c>
      <c r="S124" s="433">
        <f>Data!F376/Data!F375-1</f>
        <v>-0.029573821855871</v>
      </c>
      <c r="T124" s="433">
        <f>Data!G376/Data!G375-1</f>
        <v>0</v>
      </c>
      <c r="U124" s="433">
        <f>Data!H376/Data!H375-1</f>
        <v>0.00750000000000006</v>
      </c>
      <c r="V124" s="433">
        <f>Data!I376/Data!I375-1</f>
        <v>0</v>
      </c>
      <c r="W124" s="433">
        <f>Data!J376/Data!J375-1</f>
        <v>0.0103</v>
      </c>
      <c r="X124" s="433">
        <f>Data!K376/Data!K375-1</f>
        <v>0.0109182128609475</v>
      </c>
      <c r="Y124" s="433">
        <f>Data!L376/Data!L375-1</f>
        <v>0.00180000000000025</v>
      </c>
      <c r="Z124" s="433">
        <f>SUMPRODUCT(O124:Y124,Risk!$B$56:$L$56)</f>
        <v>-0.00887012707437358</v>
      </c>
      <c r="AA124" s="433">
        <f>Z124-$B$8/12</f>
        <v>-0.00896346040770691</v>
      </c>
      <c r="AB124" s="433">
        <f>SUMPRODUCT(O124:Y124,Risk!$B$57:$L$57)</f>
        <v>-0.00790992099808145</v>
      </c>
      <c r="AC124" s="433">
        <f>AB124-$B$9/12</f>
        <v>-0.00819158766474811</v>
      </c>
      <c r="AD124" s="433">
        <f>AA124-AC124</f>
        <v>-0.000771872742958802</v>
      </c>
      <c r="AE124" s="560">
        <f>AE123*(1+AA124)</f>
        <v>1.64558748415832</v>
      </c>
      <c r="AF124" s="560">
        <f>AF123*(1+AC124)</f>
        <v>1.64716707696687</v>
      </c>
      <c r="AG124" s="433">
        <f>AE124/MAX(AE$5:AE124)-1</f>
        <v>-0.0470288581040919</v>
      </c>
      <c r="AH124" s="433">
        <f>AF124/MAX(AF$5:AF124)-1</f>
        <v>-0.0388851767914548</v>
      </c>
      <c r="AI124" s="620" t="inlineStr"/>
      <c r="AJ124" s="620" t="inlineStr"/>
      <c r="AK124" s="433">
        <f>AE124/AE112-1</f>
        <v>-0.0359550626455981</v>
      </c>
      <c r="AL124" s="433">
        <f>AF124/AF112-1</f>
        <v>-0.0166631734022462</v>
      </c>
      <c r="AM124" s="433">
        <f>(AE124/AE64)^(12/60)-1</f>
        <v>0.0871148776155708</v>
      </c>
      <c r="AN124" s="433">
        <f>(AF124/AF64)^(12/60)-1</f>
        <v>0.0885209181140318</v>
      </c>
      <c r="AO124" s="433">
        <f>AM124-AN124</f>
        <v>-0.00140604049846105</v>
      </c>
      <c r="AP124" s="433">
        <f>STDEV(AD65:AD124)*SQRT(12)</f>
        <v>0.0197985718075078</v>
      </c>
      <c r="AQ124" s="628">
        <f>AO124/AP124</f>
        <v>-0.0710172689288559</v>
      </c>
    </row>
    <row r="125">
      <c r="N125" s="554">
        <f>Data!A377</f>
        <v>42460.0</v>
      </c>
      <c r="O125" s="433">
        <f>Data!B377/Data!B376-1</f>
        <v>0.0474422166644291</v>
      </c>
      <c r="P125" s="433">
        <f>Data!C377/Data!C376-1</f>
        <v>-0.0219370527900556</v>
      </c>
      <c r="Q125" s="433">
        <f>Data!D377/Data!D376-1</f>
        <v>0.00604167754897578</v>
      </c>
      <c r="R125" s="433">
        <f>Data!E377/Data!E376-1</f>
        <v>0.00367036948240673</v>
      </c>
      <c r="S125" s="433">
        <f>Data!F377/Data!F376-1</f>
        <v>-0.0257187259229653</v>
      </c>
      <c r="T125" s="433">
        <f>Data!G377/Data!G376-1</f>
        <v>0.00146386242380059</v>
      </c>
      <c r="U125" s="433">
        <f>Data!H377/Data!H376-1</f>
        <v>-0.0116000000000001</v>
      </c>
      <c r="V125" s="433">
        <f>Data!I377/Data!I376-1</f>
        <v>-0.0246032471126924</v>
      </c>
      <c r="W125" s="433">
        <f>Data!J377/Data!J376-1</f>
        <v>-0.0021000000000001</v>
      </c>
      <c r="X125" s="433">
        <f>Data!K377/Data!K376-1</f>
        <v>0.00924802413668724</v>
      </c>
      <c r="Y125" s="433">
        <f>Data!L377/Data!L376-1</f>
        <v>0.00199999999999978</v>
      </c>
      <c r="Z125" s="433">
        <f>SUMPRODUCT(O125:Y125,Risk!$B$56:$L$56)</f>
        <v>0.0155213549869361</v>
      </c>
      <c r="AA125" s="433">
        <f>Z125-$B$8/12</f>
        <v>0.0154280216536028</v>
      </c>
      <c r="AB125" s="433">
        <f>SUMPRODUCT(O125:Y125,Risk!$B$57:$L$57)</f>
        <v>0.00628984153111718</v>
      </c>
      <c r="AC125" s="433">
        <f>AB125-$B$9/12</f>
        <v>0.00600817486445051</v>
      </c>
      <c r="AD125" s="433">
        <f>AA125-AC125</f>
        <v>0.00941984678915227</v>
      </c>
      <c r="AE125" s="560">
        <f>AE124*(1+AA125)</f>
        <v>1.67097564349681</v>
      </c>
      <c r="AF125" s="560">
        <f>AF124*(1+AC125)</f>
        <v>1.65706354479626</v>
      </c>
      <c r="AG125" s="433">
        <f>AE125/MAX(AE$5:AE125)-1</f>
        <v>-0.0323263986916632</v>
      </c>
      <c r="AH125" s="433">
        <f>AF125/MAX(AF$5:AF125)-1</f>
        <v>-0.0331106308688024</v>
      </c>
      <c r="AI125" s="620" t="inlineStr"/>
      <c r="AJ125" s="620" t="inlineStr"/>
      <c r="AK125" s="433">
        <f>AE125/AE113-1</f>
        <v>-0.030084402561398</v>
      </c>
      <c r="AL125" s="433">
        <f>AF125/AF113-1</f>
        <v>-0.0227104769942357</v>
      </c>
      <c r="AM125" s="433">
        <f>(AE125/AE65)^(12/60)-1</f>
        <v>0.0913164713081072</v>
      </c>
      <c r="AN125" s="433">
        <f>(AF125/AF65)^(12/60)-1</f>
        <v>0.0907455692256347</v>
      </c>
      <c r="AO125" s="433">
        <f>AM125-AN125</f>
        <v>0.000570902082472458</v>
      </c>
      <c r="AP125" s="433">
        <f>STDEV(AD66:AD125)*SQRT(12)</f>
        <v>0.0202461185215925</v>
      </c>
      <c r="AQ125" s="628">
        <f>AO125/AP125</f>
        <v>0.0281981003847029</v>
      </c>
    </row>
    <row r="126">
      <c r="N126" s="554">
        <f>Data!A378</f>
        <v>42489.0</v>
      </c>
      <c r="O126" s="433">
        <f>Data!B378/Data!B377-1</f>
        <v>0.0323510027613103</v>
      </c>
      <c r="P126" s="433">
        <f>Data!C378/Data!C377-1</f>
        <v>0.0172854875862107</v>
      </c>
      <c r="Q126" s="433">
        <f>Data!D378/Data!D377-1</f>
        <v>0.00741151217778535</v>
      </c>
      <c r="R126" s="433">
        <f>Data!E378/Data!E377-1</f>
        <v>-0.00143043598066639</v>
      </c>
      <c r="S126" s="433">
        <f>Data!F378/Data!F377-1</f>
        <v>0.110204848385546</v>
      </c>
      <c r="T126" s="433">
        <f>Data!G378/Data!G377-1</f>
        <v>0</v>
      </c>
      <c r="U126" s="433">
        <f>Data!H378/Data!H377-1</f>
        <v>0.000899999999999901</v>
      </c>
      <c r="V126" s="433">
        <f>Data!I378/Data!I377-1</f>
        <v>0</v>
      </c>
      <c r="W126" s="433">
        <f>Data!J378/Data!J377-1</f>
        <v>0.00259999999999994</v>
      </c>
      <c r="X126" s="433">
        <f>Data!K378/Data!K377-1</f>
        <v>0.00308692120227483</v>
      </c>
      <c r="Y126" s="433">
        <f>Data!L378/Data!L377-1</f>
        <v>0.00200000000000022</v>
      </c>
      <c r="Z126" s="433">
        <f>SUMPRODUCT(O126:Y126,Risk!$B$56:$L$56)</f>
        <v>0.0170314087198816</v>
      </c>
      <c r="AA126" s="433">
        <f>Z126-$B$8/12</f>
        <v>0.0169380753865483</v>
      </c>
      <c r="AB126" s="433">
        <f>SUMPRODUCT(O126:Y126,Risk!$B$57:$L$57)</f>
        <v>0.0153531408576662</v>
      </c>
      <c r="AC126" s="433">
        <f>AB126-$B$9/12</f>
        <v>0.0150714741909996</v>
      </c>
      <c r="AD126" s="433">
        <f>AA126-AC126</f>
        <v>0.00186660119554873</v>
      </c>
      <c r="AE126" s="560">
        <f>AE125*(1+AA126)</f>
        <v>1.69927875491544</v>
      </c>
      <c r="AF126" s="560">
        <f>AF125*(1+AC126)</f>
        <v>1.6820379352445</v>
      </c>
      <c r="AG126" s="433">
        <f>AE126/MAX(AE$5:AE126)-1</f>
        <v>-0.0159358702831299</v>
      </c>
      <c r="AH126" s="433">
        <f>AF126/MAX(AF$5:AF126)-1</f>
        <v>-0.0185381826963897</v>
      </c>
      <c r="AI126" s="620" t="inlineStr"/>
      <c r="AJ126" s="620" t="inlineStr"/>
      <c r="AK126" s="433">
        <f>AE126/AE114-1</f>
        <v>0.00524478499028769</v>
      </c>
      <c r="AL126" s="433">
        <f>AF126/AF114-1</f>
        <v>0.00516203252420744</v>
      </c>
      <c r="AM126" s="433">
        <f>(AE126/AE66)^(12/60)-1</f>
        <v>0.0968639075269895</v>
      </c>
      <c r="AN126" s="433">
        <f>(AF126/AF66)^(12/60)-1</f>
        <v>0.0962117782972267</v>
      </c>
      <c r="AO126" s="433">
        <f>AM126-AN126</f>
        <v>0.000652129229762766</v>
      </c>
      <c r="AP126" s="433">
        <f>STDEV(AD67:AD126)*SQRT(12)</f>
        <v>0.0202523757552678</v>
      </c>
      <c r="AQ126" s="628">
        <f>AO126/AP126</f>
        <v>0.0322001348208811</v>
      </c>
    </row>
    <row r="127">
      <c r="N127" s="554">
        <f>Data!A379</f>
        <v>42521.0</v>
      </c>
      <c r="O127" s="433">
        <f>Data!B379/Data!B378-1</f>
        <v>0.0308993955398813</v>
      </c>
      <c r="P127" s="433">
        <f>Data!C379/Data!C378-1</f>
        <v>0.0729520853289976</v>
      </c>
      <c r="Q127" s="433">
        <f>Data!D379/Data!D378-1</f>
        <v>0.0451484790392702</v>
      </c>
      <c r="R127" s="433">
        <f>Data!E379/Data!E378-1</f>
        <v>0.0700969668498372</v>
      </c>
      <c r="S127" s="433">
        <f>Data!F379/Data!F378-1</f>
        <v>0.0767862103001396</v>
      </c>
      <c r="T127" s="433">
        <f>Data!G379/Data!G378-1</f>
        <v>0</v>
      </c>
      <c r="U127" s="433">
        <f>Data!H379/Data!H378-1</f>
        <v>-0.0193</v>
      </c>
      <c r="V127" s="433">
        <f>Data!I379/Data!I378-1</f>
        <v>0</v>
      </c>
      <c r="W127" s="433">
        <f>Data!J379/Data!J378-1</f>
        <v>0.0125999999999999</v>
      </c>
      <c r="X127" s="433">
        <f>Data!K379/Data!K378-1</f>
        <v>0.00565813627038092</v>
      </c>
      <c r="Y127" s="433">
        <f>Data!L379/Data!L378-1</f>
        <v>0.00190000000000023</v>
      </c>
      <c r="Z127" s="433">
        <f>SUMPRODUCT(O127:Y127,Risk!$B$56:$L$56)</f>
        <v>0.0364355228683662</v>
      </c>
      <c r="AA127" s="433">
        <f>Z127-$B$8/12</f>
        <v>0.0363421895350329</v>
      </c>
      <c r="AB127" s="433">
        <f>SUMPRODUCT(O127:Y127,Risk!$B$57:$L$57)</f>
        <v>0.0348947106103411</v>
      </c>
      <c r="AC127" s="433">
        <f>AB127-$B$9/12</f>
        <v>0.0346130439436745</v>
      </c>
      <c r="AD127" s="433">
        <f>AA127-AC127</f>
        <v>0.00172914559135843</v>
      </c>
      <c r="AE127" s="560">
        <f>AE126*(1+AA127)</f>
        <v>1.76103426549943</v>
      </c>
      <c r="AF127" s="560">
        <f>AF126*(1+AC127)</f>
        <v>1.74025838821205</v>
      </c>
      <c r="AG127" s="433">
        <f>AE127/MAX(AE$5:AE127)-1</f>
        <v>0</v>
      </c>
      <c r="AH127" s="433">
        <f>AF127/MAX(AF$5:AF127)-1</f>
        <v>0</v>
      </c>
      <c r="AI127" s="620" t="inlineStr"/>
      <c r="AJ127" s="620" t="inlineStr"/>
      <c r="AK127" s="433">
        <f>AE127/AE115-1</f>
        <v>0.0276157488792037</v>
      </c>
      <c r="AL127" s="433">
        <f>AF127/AF115-1</f>
        <v>0.0257596752416882</v>
      </c>
      <c r="AM127" s="433">
        <f>(AE127/AE67)^(12/60)-1</f>
        <v>0.104087124217559</v>
      </c>
      <c r="AN127" s="433">
        <f>(AF127/AF67)^(12/60)-1</f>
        <v>0.102563732969215</v>
      </c>
      <c r="AO127" s="433">
        <f>AM127-AN127</f>
        <v>0.00152339124834344</v>
      </c>
      <c r="AP127" s="433">
        <f>STDEV(AD68:AD127)*SQRT(12)</f>
        <v>0.0202356228131678</v>
      </c>
      <c r="AQ127" s="628">
        <f>AO127/AP127</f>
        <v>0.0752826469641515</v>
      </c>
    </row>
    <row r="128">
      <c r="N128" s="554">
        <f>Data!A380</f>
        <v>42551.0</v>
      </c>
      <c r="O128" s="433">
        <f>Data!B380/Data!B379-1</f>
        <v>-0.0227851486040207</v>
      </c>
      <c r="P128" s="433">
        <f>Data!C380/Data!C379-1</f>
        <v>-0.0393980535261671</v>
      </c>
      <c r="Q128" s="433">
        <f>Data!D380/Data!D379-1</f>
        <v>-0.0106302938752928</v>
      </c>
      <c r="R128" s="433">
        <f>Data!E380/Data!E379-1</f>
        <v>0.0127540098598757</v>
      </c>
      <c r="S128" s="433">
        <f>Data!F380/Data!F379-1</f>
        <v>-0.026281638138127</v>
      </c>
      <c r="T128" s="433">
        <f>Data!G380/Data!G379-1</f>
        <v>0.0229986274912022</v>
      </c>
      <c r="U128" s="433">
        <f>Data!H380/Data!H379-1</f>
        <v>-0.00770000000000026</v>
      </c>
      <c r="V128" s="433">
        <f>Data!I380/Data!I379-1</f>
        <v>0.0447009559491998</v>
      </c>
      <c r="W128" s="433">
        <f>Data!J380/Data!J379-1</f>
        <v>0.0133000000000001</v>
      </c>
      <c r="X128" s="433">
        <f>Data!K380/Data!K379-1</f>
        <v>0.019758627354135</v>
      </c>
      <c r="Y128" s="433">
        <f>Data!L380/Data!L379-1</f>
        <v>0.00160000000000005</v>
      </c>
      <c r="Z128" s="433">
        <f>SUMPRODUCT(O128:Y128,Risk!$B$56:$L$56)</f>
        <v>-0.0120305789725233</v>
      </c>
      <c r="AA128" s="433">
        <f>Z128-$B$8/12</f>
        <v>-0.0121239123058566</v>
      </c>
      <c r="AB128" s="433">
        <f>SUMPRODUCT(O128:Y128,Risk!$B$57:$L$57)</f>
        <v>-0.00876017182412434</v>
      </c>
      <c r="AC128" s="433">
        <f>AB128-$B$9/12</f>
        <v>-0.00904183849079101</v>
      </c>
      <c r="AD128" s="433">
        <f>AA128-AC128</f>
        <v>-0.00308207381506564</v>
      </c>
      <c r="AE128" s="560">
        <f>AE127*(1+AA128)</f>
        <v>1.73968364049691</v>
      </c>
      <c r="AF128" s="560">
        <f>AF127*(1+AC128)</f>
        <v>1.72452325293359</v>
      </c>
      <c r="AG128" s="433">
        <f>AE128/MAX(AE$5:AE128)-1</f>
        <v>-0.0121239123058566</v>
      </c>
      <c r="AH128" s="433">
        <f>AF128/MAX(AF$5:AF128)-1</f>
        <v>-0.00904183849079099</v>
      </c>
      <c r="AI128" s="620" t="inlineStr"/>
      <c r="AJ128" s="620" t="inlineStr"/>
      <c r="AK128" s="433">
        <f>AE128/AE116-1</f>
        <v>0.0518728239010717</v>
      </c>
      <c r="AL128" s="433">
        <f>AF128/AF116-1</f>
        <v>0.0421828367890613</v>
      </c>
      <c r="AM128" s="433">
        <f>(AE128/AE68)^(12/60)-1</f>
        <v>0.104755488924285</v>
      </c>
      <c r="AN128" s="433">
        <f>(AF128/AF68)^(12/60)-1</f>
        <v>0.103361866130551</v>
      </c>
      <c r="AO128" s="433">
        <f>AM128-AN128</f>
        <v>0.00139362279373456</v>
      </c>
      <c r="AP128" s="433">
        <f>STDEV(AD69:AD128)*SQRT(12)</f>
        <v>0.0202532974939505</v>
      </c>
      <c r="AQ128" s="628">
        <f>AO128/AP128</f>
        <v>0.0688096737901976</v>
      </c>
    </row>
    <row r="129">
      <c r="N129" s="554">
        <f>Data!A381</f>
        <v>42580.0</v>
      </c>
      <c r="O129" s="433">
        <f>Data!B381/Data!B380-1</f>
        <v>0.0628594806225977</v>
      </c>
      <c r="P129" s="433">
        <f>Data!C381/Data!C380-1</f>
        <v>0.0202958658043357</v>
      </c>
      <c r="Q129" s="433">
        <f>Data!D381/Data!D380-1</f>
        <v>0.0217382736824889</v>
      </c>
      <c r="R129" s="433">
        <f>Data!E381/Data!E380-1</f>
        <v>0.0222894901894335</v>
      </c>
      <c r="S129" s="433">
        <f>Data!F381/Data!F380-1</f>
        <v>-0.114062077333939</v>
      </c>
      <c r="T129" s="433">
        <f>Data!G381/Data!G380-1</f>
        <v>0</v>
      </c>
      <c r="U129" s="433">
        <f>Data!H381/Data!H380-1</f>
        <v>0.0156000000000001</v>
      </c>
      <c r="V129" s="433">
        <f>Data!I381/Data!I380-1</f>
        <v>0</v>
      </c>
      <c r="W129" s="433">
        <f>Data!J381/Data!J380-1</f>
        <v>0.00740000000000007</v>
      </c>
      <c r="X129" s="433">
        <f>Data!K381/Data!K380-1</f>
        <v>0.00702085408458286</v>
      </c>
      <c r="Y129" s="433">
        <f>Data!L381/Data!L380-1</f>
        <v>0.00170000000000003</v>
      </c>
      <c r="Z129" s="433">
        <f>SUMPRODUCT(O129:Y129,Risk!$B$56:$L$56)</f>
        <v>0.0332225827556162</v>
      </c>
      <c r="AA129" s="433">
        <f>Z129-$B$8/12</f>
        <v>0.0331292494222829</v>
      </c>
      <c r="AB129" s="433">
        <f>SUMPRODUCT(O129:Y129,Risk!$B$57:$L$57)</f>
        <v>0.0228443428750504</v>
      </c>
      <c r="AC129" s="433">
        <f>AB129-$B$9/12</f>
        <v>0.0225626762083837</v>
      </c>
      <c r="AD129" s="433">
        <f>AA129-AC129</f>
        <v>0.0105665732138992</v>
      </c>
      <c r="AE129" s="560">
        <f>AE128*(1+AA129)</f>
        <v>1.7973180537388</v>
      </c>
      <c r="AF129" s="560">
        <f>AF128*(1+AC129)</f>
        <v>1.76343311270336</v>
      </c>
      <c r="AG129" s="433">
        <f>AE129/MAX(AE$5:AE129)-1</f>
        <v>0</v>
      </c>
      <c r="AH129" s="433">
        <f>AF129/MAX(AF$5:AF129)-1</f>
        <v>0</v>
      </c>
      <c r="AI129" s="620" t="inlineStr"/>
      <c r="AJ129" s="620" t="inlineStr"/>
      <c r="AK129" s="433">
        <f>AE129/AE117-1</f>
        <v>0.0408393686207766</v>
      </c>
      <c r="AL129" s="433">
        <f>AF129/AF117-1</f>
        <v>0.0289555492311886</v>
      </c>
      <c r="AM129" s="433">
        <f>(AE129/AE69)^(12/60)-1</f>
        <v>0.117148968703727</v>
      </c>
      <c r="AN129" s="433">
        <f>(AF129/AF69)^(12/60)-1</f>
        <v>0.112977871851557</v>
      </c>
      <c r="AO129" s="433">
        <f>AM129-AN129</f>
        <v>0.00417109685217065</v>
      </c>
      <c r="AP129" s="433">
        <f>STDEV(AD70:AD129)*SQRT(12)</f>
        <v>0.0207514050511323</v>
      </c>
      <c r="AQ129" s="628">
        <f>AO129/AP129</f>
        <v>0.201003105182174</v>
      </c>
    </row>
    <row r="130">
      <c r="N130" s="554">
        <f>Data!A382</f>
        <v>42613.0</v>
      </c>
      <c r="O130" s="433">
        <f>Data!B382/Data!B381-1</f>
        <v>-0.0132681645152668</v>
      </c>
      <c r="P130" s="433">
        <f>Data!C382/Data!C381-1</f>
        <v>0.0160780890133625</v>
      </c>
      <c r="Q130" s="433">
        <f>Data!D382/Data!D381-1</f>
        <v>0.0395539998955772</v>
      </c>
      <c r="R130" s="433">
        <f>Data!E382/Data!E381-1</f>
        <v>-0.0176225189762114</v>
      </c>
      <c r="S130" s="433">
        <f>Data!F382/Data!F381-1</f>
        <v>0.0292008011207414</v>
      </c>
      <c r="T130" s="433">
        <f>Data!G382/Data!G381-1</f>
        <v>0</v>
      </c>
      <c r="U130" s="433">
        <f>Data!H382/Data!H381-1</f>
        <v>0.0048999999999999</v>
      </c>
      <c r="V130" s="433">
        <f>Data!I382/Data!I381-1</f>
        <v>0</v>
      </c>
      <c r="W130" s="433">
        <f>Data!J382/Data!J381-1</f>
        <v>0.00419999999999998</v>
      </c>
      <c r="X130" s="433">
        <f>Data!K382/Data!K381-1</f>
        <v>0.000542654300979883</v>
      </c>
      <c r="Y130" s="433">
        <f>Data!L382/Data!L381-1</f>
        <v>0.00170000000000003</v>
      </c>
      <c r="Z130" s="433">
        <f>SUMPRODUCT(O130:Y130,Risk!$B$56:$L$56)</f>
        <v>-0.00306148755697697</v>
      </c>
      <c r="AA130" s="433">
        <f>Z130-$B$8/12</f>
        <v>-0.0031548208903103</v>
      </c>
      <c r="AB130" s="433">
        <f>SUMPRODUCT(O130:Y130,Risk!$B$57:$L$57)</f>
        <v>0.00192445189844543</v>
      </c>
      <c r="AC130" s="433">
        <f>AB130-$B$9/12</f>
        <v>0.00164278523177876</v>
      </c>
      <c r="AD130" s="433">
        <f>AA130-AC130</f>
        <v>-0.00479760612208906</v>
      </c>
      <c r="AE130" s="560">
        <f>AE129*(1+AA130)</f>
        <v>1.79164783719633</v>
      </c>
      <c r="AF130" s="560">
        <f>AF129*(1+AC130)</f>
        <v>1.76633005457814</v>
      </c>
      <c r="AG130" s="433">
        <f>AE130/MAX(AE$5:AE130)-1</f>
        <v>-0.00315482089031027</v>
      </c>
      <c r="AH130" s="433">
        <f>AF130/MAX(AF$5:AF130)-1</f>
        <v>0</v>
      </c>
      <c r="AI130" s="620" t="inlineStr"/>
      <c r="AJ130" s="620" t="inlineStr"/>
      <c r="AK130" s="433">
        <f>AE130/AE118-1</f>
        <v>0.0774578595072759</v>
      </c>
      <c r="AL130" s="433">
        <f>AF130/AF118-1</f>
        <v>0.0595464816016698</v>
      </c>
      <c r="AM130" s="433">
        <f>(AE130/AE70)^(12/60)-1</f>
        <v>0.119669902506657</v>
      </c>
      <c r="AN130" s="433">
        <f>(AF130/AF70)^(12/60)-1</f>
        <v>0.116466743905076</v>
      </c>
      <c r="AO130" s="433">
        <f>AM130-AN130</f>
        <v>0.00320315860158149</v>
      </c>
      <c r="AP130" s="433">
        <f>STDEV(AD71:AD130)*SQRT(12)</f>
        <v>0.0208777590532545</v>
      </c>
      <c r="AQ130" s="628">
        <f>AO130/AP130</f>
        <v>0.153424445287014</v>
      </c>
    </row>
    <row r="131">
      <c r="N131" s="554">
        <f>Data!A383</f>
        <v>42643.0</v>
      </c>
      <c r="O131" s="433">
        <f>Data!B383/Data!B382-1</f>
        <v>0.00400367353587172</v>
      </c>
      <c r="P131" s="433">
        <f>Data!C383/Data!C382-1</f>
        <v>-0.0155461994441649</v>
      </c>
      <c r="Q131" s="433">
        <f>Data!D383/Data!D382-1</f>
        <v>-0.0132672403591995</v>
      </c>
      <c r="R131" s="433">
        <f>Data!E383/Data!E382-1</f>
        <v>-0.0333336132900181</v>
      </c>
      <c r="S131" s="433">
        <f>Data!F383/Data!F382-1</f>
        <v>0.0228016108288738</v>
      </c>
      <c r="T131" s="433">
        <f>Data!G383/Data!G382-1</f>
        <v>0.0180827738608009</v>
      </c>
      <c r="U131" s="433">
        <f>Data!H383/Data!H382-1</f>
        <v>-0.0183</v>
      </c>
      <c r="V131" s="433">
        <f>Data!I383/Data!I382-1</f>
        <v>0.0286011138770517</v>
      </c>
      <c r="W131" s="433">
        <f>Data!J383/Data!J382-1</f>
        <v>-0.00219999999999998</v>
      </c>
      <c r="X131" s="433">
        <f>Data!K383/Data!K382-1</f>
        <v>0.000704336476373912</v>
      </c>
      <c r="Y131" s="433">
        <f>Data!L383/Data!L382-1</f>
        <v>0.00140000000000007</v>
      </c>
      <c r="Z131" s="433">
        <f>SUMPRODUCT(O131:Y131,Risk!$B$56:$L$56)</f>
        <v>-0.00501678488537618</v>
      </c>
      <c r="AA131" s="433">
        <f>Z131-$B$8/12</f>
        <v>-0.00511011821870951</v>
      </c>
      <c r="AB131" s="433">
        <f>SUMPRODUCT(O131:Y131,Risk!$B$57:$L$57)</f>
        <v>-0.00398085828537869</v>
      </c>
      <c r="AC131" s="433">
        <f>AB131-$B$9/12</f>
        <v>-0.00426252495204536</v>
      </c>
      <c r="AD131" s="433">
        <f>AA131-AC131</f>
        <v>-0.000847593266664156</v>
      </c>
      <c r="AE131" s="560">
        <f>AE130*(1+AA131)</f>
        <v>1.78249230494196</v>
      </c>
      <c r="AF131" s="560">
        <f>AF130*(1+AC131)</f>
        <v>1.75880102864695</v>
      </c>
      <c r="AG131" s="433">
        <f>AE131/MAX(AE$5:AE131)-1</f>
        <v>-0.00824881760131146</v>
      </c>
      <c r="AH131" s="433">
        <f>AF131/MAX(AF$5:AF131)-1</f>
        <v>-0.00426252495204527</v>
      </c>
      <c r="AI131" s="620" t="inlineStr"/>
      <c r="AJ131" s="620" t="inlineStr"/>
      <c r="AK131" s="433">
        <f>AE131/AE119-1</f>
        <v>0.0837741365595714</v>
      </c>
      <c r="AL131" s="433">
        <f>AF131/AF119-1</f>
        <v>0.0635219526560038</v>
      </c>
      <c r="AM131" s="433">
        <f>(AE131/AE71)^(12/60)-1</f>
        <v>0.122024376472851</v>
      </c>
      <c r="AN131" s="433">
        <f>(AF131/AF71)^(12/60)-1</f>
        <v>0.116623127260006</v>
      </c>
      <c r="AO131" s="433">
        <f>AM131-AN131</f>
        <v>0.00540124921284502</v>
      </c>
      <c r="AP131" s="433">
        <f>STDEV(AD72:AD131)*SQRT(12)</f>
        <v>0.020294726978646</v>
      </c>
      <c r="AQ131" s="628">
        <f>AO131/AP131</f>
        <v>0.266140521058903</v>
      </c>
    </row>
    <row r="132">
      <c r="N132" s="554">
        <f>Data!A384</f>
        <v>42674.0</v>
      </c>
      <c r="O132" s="433">
        <f>Data!B384/Data!B383-1</f>
        <v>-0.0217654424485526</v>
      </c>
      <c r="P132" s="433">
        <f>Data!C384/Data!C383-1</f>
        <v>-0.000816198067451368</v>
      </c>
      <c r="Q132" s="433">
        <f>Data!D384/Data!D383-1</f>
        <v>0.0119094637918411</v>
      </c>
      <c r="R132" s="433">
        <f>Data!E384/Data!E383-1</f>
        <v>-0.0471358286878228</v>
      </c>
      <c r="S132" s="433">
        <f>Data!F384/Data!F383-1</f>
        <v>-0.00940571464408113</v>
      </c>
      <c r="T132" s="433">
        <f>Data!G384/Data!G383-1</f>
        <v>0</v>
      </c>
      <c r="U132" s="433">
        <f>Data!H384/Data!H383-1</f>
        <v>0.00109999999999988</v>
      </c>
      <c r="V132" s="433">
        <f>Data!I384/Data!I383-1</f>
        <v>0</v>
      </c>
      <c r="W132" s="433">
        <f>Data!J384/Data!J383-1</f>
        <v>-0.0128</v>
      </c>
      <c r="X132" s="433">
        <f>Data!K384/Data!K383-1</f>
        <v>-0.00903923651032845</v>
      </c>
      <c r="Y132" s="433">
        <f>Data!L384/Data!L383-1</f>
        <v>0.00149999999999983</v>
      </c>
      <c r="Z132" s="433">
        <f>SUMPRODUCT(O132:Y132,Risk!$B$56:$L$56)</f>
        <v>-0.0161211383825199</v>
      </c>
      <c r="AA132" s="433">
        <f>Z132-$B$8/12</f>
        <v>-0.0162144717158532</v>
      </c>
      <c r="AB132" s="433">
        <f>SUMPRODUCT(O132:Y132,Risk!$B$57:$L$57)</f>
        <v>-0.0114759025517366</v>
      </c>
      <c r="AC132" s="433">
        <f>AB132-$B$9/12</f>
        <v>-0.0117575692184033</v>
      </c>
      <c r="AD132" s="433">
        <f>AA132-AC132</f>
        <v>-0.00445690249744995</v>
      </c>
      <c r="AE132" s="560">
        <f>AE131*(1+AA132)</f>
        <v>1.75359013387975</v>
      </c>
      <c r="AF132" s="560">
        <f>AF131*(1+AC132)</f>
        <v>1.73812180381123</v>
      </c>
      <c r="AG132" s="433">
        <f>AE132/MAX(AE$5:AE132)-1</f>
        <v>-0.024329539097479</v>
      </c>
      <c r="AH132" s="433">
        <f>AF132/MAX(AF$5:AF132)-1</f>
        <v>-0.0159699772382798</v>
      </c>
      <c r="AI132" s="620" t="inlineStr"/>
      <c r="AJ132" s="620" t="inlineStr"/>
      <c r="AK132" s="433">
        <f>AE132/AE120-1</f>
        <v>0.0297176665096426</v>
      </c>
      <c r="AL132" s="433">
        <f>AF132/AF120-1</f>
        <v>0.0195395736906403</v>
      </c>
      <c r="AM132" s="433">
        <f>(AE132/AE72)^(12/60)-1</f>
        <v>0.112215448252392</v>
      </c>
      <c r="AN132" s="433">
        <f>(AF132/AF72)^(12/60)-1</f>
        <v>0.110288271519687</v>
      </c>
      <c r="AO132" s="433">
        <f>AM132-AN132</f>
        <v>0.00192717673270471</v>
      </c>
      <c r="AP132" s="433">
        <f>STDEV(AD73:AD132)*SQRT(12)</f>
        <v>0.0198154081433707</v>
      </c>
      <c r="AQ132" s="628">
        <f>AO132/AP132</f>
        <v>0.0972564742931852</v>
      </c>
    </row>
    <row r="133">
      <c r="N133" s="554">
        <f>Data!A385</f>
        <v>42704.0</v>
      </c>
      <c r="O133" s="433">
        <f>Data!B385/Data!B384-1</f>
        <v>0.0245834731239871</v>
      </c>
      <c r="P133" s="433">
        <f>Data!C385/Data!C384-1</f>
        <v>0.0576078661695965</v>
      </c>
      <c r="Q133" s="433">
        <f>Data!D385/Data!D384-1</f>
        <v>0.00753115000779547</v>
      </c>
      <c r="R133" s="433">
        <f>Data!E385/Data!E384-1</f>
        <v>0.0145626967904047</v>
      </c>
      <c r="S133" s="433">
        <f>Data!F385/Data!F384-1</f>
        <v>0.0560192851866608</v>
      </c>
      <c r="T133" s="433">
        <f>Data!G385/Data!G384-1</f>
        <v>0</v>
      </c>
      <c r="U133" s="433">
        <f>Data!H385/Data!H384-1</f>
        <v>0.0173000000000003</v>
      </c>
      <c r="V133" s="433">
        <f>Data!I385/Data!I384-1</f>
        <v>0</v>
      </c>
      <c r="W133" s="433">
        <f>Data!J385/Data!J384-1</f>
        <v>-0.0144</v>
      </c>
      <c r="X133" s="433">
        <f>Data!K385/Data!K384-1</f>
        <v>-0.0162580207324539</v>
      </c>
      <c r="Y133" s="433">
        <f>Data!L385/Data!L384-1</f>
        <v>0.00140000000000029</v>
      </c>
      <c r="Z133" s="433">
        <f>SUMPRODUCT(O133:Y133,Risk!$B$56:$L$56)</f>
        <v>0.0194485905039583</v>
      </c>
      <c r="AA133" s="433">
        <f>Z133-$B$8/12</f>
        <v>0.019355257170625</v>
      </c>
      <c r="AB133" s="433">
        <f>SUMPRODUCT(O133:Y133,Risk!$B$57:$L$57)</f>
        <v>0.0190940828604254</v>
      </c>
      <c r="AC133" s="433">
        <f>AB133-$B$9/12</f>
        <v>0.0188124161937588</v>
      </c>
      <c r="AD133" s="433">
        <f>AA133-AC133</f>
        <v>0.000542840976866223</v>
      </c>
      <c r="AE133" s="560">
        <f>AE132*(1+AA133)</f>
        <v>1.78753132189287</v>
      </c>
      <c r="AF133" s="560">
        <f>AF132*(1+AC133)</f>
        <v>1.77082007457998</v>
      </c>
      <c r="AG133" s="433">
        <f>AE133/MAX(AE$5:AE133)-1</f>
        <v>-0.00544518641292846</v>
      </c>
      <c r="AH133" s="433">
        <f>AF133/MAX(AF$5:AF133)-1</f>
        <v>0</v>
      </c>
      <c r="AI133" s="620" t="inlineStr"/>
      <c r="AJ133" s="620" t="inlineStr"/>
      <c r="AK133" s="433">
        <f>AE133/AE121-1</f>
        <v>0.0581247040433717</v>
      </c>
      <c r="AL133" s="433">
        <f>AF133/AF121-1</f>
        <v>0.0486885383167148</v>
      </c>
      <c r="AM133" s="433">
        <f>(AE133/AE73)^(12/60)-1</f>
        <v>0.118033470398594</v>
      </c>
      <c r="AN133" s="433">
        <f>(AF133/AF73)^(12/60)-1</f>
        <v>0.114409961497188</v>
      </c>
      <c r="AO133" s="433">
        <f>AM133-AN133</f>
        <v>0.0036235089014065</v>
      </c>
      <c r="AP133" s="433">
        <f>STDEV(AD74:AD133)*SQRT(12)</f>
        <v>0.0195422649744315</v>
      </c>
      <c r="AQ133" s="628">
        <f>AO133/AP133</f>
        <v>0.185419085563899</v>
      </c>
    </row>
    <row r="134">
      <c r="N134" s="554">
        <f>Data!A386</f>
        <v>42734.0</v>
      </c>
      <c r="O134" s="433">
        <f>Data!B386/Data!B385-1</f>
        <v>0.0417238701635958</v>
      </c>
      <c r="P134" s="433">
        <f>Data!C386/Data!C385-1</f>
        <v>0.0490687772370959</v>
      </c>
      <c r="Q134" s="433">
        <f>Data!D386/Data!D385-1</f>
        <v>0.02250118507542</v>
      </c>
      <c r="R134" s="433">
        <f>Data!E386/Data!E385-1</f>
        <v>0.066729465466052</v>
      </c>
      <c r="S134" s="433">
        <f>Data!F386/Data!F385-1</f>
        <v>0.0684836875037935</v>
      </c>
      <c r="T134" s="433">
        <f>Data!G386/Data!G385-1</f>
        <v>0.0446059625941451</v>
      </c>
      <c r="U134" s="433">
        <f>Data!H386/Data!H385-1</f>
        <v>0.00899999999999968</v>
      </c>
      <c r="V134" s="433">
        <f>Data!I386/Data!I385-1</f>
        <v>0.0290979382764791</v>
      </c>
      <c r="W134" s="433">
        <f>Data!J386/Data!J385-1</f>
        <v>-0.00170000000000003</v>
      </c>
      <c r="X134" s="433">
        <f>Data!K386/Data!K385-1</f>
        <v>0.00355322173410477</v>
      </c>
      <c r="Y134" s="433">
        <f>Data!L386/Data!L385-1</f>
        <v>0.00150000000000006</v>
      </c>
      <c r="Z134" s="433">
        <f>SUMPRODUCT(O134:Y134,Risk!$B$56:$L$56)</f>
        <v>0.0333105077981911</v>
      </c>
      <c r="AA134" s="433">
        <f>Z134-$B$8/12</f>
        <v>0.0332171744648577</v>
      </c>
      <c r="AB134" s="433">
        <f>SUMPRODUCT(O134:Y134,Risk!$B$57:$L$57)</f>
        <v>0.0324943366315172</v>
      </c>
      <c r="AC134" s="433">
        <f>AB134-$B$9/12</f>
        <v>0.0322126699648505</v>
      </c>
      <c r="AD134" s="433">
        <f>AA134-AC134</f>
        <v>0.0010045045000072</v>
      </c>
      <c r="AE134" s="560">
        <f>AE133*(1+AA134)</f>
        <v>1.84690806167358</v>
      </c>
      <c r="AF134" s="560">
        <f>AF133*(1+AC134)</f>
        <v>1.82786291720955</v>
      </c>
      <c r="AG134" s="433">
        <f>AE134/MAX(AE$5:AE134)-1</f>
        <v>0</v>
      </c>
      <c r="AH134" s="433">
        <f>AF134/MAX(AF$5:AF134)-1</f>
        <v>0</v>
      </c>
      <c r="AI134" s="620" t="inlineStr"/>
      <c r="AJ134" s="620" t="inlineStr"/>
      <c r="AK134" s="433">
        <f>AE134/AE122-1</f>
        <v>0.0861499272581081</v>
      </c>
      <c r="AL134" s="433">
        <f>AF134/AF122-1</f>
        <v>0.0814385278951024</v>
      </c>
      <c r="AM134" s="433">
        <f>(AE134/AE74)^(12/60)-1</f>
        <v>0.125206871302965</v>
      </c>
      <c r="AN134" s="433">
        <f>(AF134/AF74)^(12/60)-1</f>
        <v>0.120692641299097</v>
      </c>
      <c r="AO134" s="433">
        <f>AM134-AN134</f>
        <v>0.00451423000386853</v>
      </c>
      <c r="AP134" s="433">
        <f>STDEV(AD75:AD134)*SQRT(12)</f>
        <v>0.0194886756093003</v>
      </c>
      <c r="AQ134" s="628">
        <f>AO134/AP134</f>
        <v>0.231633492925208</v>
      </c>
    </row>
    <row r="135">
      <c r="N135" s="554">
        <f>Data!A387</f>
        <v>42766.0</v>
      </c>
      <c r="O135" s="433">
        <f>Data!B387/Data!B386-1</f>
        <v>-0.00765518229635243</v>
      </c>
      <c r="P135" s="433">
        <f>Data!C387/Data!C386-1</f>
        <v>-0.0336723137649125</v>
      </c>
      <c r="Q135" s="433">
        <f>Data!D387/Data!D386-1</f>
        <v>-0.00823758487924786</v>
      </c>
      <c r="R135" s="433">
        <f>Data!E387/Data!E386-1</f>
        <v>-0.0544892647776903</v>
      </c>
      <c r="S135" s="433">
        <f>Data!F387/Data!F386-1</f>
        <v>-0.0596465828124837</v>
      </c>
      <c r="T135" s="433">
        <f>Data!G387/Data!G386-1</f>
        <v>0</v>
      </c>
      <c r="U135" s="433">
        <f>Data!H387/Data!H386-1</f>
        <v>0.00459999999999994</v>
      </c>
      <c r="V135" s="433">
        <f>Data!I387/Data!I386-1</f>
        <v>0</v>
      </c>
      <c r="W135" s="433">
        <f>Data!J387/Data!J386-1</f>
        <v>0.00609999999999999</v>
      </c>
      <c r="X135" s="433">
        <f>Data!K387/Data!K386-1</f>
        <v>-0.00257035382927229</v>
      </c>
      <c r="Y135" s="433">
        <f>Data!L387/Data!L386-1</f>
        <v>0.00160000000000027</v>
      </c>
      <c r="Z135" s="433">
        <f>SUMPRODUCT(O135:Y135,Risk!$B$56:$L$56)</f>
        <v>-0.0144240904556343</v>
      </c>
      <c r="AA135" s="433">
        <f>Z135-$B$8/12</f>
        <v>-0.0145174237889676</v>
      </c>
      <c r="AB135" s="433">
        <f>SUMPRODUCT(O135:Y135,Risk!$B$57:$L$57)</f>
        <v>-0.0144921975359525</v>
      </c>
      <c r="AC135" s="433">
        <f>AB135-$B$9/12</f>
        <v>-0.0147738642026192</v>
      </c>
      <c r="AD135" s="433">
        <f>AA135-AC135</f>
        <v>0.000256440413651551</v>
      </c>
      <c r="AE135" s="560">
        <f>AE134*(1+AA135)</f>
        <v>1.82009571464301</v>
      </c>
      <c r="AF135" s="560">
        <f>AF134*(1+AC135)</f>
        <v>1.8008583186897</v>
      </c>
      <c r="AG135" s="433">
        <f>AE135/MAX(AE$5:AE135)-1</f>
        <v>-0.0145174237889676</v>
      </c>
      <c r="AH135" s="433">
        <f>AF135/MAX(AF$5:AF135)-1</f>
        <v>-0.0147738642026192</v>
      </c>
      <c r="AI135" s="620" t="inlineStr"/>
      <c r="AJ135" s="620" t="inlineStr"/>
      <c r="AK135" s="433">
        <f>AE135/AE123-1</f>
        <v>0.0961321571360658</v>
      </c>
      <c r="AL135" s="433">
        <f>AF135/AF123-1</f>
        <v>0.0843504917481297</v>
      </c>
      <c r="AM135" s="433">
        <f>(AE135/AE75)^(12/60)-1</f>
        <v>0.116263628444831</v>
      </c>
      <c r="AN135" s="433">
        <f>(AF135/AF75)^(12/60)-1</f>
        <v>0.113295221902301</v>
      </c>
      <c r="AO135" s="433">
        <f>AM135-AN135</f>
        <v>0.00296840654252994</v>
      </c>
      <c r="AP135" s="433">
        <f>STDEV(AD76:AD135)*SQRT(12)</f>
        <v>0.0192416340625089</v>
      </c>
      <c r="AQ135" s="628">
        <f>AO135/AP135</f>
        <v>0.154269982106858</v>
      </c>
    </row>
    <row r="136">
      <c r="N136" s="554">
        <f>Data!A388</f>
        <v>42794.0</v>
      </c>
      <c r="O136" s="433">
        <f>Data!B388/Data!B387-1</f>
        <v>0.0208875951627741</v>
      </c>
      <c r="P136" s="433">
        <f>Data!C388/Data!C387-1</f>
        <v>0.0184451746862073</v>
      </c>
      <c r="Q136" s="433">
        <f>Data!D388/Data!D387-1</f>
        <v>0.00406858074188188</v>
      </c>
      <c r="R136" s="433">
        <f>Data!E388/Data!E387-1</f>
        <v>0.018389849759689</v>
      </c>
      <c r="S136" s="433">
        <f>Data!F388/Data!F387-1</f>
        <v>-0.0103218227610974</v>
      </c>
      <c r="T136" s="433">
        <f>Data!G388/Data!G387-1</f>
        <v>0</v>
      </c>
      <c r="U136" s="433">
        <f>Data!H388/Data!H387-1</f>
        <v>0.00269999999999992</v>
      </c>
      <c r="V136" s="433">
        <f>Data!I388/Data!I387-1</f>
        <v>0</v>
      </c>
      <c r="W136" s="433">
        <f>Data!J388/Data!J387-1</f>
        <v>0.00170000000000003</v>
      </c>
      <c r="X136" s="433">
        <f>Data!K388/Data!K387-1</f>
        <v>0.00914784231636889</v>
      </c>
      <c r="Y136" s="433">
        <f>Data!L388/Data!L387-1</f>
        <v>0.00130000000000008</v>
      </c>
      <c r="Z136" s="433">
        <f>SUMPRODUCT(O136:Y136,Risk!$B$56:$L$56)</f>
        <v>0.0149608853636295</v>
      </c>
      <c r="AA136" s="433">
        <f>Z136-$B$8/12</f>
        <v>0.0148675520302962</v>
      </c>
      <c r="AB136" s="433">
        <f>SUMPRODUCT(O136:Y136,Risk!$B$57:$L$57)</f>
        <v>0.0122159138203966</v>
      </c>
      <c r="AC136" s="433">
        <f>AB136-$B$9/12</f>
        <v>0.0119342471537299</v>
      </c>
      <c r="AD136" s="433">
        <f>AA136-AC136</f>
        <v>0.00293330487656625</v>
      </c>
      <c r="AE136" s="560">
        <f>AE135*(1+AA136)</f>
        <v>1.84715608238058</v>
      </c>
      <c r="AF136" s="560">
        <f>AF135*(1+AC136)</f>
        <v>1.82235020695379</v>
      </c>
      <c r="AG136" s="433">
        <f>AE136/MAX(AE$5:AE136)-1</f>
        <v>0</v>
      </c>
      <c r="AH136" s="433">
        <f>AF136/MAX(AF$5:AF136)-1</f>
        <v>-0.00301593199569883</v>
      </c>
      <c r="AI136" s="620" t="inlineStr"/>
      <c r="AJ136" s="620" t="inlineStr"/>
      <c r="AK136" s="433">
        <f>AE136/AE124-1</f>
        <v>0.12249035688635</v>
      </c>
      <c r="AL136" s="433">
        <f>AF136/AF124-1</f>
        <v>0.106354195901913</v>
      </c>
      <c r="AM136" s="433">
        <f>(AE136/AE76)^(12/60)-1</f>
        <v>0.116185499971997</v>
      </c>
      <c r="AN136" s="433">
        <f>(AF136/AF76)^(12/60)-1</f>
        <v>0.112656914796887</v>
      </c>
      <c r="AO136" s="433">
        <f>AM136-AN136</f>
        <v>0.0035285851751099</v>
      </c>
      <c r="AP136" s="433">
        <f>STDEV(AD77:AD136)*SQRT(12)</f>
        <v>0.0192780687501207</v>
      </c>
      <c r="AQ136" s="628">
        <f>AO136/AP136</f>
        <v>0.183036237750102</v>
      </c>
    </row>
    <row r="137">
      <c r="N137" s="554">
        <f>Data!A389</f>
        <v>42825.0</v>
      </c>
      <c r="O137" s="433">
        <f>Data!B389/Data!B388-1</f>
        <v>0.0315632289745564</v>
      </c>
      <c r="P137" s="433">
        <f>Data!C389/Data!C388-1</f>
        <v>0.0183015011027581</v>
      </c>
      <c r="Q137" s="433">
        <f>Data!D389/Data!D388-1</f>
        <v>0.0275951497577847</v>
      </c>
      <c r="R137" s="433">
        <f>Data!E389/Data!E388-1</f>
        <v>-0.00818563387900262</v>
      </c>
      <c r="S137" s="433">
        <f>Data!F389/Data!F388-1</f>
        <v>-0.03158869609381</v>
      </c>
      <c r="T137" s="433">
        <f>Data!G389/Data!G388-1</f>
        <v>0.0251141595584345</v>
      </c>
      <c r="U137" s="433">
        <f>Data!H389/Data!H388-1</f>
        <v>0.0176999999999998</v>
      </c>
      <c r="V137" s="433">
        <f>Data!I389/Data!I388-1</f>
        <v>0.0179018066226222</v>
      </c>
      <c r="W137" s="433">
        <f>Data!J389/Data!J388-1</f>
        <v>0.00439999999999996</v>
      </c>
      <c r="X137" s="433">
        <f>Data!K389/Data!K388-1</f>
        <v>0.000252392425682313</v>
      </c>
      <c r="Y137" s="433">
        <f>Data!L389/Data!L388-1</f>
        <v>0.00149999999999983</v>
      </c>
      <c r="Z137" s="433">
        <f>SUMPRODUCT(O137:Y137,Risk!$B$56:$L$56)</f>
        <v>0.0162522198165285</v>
      </c>
      <c r="AA137" s="433">
        <f>Z137-$B$8/12</f>
        <v>0.0161588864831952</v>
      </c>
      <c r="AB137" s="433">
        <f>SUMPRODUCT(O137:Y137,Risk!$B$57:$L$57)</f>
        <v>0.0149187790510536</v>
      </c>
      <c r="AC137" s="433">
        <f>AB137-$B$9/12</f>
        <v>0.014637112384387</v>
      </c>
      <c r="AD137" s="433">
        <f>AA137-AC137</f>
        <v>0.00152177409880819</v>
      </c>
      <c r="AE137" s="560">
        <f>AE136*(1+AA137)</f>
        <v>1.87700406783251</v>
      </c>
      <c r="AF137" s="560">
        <f>AF136*(1+AC137)</f>
        <v>1.84902415173668</v>
      </c>
      <c r="AG137" s="433">
        <f>AE137/MAX(AE$5:AE137)-1</f>
        <v>0</v>
      </c>
      <c r="AH137" s="433">
        <f>AF137/MAX(AF$5:AF137)-1</f>
        <v>0</v>
      </c>
      <c r="AI137" s="620" t="inlineStr"/>
      <c r="AJ137" s="620" t="inlineStr"/>
      <c r="AK137" s="433">
        <f>AE137/AE125-1</f>
        <v>0.123298280939962</v>
      </c>
      <c r="AL137" s="433">
        <f>AF137/AF125-1</f>
        <v>0.115843841682022</v>
      </c>
      <c r="AM137" s="433">
        <f>(AE137/AE77)^(12/60)-1</f>
        <v>0.11380197273001</v>
      </c>
      <c r="AN137" s="433">
        <f>(AF137/AF77)^(12/60)-1</f>
        <v>0.109877294877132</v>
      </c>
      <c r="AO137" s="433">
        <f>AM137-AN137</f>
        <v>0.00392467785287742</v>
      </c>
      <c r="AP137" s="433">
        <f>STDEV(AD78:AD137)*SQRT(12)</f>
        <v>0.0192830423964205</v>
      </c>
      <c r="AQ137" s="628">
        <f>AO137/AP137</f>
        <v>0.20353001213159</v>
      </c>
    </row>
    <row r="138">
      <c r="N138" s="554">
        <f>Data!A390</f>
        <v>42853.0</v>
      </c>
      <c r="O138" s="433">
        <f>Data!B390/Data!B389-1</f>
        <v>0.00779296333970625</v>
      </c>
      <c r="P138" s="433">
        <f>Data!C390/Data!C389-1</f>
        <v>0.0323153362341868</v>
      </c>
      <c r="Q138" s="433">
        <f>Data!D390/Data!D389-1</f>
        <v>0.0439888847492893</v>
      </c>
      <c r="R138" s="433">
        <f>Data!E390/Data!E389-1</f>
        <v>0.0261223814762797</v>
      </c>
      <c r="S138" s="433">
        <f>Data!F390/Data!F389-1</f>
        <v>-0.00142688624012854</v>
      </c>
      <c r="T138" s="433">
        <f>Data!G390/Data!G389-1</f>
        <v>0</v>
      </c>
      <c r="U138" s="433">
        <f>Data!H390/Data!H389-1</f>
        <v>0.00430000000000019</v>
      </c>
      <c r="V138" s="433">
        <f>Data!I390/Data!I389-1</f>
        <v>0</v>
      </c>
      <c r="W138" s="433">
        <f>Data!J390/Data!J389-1</f>
        <v>0.00750000000000006</v>
      </c>
      <c r="X138" s="433">
        <f>Data!K390/Data!K389-1</f>
        <v>0.00740659065705129</v>
      </c>
      <c r="Y138" s="433">
        <f>Data!L390/Data!L389-1</f>
        <v>0.00150000000000028</v>
      </c>
      <c r="Z138" s="433">
        <f>SUMPRODUCT(O138:Y138,Risk!$B$56:$L$56)</f>
        <v>0.014015017982912</v>
      </c>
      <c r="AA138" s="433">
        <f>Z138-$B$8/12</f>
        <v>0.0139216846495786</v>
      </c>
      <c r="AB138" s="433">
        <f>SUMPRODUCT(O138:Y138,Risk!$B$57:$L$57)</f>
        <v>0.0148623420244227</v>
      </c>
      <c r="AC138" s="433">
        <f>AB138-$B$9/12</f>
        <v>0.0145806753577561</v>
      </c>
      <c r="AD138" s="433">
        <f>AA138-AC138</f>
        <v>-0.000658990708177454</v>
      </c>
      <c r="AE138" s="560">
        <f>AE137*(1+AA138)</f>
        <v>1.90313512655085</v>
      </c>
      <c r="AF138" s="560">
        <f>AF137*(1+AC138)</f>
        <v>1.87598417262181</v>
      </c>
      <c r="AG138" s="433">
        <f>AE138/MAX(AE$5:AE138)-1</f>
        <v>0</v>
      </c>
      <c r="AH138" s="433">
        <f>AF138/MAX(AF$5:AF138)-1</f>
        <v>0</v>
      </c>
      <c r="AI138" s="620" t="inlineStr"/>
      <c r="AJ138" s="620" t="inlineStr"/>
      <c r="AK138" s="433">
        <f>AE138/AE126-1</f>
        <v>0.119966409893445</v>
      </c>
      <c r="AL138" s="433">
        <f>AF138/AF126-1</f>
        <v>0.115304318240073</v>
      </c>
      <c r="AM138" s="433">
        <f>(AE138/AE78)^(12/60)-1</f>
        <v>0.115605012249185</v>
      </c>
      <c r="AN138" s="433">
        <f>(AF138/AF78)^(12/60)-1</f>
        <v>0.112622358659122</v>
      </c>
      <c r="AO138" s="433">
        <f>AM138-AN138</f>
        <v>0.00298265359006367</v>
      </c>
      <c r="AP138" s="433">
        <f>STDEV(AD79:AD138)*SQRT(12)</f>
        <v>0.0192303827999584</v>
      </c>
      <c r="AQ138" s="628">
        <f>AO138/AP138</f>
        <v>0.155101103347257</v>
      </c>
    </row>
    <row r="139">
      <c r="N139" s="554">
        <f>Data!A391</f>
        <v>42886.0</v>
      </c>
      <c r="O139" s="433">
        <f>Data!B391/Data!B390-1</f>
        <v>-0.0257965789272882</v>
      </c>
      <c r="P139" s="433">
        <f>Data!C391/Data!C390-1</f>
        <v>0.0204217615426725</v>
      </c>
      <c r="Q139" s="433">
        <f>Data!D391/Data!D390-1</f>
        <v>0.0295049627939465</v>
      </c>
      <c r="R139" s="433">
        <f>Data!E391/Data!E390-1</f>
        <v>0.00329759452951306</v>
      </c>
      <c r="S139" s="433">
        <f>Data!F391/Data!F390-1</f>
        <v>-0.0108659126268904</v>
      </c>
      <c r="T139" s="433">
        <f>Data!G391/Data!G390-1</f>
        <v>0</v>
      </c>
      <c r="U139" s="433">
        <f>Data!H391/Data!H390-1</f>
        <v>0.00580000000000003</v>
      </c>
      <c r="V139" s="433">
        <f>Data!I391/Data!I390-1</f>
        <v>0</v>
      </c>
      <c r="W139" s="433">
        <f>Data!J391/Data!J390-1</f>
        <v>0.0117</v>
      </c>
      <c r="X139" s="433">
        <f>Data!K391/Data!K390-1</f>
        <v>0.00641864870553532</v>
      </c>
      <c r="Y139" s="433">
        <f>Data!L391/Data!L390-1</f>
        <v>0.00149999999999983</v>
      </c>
      <c r="Z139" s="433">
        <f>SUMPRODUCT(O139:Y139,Risk!$B$56:$L$56)</f>
        <v>-0.00353102791298663</v>
      </c>
      <c r="AA139" s="433">
        <f>Z139-$B$8/12</f>
        <v>-0.00362436124631997</v>
      </c>
      <c r="AB139" s="433">
        <f>SUMPRODUCT(O139:Y139,Risk!$B$57:$L$57)</f>
        <v>0.00191379164437475</v>
      </c>
      <c r="AC139" s="433">
        <f>AB139-$B$9/12</f>
        <v>0.00163212497770809</v>
      </c>
      <c r="AD139" s="433">
        <f>AA139-AC139</f>
        <v>-0.00525648622402805</v>
      </c>
      <c r="AE139" s="560">
        <f>AE138*(1+AA139)</f>
        <v>1.89623747735167</v>
      </c>
      <c r="AF139" s="560">
        <f>AF138*(1+AC139)</f>
        <v>1.87904601324773</v>
      </c>
      <c r="AG139" s="433">
        <f>AE139/MAX(AE$5:AE139)-1</f>
        <v>-0.00362436124631993</v>
      </c>
      <c r="AH139" s="433">
        <f>AF139/MAX(AF$5:AF139)-1</f>
        <v>0</v>
      </c>
      <c r="AI139" s="620" t="inlineStr"/>
      <c r="AJ139" s="620" t="inlineStr"/>
      <c r="AK139" s="433">
        <f>AE139/AE127-1</f>
        <v>0.0767748899047638</v>
      </c>
      <c r="AL139" s="433">
        <f>AF139/AF127-1</f>
        <v>0.0797511599287701</v>
      </c>
      <c r="AM139" s="433">
        <f>(AE139/AE79)^(12/60)-1</f>
        <v>0.118793959671093</v>
      </c>
      <c r="AN139" s="433">
        <f>(AF139/AF79)^(12/60)-1</f>
        <v>0.115091969633313</v>
      </c>
      <c r="AO139" s="433">
        <f>AM139-AN139</f>
        <v>0.00370199003777993</v>
      </c>
      <c r="AP139" s="433">
        <f>STDEV(AD80:AD139)*SQRT(12)</f>
        <v>0.0189977257032546</v>
      </c>
      <c r="AQ139" s="628">
        <f>AO139/AP139</f>
        <v>0.194864906231683</v>
      </c>
    </row>
    <row r="140">
      <c r="N140" s="554">
        <f>Data!A392</f>
        <v>42916.0</v>
      </c>
      <c r="O140" s="433">
        <f>Data!B392/Data!B391-1</f>
        <v>0.00282548957130735</v>
      </c>
      <c r="P140" s="433">
        <f>Data!C392/Data!C391-1</f>
        <v>-0.028875547907623</v>
      </c>
      <c r="Q140" s="433">
        <f>Data!D392/Data!D391-1</f>
        <v>-0.0128929289085102</v>
      </c>
      <c r="R140" s="433">
        <f>Data!E392/Data!E391-1</f>
        <v>-0.0221502138078559</v>
      </c>
      <c r="S140" s="433">
        <f>Data!F392/Data!F391-1</f>
        <v>-0.0481145755530319</v>
      </c>
      <c r="T140" s="433">
        <f>Data!G392/Data!G391-1</f>
        <v>0.0225435953727799</v>
      </c>
      <c r="U140" s="433">
        <f>Data!H392/Data!H391-1</f>
        <v>-0.00209999999999999</v>
      </c>
      <c r="V140" s="433">
        <f>Data!I392/Data!I391-1</f>
        <v>0.0355997826714765</v>
      </c>
      <c r="W140" s="433">
        <f>Data!J392/Data!J391-1</f>
        <v>-0.00890000000000002</v>
      </c>
      <c r="X140" s="433">
        <f>Data!K392/Data!K391-1</f>
        <v>-0.00216354926649465</v>
      </c>
      <c r="Y140" s="433">
        <f>Data!L392/Data!L391-1</f>
        <v>0.00140000000000029</v>
      </c>
      <c r="Z140" s="433">
        <f>SUMPRODUCT(O140:Y140,Risk!$B$56:$L$56)</f>
        <v>-0.00827001907510681</v>
      </c>
      <c r="AA140" s="433">
        <f>Z140-$B$8/12</f>
        <v>-0.00836335240844014</v>
      </c>
      <c r="AB140" s="433">
        <f>SUMPRODUCT(O140:Y140,Risk!$B$57:$L$57)</f>
        <v>-0.00843317062039966</v>
      </c>
      <c r="AC140" s="433">
        <f>AB140-$B$9/12</f>
        <v>-0.00871483728706633</v>
      </c>
      <c r="AD140" s="433">
        <f>AA140-AC140</f>
        <v>0.000351484878626185</v>
      </c>
      <c r="AE140" s="560">
        <f>AE139*(1+AA140)</f>
        <v>1.88037857507849</v>
      </c>
      <c r="AF140" s="560">
        <f>AF139*(1+AC140)</f>
        <v>1.86267043298736</v>
      </c>
      <c r="AG140" s="433">
        <f>AE140/MAX(AE$5:AE140)-1</f>
        <v>-0.0119574018444015</v>
      </c>
      <c r="AH140" s="433">
        <f>AF140/MAX(AF$5:AF140)-1</f>
        <v>-0.00871483728706635</v>
      </c>
      <c r="AI140" s="620" t="inlineStr"/>
      <c r="AJ140" s="620" t="inlineStr"/>
      <c r="AK140" s="433">
        <f>AE140/AE128-1</f>
        <v>0.0808738619519287</v>
      </c>
      <c r="AL140" s="433">
        <f>AF140/AF128-1</f>
        <v>0.0801074614788597</v>
      </c>
      <c r="AM140" s="433">
        <f>(AE140/AE80)^(12/60)-1</f>
        <v>0.117368040031215</v>
      </c>
      <c r="AN140" s="433">
        <f>(AF140/AF80)^(12/60)-1</f>
        <v>0.114214669398623</v>
      </c>
      <c r="AO140" s="433">
        <f>AM140-AN140</f>
        <v>0.00315337063259191</v>
      </c>
      <c r="AP140" s="433">
        <f>STDEV(AD81:AD140)*SQRT(12)</f>
        <v>0.0189650628772069</v>
      </c>
      <c r="AQ140" s="628">
        <f>AO140/AP140</f>
        <v>0.166272616811715</v>
      </c>
    </row>
    <row r="141">
      <c r="N141" s="554">
        <f>Data!A393</f>
        <v>42947.0</v>
      </c>
      <c r="O141" s="433">
        <f>Data!B393/Data!B392-1</f>
        <v>0.00181311535207707</v>
      </c>
      <c r="P141" s="433">
        <f>Data!C393/Data!C392-1</f>
        <v>-0.0251569195839539</v>
      </c>
      <c r="Q141" s="433">
        <f>Data!D393/Data!D392-1</f>
        <v>0.00853330403999864</v>
      </c>
      <c r="R141" s="433">
        <f>Data!E393/Data!E392-1</f>
        <v>-0.0292411325728011</v>
      </c>
      <c r="S141" s="433">
        <f>Data!F393/Data!F392-1</f>
        <v>0.00484438839945445</v>
      </c>
      <c r="T141" s="433">
        <f>Data!G393/Data!G392-1</f>
        <v>0</v>
      </c>
      <c r="U141" s="433">
        <f>Data!H393/Data!H392-1</f>
        <v>0.004</v>
      </c>
      <c r="V141" s="433">
        <f>Data!I393/Data!I392-1</f>
        <v>0</v>
      </c>
      <c r="W141" s="433">
        <f>Data!J393/Data!J392-1</f>
        <v>0.00249999999999995</v>
      </c>
      <c r="X141" s="433">
        <f>Data!K393/Data!K392-1</f>
        <v>0.0036521593326555</v>
      </c>
      <c r="Y141" s="433">
        <f>Data!L393/Data!L392-1</f>
        <v>0.00150000000000006</v>
      </c>
      <c r="Z141" s="433">
        <f>SUMPRODUCT(O141:Y141,Risk!$B$56:$L$56)</f>
        <v>-0.00645807828662764</v>
      </c>
      <c r="AA141" s="433">
        <f>Z141-$B$8/12</f>
        <v>-0.00655141161996097</v>
      </c>
      <c r="AB141" s="433">
        <f>SUMPRODUCT(O141:Y141,Risk!$B$57:$L$57)</f>
        <v>-0.00636163672644461</v>
      </c>
      <c r="AC141" s="433">
        <f>AB141-$B$9/12</f>
        <v>-0.00664330339311128</v>
      </c>
      <c r="AD141" s="433">
        <f>AA141-AC141</f>
        <v>9.18917731503044e-05</v>
      </c>
      <c r="AE141" s="560">
        <f>AE140*(1+AA141)</f>
        <v>1.86805944103179</v>
      </c>
      <c r="AF141" s="560">
        <f>AF140*(1+AC141)</f>
        <v>1.85029614817965</v>
      </c>
      <c r="AG141" s="433">
        <f>AE141/MAX(AE$5:AE141)-1</f>
        <v>-0.0184304756029745</v>
      </c>
      <c r="AH141" s="433">
        <f>AF141/MAX(AF$5:AF141)-1</f>
        <v>-0.015300245372058</v>
      </c>
      <c r="AI141" s="620" t="inlineStr"/>
      <c r="AJ141" s="620" t="inlineStr"/>
      <c r="AK141" s="433">
        <f>AE141/AE129-1</f>
        <v>0.039359415071716</v>
      </c>
      <c r="AL141" s="433">
        <f>AF141/AF129-1</f>
        <v>0.0492579133569357</v>
      </c>
      <c r="AM141" s="433">
        <f>(AE141/AE81)^(12/60)-1</f>
        <v>0.112654683292749</v>
      </c>
      <c r="AN141" s="433">
        <f>(AF141/AF81)^(12/60)-1</f>
        <v>0.110784691600793</v>
      </c>
      <c r="AO141" s="433">
        <f>AM141-AN141</f>
        <v>0.00186999169195601</v>
      </c>
      <c r="AP141" s="433">
        <f>STDEV(AD82:AD141)*SQRT(12)</f>
        <v>0.018794305691949</v>
      </c>
      <c r="AQ141" s="628">
        <f>AO141/AP141</f>
        <v>0.0994977799449681</v>
      </c>
    </row>
    <row r="142">
      <c r="N142" s="554">
        <f>Data!A394</f>
        <v>42978.0</v>
      </c>
      <c r="O142" s="433">
        <f>Data!B394/Data!B393-1</f>
        <v>0.00790079804499966</v>
      </c>
      <c r="P142" s="433">
        <f>Data!C394/Data!C393-1</f>
        <v>0.0085540096813288</v>
      </c>
      <c r="Q142" s="433">
        <f>Data!D394/Data!D393-1</f>
        <v>0.0281547451932394</v>
      </c>
      <c r="R142" s="433">
        <f>Data!E394/Data!E393-1</f>
        <v>0.00564997521086741</v>
      </c>
      <c r="S142" s="433">
        <f>Data!F394/Data!F393-1</f>
        <v>-0.00126329687306503</v>
      </c>
      <c r="T142" s="433">
        <f>Data!G394/Data!G393-1</f>
        <v>0</v>
      </c>
      <c r="U142" s="433">
        <f>Data!H394/Data!H393-1</f>
        <v>0.0109000000000001</v>
      </c>
      <c r="V142" s="433">
        <f>Data!I394/Data!I393-1</f>
        <v>0</v>
      </c>
      <c r="W142" s="433">
        <f>Data!J394/Data!J393-1</f>
        <v>-5.89045198701177e-05</v>
      </c>
      <c r="X142" s="433">
        <f>Data!K394/Data!K393-1</f>
        <v>0.00957069691922952</v>
      </c>
      <c r="Y142" s="433">
        <f>Data!L394/Data!L393-1</f>
        <v>0.00142081686478379</v>
      </c>
      <c r="Z142" s="433">
        <f>SUMPRODUCT(O142:Y142,Risk!$B$56:$L$56)</f>
        <v>0.00629239593144507</v>
      </c>
      <c r="AA142" s="433">
        <f>Z142-$B$8/12</f>
        <v>0.00619906259811174</v>
      </c>
      <c r="AB142" s="433">
        <f>SUMPRODUCT(O142:Y142,Risk!$B$57:$L$57)</f>
        <v>0.00665719105214237</v>
      </c>
      <c r="AC142" s="433">
        <f>AB142-$B$9/12</f>
        <v>0.00637552438547571</v>
      </c>
      <c r="AD142" s="433">
        <f>AA142-AC142</f>
        <v>-0.000176461787363966</v>
      </c>
      <c r="AE142" s="560">
        <f>AE141*(1+AA142)</f>
        <v>1.87963965844374</v>
      </c>
      <c r="AF142" s="560">
        <f>AF141*(1+AC142)</f>
        <v>1.86209275639272</v>
      </c>
      <c r="AG142" s="433">
        <f>AE142/MAX(AE$5:AE142)-1</f>
        <v>-0.0123456646768387</v>
      </c>
      <c r="AH142" s="433">
        <f>AF142/MAX(AF$5:AF142)-1</f>
        <v>-0.0090222680740556</v>
      </c>
      <c r="AI142" s="620" t="inlineStr"/>
      <c r="AJ142" s="620" t="inlineStr"/>
      <c r="AK142" s="433">
        <f>AE142/AE130-1</f>
        <v>0.0491122303282017</v>
      </c>
      <c r="AL142" s="433">
        <f>AF142/AF130-1</f>
        <v>0.054215632897362</v>
      </c>
      <c r="AM142" s="433">
        <f>(AE142/AE82)^(12/60)-1</f>
        <v>0.109612597950725</v>
      </c>
      <c r="AN142" s="433">
        <f>(AF142/AF82)^(12/60)-1</f>
        <v>0.107829679121678</v>
      </c>
      <c r="AO142" s="433">
        <f>AM142-AN142</f>
        <v>0.00178291882904702</v>
      </c>
      <c r="AP142" s="433">
        <f>STDEV(AD83:AD142)*SQRT(12)</f>
        <v>0.0187950605373821</v>
      </c>
      <c r="AQ142" s="628">
        <f>AO142/AP142</f>
        <v>0.0948610314662685</v>
      </c>
    </row>
    <row r="143">
      <c r="N143" s="554">
        <f>Data!A395</f>
        <v>43007.0</v>
      </c>
      <c r="O143" s="433">
        <f>Data!B395/Data!B394-1</f>
        <v>0.000515643752967199</v>
      </c>
      <c r="P143" s="433">
        <f>Data!C395/Data!C394-1</f>
        <v>0.0346878894921208</v>
      </c>
      <c r="Q143" s="433">
        <f>Data!D395/Data!D394-1</f>
        <v>0.0155521978798951</v>
      </c>
      <c r="R143" s="433">
        <f>Data!E395/Data!E394-1</f>
        <v>0.00934301919871117</v>
      </c>
      <c r="S143" s="433">
        <f>Data!F395/Data!F394-1</f>
        <v>0.0444084473551913</v>
      </c>
      <c r="T143" s="433">
        <f>Data!G395/Data!G394-1</f>
        <v>0.00094563675663939</v>
      </c>
      <c r="U143" s="433">
        <f>Data!H395/Data!H394-1</f>
        <v>0.0109999999999999</v>
      </c>
      <c r="V143" s="433">
        <f>Data!I395/Data!I394-1</f>
        <v>0.0254003365284632</v>
      </c>
      <c r="W143" s="433">
        <f>Data!J395/Data!J394-1</f>
        <v>-0.00311392949178679</v>
      </c>
      <c r="X143" s="433">
        <f>Data!K395/Data!K394-1</f>
        <v>-0.00433041915189147</v>
      </c>
      <c r="Y143" s="433">
        <f>Data!L395/Data!L394-1</f>
        <v>0.00141611533228514</v>
      </c>
      <c r="Z143" s="433">
        <f>SUMPRODUCT(O143:Y143,Risk!$B$56:$L$56)</f>
        <v>0.00736374243682277</v>
      </c>
      <c r="AA143" s="433">
        <f>Z143-$B$8/12</f>
        <v>0.00727040910348944</v>
      </c>
      <c r="AB143" s="433">
        <f>SUMPRODUCT(O143:Y143,Risk!$B$57:$L$57)</f>
        <v>0.0107322298018574</v>
      </c>
      <c r="AC143" s="433">
        <f>AB143-$B$9/12</f>
        <v>0.0104505631351908</v>
      </c>
      <c r="AD143" s="433">
        <f>AA143-AC143</f>
        <v>-0.00318015403170134</v>
      </c>
      <c r="AE143" s="560">
        <f>AE142*(1+AA143)</f>
        <v>1.89330540772777</v>
      </c>
      <c r="AF143" s="560">
        <f>AF142*(1+AC143)</f>
        <v>1.88155267430699</v>
      </c>
      <c r="AG143" s="433">
        <f>AE143/MAX(AE$5:AE143)-1</f>
        <v>-0.00516501360620436</v>
      </c>
      <c r="AH143" s="433">
        <f>AF143/MAX(AF$5:AF143)-1</f>
        <v>0</v>
      </c>
      <c r="AI143" s="620" t="inlineStr"/>
      <c r="AJ143" s="620" t="inlineStr"/>
      <c r="AK143" s="433">
        <f>AE143/AE131-1</f>
        <v>0.0621675069668344</v>
      </c>
      <c r="AL143" s="433">
        <f>AF143/AF131-1</f>
        <v>0.0697927984238611</v>
      </c>
      <c r="AM143" s="433">
        <f>(AE143/AE83)^(12/60)-1</f>
        <v>0.108446704666281</v>
      </c>
      <c r="AN143" s="433">
        <f>(AF143/AF83)^(12/60)-1</f>
        <v>0.107668815245064</v>
      </c>
      <c r="AO143" s="433">
        <f>AM143-AN143</f>
        <v>0.000777889421216926</v>
      </c>
      <c r="AP143" s="433">
        <f>STDEV(AD84:AD143)*SQRT(12)</f>
        <v>0.0188469016524414</v>
      </c>
      <c r="AQ143" s="628">
        <f>AO143/AP143</f>
        <v>0.0412741274699738</v>
      </c>
    </row>
    <row r="144">
      <c r="N144" s="554">
        <f>Data!A396</f>
        <v>43039.0</v>
      </c>
      <c r="O144" s="433">
        <f>Data!B396/Data!B395-1</f>
        <v>0.0406260731658694</v>
      </c>
      <c r="P144" s="433">
        <f>Data!C396/Data!C395-1</f>
        <v>0.0496173595999982</v>
      </c>
      <c r="Q144" s="433">
        <f>Data!D396/Data!D395-1</f>
        <v>0.0632342972746494</v>
      </c>
      <c r="R144" s="433">
        <f>Data!E396/Data!E395-1</f>
        <v>0.0189104426952098</v>
      </c>
      <c r="S144" s="433">
        <f>Data!F396/Data!F395-1</f>
        <v>0.0624174642518187</v>
      </c>
      <c r="T144" s="433">
        <f>Data!G396/Data!G395-1</f>
        <v>0</v>
      </c>
      <c r="U144" s="433">
        <f>Data!H396/Data!H395-1</f>
        <v>0.00550000000000028</v>
      </c>
      <c r="V144" s="433">
        <f>Data!I396/Data!I395-1</f>
        <v>0</v>
      </c>
      <c r="W144" s="433">
        <f>Data!J396/Data!J395-1</f>
        <v>0.010946792654065</v>
      </c>
      <c r="X144" s="433">
        <f>Data!K396/Data!K395-1</f>
        <v>0.00465256872900421</v>
      </c>
      <c r="Y144" s="433">
        <f>Data!L396/Data!L395-1</f>
        <v>0.0014680393459745</v>
      </c>
      <c r="Z144" s="433">
        <f>SUMPRODUCT(O144:Y144,Risk!$B$56:$L$56)</f>
        <v>0.0301819326065167</v>
      </c>
      <c r="AA144" s="433">
        <f>Z144-$B$8/12</f>
        <v>0.0300885992731834</v>
      </c>
      <c r="AB144" s="433">
        <f>SUMPRODUCT(O144:Y144,Risk!$B$57:$L$57)</f>
        <v>0.0287871684995463</v>
      </c>
      <c r="AC144" s="433">
        <f>AB144-$B$9/12</f>
        <v>0.0285055018328796</v>
      </c>
      <c r="AD144" s="433">
        <f>AA144-AC144</f>
        <v>0.00158309744030375</v>
      </c>
      <c r="AE144" s="560">
        <f>AE143*(1+AA144)</f>
        <v>1.95027231544264</v>
      </c>
      <c r="AF144" s="560">
        <f>AF143*(1+AC144)</f>
        <v>1.9351872775131</v>
      </c>
      <c r="AG144" s="433">
        <f>AE144/MAX(AE$5:AE144)-1</f>
        <v>0</v>
      </c>
      <c r="AH144" s="433">
        <f>AF144/MAX(AF$5:AF144)-1</f>
        <v>0</v>
      </c>
      <c r="AI144" s="620" t="inlineStr"/>
      <c r="AJ144" s="620" t="inlineStr"/>
      <c r="AK144" s="433">
        <f>AE144/AE132-1</f>
        <v>0.112159721797553</v>
      </c>
      <c r="AL144" s="433">
        <f>AF144/AF132-1</f>
        <v>0.113378402635395</v>
      </c>
      <c r="AM144" s="433">
        <f>(AE144/AE84)^(12/60)-1</f>
        <v>0.112018157936286</v>
      </c>
      <c r="AN144" s="433">
        <f>(AF144/AF84)^(12/60)-1</f>
        <v>0.11235128645707</v>
      </c>
      <c r="AO144" s="433">
        <f>AM144-AN144</f>
        <v>-0.000333128520783266</v>
      </c>
      <c r="AP144" s="433">
        <f>STDEV(AD85:AD144)*SQRT(12)</f>
        <v>0.0186272507291942</v>
      </c>
      <c r="AQ144" s="628">
        <f>AO144/AP144</f>
        <v>-0.0178839339001949</v>
      </c>
    </row>
    <row r="145">
      <c r="N145" s="554">
        <f>Data!A397</f>
        <v>43069.0</v>
      </c>
      <c r="O145" s="433">
        <f>Data!B397/Data!B396-1</f>
        <v>0.0190709487966516</v>
      </c>
      <c r="P145" s="433">
        <f>Data!C397/Data!C396-1</f>
        <v>0.0264176400663372</v>
      </c>
      <c r="Q145" s="433">
        <f>Data!D397/Data!D396-1</f>
        <v>0.00175629805699495</v>
      </c>
      <c r="R145" s="433">
        <f>Data!E397/Data!E396-1</f>
        <v>0.037026916755087</v>
      </c>
      <c r="S145" s="433">
        <f>Data!F397/Data!F396-1</f>
        <v>0.0239704119574802</v>
      </c>
      <c r="T145" s="433">
        <f>Data!G397/Data!G396-1</f>
        <v>0</v>
      </c>
      <c r="U145" s="433">
        <f>Data!H397/Data!H396-1</f>
        <v>0.00639999999999974</v>
      </c>
      <c r="V145" s="433">
        <f>Data!I397/Data!I396-1</f>
        <v>0</v>
      </c>
      <c r="W145" s="433">
        <f>Data!J397/Data!J396-1</f>
        <v>0.00869530440377497</v>
      </c>
      <c r="X145" s="433">
        <f>Data!K397/Data!K396-1</f>
        <v>0.0018859087257399</v>
      </c>
      <c r="Y145" s="433">
        <f>Data!L397/Data!L396-1</f>
        <v>-0.00178425139125116</v>
      </c>
      <c r="Z145" s="433">
        <f>SUMPRODUCT(O145:Y145,Risk!$B$56:$L$56)</f>
        <v>0.0179448699686746</v>
      </c>
      <c r="AA145" s="433">
        <f>Z145-$B$8/12</f>
        <v>0.0178515366353413</v>
      </c>
      <c r="AB145" s="433">
        <f>SUMPRODUCT(O145:Y145,Risk!$B$57:$L$57)</f>
        <v>0.0157952172034217</v>
      </c>
      <c r="AC145" s="433">
        <f>AB145-$B$9/12</f>
        <v>0.015513550536755</v>
      </c>
      <c r="AD145" s="433">
        <f>AA145-AC145</f>
        <v>0.00233798609858626</v>
      </c>
      <c r="AE145" s="560">
        <f>AE144*(1+AA145)</f>
        <v>1.98508767313066</v>
      </c>
      <c r="AF145" s="560">
        <f>AF144*(1+AC145)</f>
        <v>1.96520890314089</v>
      </c>
      <c r="AG145" s="433">
        <f>AE145/MAX(AE$5:AE145)-1</f>
        <v>0</v>
      </c>
      <c r="AH145" s="433">
        <f>AF145/MAX(AF$5:AF145)-1</f>
        <v>0</v>
      </c>
      <c r="AI145" s="620" t="inlineStr"/>
      <c r="AJ145" s="620" t="inlineStr"/>
      <c r="AK145" s="433">
        <f>AE145/AE133-1</f>
        <v>0.110519099060369</v>
      </c>
      <c r="AL145" s="433">
        <f>AF145/AF133-1</f>
        <v>0.109773336857511</v>
      </c>
      <c r="AM145" s="433">
        <f>(AE145/AE85)^(12/60)-1</f>
        <v>0.115239404077307</v>
      </c>
      <c r="AN145" s="433">
        <f>(AF145/AF85)^(12/60)-1</f>
        <v>0.114810667963474</v>
      </c>
      <c r="AO145" s="433">
        <f>AM145-AN145</f>
        <v>0.000428736113832429</v>
      </c>
      <c r="AP145" s="433">
        <f>STDEV(AD86:AD145)*SQRT(12)</f>
        <v>0.0186478040820805</v>
      </c>
      <c r="AQ145" s="628">
        <f>AO145/AP145</f>
        <v>0.022991238643719</v>
      </c>
    </row>
    <row r="146">
      <c r="N146" s="554">
        <f>Data!A398</f>
        <v>43098.0</v>
      </c>
      <c r="O146" s="433">
        <f>Data!B398/Data!B397-1</f>
        <v>0.0203061636924167</v>
      </c>
      <c r="P146" s="433">
        <f>Data!C398/Data!C397-1</f>
        <v>-0.0183960363264704</v>
      </c>
      <c r="Q146" s="433">
        <f>Data!D398/Data!D397-1</f>
        <v>-0.00403136697844397</v>
      </c>
      <c r="R146" s="433">
        <f>Data!E398/Data!E397-1</f>
        <v>-0.0219248782847381</v>
      </c>
      <c r="S146" s="433">
        <f>Data!F398/Data!F397-1</f>
        <v>0.0134203523727063</v>
      </c>
      <c r="T146" s="433">
        <f>Data!G398/Data!G397-1</f>
        <v>0.012605091321656</v>
      </c>
      <c r="U146" s="433">
        <f>Data!H398/Data!H397-1</f>
        <v>0.00460000000000016</v>
      </c>
      <c r="V146" s="433">
        <f>Data!I398/Data!I397-1</f>
        <v>0.0617987886386475</v>
      </c>
      <c r="W146" s="433">
        <f>Data!J398/Data!J397-1</f>
        <v>-0.00520216316922062</v>
      </c>
      <c r="X146" s="433">
        <f>Data!K398/Data!K397-1</f>
        <v>0.00239010027894815</v>
      </c>
      <c r="Y146" s="433">
        <f>Data!L398/Data!L397-1</f>
        <v>0.00455968733017564</v>
      </c>
      <c r="Z146" s="433">
        <f>SUMPRODUCT(O146:Y146,Risk!$B$56:$L$56)</f>
        <v>0.00198083204324384</v>
      </c>
      <c r="AA146" s="433">
        <f>Z146-$B$8/12</f>
        <v>0.00188749870991051</v>
      </c>
      <c r="AB146" s="433">
        <f>SUMPRODUCT(O146:Y146,Risk!$B$57:$L$57)</f>
        <v>0.00156783379506133</v>
      </c>
      <c r="AC146" s="433">
        <f>AB146-$B$9/12</f>
        <v>0.00128616712839466</v>
      </c>
      <c r="AD146" s="433">
        <f>AA146-AC146</f>
        <v>0.000601331581515843</v>
      </c>
      <c r="AE146" s="560">
        <f>AE145*(1+AA146)</f>
        <v>1.98883452355275</v>
      </c>
      <c r="AF146" s="560">
        <f>AF145*(1+AC146)</f>
        <v>1.96773649023254</v>
      </c>
      <c r="AG146" s="433">
        <f>AE146/MAX(AE$5:AE146)-1</f>
        <v>0</v>
      </c>
      <c r="AH146" s="433">
        <f>AF146/MAX(AF$5:AF146)-1</f>
        <v>0</v>
      </c>
      <c r="AI146" s="620" t="inlineStr"/>
      <c r="AJ146" s="620" t="inlineStr"/>
      <c r="AK146" s="433">
        <f>AE146/AE134-1</f>
        <v>0.0768454395886731</v>
      </c>
      <c r="AL146" s="433">
        <f>AF146/AF134-1</f>
        <v>0.0765230103997703</v>
      </c>
      <c r="AM146" s="433">
        <f>(AE146/AE86)^(12/60)-1</f>
        <v>0.110610119320958</v>
      </c>
      <c r="AN146" s="433">
        <f>(AF146/AF86)^(12/60)-1</f>
        <v>0.110656341569826</v>
      </c>
      <c r="AO146" s="433">
        <f>AM146-AN146</f>
        <v>-4.62222488679664e-05</v>
      </c>
      <c r="AP146" s="433">
        <f>STDEV(AD87:AD146)*SQRT(12)</f>
        <v>0.0186090399711845</v>
      </c>
      <c r="AQ146" s="628">
        <f>AO146/AP146</f>
        <v>-0.00248385993794092</v>
      </c>
    </row>
    <row r="147">
      <c r="N147" s="554">
        <f>Data!A399</f>
        <v>43131.0</v>
      </c>
      <c r="O147" s="433">
        <f>Data!B399/Data!B398-1</f>
        <v>-0.00330931153898839</v>
      </c>
      <c r="P147" s="433">
        <f>Data!C399/Data!C398-1</f>
        <v>0.00250195488721383</v>
      </c>
      <c r="Q147" s="433">
        <f>Data!D399/Data!D398-1</f>
        <v>0.0313646389742661</v>
      </c>
      <c r="R147" s="433">
        <f>Data!E399/Data!E398-1</f>
        <v>-0.0612251801027875</v>
      </c>
      <c r="S147" s="433">
        <f>Data!F399/Data!F398-1</f>
        <v>-0.00105793691894474</v>
      </c>
      <c r="T147" s="433">
        <f>Data!G399/Data!G398-1</f>
        <v>0</v>
      </c>
      <c r="U147" s="433">
        <f>Data!H399/Data!H398-1</f>
        <v>0.00129999999999986</v>
      </c>
      <c r="V147" s="433">
        <f>Data!I399/Data!I398-1</f>
        <v>0</v>
      </c>
      <c r="W147" s="433">
        <f>Data!J399/Data!J398-1</f>
        <v>-0.00267660296435546</v>
      </c>
      <c r="X147" s="433">
        <f>Data!K399/Data!K398-1</f>
        <v>-0.00685052089285332</v>
      </c>
      <c r="Y147" s="433">
        <f>Data!L399/Data!L398-1</f>
        <v>0.00155850004638358</v>
      </c>
      <c r="Z147" s="433">
        <f>SUMPRODUCT(O147:Y147,Risk!$B$56:$L$56)</f>
        <v>-0.00778628876126608</v>
      </c>
      <c r="AA147" s="433">
        <f>Z147-$B$8/12</f>
        <v>-0.00787962209459941</v>
      </c>
      <c r="AB147" s="433">
        <f>SUMPRODUCT(O147:Y147,Risk!$B$57:$L$57)</f>
        <v>-0.00463536759999394</v>
      </c>
      <c r="AC147" s="433">
        <f>AB147-$B$9/12</f>
        <v>-0.00491703426666061</v>
      </c>
      <c r="AD147" s="433">
        <f>AA147-AC147</f>
        <v>-0.0029625878279388</v>
      </c>
      <c r="AE147" s="560">
        <f>AE146*(1+AA147)</f>
        <v>1.97316325909846</v>
      </c>
      <c r="AF147" s="560">
        <f>AF146*(1+AC147)</f>
        <v>1.9580610624823</v>
      </c>
      <c r="AG147" s="433">
        <f>AE147/MAX(AE$5:AE147)-1</f>
        <v>-0.00787962209459936</v>
      </c>
      <c r="AH147" s="433">
        <f>AF147/MAX(AF$5:AF147)-1</f>
        <v>-0.00491703426666057</v>
      </c>
      <c r="AI147" s="620" t="inlineStr"/>
      <c r="AJ147" s="620" t="inlineStr"/>
      <c r="AK147" s="433">
        <f>AE147/AE135-1</f>
        <v>0.0840986236185282</v>
      </c>
      <c r="AL147" s="433">
        <f>AF147/AF135-1</f>
        <v>0.0872932324331806</v>
      </c>
      <c r="AM147" s="433">
        <f>(AE147/AE87)^(12/60)-1</f>
        <v>0.101731444158367</v>
      </c>
      <c r="AN147" s="433">
        <f>(AF147/AF87)^(12/60)-1</f>
        <v>0.103545869689243</v>
      </c>
      <c r="AO147" s="433">
        <f>AM147-AN147</f>
        <v>-0.00181442553087607</v>
      </c>
      <c r="AP147" s="433">
        <f>STDEV(AD88:AD147)*SQRT(12)</f>
        <v>0.0185083975467764</v>
      </c>
      <c r="AQ147" s="628">
        <f>AO147/AP147</f>
        <v>-0.0980325566430301</v>
      </c>
    </row>
    <row r="148">
      <c r="N148" s="554">
        <f>Data!A400</f>
        <v>43159.0</v>
      </c>
      <c r="O148" s="433">
        <f>Data!B400/Data!B399-1</f>
        <v>0.00178604350853462</v>
      </c>
      <c r="P148" s="433">
        <f>Data!C400/Data!C399-1</f>
        <v>0.00288757479392254</v>
      </c>
      <c r="Q148" s="433">
        <f>Data!D400/Data!D399-1</f>
        <v>-0.000921894097306475</v>
      </c>
      <c r="R148" s="433">
        <f>Data!E400/Data!E399-1</f>
        <v>-0.0241632039325365</v>
      </c>
      <c r="S148" s="433">
        <f>Data!F400/Data!F399-1</f>
        <v>0.00443682054772143</v>
      </c>
      <c r="T148" s="433">
        <f>Data!G400/Data!G399-1</f>
        <v>0</v>
      </c>
      <c r="U148" s="433">
        <f>Data!H400/Data!H399-1</f>
        <v>0.0105</v>
      </c>
      <c r="V148" s="433">
        <f>Data!I400/Data!I399-1</f>
        <v>0</v>
      </c>
      <c r="W148" s="433">
        <f>Data!J400/Data!J399-1</f>
        <v>0.00628461250447443</v>
      </c>
      <c r="X148" s="433">
        <f>Data!K400/Data!K399-1</f>
        <v>-0.00230755116574855</v>
      </c>
      <c r="Y148" s="433">
        <f>Data!L400/Data!L399-1</f>
        <v>0.00562803108510002</v>
      </c>
      <c r="Z148" s="433">
        <f>SUMPRODUCT(O148:Y148,Risk!$B$56:$L$56)</f>
        <v>2.76619273129916e-05</v>
      </c>
      <c r="AA148" s="433">
        <f>Z148-$B$8/12</f>
        <v>-6.56714060203418e-05</v>
      </c>
      <c r="AB148" s="433">
        <f>SUMPRODUCT(O148:Y148,Risk!$B$57:$L$57)</f>
        <v>0.000619040195379826</v>
      </c>
      <c r="AC148" s="433">
        <f>AB148-$B$9/12</f>
        <v>0.00033737352871316</v>
      </c>
      <c r="AD148" s="433">
        <f>AA148-AC148</f>
        <v>-0.000403044934733501</v>
      </c>
      <c r="AE148" s="560">
        <f>AE147*(1+AA148)</f>
        <v>1.97303367869293</v>
      </c>
      <c r="AF148" s="560">
        <f>AF147*(1+AC148)</f>
        <v>1.95872166045239</v>
      </c>
      <c r="AG148" s="433">
        <f>AE148/MAX(AE$5:AE148)-1</f>
        <v>-0.00794477603475774</v>
      </c>
      <c r="AH148" s="433">
        <f>AF148/MAX(AF$5:AF148)-1</f>
        <v>-0.00458131961514885</v>
      </c>
      <c r="AI148" s="620" t="inlineStr"/>
      <c r="AJ148" s="620" t="inlineStr"/>
      <c r="AK148" s="433">
        <f>AE148/AE136-1</f>
        <v>0.0681467026598659</v>
      </c>
      <c r="AL148" s="433">
        <f>AF148/AF136-1</f>
        <v>0.0748327368571788</v>
      </c>
      <c r="AM148" s="433">
        <f>(AE148/AE88)^(12/60)-1</f>
        <v>0.0945578139884398</v>
      </c>
      <c r="AN148" s="433">
        <f>(AF148/AF88)^(12/60)-1</f>
        <v>0.0980039958004075</v>
      </c>
      <c r="AO148" s="433">
        <f>AM148-AN148</f>
        <v>-0.00344618181196776</v>
      </c>
      <c r="AP148" s="433">
        <f>STDEV(AD89:AD148)*SQRT(12)</f>
        <v>0.0182020151384706</v>
      </c>
      <c r="AQ148" s="628">
        <f>AO148/AP148</f>
        <v>-0.189329686067789</v>
      </c>
    </row>
    <row r="149">
      <c r="N149" s="554">
        <f>Data!A401</f>
        <v>43189.0</v>
      </c>
      <c r="O149" s="433">
        <f>Data!B401/Data!B400-1</f>
        <v>-0.0354596940226721</v>
      </c>
      <c r="P149" s="433">
        <f>Data!C401/Data!C400-1</f>
        <v>-0.00691169297820393</v>
      </c>
      <c r="Q149" s="433">
        <f>Data!D401/Data!D400-1</f>
        <v>-0.00285829247732228</v>
      </c>
      <c r="R149" s="433">
        <f>Data!E401/Data!E400-1</f>
        <v>0.0428802499908656</v>
      </c>
      <c r="S149" s="433">
        <f>Data!F401/Data!F400-1</f>
        <v>0.0384602985784606</v>
      </c>
      <c r="T149" s="433">
        <f>Data!G401/Data!G400-1</f>
        <v>-0.00379523204967625</v>
      </c>
      <c r="U149" s="433">
        <f>Data!H401/Data!H400-1</f>
        <v>0.00750000000000028</v>
      </c>
      <c r="V149" s="433">
        <f>Data!I401/Data!I400-1</f>
        <v>0.043402951122842</v>
      </c>
      <c r="W149" s="433">
        <f>Data!J401/Data!J400-1</f>
        <v>0.00269999999999992</v>
      </c>
      <c r="X149" s="433">
        <f>Data!K401/Data!K400-1</f>
        <v>0.00835590633322014</v>
      </c>
      <c r="Y149" s="433">
        <f>Data!L401/Data!L400-1</f>
        <v>0.00150000000000006</v>
      </c>
      <c r="Z149" s="433">
        <f>SUMPRODUCT(O149:Y149,Risk!$B$56:$L$56)</f>
        <v>-0.0100997186989655</v>
      </c>
      <c r="AA149" s="433">
        <f>Z149-$B$8/12</f>
        <v>-0.0101930520322988</v>
      </c>
      <c r="AB149" s="433">
        <f>SUMPRODUCT(O149:Y149,Risk!$B$57:$L$57)</f>
        <v>-0.00415917849597118</v>
      </c>
      <c r="AC149" s="433">
        <f>AB149-$B$9/12</f>
        <v>-0.00444084516263785</v>
      </c>
      <c r="AD149" s="433">
        <f>AA149-AC149</f>
        <v>-0.00575220686966096</v>
      </c>
      <c r="AE149" s="560">
        <f>AE148*(1+AA149)</f>
        <v>1.95292244374454</v>
      </c>
      <c r="AF149" s="560">
        <f>AF148*(1+AC149)</f>
        <v>1.95002328084162</v>
      </c>
      <c r="AG149" s="433">
        <f>AE149/MAX(AE$5:AE149)-1</f>
        <v>-0.0180568465515494</v>
      </c>
      <c r="AH149" s="433">
        <f>AF149/MAX(AF$5:AF149)-1</f>
        <v>-0.00900181984673532</v>
      </c>
      <c r="AI149" s="620" t="inlineStr"/>
      <c r="AJ149" s="620" t="inlineStr"/>
      <c r="AK149" s="433">
        <f>AE149/AE137-1</f>
        <v>0.0404465697294376</v>
      </c>
      <c r="AL149" s="433">
        <f>AF149/AF137-1</f>
        <v>0.0546229366501612</v>
      </c>
      <c r="AM149" s="433">
        <f>(AE149/AE89)^(12/60)-1</f>
        <v>0.0935021224084456</v>
      </c>
      <c r="AN149" s="433">
        <f>(AF149/AF89)^(12/60)-1</f>
        <v>0.0974449952496588</v>
      </c>
      <c r="AO149" s="433">
        <f>AM149-AN149</f>
        <v>-0.0039428728412132</v>
      </c>
      <c r="AP149" s="433">
        <f>STDEV(AD90:AD149)*SQRT(12)</f>
        <v>0.0183122528785459</v>
      </c>
      <c r="AQ149" s="628">
        <f>AO149/AP149</f>
        <v>-0.215313367905298</v>
      </c>
    </row>
    <row r="150">
      <c r="N150" s="554">
        <f>Data!A402</f>
        <v>43220.0</v>
      </c>
      <c r="O150" s="433">
        <f>Data!B402/Data!B401-1</f>
        <v>0.0349298852884084</v>
      </c>
      <c r="P150" s="433">
        <f>Data!C402/Data!C401-1</f>
        <v>0.0365299334179423</v>
      </c>
      <c r="Q150" s="433">
        <f>Data!D402/Data!D401-1</f>
        <v>0.0282041190861693</v>
      </c>
      <c r="R150" s="433">
        <f>Data!E402/Data!E401-1</f>
        <v>0.0400056004634075</v>
      </c>
      <c r="S150" s="433">
        <f>Data!F402/Data!F401-1</f>
        <v>0.0673614731257368</v>
      </c>
      <c r="T150" s="433">
        <f>Data!G402/Data!G401-1</f>
        <v>0</v>
      </c>
      <c r="U150" s="433">
        <f>Data!H402/Data!H401-1</f>
        <v>0.00679999999999992</v>
      </c>
      <c r="V150" s="433">
        <f>Data!I402/Data!I401-1</f>
        <v>0</v>
      </c>
      <c r="W150" s="433">
        <f>Data!J402/Data!J401-1</f>
        <v>-0.00349999999999995</v>
      </c>
      <c r="X150" s="433">
        <f>Data!K402/Data!K401-1</f>
        <v>-0.00383214405317001</v>
      </c>
      <c r="Y150" s="433">
        <f>Data!L402/Data!L401-1</f>
        <v>0.00160000000000005</v>
      </c>
      <c r="Z150" s="433">
        <f>SUMPRODUCT(O150:Y150,Risk!$B$56:$L$56)</f>
        <v>0.024558929321039</v>
      </c>
      <c r="AA150" s="433">
        <f>Z150-$B$8/12</f>
        <v>0.0244655959877056</v>
      </c>
      <c r="AB150" s="433">
        <f>SUMPRODUCT(O150:Y150,Risk!$B$57:$L$57)</f>
        <v>0.0218338645640979</v>
      </c>
      <c r="AC150" s="433">
        <f>AB150-$B$9/12</f>
        <v>0.0215521978974312</v>
      </c>
      <c r="AD150" s="433">
        <f>AA150-AC150</f>
        <v>0.00291339809027441</v>
      </c>
      <c r="AE150" s="560">
        <f>AE149*(1+AA150)</f>
        <v>2.00070185524851</v>
      </c>
      <c r="AF150" s="560">
        <f>AF149*(1+AC150)</f>
        <v>1.99205056849491</v>
      </c>
      <c r="AG150" s="433">
        <f>AE150/MAX(AE$5:AE150)-1</f>
        <v>0</v>
      </c>
      <c r="AH150" s="433">
        <f>AF150/MAX(AF$5:AF150)-1</f>
        <v>0</v>
      </c>
      <c r="AI150" s="620" t="inlineStr"/>
      <c r="AJ150" s="620" t="inlineStr"/>
      <c r="AK150" s="433">
        <f>AE150/AE138-1</f>
        <v>0.0512663170031897</v>
      </c>
      <c r="AL150" s="433">
        <f>AF150/AF138-1</f>
        <v>0.0618696029353458</v>
      </c>
      <c r="AM150" s="433">
        <f>(AE150/AE90)^(12/60)-1</f>
        <v>0.0919130181708796</v>
      </c>
      <c r="AN150" s="433">
        <f>(AF150/AF90)^(12/60)-1</f>
        <v>0.0967721052815767</v>
      </c>
      <c r="AO150" s="433">
        <f>AM150-AN150</f>
        <v>-0.00485908711069705</v>
      </c>
      <c r="AP150" s="433">
        <f>STDEV(AD91:AD150)*SQRT(12)</f>
        <v>0.0180518263669666</v>
      </c>
      <c r="AQ150" s="628">
        <f>AO150/AP150</f>
        <v>-0.269174265911885</v>
      </c>
    </row>
    <row r="151">
      <c r="N151" s="554">
        <f>Data!A403</f>
        <v>43251.0</v>
      </c>
      <c r="O151" s="433">
        <f>Data!B403/Data!B402-1</f>
        <v>0.0139938162274722</v>
      </c>
      <c r="P151" s="433">
        <f>Data!C403/Data!C402-1</f>
        <v>0.0112553602016743</v>
      </c>
      <c r="Q151" s="433">
        <f>Data!D403/Data!D402-1</f>
        <v>-0.0242352428048342</v>
      </c>
      <c r="R151" s="433">
        <f>Data!E403/Data!E402-1</f>
        <v>0.0249595809285847</v>
      </c>
      <c r="S151" s="433">
        <f>Data!F403/Data!F402-1</f>
        <v>0.0120593564932527</v>
      </c>
      <c r="T151" s="433">
        <f>Data!G403/Data!G402-1</f>
        <v>0</v>
      </c>
      <c r="U151" s="433">
        <f>Data!H403/Data!H402-1</f>
        <v>0.0124999999999997</v>
      </c>
      <c r="V151" s="433">
        <f>Data!I403/Data!I402-1</f>
        <v>0</v>
      </c>
      <c r="W151" s="433">
        <f>Data!J403/Data!J402-1</f>
        <v>0.00689999999999991</v>
      </c>
      <c r="X151" s="433">
        <f>Data!K403/Data!K402-1</f>
        <v>0.00368345270161252</v>
      </c>
      <c r="Y151" s="433">
        <f>Data!L403/Data!L402-1</f>
        <v>0.00170000000000003</v>
      </c>
      <c r="Z151" s="433">
        <f>SUMPRODUCT(O151:Y151,Risk!$B$56:$L$56)</f>
        <v>0.0117932328403112</v>
      </c>
      <c r="AA151" s="433">
        <f>Z151-$B$8/12</f>
        <v>0.0116998995069779</v>
      </c>
      <c r="AB151" s="433">
        <f>SUMPRODUCT(O151:Y151,Risk!$B$57:$L$57)</f>
        <v>0.00925822081316819</v>
      </c>
      <c r="AC151" s="433">
        <f>AB151-$B$9/12</f>
        <v>0.00897655414650153</v>
      </c>
      <c r="AD151" s="433">
        <f>AA151-AC151</f>
        <v>0.00272334536047634</v>
      </c>
      <c r="AE151" s="560">
        <f>AE150*(1+AA151)</f>
        <v>2.02410986589834</v>
      </c>
      <c r="AF151" s="560">
        <f>AF150*(1+AC151)</f>
        <v>2.00993231828558</v>
      </c>
      <c r="AG151" s="433">
        <f>AE151/MAX(AE$5:AE151)-1</f>
        <v>0</v>
      </c>
      <c r="AH151" s="433">
        <f>AF151/MAX(AF$5:AF151)-1</f>
        <v>0</v>
      </c>
      <c r="AI151" s="620" t="inlineStr"/>
      <c r="AJ151" s="620" t="inlineStr"/>
      <c r="AK151" s="433">
        <f>AE151/AE139-1</f>
        <v>0.0674347965768845</v>
      </c>
      <c r="AL151" s="433">
        <f>AF151/AF139-1</f>
        <v>0.0696557211026589</v>
      </c>
      <c r="AM151" s="433">
        <f>(AE151/AE91)^(12/60)-1</f>
        <v>0.0937014776952616</v>
      </c>
      <c r="AN151" s="433">
        <f>(AF151/AF91)^(12/60)-1</f>
        <v>0.0951956336806215</v>
      </c>
      <c r="AO151" s="433">
        <f>AM151-AN151</f>
        <v>-0.00149415598535985</v>
      </c>
      <c r="AP151" s="433">
        <f>STDEV(AD92:AD151)*SQRT(12)</f>
        <v>0.0171822133982509</v>
      </c>
      <c r="AQ151" s="628">
        <f>AO151/AP151</f>
        <v>-0.0869594592226368</v>
      </c>
    </row>
    <row r="152">
      <c r="N152" s="554">
        <f>Data!A404</f>
        <v>43280.0</v>
      </c>
      <c r="O152" s="433">
        <f>Data!B404/Data!B403-1</f>
        <v>0.0294800298195155</v>
      </c>
      <c r="P152" s="433">
        <f>Data!C404/Data!C403-1</f>
        <v>0.0278375520514951</v>
      </c>
      <c r="Q152" s="433">
        <f>Data!D404/Data!D403-1</f>
        <v>-0.000457854160719084</v>
      </c>
      <c r="R152" s="433">
        <f>Data!E404/Data!E403-1</f>
        <v>0.055136537039677</v>
      </c>
      <c r="S152" s="433">
        <f>Data!F404/Data!F403-1</f>
        <v>0.0379701236583454</v>
      </c>
      <c r="T152" s="433">
        <f>Data!G404/Data!G403-1</f>
        <v>-0.00384157358079007</v>
      </c>
      <c r="U152" s="433">
        <f>Data!H404/Data!H403-1</f>
        <v>0.00330000000000008</v>
      </c>
      <c r="V152" s="433">
        <f>Data!I404/Data!I403-1</f>
        <v>0.0345993983798694</v>
      </c>
      <c r="W152" s="433">
        <f>Data!J404/Data!J403-1</f>
        <v>0.00479999999999992</v>
      </c>
      <c r="X152" s="433">
        <f>Data!K404/Data!K403-1</f>
        <v>0.00166028215521319</v>
      </c>
      <c r="Y152" s="433">
        <f>Data!L404/Data!L403-1</f>
        <v>0.00149999999999983</v>
      </c>
      <c r="Z152" s="433">
        <f>SUMPRODUCT(O152:Y152,Risk!$B$56:$L$56)</f>
        <v>0.0238309986144899</v>
      </c>
      <c r="AA152" s="433">
        <f>Z152-$B$8/12</f>
        <v>0.0237376652811566</v>
      </c>
      <c r="AB152" s="433">
        <f>SUMPRODUCT(O152:Y152,Risk!$B$57:$L$57)</f>
        <v>0.0205007786977904</v>
      </c>
      <c r="AC152" s="433">
        <f>AB152-$B$9/12</f>
        <v>0.0202191120311238</v>
      </c>
      <c r="AD152" s="433">
        <f>AA152-AC152</f>
        <v>0.00351855325003285</v>
      </c>
      <c r="AE152" s="560">
        <f>AE151*(1+AA152)</f>
        <v>2.07215750838733</v>
      </c>
      <c r="AF152" s="560">
        <f>AF151*(1+AC152)</f>
        <v>2.05057136500397</v>
      </c>
      <c r="AG152" s="433">
        <f>AE152/MAX(AE$5:AE152)-1</f>
        <v>0</v>
      </c>
      <c r="AH152" s="433">
        <f>AF152/MAX(AF$5:AF152)-1</f>
        <v>0</v>
      </c>
      <c r="AI152" s="620" t="inlineStr"/>
      <c r="AJ152" s="620" t="inlineStr"/>
      <c r="AK152" s="433">
        <f>AE152/AE140-1</f>
        <v>0.101989533304928</v>
      </c>
      <c r="AL152" s="433">
        <f>AF152/AF140-1</f>
        <v>0.10087717541919</v>
      </c>
      <c r="AM152" s="433">
        <f>(AE152/AE92)^(12/60)-1</f>
        <v>0.100205630632698</v>
      </c>
      <c r="AN152" s="433">
        <f>(AF152/AF92)^(12/60)-1</f>
        <v>0.0992345339644556</v>
      </c>
      <c r="AO152" s="433">
        <f>AM152-AN152</f>
        <v>0.000971096668242799</v>
      </c>
      <c r="AP152" s="433">
        <f>STDEV(AD93:AD152)*SQRT(12)</f>
        <v>0.01689015367395</v>
      </c>
      <c r="AQ152" s="628">
        <f>AO152/AP152</f>
        <v>0.0574948391227806</v>
      </c>
    </row>
    <row r="153">
      <c r="N153" s="554">
        <f>Data!A405</f>
        <v>43312.0</v>
      </c>
      <c r="O153" s="433">
        <f>Data!B405/Data!B404-1</f>
        <v>0.0122341683876059</v>
      </c>
      <c r="P153" s="433">
        <f>Data!C405/Data!C404-1</f>
        <v>0.0253949361304027</v>
      </c>
      <c r="Q153" s="433">
        <f>Data!D405/Data!D404-1</f>
        <v>0.0115945319165329</v>
      </c>
      <c r="R153" s="433">
        <f>Data!E405/Data!E404-1</f>
        <v>0.00221033398925496</v>
      </c>
      <c r="S153" s="433">
        <f>Data!F405/Data!F404-1</f>
        <v>-0.0412103838724339</v>
      </c>
      <c r="T153" s="433">
        <f>Data!G405/Data!G404-1</f>
        <v>0</v>
      </c>
      <c r="U153" s="433">
        <f>Data!H405/Data!H404-1</f>
        <v>0.02</v>
      </c>
      <c r="V153" s="433">
        <f>Data!I405/Data!I404-1</f>
        <v>0</v>
      </c>
      <c r="W153" s="433">
        <f>Data!J405/Data!J404-1</f>
        <v>0.00160000000000005</v>
      </c>
      <c r="X153" s="433">
        <f>Data!K405/Data!K404-1</f>
        <v>0.000179025606835026</v>
      </c>
      <c r="Y153" s="433">
        <f>Data!L405/Data!L404-1</f>
        <v>0.00190000000000001</v>
      </c>
      <c r="Z153" s="433">
        <f>SUMPRODUCT(O153:Y153,Risk!$B$56:$L$56)</f>
        <v>0.0105810100285952</v>
      </c>
      <c r="AA153" s="433">
        <f>Z153-$B$8/12</f>
        <v>0.0104876766952619</v>
      </c>
      <c r="AB153" s="433">
        <f>SUMPRODUCT(O153:Y153,Risk!$B$57:$L$57)</f>
        <v>0.00973237124424514</v>
      </c>
      <c r="AC153" s="433">
        <f>AB153-$B$9/12</f>
        <v>0.00945070457757848</v>
      </c>
      <c r="AD153" s="433">
        <f>AA153-AC153</f>
        <v>0.00103697211768341</v>
      </c>
      <c r="AE153" s="560">
        <f>AE152*(1+AA153)</f>
        <v>2.09388962639695</v>
      </c>
      <c r="AF153" s="560">
        <f>AF152*(1+AC153)</f>
        <v>2.06995070918986</v>
      </c>
      <c r="AG153" s="433">
        <f>AE153/MAX(AE$5:AE153)-1</f>
        <v>0</v>
      </c>
      <c r="AH153" s="433">
        <f>AF153/MAX(AF$5:AF153)-1</f>
        <v>0</v>
      </c>
      <c r="AI153" s="620" t="inlineStr"/>
      <c r="AJ153" s="620" t="inlineStr"/>
      <c r="AK153" s="433">
        <f>AE153/AE141-1</f>
        <v>0.120890256704266</v>
      </c>
      <c r="AL153" s="433">
        <f>AF153/AF141-1</f>
        <v>0.118713191521428</v>
      </c>
      <c r="AM153" s="433">
        <f>(AE153/AE93)^(12/60)-1</f>
        <v>0.0938765492447602</v>
      </c>
      <c r="AN153" s="433">
        <f>(AF153/AF93)^(12/60)-1</f>
        <v>0.0934483761543523</v>
      </c>
      <c r="AO153" s="433">
        <f>AM153-AN153</f>
        <v>0.00042817309040788</v>
      </c>
      <c r="AP153" s="433">
        <f>STDEV(AD94:AD153)*SQRT(12)</f>
        <v>0.0168210014659407</v>
      </c>
      <c r="AQ153" s="628">
        <f>AO153/AP153</f>
        <v>0.0254546729143832</v>
      </c>
    </row>
    <row r="154">
      <c r="N154" s="554">
        <f>Data!A406</f>
        <v>43343.0</v>
      </c>
      <c r="O154" s="433">
        <f>Data!B406/Data!B405-1</f>
        <v>0.0170909958098922</v>
      </c>
      <c r="P154" s="433">
        <f>Data!C406/Data!C405-1</f>
        <v>0.0421771818816963</v>
      </c>
      <c r="Q154" s="433">
        <f>Data!D406/Data!D405-1</f>
        <v>0.0225856558698563</v>
      </c>
      <c r="R154" s="433">
        <f>Data!E406/Data!E405-1</f>
        <v>0.0487056836201842</v>
      </c>
      <c r="S154" s="433">
        <f>Data!F406/Data!F405-1</f>
        <v>0.0390055360049078</v>
      </c>
      <c r="T154" s="433">
        <f>Data!G406/Data!G405-1</f>
        <v>0</v>
      </c>
      <c r="U154" s="433">
        <f>Data!H406/Data!H405-1</f>
        <v>-0.0135</v>
      </c>
      <c r="V154" s="433">
        <f>Data!I406/Data!I405-1</f>
        <v>0</v>
      </c>
      <c r="W154" s="433">
        <f>Data!J406/Data!J405-1</f>
        <v>0.0081</v>
      </c>
      <c r="X154" s="433">
        <f>Data!K406/Data!K405-1</f>
        <v>0.00292561891653365</v>
      </c>
      <c r="Y154" s="433">
        <f>Data!L406/Data!L405-1</f>
        <v>0.00170000000000026</v>
      </c>
      <c r="Z154" s="433">
        <f>SUMPRODUCT(O154:Y154,Risk!$B$56:$L$56)</f>
        <v>0.0217104525756373</v>
      </c>
      <c r="AA154" s="433">
        <f>Z154-$B$8/12</f>
        <v>0.0216171192423039</v>
      </c>
      <c r="AB154" s="433">
        <f>SUMPRODUCT(O154:Y154,Risk!$B$57:$L$57)</f>
        <v>0.0203641689345056</v>
      </c>
      <c r="AC154" s="433">
        <f>AB154-$B$9/12</f>
        <v>0.0200825022678389</v>
      </c>
      <c r="AD154" s="433">
        <f>AA154-AC154</f>
        <v>0.00153461697446499</v>
      </c>
      <c r="AE154" s="560">
        <f>AE153*(1+AA154)</f>
        <v>2.139153488131</v>
      </c>
      <c r="AF154" s="560">
        <f>AF153*(1+AC154)</f>
        <v>2.11152049900148</v>
      </c>
      <c r="AG154" s="433">
        <f>AE154/MAX(AE$5:AE154)-1</f>
        <v>0</v>
      </c>
      <c r="AH154" s="433">
        <f>AF154/MAX(AF$5:AF154)-1</f>
        <v>0</v>
      </c>
      <c r="AI154" s="620" t="inlineStr"/>
      <c r="AJ154" s="620" t="inlineStr"/>
      <c r="AK154" s="433">
        <f>AE154/AE142-1</f>
        <v>0.138065734313205</v>
      </c>
      <c r="AL154" s="433">
        <f>AF154/AF142-1</f>
        <v>0.133950224419516</v>
      </c>
      <c r="AM154" s="433">
        <f>(AE154/AE94)^(12/60)-1</f>
        <v>0.098012448976337</v>
      </c>
      <c r="AN154" s="433">
        <f>(AF154/AF94)^(12/60)-1</f>
        <v>0.0976878868156874</v>
      </c>
      <c r="AO154" s="433">
        <f>AM154-AN154</f>
        <v>0.000324562160649577</v>
      </c>
      <c r="AP154" s="433">
        <f>STDEV(AD95:AD154)*SQRT(12)</f>
        <v>0.0168118439209113</v>
      </c>
      <c r="AQ154" s="628">
        <f>AO154/AP154</f>
        <v>0.0193055658960688</v>
      </c>
    </row>
    <row r="155">
      <c r="N155" s="554">
        <f>Data!A407</f>
        <v>43371.0</v>
      </c>
      <c r="O155" s="433">
        <f>Data!B407/Data!B406-1</f>
        <v>-0.0105749810828029</v>
      </c>
      <c r="P155" s="433">
        <f>Data!C407/Data!C406-1</f>
        <v>0.00720873486361273</v>
      </c>
      <c r="Q155" s="433">
        <f>Data!D407/Data!D406-1</f>
        <v>-0.0117506086807874</v>
      </c>
      <c r="R155" s="433">
        <f>Data!E407/Data!E406-1</f>
        <v>-0.0219304624128119</v>
      </c>
      <c r="S155" s="433">
        <f>Data!F407/Data!F406-1</f>
        <v>0.0387845053636526</v>
      </c>
      <c r="T155" s="433">
        <f>Data!G407/Data!G406-1</f>
        <v>-0.0121553718237837</v>
      </c>
      <c r="U155" s="433">
        <f>Data!H407/Data!H406-1</f>
        <v>-0.00580000000000014</v>
      </c>
      <c r="V155" s="433">
        <f>Data!I407/Data!I406-1</f>
        <v>0.0336996867296426</v>
      </c>
      <c r="W155" s="433">
        <f>Data!J407/Data!J406-1</f>
        <v>-0.00420000000000009</v>
      </c>
      <c r="X155" s="433">
        <f>Data!K407/Data!K406-1</f>
        <v>-0.00379610768186156</v>
      </c>
      <c r="Y155" s="433">
        <f>Data!L407/Data!L406-1</f>
        <v>0.00160000000000005</v>
      </c>
      <c r="Z155" s="433">
        <f>SUMPRODUCT(O155:Y155,Risk!$B$56:$L$56)</f>
        <v>-0.00580298031622873</v>
      </c>
      <c r="AA155" s="433">
        <f>Z155-$B$8/12</f>
        <v>-0.00589631364956206</v>
      </c>
      <c r="AB155" s="433">
        <f>SUMPRODUCT(O155:Y155,Risk!$B$57:$L$57)</f>
        <v>-0.00275395925978576</v>
      </c>
      <c r="AC155" s="433">
        <f>AB155-$B$9/12</f>
        <v>-0.00303562592645242</v>
      </c>
      <c r="AD155" s="433">
        <f>AA155-AC155</f>
        <v>-0.00286068772310964</v>
      </c>
      <c r="AE155" s="560">
        <f>AE154*(1+AA155)</f>
        <v>2.12654036822042</v>
      </c>
      <c r="AF155" s="560">
        <f>AF154*(1+AC155)</f>
        <v>2.10511071263048</v>
      </c>
      <c r="AG155" s="433">
        <f>AE155/MAX(AE$5:AE155)-1</f>
        <v>-0.00589631364956211</v>
      </c>
      <c r="AH155" s="433">
        <f>AF155/MAX(AF$5:AF155)-1</f>
        <v>-0.00303562592645257</v>
      </c>
      <c r="AI155" s="620" t="inlineStr"/>
      <c r="AJ155" s="620" t="inlineStr"/>
      <c r="AK155" s="433">
        <f>AE155/AE143-1</f>
        <v>0.12318929610652</v>
      </c>
      <c r="AL155" s="433">
        <f>AF155/AF143-1</f>
        <v>0.118815721385973</v>
      </c>
      <c r="AM155" s="433">
        <f>(AE155/AE95)^(12/60)-1</f>
        <v>0.0949582366168869</v>
      </c>
      <c r="AN155" s="433">
        <f>(AF155/AF95)^(12/60)-1</f>
        <v>0.0959480320256918</v>
      </c>
      <c r="AO155" s="433">
        <f>AM155-AN155</f>
        <v>-0.00098979540880495</v>
      </c>
      <c r="AP155" s="433">
        <f>STDEV(AD96:AD155)*SQRT(12)</f>
        <v>0.0168036120337688</v>
      </c>
      <c r="AQ155" s="628">
        <f>AO155/AP155</f>
        <v>-0.0589037289611212</v>
      </c>
    </row>
    <row r="156">
      <c r="N156" s="554">
        <f>Data!A408</f>
        <v>43404.0</v>
      </c>
      <c r="O156" s="433">
        <f>Data!B408/Data!B407-1</f>
        <v>-0.0647184579194896</v>
      </c>
      <c r="P156" s="433">
        <f>Data!C408/Data!C407-1</f>
        <v>-0.0483363201838775</v>
      </c>
      <c r="Q156" s="433">
        <f>Data!D408/Data!D407-1</f>
        <v>-0.0584324048733239</v>
      </c>
      <c r="R156" s="433">
        <f>Data!E408/Data!E407-1</f>
        <v>-0.00668513335205101</v>
      </c>
      <c r="S156" s="433">
        <f>Data!F408/Data!F407-1</f>
        <v>-0.0387718051719461</v>
      </c>
      <c r="T156" s="433">
        <f>Data!G408/Data!G407-1</f>
        <v>0</v>
      </c>
      <c r="U156" s="433">
        <f>Data!H408/Data!H407-1</f>
        <v>0.00609999999999999</v>
      </c>
      <c r="V156" s="433">
        <f>Data!I408/Data!I407-1</f>
        <v>0</v>
      </c>
      <c r="W156" s="433">
        <f>Data!J408/Data!J407-1</f>
        <v>0.00479999999999992</v>
      </c>
      <c r="X156" s="433">
        <f>Data!K408/Data!K407-1</f>
        <v>-0.0022713115640236</v>
      </c>
      <c r="Y156" s="433">
        <f>Data!L408/Data!L407-1</f>
        <v>0.00170000000000003</v>
      </c>
      <c r="Z156" s="433">
        <f>SUMPRODUCT(O156:Y156,Risk!$B$56:$L$56)</f>
        <v>-0.0355658654648983</v>
      </c>
      <c r="AA156" s="433">
        <f>Z156-$B$8/12</f>
        <v>-0.0356591987982317</v>
      </c>
      <c r="AB156" s="433">
        <f>SUMPRODUCT(O156:Y156,Risk!$B$57:$L$57)</f>
        <v>-0.0301205431803278</v>
      </c>
      <c r="AC156" s="433">
        <f>AB156-$B$9/12</f>
        <v>-0.0304022098469945</v>
      </c>
      <c r="AD156" s="433">
        <f>AA156-AC156</f>
        <v>-0.0052569889512372</v>
      </c>
      <c r="AE156" s="560">
        <f>AE155*(1+AA156)</f>
        <v>2.05070964247759</v>
      </c>
      <c r="AF156" s="560">
        <f>AF155*(1+AC156)</f>
        <v>2.04111069499393</v>
      </c>
      <c r="AG156" s="433">
        <f>AE156/MAX(AE$5:AE156)-1</f>
        <v>-0.0413452546271873</v>
      </c>
      <c r="AH156" s="433">
        <f>AF156/MAX(AF$5:AF156)-1</f>
        <v>-0.033345546037014</v>
      </c>
      <c r="AI156" s="620" t="inlineStr"/>
      <c r="AJ156" s="620" t="inlineStr"/>
      <c r="AK156" s="433">
        <f>AE156/AE144-1</f>
        <v>0.0514991297572451</v>
      </c>
      <c r="AL156" s="433">
        <f>AF156/AF144-1</f>
        <v>0.0547354866950904</v>
      </c>
      <c r="AM156" s="433">
        <f>(AE156/AE96)^(12/60)-1</f>
        <v>0.0818263804787422</v>
      </c>
      <c r="AN156" s="433">
        <f>(AF156/AF96)^(12/60)-1</f>
        <v>0.0850925193199028</v>
      </c>
      <c r="AO156" s="433">
        <f>AM156-AN156</f>
        <v>-0.00326613884116056</v>
      </c>
      <c r="AP156" s="433">
        <f>STDEV(AD97:AD156)*SQRT(12)</f>
        <v>0.0167914226956451</v>
      </c>
      <c r="AQ156" s="628">
        <f>AO156/AP156</f>
        <v>-0.194512335277441</v>
      </c>
    </row>
    <row r="157">
      <c r="N157" s="554">
        <f>Data!A409</f>
        <v>43434.0</v>
      </c>
      <c r="O157" s="433">
        <f>Data!B409/Data!B408-1</f>
        <v>-0.0224246265238711</v>
      </c>
      <c r="P157" s="433">
        <f>Data!C409/Data!C408-1</f>
        <v>-0.0177721683960624</v>
      </c>
      <c r="Q157" s="433">
        <f>Data!D409/Data!D408-1</f>
        <v>-0.000574648172431025</v>
      </c>
      <c r="R157" s="433">
        <f>Data!E409/Data!E408-1</f>
        <v>0.00294865457096427</v>
      </c>
      <c r="S157" s="433">
        <f>Data!F409/Data!F408-1</f>
        <v>-0.138929954555168</v>
      </c>
      <c r="T157" s="433">
        <f>Data!G409/Data!G408-1</f>
        <v>0</v>
      </c>
      <c r="U157" s="433">
        <f>Data!H409/Data!H408-1</f>
        <v>0.0028999999999999</v>
      </c>
      <c r="V157" s="433">
        <f>Data!I409/Data!I408-1</f>
        <v>0</v>
      </c>
      <c r="W157" s="433">
        <f>Data!J409/Data!J408-1</f>
        <v>0.00239999999999996</v>
      </c>
      <c r="X157" s="433">
        <f>Data!K409/Data!K408-1</f>
        <v>0.00449104731594896</v>
      </c>
      <c r="Y157" s="433">
        <f>Data!L409/Data!L408-1</f>
        <v>0.00150000000000006</v>
      </c>
      <c r="Z157" s="433">
        <f>SUMPRODUCT(O157:Y157,Risk!$B$56:$L$56)</f>
        <v>-0.0114051350463886</v>
      </c>
      <c r="AA157" s="433">
        <f>Z157-$B$8/12</f>
        <v>-0.0114984683797219</v>
      </c>
      <c r="AB157" s="433">
        <f>SUMPRODUCT(O157:Y157,Risk!$B$57:$L$57)</f>
        <v>-0.0114988945575772</v>
      </c>
      <c r="AC157" s="433">
        <f>AB157-$B$9/12</f>
        <v>-0.0117805612242438</v>
      </c>
      <c r="AD157" s="433">
        <f>AA157-AC157</f>
        <v>0.000282092844521915</v>
      </c>
      <c r="AE157" s="560">
        <f>AE156*(1+AA157)</f>
        <v>2.02712962249757</v>
      </c>
      <c r="AF157" s="560">
        <f>AF156*(1+AC157)</f>
        <v>2.0170652654861</v>
      </c>
      <c r="AG157" s="433">
        <f>AE157/MAX(AE$5:AE157)-1</f>
        <v>-0.052368315903927</v>
      </c>
      <c r="AH157" s="433">
        <f>AF157/MAX(AF$5:AF157)-1</f>
        <v>-0.0447332780146129</v>
      </c>
      <c r="AI157" s="620" t="inlineStr"/>
      <c r="AJ157" s="620" t="inlineStr"/>
      <c r="AK157" s="433">
        <f>AE157/AE145-1</f>
        <v>0.0211788879332488</v>
      </c>
      <c r="AL157" s="433">
        <f>AF157/AF145-1</f>
        <v>0.0263872010056172</v>
      </c>
      <c r="AM157" s="433">
        <f>(AE157/AE97)^(12/60)-1</f>
        <v>0.0780271060658113</v>
      </c>
      <c r="AN157" s="433">
        <f>(AF157/AF97)^(12/60)-1</f>
        <v>0.0799209147404456</v>
      </c>
      <c r="AO157" s="433">
        <f>AM157-AN157</f>
        <v>-0.00189380867463429</v>
      </c>
      <c r="AP157" s="433">
        <f>STDEV(AD98:AD157)*SQRT(12)</f>
        <v>0.0165788060296199</v>
      </c>
      <c r="AQ157" s="628">
        <f>AO157/AP157</f>
        <v>-0.114230703420426</v>
      </c>
    </row>
    <row r="158">
      <c r="N158" s="554">
        <f>Data!A410</f>
        <v>43465.0</v>
      </c>
      <c r="O158" s="433">
        <f>Data!B410/Data!B409-1</f>
        <v>-0.00449336060606942</v>
      </c>
      <c r="P158" s="433">
        <f>Data!C410/Data!C409-1</f>
        <v>-0.043888629324077</v>
      </c>
      <c r="Q158" s="433">
        <f>Data!D410/Data!D409-1</f>
        <v>0.0119057375462124</v>
      </c>
      <c r="R158" s="433">
        <f>Data!E410/Data!E409-1</f>
        <v>-0.0231215032167518</v>
      </c>
      <c r="S158" s="433">
        <f>Data!F410/Data!F409-1</f>
        <v>-0.0431223924664995</v>
      </c>
      <c r="T158" s="433">
        <f>Data!G410/Data!G409-1</f>
        <v>-0.0207808230073732</v>
      </c>
      <c r="U158" s="433">
        <f>Data!H410/Data!H409-1</f>
        <v>-0.00390000000000001</v>
      </c>
      <c r="V158" s="433">
        <f>Data!I410/Data!I409-1</f>
        <v>-0.000902558676039944</v>
      </c>
      <c r="W158" s="433">
        <f>Data!J410/Data!J409-1</f>
        <v>0.0149999999999999</v>
      </c>
      <c r="X158" s="433">
        <f>Data!K410/Data!K409-1</f>
        <v>0.0143262060158764</v>
      </c>
      <c r="Y158" s="433">
        <f>Data!L410/Data!L409-1</f>
        <v>0.00150000000000006</v>
      </c>
      <c r="Z158" s="433">
        <f>SUMPRODUCT(O158:Y158,Risk!$B$56:$L$56)</f>
        <v>-0.00938612394764824</v>
      </c>
      <c r="AA158" s="433">
        <f>Z158-$B$8/12</f>
        <v>-0.00947945728098158</v>
      </c>
      <c r="AB158" s="433">
        <f>SUMPRODUCT(O158:Y158,Risk!$B$57:$L$57)</f>
        <v>-0.0112426273863155</v>
      </c>
      <c r="AC158" s="433">
        <f>AB158-$B$9/12</f>
        <v>-0.0115242940529822</v>
      </c>
      <c r="AD158" s="433">
        <f>AA158-AC158</f>
        <v>0.00204483677200063</v>
      </c>
      <c r="AE158" s="560">
        <f>AE157*(1+AA158)</f>
        <v>2.00791353383809</v>
      </c>
      <c r="AF158" s="560">
        <f>AF157*(1+AC158)</f>
        <v>1.99382001224258</v>
      </c>
      <c r="AG158" s="433">
        <f>AE158/MAX(AE$5:AE158)-1</f>
        <v>-0.0613513499714203</v>
      </c>
      <c r="AH158" s="433">
        <f>AF158/MAX(AF$5:AF158)-1</f>
        <v>-0.0557420526178009</v>
      </c>
      <c r="AI158" s="620" t="inlineStr"/>
      <c r="AJ158" s="620" t="inlineStr"/>
      <c r="AK158" s="433">
        <f>AE158/AE146-1</f>
        <v>0.0095930606892598</v>
      </c>
      <c r="AL158" s="433">
        <f>AF158/AF146-1</f>
        <v>0.0132555970474268</v>
      </c>
      <c r="AM158" s="433">
        <f>(AE158/AE98)^(12/60)-1</f>
        <v>0.0727228709659209</v>
      </c>
      <c r="AN158" s="433">
        <f>(AF158/AF98)^(12/60)-1</f>
        <v>0.0728743616977472</v>
      </c>
      <c r="AO158" s="433">
        <f>AM158-AN158</f>
        <v>-0.000151490731826298</v>
      </c>
      <c r="AP158" s="433">
        <f>STDEV(AD99:AD158)*SQRT(12)</f>
        <v>0.016376315263395</v>
      </c>
      <c r="AQ158" s="628">
        <f>AO158/AP158</f>
        <v>-0.00925059938024745</v>
      </c>
    </row>
    <row r="159">
      <c r="N159" s="554">
        <f>Data!A411</f>
        <v>43496.0</v>
      </c>
      <c r="O159" s="433">
        <f>Data!B411/Data!B410-1</f>
        <v>0.039932168668209</v>
      </c>
      <c r="P159" s="433">
        <f>Data!C411/Data!C410-1</f>
        <v>0.0357464436227266</v>
      </c>
      <c r="Q159" s="433">
        <f>Data!D411/Data!D410-1</f>
        <v>0.034751557123059</v>
      </c>
      <c r="R159" s="433">
        <f>Data!E411/Data!E410-1</f>
        <v>0.0638803378163899</v>
      </c>
      <c r="S159" s="433">
        <f>Data!F411/Data!F410-1</f>
        <v>0.0522956958926264</v>
      </c>
      <c r="T159" s="433">
        <f>Data!G411/Data!G410-1</f>
        <v>0</v>
      </c>
      <c r="U159" s="433">
        <f>Data!H411/Data!H410-1</f>
        <v>0.00460000000000016</v>
      </c>
      <c r="V159" s="433">
        <f>Data!I411/Data!I410-1</f>
        <v>0</v>
      </c>
      <c r="W159" s="433">
        <f>Data!J411/Data!J410-1</f>
        <v>0.00639999999999996</v>
      </c>
      <c r="X159" s="433">
        <f>Data!K411/Data!K410-1</f>
        <v>0.00965122308920163</v>
      </c>
      <c r="Y159" s="433">
        <f>Data!L411/Data!L410-1</f>
        <v>0.00180000000000002</v>
      </c>
      <c r="Z159" s="433">
        <f>SUMPRODUCT(O159:Y159,Risk!$B$56:$L$56)</f>
        <v>0.0313682878206041</v>
      </c>
      <c r="AA159" s="433">
        <f>Z159-$B$8/12</f>
        <v>0.0312749544872707</v>
      </c>
      <c r="AB159" s="433">
        <f>SUMPRODUCT(O159:Y159,Risk!$B$57:$L$57)</f>
        <v>0.0272719074550104</v>
      </c>
      <c r="AC159" s="433">
        <f>AB159-$B$9/12</f>
        <v>0.0269902407883438</v>
      </c>
      <c r="AD159" s="433">
        <f>AA159-AC159</f>
        <v>0.00428471369892697</v>
      </c>
      <c r="AE159" s="560">
        <f>AE158*(1+AA159)</f>
        <v>2.07071093822325</v>
      </c>
      <c r="AF159" s="560">
        <f>AF158*(1+AC159)</f>
        <v>2.04763369446162</v>
      </c>
      <c r="AG159" s="433">
        <f>AE159/MAX(AE$5:AE159)-1</f>
        <v>-0.0319951561622385</v>
      </c>
      <c r="AH159" s="433">
        <f>AF159/MAX(AF$5:AF159)-1</f>
        <v>-0.0302563032516481</v>
      </c>
      <c r="AI159" s="620" t="inlineStr"/>
      <c r="AJ159" s="620" t="inlineStr"/>
      <c r="AK159" s="433">
        <f>AE159/AE147-1</f>
        <v>0.0494372063107214</v>
      </c>
      <c r="AL159" s="433">
        <f>AF159/AF147-1</f>
        <v>0.0457455764253663</v>
      </c>
      <c r="AM159" s="433">
        <f>(AE159/AE99)^(12/60)-1</f>
        <v>0.0803740584091199</v>
      </c>
      <c r="AN159" s="433">
        <f>(AF159/AF99)^(12/60)-1</f>
        <v>0.0791599320722112</v>
      </c>
      <c r="AO159" s="433">
        <f>AM159-AN159</f>
        <v>0.00121412633690876</v>
      </c>
      <c r="AP159" s="433">
        <f>STDEV(AD100:AD159)*SQRT(12)</f>
        <v>0.0164533865816579</v>
      </c>
      <c r="AQ159" s="628">
        <f>AO159/AP159</f>
        <v>0.0737918805276391</v>
      </c>
    </row>
    <row r="160">
      <c r="N160" s="554">
        <f>Data!A412</f>
        <v>43524.0</v>
      </c>
      <c r="O160" s="433">
        <f>Data!B412/Data!B411-1</f>
        <v>0.0605372910546853</v>
      </c>
      <c r="P160" s="433">
        <f>Data!C412/Data!C411-1</f>
        <v>0.0596018672297685</v>
      </c>
      <c r="Q160" s="433">
        <f>Data!D412/Data!D411-1</f>
        <v>0.0362159065547909</v>
      </c>
      <c r="R160" s="433">
        <f>Data!E412/Data!E411-1</f>
        <v>0.0296724267610815</v>
      </c>
      <c r="S160" s="433">
        <f>Data!F412/Data!F411-1</f>
        <v>0.0639609836564865</v>
      </c>
      <c r="T160" s="433">
        <f>Data!G412/Data!G411-1</f>
        <v>0</v>
      </c>
      <c r="U160" s="433">
        <f>Data!H412/Data!H411-1</f>
        <v>0.0011000000000001</v>
      </c>
      <c r="V160" s="433">
        <f>Data!I412/Data!I411-1</f>
        <v>0</v>
      </c>
      <c r="W160" s="433">
        <f>Data!J412/Data!J411-1</f>
        <v>0.00940000000000008</v>
      </c>
      <c r="X160" s="433">
        <f>Data!K412/Data!K411-1</f>
        <v>0.000685147938788377</v>
      </c>
      <c r="Y160" s="433">
        <f>Data!L412/Data!L411-1</f>
        <v>0.00170000000000003</v>
      </c>
      <c r="Z160" s="433">
        <f>SUMPRODUCT(O160:Y160,Risk!$B$56:$L$56)</f>
        <v>0.0406863443790391</v>
      </c>
      <c r="AA160" s="433">
        <f>Z160-$B$8/12</f>
        <v>0.0405930110457057</v>
      </c>
      <c r="AB160" s="433">
        <f>SUMPRODUCT(O160:Y160,Risk!$B$57:$L$57)</f>
        <v>0.0353569039151317</v>
      </c>
      <c r="AC160" s="433">
        <f>AB160-$B$9/12</f>
        <v>0.035075237248465</v>
      </c>
      <c r="AD160" s="433">
        <f>AA160-AC160</f>
        <v>0.00551777379724073</v>
      </c>
      <c r="AE160" s="560">
        <f>AE159*(1+AA160)</f>
        <v>2.15476733021101</v>
      </c>
      <c r="AF160" s="560">
        <f>AF159*(1+AC160)</f>
        <v>2.11945493209281</v>
      </c>
      <c r="AG160" s="433">
        <f>AE160/MAX(AE$5:AE160)-1</f>
        <v>0</v>
      </c>
      <c r="AH160" s="433">
        <f>AF160/MAX(AF$5:AF160)-1</f>
        <v>0</v>
      </c>
      <c r="AI160" s="620" t="inlineStr"/>
      <c r="AJ160" s="620" t="inlineStr"/>
      <c r="AK160" s="433">
        <f>AE160/AE148-1</f>
        <v>0.0921087427349296</v>
      </c>
      <c r="AL160" s="433">
        <f>AF160/AF148-1</f>
        <v>0.0820602921209857</v>
      </c>
      <c r="AM160" s="433">
        <f>(AE160/AE100)^(12/60)-1</f>
        <v>0.0834815441091927</v>
      </c>
      <c r="AN160" s="433">
        <f>(AF160/AF100)^(12/60)-1</f>
        <v>0.082544960337255</v>
      </c>
      <c r="AO160" s="433">
        <f>AM160-AN160</f>
        <v>0.000936583771937727</v>
      </c>
      <c r="AP160" s="433">
        <f>STDEV(AD101:AD160)*SQRT(12)</f>
        <v>0.0163608022769184</v>
      </c>
      <c r="AQ160" s="628">
        <f>AO160/AP160</f>
        <v>0.0572455895551678</v>
      </c>
    </row>
    <row r="161">
      <c r="N161" s="554">
        <f>Data!A413</f>
        <v>43553.0</v>
      </c>
      <c r="O161" s="433">
        <f>Data!B413/Data!B412-1</f>
        <v>0.00702368728562841</v>
      </c>
      <c r="P161" s="433">
        <f>Data!C413/Data!C412-1</f>
        <v>0.0183819487680412</v>
      </c>
      <c r="Q161" s="433">
        <f>Data!D413/Data!D412-1</f>
        <v>0.0154814556977634</v>
      </c>
      <c r="R161" s="433">
        <f>Data!E413/Data!E412-1</f>
        <v>0.0343142915696746</v>
      </c>
      <c r="S161" s="433">
        <f>Data!F413/Data!F412-1</f>
        <v>0.0176653123427835</v>
      </c>
      <c r="T161" s="433">
        <f>Data!G413/Data!G412-1</f>
        <v>-0.0270907117382538</v>
      </c>
      <c r="U161" s="433">
        <f>Data!H413/Data!H412-1</f>
        <v>-0.000699999999999923</v>
      </c>
      <c r="V161" s="433">
        <f>Data!I413/Data!I412-1</f>
        <v>0.0197028989739696</v>
      </c>
      <c r="W161" s="433">
        <f>Data!J413/Data!J412-1</f>
        <v>0.0182</v>
      </c>
      <c r="X161" s="433">
        <f>Data!K413/Data!K412-1</f>
        <v>0.0174016688921235</v>
      </c>
      <c r="Y161" s="433">
        <f>Data!L413/Data!L412-1</f>
        <v>0.00170000000000003</v>
      </c>
      <c r="Z161" s="433">
        <f>SUMPRODUCT(O161:Y161,Risk!$B$56:$L$56)</f>
        <v>0.0141584273361969</v>
      </c>
      <c r="AA161" s="433">
        <f>Z161-$B$8/12</f>
        <v>0.0140650940028636</v>
      </c>
      <c r="AB161" s="433">
        <f>SUMPRODUCT(O161:Y161,Risk!$B$57:$L$57)</f>
        <v>0.0131160748138428</v>
      </c>
      <c r="AC161" s="433">
        <f>AB161-$B$9/12</f>
        <v>0.0128344081471761</v>
      </c>
      <c r="AD161" s="433">
        <f>AA161-AC161</f>
        <v>0.00123068585568751</v>
      </c>
      <c r="AE161" s="560">
        <f>AE160*(1+AA161)</f>
        <v>2.18507433526473</v>
      </c>
      <c r="AF161" s="560">
        <f>AF160*(1+AC161)</f>
        <v>2.14665688174084</v>
      </c>
      <c r="AG161" s="433">
        <f>AE161/MAX(AE$5:AE161)-1</f>
        <v>0</v>
      </c>
      <c r="AH161" s="433">
        <f>AF161/MAX(AF$5:AF161)-1</f>
        <v>0</v>
      </c>
      <c r="AI161" s="620" t="inlineStr"/>
      <c r="AJ161" s="620" t="inlineStr"/>
      <c r="AK161" s="433">
        <f>AE161/AE149-1</f>
        <v>0.118874096748596</v>
      </c>
      <c r="AL161" s="433">
        <f>AF161/AF149-1</f>
        <v>0.100836540174206</v>
      </c>
      <c r="AM161" s="433">
        <f>(AE161/AE101)^(12/60)-1</f>
        <v>0.08839417725371</v>
      </c>
      <c r="AN161" s="433">
        <f>(AF161/AF101)^(12/60)-1</f>
        <v>0.0871547060927354</v>
      </c>
      <c r="AO161" s="433">
        <f>AM161-AN161</f>
        <v>0.00123947116097467</v>
      </c>
      <c r="AP161" s="433">
        <f>STDEV(AD102:AD161)*SQRT(12)</f>
        <v>0.0163675964757796</v>
      </c>
      <c r="AQ161" s="628">
        <f>AO161/AP161</f>
        <v>0.0757271333520968</v>
      </c>
    </row>
    <row r="162">
      <c r="N162" s="554">
        <f>Data!A414</f>
        <v>43585.0</v>
      </c>
      <c r="O162" s="433">
        <f>Data!B414/Data!B413-1</f>
        <v>0.0254063361504073</v>
      </c>
      <c r="P162" s="433">
        <f>Data!C414/Data!C413-1</f>
        <v>0.0478173074602717</v>
      </c>
      <c r="Q162" s="433">
        <f>Data!D414/Data!D413-1</f>
        <v>0.0352782768067286</v>
      </c>
      <c r="R162" s="433">
        <f>Data!E414/Data!E413-1</f>
        <v>0.00703398324110283</v>
      </c>
      <c r="S162" s="433">
        <f>Data!F414/Data!F413-1</f>
        <v>0.0379897509663558</v>
      </c>
      <c r="T162" s="433">
        <f>Data!G414/Data!G413-1</f>
        <v>0</v>
      </c>
      <c r="U162" s="433">
        <f>Data!H414/Data!H413-1</f>
        <v>-0.023</v>
      </c>
      <c r="V162" s="433">
        <f>Data!I414/Data!I413-1</f>
        <v>0</v>
      </c>
      <c r="W162" s="433">
        <f>Data!J414/Data!J413-1</f>
        <v>0.00279999999999991</v>
      </c>
      <c r="X162" s="433">
        <f>Data!K414/Data!K413-1</f>
        <v>-1.47796793205091e-05</v>
      </c>
      <c r="Y162" s="433">
        <f>Data!L414/Data!L413-1</f>
        <v>0.00160000000000005</v>
      </c>
      <c r="Z162" s="433">
        <f>SUMPRODUCT(O162:Y162,Risk!$B$56:$L$56)</f>
        <v>0.0209602119019819</v>
      </c>
      <c r="AA162" s="433">
        <f>Z162-$B$8/12</f>
        <v>0.0208668785686486</v>
      </c>
      <c r="AB162" s="433">
        <f>SUMPRODUCT(O162:Y162,Risk!$B$57:$L$57)</f>
        <v>0.0198866342137479</v>
      </c>
      <c r="AC162" s="433">
        <f>AB162-$B$9/12</f>
        <v>0.0196049675470813</v>
      </c>
      <c r="AD162" s="433">
        <f>AA162-AC162</f>
        <v>0.00126191102156729</v>
      </c>
      <c r="AE162" s="560">
        <f>AE161*(1+AA162)</f>
        <v>2.23067001608217</v>
      </c>
      <c r="AF162" s="560">
        <f>AF161*(1+AC162)</f>
        <v>2.18874202024209</v>
      </c>
      <c r="AG162" s="433">
        <f>AE162/MAX(AE$5:AE162)-1</f>
        <v>0</v>
      </c>
      <c r="AH162" s="433">
        <f>AF162/MAX(AF$5:AF162)-1</f>
        <v>0</v>
      </c>
      <c r="AI162" s="620" t="inlineStr"/>
      <c r="AJ162" s="620" t="inlineStr"/>
      <c r="AK162" s="433">
        <f>AE162/AE150-1</f>
        <v>0.114943743482004</v>
      </c>
      <c r="AL162" s="433">
        <f>AF162/AF150-1</f>
        <v>0.0987381820812836</v>
      </c>
      <c r="AM162" s="433">
        <f>(AE162/AE102)^(12/60)-1</f>
        <v>0.0902066436242264</v>
      </c>
      <c r="AN162" s="433">
        <f>(AF162/AF102)^(12/60)-1</f>
        <v>0.0892258482264539</v>
      </c>
      <c r="AO162" s="433">
        <f>AM162-AN162</f>
        <v>0.000980795397772516</v>
      </c>
      <c r="AP162" s="433">
        <f>STDEV(AD103:AD162)*SQRT(12)</f>
        <v>0.0163419873220859</v>
      </c>
      <c r="AQ162" s="628">
        <f>AO162/AP162</f>
        <v>0.0600168987064987</v>
      </c>
    </row>
    <row r="163">
      <c r="N163" s="554">
        <f>Data!A415</f>
        <v>43616.0</v>
      </c>
      <c r="O163" s="433">
        <f>Data!B415/Data!B414-1</f>
        <v>0.0167099291578852</v>
      </c>
      <c r="P163" s="433">
        <f>Data!C415/Data!C414-1</f>
        <v>-0.0410831656166268</v>
      </c>
      <c r="Q163" s="433">
        <f>Data!D415/Data!D414-1</f>
        <v>-0.0508819316424894</v>
      </c>
      <c r="R163" s="433">
        <f>Data!E415/Data!E414-1</f>
        <v>0.0152575175605092</v>
      </c>
      <c r="S163" s="433">
        <f>Data!F415/Data!F414-1</f>
        <v>-0.0675621208577898</v>
      </c>
      <c r="T163" s="433">
        <f>Data!G415/Data!G414-1</f>
        <v>0</v>
      </c>
      <c r="U163" s="433">
        <f>Data!H415/Data!H414-1</f>
        <v>-0.00350000000000017</v>
      </c>
      <c r="V163" s="433">
        <f>Data!I415/Data!I414-1</f>
        <v>0</v>
      </c>
      <c r="W163" s="433">
        <f>Data!J415/Data!J414-1</f>
        <v>0.0169999999999999</v>
      </c>
      <c r="X163" s="433">
        <f>Data!K415/Data!K414-1</f>
        <v>0.0137807766737743</v>
      </c>
      <c r="Y163" s="433">
        <f>Data!L415/Data!L414-1</f>
        <v>0.00150000000000006</v>
      </c>
      <c r="Z163" s="433">
        <f>SUMPRODUCT(O163:Y163,Risk!$B$56:$L$56)</f>
        <v>0.00375055242978155</v>
      </c>
      <c r="AA163" s="433">
        <f>Z163-$B$8/12</f>
        <v>0.00365721909644822</v>
      </c>
      <c r="AB163" s="433">
        <f>SUMPRODUCT(O163:Y163,Risk!$B$57:$L$57)</f>
        <v>-0.00365626616159883</v>
      </c>
      <c r="AC163" s="433">
        <f>AB163-$B$9/12</f>
        <v>-0.00393793282826549</v>
      </c>
      <c r="AD163" s="433">
        <f>AA163-AC163</f>
        <v>0.00759515192471371</v>
      </c>
      <c r="AE163" s="560">
        <f>AE162*(1+AA163)</f>
        <v>2.23882806506286</v>
      </c>
      <c r="AF163" s="560">
        <f>AF162*(1+AC163)</f>
        <v>2.18012290118797</v>
      </c>
      <c r="AG163" s="433">
        <f>AE163/MAX(AE$5:AE163)-1</f>
        <v>0</v>
      </c>
      <c r="AH163" s="433">
        <f>AF163/MAX(AF$5:AF163)-1</f>
        <v>-0.00393793282826549</v>
      </c>
      <c r="AI163" s="620" t="inlineStr"/>
      <c r="AJ163" s="620" t="inlineStr"/>
      <c r="AK163" s="433">
        <f>AE163/AE151-1</f>
        <v>0.106080308575155</v>
      </c>
      <c r="AL163" s="433">
        <f>AF163/AF151-1</f>
        <v>0.0846747830034222</v>
      </c>
      <c r="AM163" s="433">
        <f>(AE163/AE103)^(12/60)-1</f>
        <v>0.0884953834951432</v>
      </c>
      <c r="AN163" s="433">
        <f>(AF163/AF103)^(12/60)-1</f>
        <v>0.0860162885167328</v>
      </c>
      <c r="AO163" s="433">
        <f>AM163-AN163</f>
        <v>0.00247909497841037</v>
      </c>
      <c r="AP163" s="433">
        <f>STDEV(AD104:AD163)*SQRT(12)</f>
        <v>0.0166779792580826</v>
      </c>
      <c r="AQ163" s="628">
        <f>AO163/AP163</f>
        <v>0.148644805227764</v>
      </c>
    </row>
    <row r="164">
      <c r="N164" s="554">
        <f>Data!A416</f>
        <v>43644.0</v>
      </c>
      <c r="O164" s="433">
        <f>Data!B416/Data!B415-1</f>
        <v>0.0343087017227117</v>
      </c>
      <c r="P164" s="433">
        <f>Data!C416/Data!C415-1</f>
        <v>0.0459432682435486</v>
      </c>
      <c r="Q164" s="433">
        <f>Data!D416/Data!D415-1</f>
        <v>0.0335792999772921</v>
      </c>
      <c r="R164" s="433">
        <f>Data!E416/Data!E415-1</f>
        <v>0.00331849619393143</v>
      </c>
      <c r="S164" s="433">
        <f>Data!F416/Data!F415-1</f>
        <v>0.0310598714736792</v>
      </c>
      <c r="T164" s="433">
        <f>Data!G416/Data!G415-1</f>
        <v>-0.0043858185747061</v>
      </c>
      <c r="U164" s="433">
        <f>Data!H416/Data!H415-1</f>
        <v>0.0256000000000001</v>
      </c>
      <c r="V164" s="433">
        <f>Data!I416/Data!I415-1</f>
        <v>0.0422988066825776</v>
      </c>
      <c r="W164" s="433">
        <f>Data!J416/Data!J415-1</f>
        <v>0.0104</v>
      </c>
      <c r="X164" s="433">
        <f>Data!K416/Data!K415-1</f>
        <v>0.012904348231763</v>
      </c>
      <c r="Y164" s="433">
        <f>Data!L416/Data!L415-1</f>
        <v>0.00129999999999986</v>
      </c>
      <c r="Z164" s="433">
        <f>SUMPRODUCT(O164:Y164,Risk!$B$56:$L$56)</f>
        <v>0.0259273318157286</v>
      </c>
      <c r="AA164" s="433">
        <f>Z164-$B$8/12</f>
        <v>0.0258339984823952</v>
      </c>
      <c r="AB164" s="433">
        <f>SUMPRODUCT(O164:Y164,Risk!$B$57:$L$57)</f>
        <v>0.0261965825487331</v>
      </c>
      <c r="AC164" s="433">
        <f>AB164-$B$9/12</f>
        <v>0.0259149158820664</v>
      </c>
      <c r="AD164" s="433">
        <f>AA164-AC164</f>
        <v>-8.09173996711779e-05</v>
      </c>
      <c r="AE164" s="560">
        <f>AE163*(1+AA164)</f>
        <v>2.29666594589804</v>
      </c>
      <c r="AF164" s="560">
        <f>AF163*(1+AC164)</f>
        <v>2.23662060278482</v>
      </c>
      <c r="AG164" s="433">
        <f>AE164/MAX(AE$5:AE164)-1</f>
        <v>0</v>
      </c>
      <c r="AH164" s="433">
        <f>AF164/MAX(AF$5:AF164)-1</f>
        <v>0</v>
      </c>
      <c r="AI164" s="620" t="inlineStr"/>
      <c r="AJ164" s="620" t="inlineStr"/>
      <c r="AK164" s="433">
        <f>AE164/AE152-1</f>
        <v>0.108345256864877</v>
      </c>
      <c r="AL164" s="433">
        <f>AF164/AF152-1</f>
        <v>0.0907304378457938</v>
      </c>
      <c r="AM164" s="433">
        <f>(AE164/AE104)^(12/60)-1</f>
        <v>0.094926462242396</v>
      </c>
      <c r="AN164" s="433">
        <f>(AF164/AF104)^(12/60)-1</f>
        <v>0.0912699798252659</v>
      </c>
      <c r="AO164" s="433">
        <f>AM164-AN164</f>
        <v>0.00365648241713012</v>
      </c>
      <c r="AP164" s="433">
        <f>STDEV(AD105:AD164)*SQRT(12)</f>
        <v>0.0164802252426912</v>
      </c>
      <c r="AQ164" s="628">
        <f>AO164/AP164</f>
        <v>0.221870900626903</v>
      </c>
    </row>
    <row r="165">
      <c r="N165" s="554">
        <f>Data!A417</f>
        <v>43677.0</v>
      </c>
      <c r="O165" s="433">
        <f>Data!B417/Data!B416-1</f>
        <v>0.0295926309514507</v>
      </c>
      <c r="P165" s="433">
        <f>Data!C417/Data!C416-1</f>
        <v>0.0304786399284314</v>
      </c>
      <c r="Q165" s="433">
        <f>Data!D417/Data!D416-1</f>
        <v>0.00893400628529872</v>
      </c>
      <c r="R165" s="433">
        <f>Data!E417/Data!E416-1</f>
        <v>0.0306844372534767</v>
      </c>
      <c r="S165" s="433">
        <f>Data!F417/Data!F416-1</f>
        <v>0.0159794356911691</v>
      </c>
      <c r="T165" s="433">
        <f>Data!G417/Data!G416-1</f>
        <v>0</v>
      </c>
      <c r="U165" s="433">
        <f>Data!H417/Data!H416-1</f>
        <v>0.0114000000000001</v>
      </c>
      <c r="V165" s="433">
        <f>Data!I417/Data!I416-1</f>
        <v>0</v>
      </c>
      <c r="W165" s="433">
        <f>Data!J417/Data!J416-1</f>
        <v>0.00950000000000006</v>
      </c>
      <c r="X165" s="433">
        <f>Data!K417/Data!K416-1</f>
        <v>0.00689340837015617</v>
      </c>
      <c r="Y165" s="433">
        <f>Data!L417/Data!L416-1</f>
        <v>0.00120000000000009</v>
      </c>
      <c r="Z165" s="433">
        <f>SUMPRODUCT(O165:Y165,Risk!$B$56:$L$56)</f>
        <v>0.0230616967612267</v>
      </c>
      <c r="AA165" s="433">
        <f>Z165-$B$8/12</f>
        <v>0.0229683634278934</v>
      </c>
      <c r="AB165" s="433">
        <f>SUMPRODUCT(O165:Y165,Risk!$B$57:$L$57)</f>
        <v>0.0199148257515291</v>
      </c>
      <c r="AC165" s="433">
        <f>AB165-$B$9/12</f>
        <v>0.0196331590848624</v>
      </c>
      <c r="AD165" s="433">
        <f>AA165-AC165</f>
        <v>0.00333520434303096</v>
      </c>
      <c r="AE165" s="560">
        <f>AE164*(1+AA165)</f>
        <v>2.34941660401589</v>
      </c>
      <c r="AF165" s="560">
        <f>AF164*(1+AC165)</f>
        <v>2.28053253089178</v>
      </c>
      <c r="AG165" s="433">
        <f>AE165/MAX(AE$5:AE165)-1</f>
        <v>0</v>
      </c>
      <c r="AH165" s="433">
        <f>AF165/MAX(AF$5:AF165)-1</f>
        <v>0</v>
      </c>
      <c r="AI165" s="620" t="inlineStr"/>
      <c r="AJ165" s="620" t="inlineStr"/>
      <c r="AK165" s="433">
        <f>AE165/AE153-1</f>
        <v>0.122034597429394</v>
      </c>
      <c r="AL165" s="433">
        <f>AF165/AF153-1</f>
        <v>0.101732771107548</v>
      </c>
      <c r="AM165" s="433">
        <f>(AE165/AE105)^(12/60)-1</f>
        <v>0.0950188017474039</v>
      </c>
      <c r="AN165" s="433">
        <f>(AF165/AF105)^(12/60)-1</f>
        <v>0.0920933426203052</v>
      </c>
      <c r="AO165" s="433">
        <f>AM165-AN165</f>
        <v>0.00292545912709863</v>
      </c>
      <c r="AP165" s="433">
        <f>STDEV(AD106:AD165)*SQRT(12)</f>
        <v>0.0162801879716379</v>
      </c>
      <c r="AQ165" s="628">
        <f>AO165/AP165</f>
        <v>0.17969443179619</v>
      </c>
    </row>
    <row r="166">
      <c r="N166" s="554">
        <f>Data!A418</f>
        <v>43707.0</v>
      </c>
      <c r="O166" s="433">
        <f>Data!B418/Data!B417-1</f>
        <v>-0.0221565053872722</v>
      </c>
      <c r="P166" s="433">
        <f>Data!C418/Data!C417-1</f>
        <v>0.00354895729718252</v>
      </c>
      <c r="Q166" s="433">
        <f>Data!D418/Data!D417-1</f>
        <v>-0.00257145339698806</v>
      </c>
      <c r="R166" s="433">
        <f>Data!E418/Data!E417-1</f>
        <v>0.051032913702602</v>
      </c>
      <c r="S166" s="433">
        <f>Data!F418/Data!F417-1</f>
        <v>-0.0345162694765449</v>
      </c>
      <c r="T166" s="433">
        <f>Data!G418/Data!G417-1</f>
        <v>0</v>
      </c>
      <c r="U166" s="433">
        <f>Data!H418/Data!H417-1</f>
        <v>0.0074000000000003</v>
      </c>
      <c r="V166" s="433">
        <f>Data!I418/Data!I417-1</f>
        <v>0</v>
      </c>
      <c r="W166" s="433">
        <f>Data!J418/Data!J417-1</f>
        <v>0.0150999999999999</v>
      </c>
      <c r="X166" s="433">
        <f>Data!K418/Data!K417-1</f>
        <v>0.022032917865437</v>
      </c>
      <c r="Y166" s="433">
        <f>Data!L418/Data!L417-1</f>
        <v>0.000799999999999912</v>
      </c>
      <c r="Z166" s="433">
        <f>SUMPRODUCT(O166:Y166,Risk!$B$56:$L$56)</f>
        <v>0.00103411410402276</v>
      </c>
      <c r="AA166" s="433">
        <f>Z166-$B$8/12</f>
        <v>0.000940780770689428</v>
      </c>
      <c r="AB166" s="433">
        <f>SUMPRODUCT(O166:Y166,Risk!$B$57:$L$57)</f>
        <v>0.00290107933744542</v>
      </c>
      <c r="AC166" s="433">
        <f>AB166-$B$9/12</f>
        <v>0.00261941267077875</v>
      </c>
      <c r="AD166" s="433">
        <f>AA166-AC166</f>
        <v>-0.00167863190008933</v>
      </c>
      <c r="AE166" s="560">
        <f>AE165*(1+AA166)</f>
        <v>2.35162688997928</v>
      </c>
      <c r="AF166" s="560">
        <f>AF165*(1+AC166)</f>
        <v>2.28650618669932</v>
      </c>
      <c r="AG166" s="433">
        <f>AE166/MAX(AE$5:AE166)-1</f>
        <v>0</v>
      </c>
      <c r="AH166" s="433">
        <f>AF166/MAX(AF$5:AF166)-1</f>
        <v>0</v>
      </c>
      <c r="AI166" s="620" t="inlineStr"/>
      <c r="AJ166" s="620" t="inlineStr"/>
      <c r="AK166" s="433">
        <f>AE166/AE154-1</f>
        <v>0.0993259263662871</v>
      </c>
      <c r="AL166" s="433">
        <f>AF166/AF154-1</f>
        <v>0.0828718867662368</v>
      </c>
      <c r="AM166" s="433">
        <f>(AE166/AE106)^(12/60)-1</f>
        <v>0.0926606855685981</v>
      </c>
      <c r="AN166" s="433">
        <f>(AF166/AF106)^(12/60)-1</f>
        <v>0.0901968729349534</v>
      </c>
      <c r="AO166" s="433">
        <f>AM166-AN166</f>
        <v>0.0024638126336447</v>
      </c>
      <c r="AP166" s="433">
        <f>STDEV(AD107:AD166)*SQRT(12)</f>
        <v>0.0163035854514149</v>
      </c>
      <c r="AQ166" s="628">
        <f>AO166/AP166</f>
        <v>0.151120907789696</v>
      </c>
    </row>
    <row r="167">
      <c r="N167" s="554">
        <f>Data!A419</f>
        <v>43738.0</v>
      </c>
      <c r="O167" s="433">
        <f>Data!B419/Data!B418-1</f>
        <v>0.0212843112309817</v>
      </c>
      <c r="P167" s="433">
        <f>Data!C419/Data!C418-1</f>
        <v>0.0228016830210724</v>
      </c>
      <c r="Q167" s="433">
        <f>Data!D419/Data!D418-1</f>
        <v>0.0139797693864692</v>
      </c>
      <c r="R167" s="433">
        <f>Data!E419/Data!E418-1</f>
        <v>0.027333771485796</v>
      </c>
      <c r="S167" s="433">
        <f>Data!F419/Data!F418-1</f>
        <v>0.0164354379034077</v>
      </c>
      <c r="T167" s="433">
        <f>Data!G419/Data!G418-1</f>
        <v>0.0275546652213543</v>
      </c>
      <c r="U167" s="433">
        <f>Data!H419/Data!H418-1</f>
        <v>0.0118</v>
      </c>
      <c r="V167" s="433">
        <f>Data!I419/Data!I418-1</f>
        <v>0.012899703977256</v>
      </c>
      <c r="W167" s="433">
        <f>Data!J419/Data!J418-1</f>
        <v>-0.00490000000000002</v>
      </c>
      <c r="X167" s="433">
        <f>Data!K419/Data!K418-1</f>
        <v>-0.00555452469511641</v>
      </c>
      <c r="Y167" s="433">
        <f>Data!L419/Data!L418-1</f>
        <v>0.000799999999999912</v>
      </c>
      <c r="Z167" s="433">
        <f>SUMPRODUCT(O167:Y167,Risk!$B$56:$L$56)</f>
        <v>0.0146840762695775</v>
      </c>
      <c r="AA167" s="433">
        <f>Z167-$B$8/12</f>
        <v>0.0145907429362441</v>
      </c>
      <c r="AB167" s="433">
        <f>SUMPRODUCT(O167:Y167,Risk!$B$57:$L$57)</f>
        <v>0.0143006742403934</v>
      </c>
      <c r="AC167" s="433">
        <f>AB167-$B$9/12</f>
        <v>0.0140190075737267</v>
      </c>
      <c r="AD167" s="433">
        <f>AA167-AC167</f>
        <v>0.000571735362517438</v>
      </c>
      <c r="AE167" s="560">
        <f>AE166*(1+AA167)</f>
        <v>2.38593887341293</v>
      </c>
      <c r="AF167" s="560">
        <f>AF166*(1+AC167)</f>
        <v>2.31856073424803</v>
      </c>
      <c r="AG167" s="433">
        <f>AE167/MAX(AE$5:AE167)-1</f>
        <v>0</v>
      </c>
      <c r="AH167" s="433">
        <f>AF167/MAX(AF$5:AF167)-1</f>
        <v>0</v>
      </c>
      <c r="AI167" s="620" t="inlineStr"/>
      <c r="AJ167" s="620" t="inlineStr"/>
      <c r="AK167" s="433">
        <f>AE167/AE155-1</f>
        <v>0.121981462975746</v>
      </c>
      <c r="AL167" s="433">
        <f>AF167/AF155-1</f>
        <v>0.101396102512269</v>
      </c>
      <c r="AM167" s="433">
        <f>(AE167/AE107)^(12/60)-1</f>
        <v>0.0975842138694376</v>
      </c>
      <c r="AN167" s="433">
        <f>(AF167/AF107)^(12/60)-1</f>
        <v>0.0920414527012967</v>
      </c>
      <c r="AO167" s="433">
        <f>AM167-AN167</f>
        <v>0.0055427611681409</v>
      </c>
      <c r="AP167" s="433">
        <f>STDEV(AD108:AD167)*SQRT(12)</f>
        <v>0.0150675595813672</v>
      </c>
      <c r="AQ167" s="628">
        <f>AO167/AP167</f>
        <v>0.367860577435191</v>
      </c>
    </row>
    <row r="168">
      <c r="N168" s="554">
        <f>Data!A420</f>
        <v>43769.0</v>
      </c>
      <c r="O168" s="433">
        <f>Data!B420/Data!B419-1</f>
        <v>-0.00370587978732551</v>
      </c>
      <c r="P168" s="433">
        <f>Data!C420/Data!C419-1</f>
        <v>-0.00238886112365566</v>
      </c>
      <c r="Q168" s="433">
        <f>Data!D420/Data!D419-1</f>
        <v>0.00838437281849047</v>
      </c>
      <c r="R168" s="433">
        <f>Data!E420/Data!E419-1</f>
        <v>-0.00366710665016667</v>
      </c>
      <c r="S168" s="433">
        <f>Data!F420/Data!F419-1</f>
        <v>-0.008861839533438</v>
      </c>
      <c r="T168" s="433">
        <f>Data!G420/Data!G419-1</f>
        <v>0</v>
      </c>
      <c r="U168" s="433">
        <f>Data!H420/Data!H419-1</f>
        <v>-0.00969999999999993</v>
      </c>
      <c r="V168" s="433">
        <f>Data!I420/Data!I419-1</f>
        <v>0</v>
      </c>
      <c r="W168" s="433">
        <f>Data!J420/Data!J419-1</f>
        <v>-0.00490000000000002</v>
      </c>
      <c r="X168" s="433">
        <f>Data!K420/Data!K419-1</f>
        <v>-0.00280918366772875</v>
      </c>
      <c r="Y168" s="433">
        <f>Data!L420/Data!L419-1</f>
        <v>0.000799999999999912</v>
      </c>
      <c r="Z168" s="433">
        <f>SUMPRODUCT(O168:Y168,Risk!$B$56:$L$56)</f>
        <v>-0.00323056949809631</v>
      </c>
      <c r="AA168" s="433">
        <f>Z168-$B$8/12</f>
        <v>-0.00332390283142964</v>
      </c>
      <c r="AB168" s="433">
        <f>SUMPRODUCT(O168:Y168,Risk!$B$57:$L$57)</f>
        <v>-0.00294420989158461</v>
      </c>
      <c r="AC168" s="433">
        <f>AB168-$B$9/12</f>
        <v>-0.00322587655825128</v>
      </c>
      <c r="AD168" s="433">
        <f>AA168-AC168</f>
        <v>-9.80262731783634e-05</v>
      </c>
      <c r="AE168" s="560">
        <f>AE167*(1+AA168)</f>
        <v>2.37800824443598</v>
      </c>
      <c r="AF168" s="560">
        <f>AF167*(1+AC168)</f>
        <v>2.31108134352654</v>
      </c>
      <c r="AG168" s="433">
        <f>AE168/MAX(AE$5:AE168)-1</f>
        <v>-0.00332390283142969</v>
      </c>
      <c r="AH168" s="433">
        <f>AF168/MAX(AF$5:AF168)-1</f>
        <v>-0.00322587655825124</v>
      </c>
      <c r="AI168" s="620" t="inlineStr"/>
      <c r="AJ168" s="620" t="inlineStr"/>
      <c r="AK168" s="433">
        <f>AE168/AE156-1</f>
        <v>0.159602605448795</v>
      </c>
      <c r="AL168" s="433">
        <f>AF168/AF156-1</f>
        <v>0.132266539582956</v>
      </c>
      <c r="AM168" s="433">
        <f>(AE168/AE108)^(12/60)-1</f>
        <v>0.0911071404067598</v>
      </c>
      <c r="AN168" s="433">
        <f>(AF168/AF108)^(12/60)-1</f>
        <v>0.0874488471861679</v>
      </c>
      <c r="AO168" s="433">
        <f>AM168-AN168</f>
        <v>0.00365829322059197</v>
      </c>
      <c r="AP168" s="433">
        <f>STDEV(AD109:AD168)*SQRT(12)</f>
        <v>0.0146080315740934</v>
      </c>
      <c r="AQ168" s="628">
        <f>AO168/AP168</f>
        <v>0.250430265161787</v>
      </c>
    </row>
    <row r="169">
      <c r="N169" s="554">
        <f>Data!A421</f>
        <v>43798.0</v>
      </c>
      <c r="O169" s="433">
        <f>Data!B421/Data!B420-1</f>
        <v>0.0307394173796256</v>
      </c>
      <c r="P169" s="433">
        <f>Data!C421/Data!C420-1</f>
        <v>0.0511348503041722</v>
      </c>
      <c r="Q169" s="433">
        <f>Data!D421/Data!D420-1</f>
        <v>0.0245730503921784</v>
      </c>
      <c r="R169" s="433">
        <f>Data!E421/Data!E420-1</f>
        <v>0.0102204846652998</v>
      </c>
      <c r="S169" s="433">
        <f>Data!F421/Data!F420-1</f>
        <v>0.0184267346647353</v>
      </c>
      <c r="T169" s="433">
        <f>Data!G421/Data!G420-1</f>
        <v>0</v>
      </c>
      <c r="U169" s="433">
        <f>Data!H421/Data!H420-1</f>
        <v>0.0193000000000001</v>
      </c>
      <c r="V169" s="433">
        <f>Data!I421/Data!I420-1</f>
        <v>0</v>
      </c>
      <c r="W169" s="433">
        <f>Data!J421/Data!J420-1</f>
        <v>0.00819999999999999</v>
      </c>
      <c r="X169" s="433">
        <f>Data!K421/Data!K420-1</f>
        <v>-0.0020075110060499</v>
      </c>
      <c r="Y169" s="433">
        <f>Data!L421/Data!L420-1</f>
        <v>0.000799999999999912</v>
      </c>
      <c r="Z169" s="433">
        <f>SUMPRODUCT(O169:Y169,Risk!$B$56:$L$56)</f>
        <v>0.0246701845987307</v>
      </c>
      <c r="AA169" s="433">
        <f>Z169-$B$8/12</f>
        <v>0.0245768512653973</v>
      </c>
      <c r="AB169" s="433">
        <f>SUMPRODUCT(O169:Y169,Risk!$B$57:$L$57)</f>
        <v>0.0233085523388733</v>
      </c>
      <c r="AC169" s="433">
        <f>AB169-$B$9/12</f>
        <v>0.0230268856722066</v>
      </c>
      <c r="AD169" s="433">
        <f>AA169-AC169</f>
        <v>0.00154996559319071</v>
      </c>
      <c r="AE169" s="560">
        <f>AE168*(1+AA169)</f>
        <v>2.43645219936737</v>
      </c>
      <c r="AF169" s="560">
        <f>AF168*(1+AC169)</f>
        <v>2.36429834940309</v>
      </c>
      <c r="AG169" s="433">
        <f>AE169/MAX(AE$5:AE169)-1</f>
        <v>0</v>
      </c>
      <c r="AH169" s="433">
        <f>AF169/MAX(AF$5:AF169)-1</f>
        <v>0</v>
      </c>
      <c r="AI169" s="620" t="inlineStr"/>
      <c r="AJ169" s="620" t="inlineStr"/>
      <c r="AK169" s="433">
        <f>AE169/AE157-1</f>
        <v>0.201922251210303</v>
      </c>
      <c r="AL169" s="433">
        <f>AF169/AF157-1</f>
        <v>0.172147669120325</v>
      </c>
      <c r="AM169" s="433">
        <f>(AE169/AE109)^(12/60)-1</f>
        <v>0.0947270150846351</v>
      </c>
      <c r="AN169" s="433">
        <f>(AF169/AF109)^(12/60)-1</f>
        <v>0.0896532298501176</v>
      </c>
      <c r="AO169" s="433">
        <f>AM169-AN169</f>
        <v>0.00507378523451751</v>
      </c>
      <c r="AP169" s="433">
        <f>STDEV(AD110:AD169)*SQRT(12)</f>
        <v>0.0144161008350305</v>
      </c>
      <c r="AQ169" s="628">
        <f>AO169/AP169</f>
        <v>0.351952673790158</v>
      </c>
    </row>
    <row r="170">
      <c r="N170" s="554">
        <f>Data!A422</f>
        <v>43830.0</v>
      </c>
      <c r="O170" s="433">
        <f>Data!B422/Data!B421-1</f>
        <v>-0.0189555608714518</v>
      </c>
      <c r="P170" s="433">
        <f>Data!C422/Data!C421-1</f>
        <v>-0.0155120814557734</v>
      </c>
      <c r="Q170" s="433">
        <f>Data!D422/Data!D421-1</f>
        <v>0.0180441635457964</v>
      </c>
      <c r="R170" s="433">
        <f>Data!E422/Data!E421-1</f>
        <v>-0.0456427423684717</v>
      </c>
      <c r="S170" s="433">
        <f>Data!F422/Data!F421-1</f>
        <v>0.0294707548725022</v>
      </c>
      <c r="T170" s="433">
        <f>Data!G422/Data!G421-1</f>
        <v>0.042219542750912</v>
      </c>
      <c r="U170" s="433">
        <f>Data!H422/Data!H421-1</f>
        <v>0.0053000000000003</v>
      </c>
      <c r="V170" s="433">
        <f>Data!I422/Data!I421-1</f>
        <v>0.0220998072144478</v>
      </c>
      <c r="W170" s="433">
        <f>Data!J422/Data!J421-1</f>
        <v>-0.0164</v>
      </c>
      <c r="X170" s="433">
        <f>Data!K422/Data!K421-1</f>
        <v>-0.00283312809564218</v>
      </c>
      <c r="Y170" s="433">
        <f>Data!L422/Data!L421-1</f>
        <v>0.000699999999999923</v>
      </c>
      <c r="Z170" s="433">
        <f>SUMPRODUCT(O170:Y170,Risk!$B$56:$L$56)</f>
        <v>-0.0178865651242339</v>
      </c>
      <c r="AA170" s="433">
        <f>Z170-$B$8/12</f>
        <v>-0.0179798984575673</v>
      </c>
      <c r="AB170" s="433">
        <f>SUMPRODUCT(O170:Y170,Risk!$B$57:$L$57)</f>
        <v>-0.0101797144657592</v>
      </c>
      <c r="AC170" s="433">
        <f>AB170-$B$9/12</f>
        <v>-0.0104613811324259</v>
      </c>
      <c r="AD170" s="433">
        <f>AA170-AC170</f>
        <v>-0.00751851732514136</v>
      </c>
      <c r="AE170" s="560">
        <f>AE169*(1+AA170)</f>
        <v>2.39264503622603</v>
      </c>
      <c r="AF170" s="560">
        <f>AF169*(1+AC170)</f>
        <v>2.33956452325922</v>
      </c>
      <c r="AG170" s="433">
        <f>AE170/MAX(AE$5:AE170)-1</f>
        <v>-0.0179798984575673</v>
      </c>
      <c r="AH170" s="433">
        <f>AF170/MAX(AF$5:AF170)-1</f>
        <v>-0.010461381132426</v>
      </c>
      <c r="AI170" s="620" t="inlineStr"/>
      <c r="AJ170" s="620" t="inlineStr"/>
      <c r="AK170" s="433">
        <f>AE170/AE158-1</f>
        <v>0.191607604562797</v>
      </c>
      <c r="AL170" s="433">
        <f>AF170/AF158-1</f>
        <v>0.173408085430824</v>
      </c>
      <c r="AM170" s="433">
        <f>(AE170/AE110)^(12/60)-1</f>
        <v>0.0855988432349144</v>
      </c>
      <c r="AN170" s="433">
        <f>(AF170/AF110)^(12/60)-1</f>
        <v>0.0825450326890209</v>
      </c>
      <c r="AO170" s="433">
        <f>AM170-AN170</f>
        <v>0.00305381054589349</v>
      </c>
      <c r="AP170" s="433">
        <f>STDEV(AD111:AD170)*SQRT(12)</f>
        <v>0.0148387518588527</v>
      </c>
      <c r="AQ170" s="628">
        <f>AO170/AP170</f>
        <v>0.205799690899987</v>
      </c>
    </row>
    <row r="171">
      <c r="N171" s="554">
        <f>Data!A423</f>
        <v>43861.0</v>
      </c>
      <c r="O171" s="433">
        <f>Data!B423/Data!B422-1</f>
        <v>0.0468646987012291</v>
      </c>
      <c r="P171" s="433">
        <f>Data!C423/Data!C422-1</f>
        <v>0.0476965781140672</v>
      </c>
      <c r="Q171" s="433">
        <f>Data!D423/Data!D422-1</f>
        <v>0.0155250389262036</v>
      </c>
      <c r="R171" s="433">
        <f>Data!E423/Data!E422-1</f>
        <v>0.0645248064594586</v>
      </c>
      <c r="S171" s="433">
        <f>Data!F423/Data!F422-1</f>
        <v>-0.0636250470264255</v>
      </c>
      <c r="T171" s="433">
        <f>Data!G423/Data!G422-1</f>
        <v>0</v>
      </c>
      <c r="U171" s="433">
        <f>Data!H423/Data!H422-1</f>
        <v>0.0548420442891626</v>
      </c>
      <c r="V171" s="433">
        <f>Data!I423/Data!I422-1</f>
        <v>0</v>
      </c>
      <c r="W171" s="433">
        <f>Data!J423/Data!J422-1</f>
        <v>0.0256918575836544</v>
      </c>
      <c r="X171" s="433">
        <f>Data!K423/Data!K422-1</f>
        <v>0.0176481210896216</v>
      </c>
      <c r="Y171" s="433">
        <f>Data!L423/Data!L422-1</f>
        <v>0.000817020871279661</v>
      </c>
      <c r="Z171" s="433">
        <f>SUMPRODUCT(O171:Y171,Risk!$B$56:$L$56)</f>
        <v>0.0400604955349584</v>
      </c>
      <c r="AA171" s="433">
        <f>Z171-$B$8/12</f>
        <v>0.0399671622016251</v>
      </c>
      <c r="AB171" s="433">
        <f>SUMPRODUCT(O171:Y171,Risk!$B$57:$L$57)</f>
        <v>0.0340812654384864</v>
      </c>
      <c r="AC171" s="433">
        <f>AB171-$B$9/12</f>
        <v>0.0337995987718197</v>
      </c>
      <c r="AD171" s="433">
        <f>AA171-AC171</f>
        <v>0.00616756342980537</v>
      </c>
      <c r="AE171" s="560">
        <f>AE170*(1+AA171)</f>
        <v>2.48827226847978</v>
      </c>
      <c r="AF171" s="560">
        <f>AF170*(1+AC171)</f>
        <v>2.41864086544617</v>
      </c>
      <c r="AG171" s="433">
        <f>AE171/MAX(AE$5:AE171)-1</f>
        <v>0</v>
      </c>
      <c r="AH171" s="433">
        <f>AF171/MAX(AF$5:AF171)-1</f>
        <v>0</v>
      </c>
      <c r="AI171" s="620" t="inlineStr"/>
      <c r="AJ171" s="620" t="inlineStr"/>
      <c r="AK171" s="433">
        <f>AE171/AE159-1</f>
        <v>0.201651192616396</v>
      </c>
      <c r="AL171" s="433">
        <f>AF171/AF159-1</f>
        <v>0.18118825256101</v>
      </c>
      <c r="AM171" s="433">
        <f>(AE171/AE111)^(12/60)-1</f>
        <v>0.0861125947348578</v>
      </c>
      <c r="AN171" s="433">
        <f>(AF171/AF111)^(12/60)-1</f>
        <v>0.0827670732948258</v>
      </c>
      <c r="AO171" s="433">
        <f>AM171-AN171</f>
        <v>0.00334552144003197</v>
      </c>
      <c r="AP171" s="433">
        <f>STDEV(AD112:AD171)*SQRT(12)</f>
        <v>0.0149373750522205</v>
      </c>
      <c r="AQ171" s="628">
        <f>AO171/AP171</f>
        <v>0.223969835954187</v>
      </c>
    </row>
    <row r="172">
      <c r="N172" s="554">
        <f>Data!A424</f>
        <v>43889.0</v>
      </c>
      <c r="O172" s="433">
        <f>Data!B424/Data!B423-1</f>
        <v>-0.0807810847082391</v>
      </c>
      <c r="P172" s="433">
        <f>Data!C424/Data!C423-1</f>
        <v>-0.0453077842209889</v>
      </c>
      <c r="Q172" s="433">
        <f>Data!D424/Data!D423-1</f>
        <v>-0.00144859533233521</v>
      </c>
      <c r="R172" s="433">
        <f>Data!E424/Data!E423-1</f>
        <v>-0.0414306982161083</v>
      </c>
      <c r="S172" s="433">
        <f>Data!F424/Data!F423-1</f>
        <v>-0.0487968593500108</v>
      </c>
      <c r="T172" s="433">
        <f>Data!G424/Data!G423-1</f>
        <v>0</v>
      </c>
      <c r="U172" s="433">
        <f>Data!H424/Data!H423-1</f>
        <v>0.0228140707143092</v>
      </c>
      <c r="V172" s="433">
        <f>Data!I424/Data!I423-1</f>
        <v>0</v>
      </c>
      <c r="W172" s="433">
        <f>Data!J424/Data!J423-1</f>
        <v>0.00933142132718157</v>
      </c>
      <c r="X172" s="433">
        <f>Data!K424/Data!K423-1</f>
        <v>0.0140900525306429</v>
      </c>
      <c r="Y172" s="433">
        <f>Data!L424/Data!L423-1</f>
        <v>0.000750741589721882</v>
      </c>
      <c r="Z172" s="433">
        <f>SUMPRODUCT(O172:Y172,Risk!$B$56:$L$56)</f>
        <v>-0.0429375912362951</v>
      </c>
      <c r="AA172" s="433">
        <f>Z172-$B$8/12</f>
        <v>-0.0430309245696284</v>
      </c>
      <c r="AB172" s="433">
        <f>SUMPRODUCT(O172:Y172,Risk!$B$57:$L$57)</f>
        <v>-0.0314254341788979</v>
      </c>
      <c r="AC172" s="433">
        <f>AB172-$B$9/12</f>
        <v>-0.0317071008455646</v>
      </c>
      <c r="AD172" s="433">
        <f>AA172-AC172</f>
        <v>-0.0113238237240638</v>
      </c>
      <c r="AE172" s="560">
        <f>AE171*(1+AA172)</f>
        <v>2.38119961218613</v>
      </c>
      <c r="AF172" s="560">
        <f>AF171*(1+AC172)</f>
        <v>2.34195277561626</v>
      </c>
      <c r="AG172" s="433">
        <f>AE172/MAX(AE$5:AE172)-1</f>
        <v>-0.0430309245696284</v>
      </c>
      <c r="AH172" s="433">
        <f>AF172/MAX(AF$5:AF172)-1</f>
        <v>-0.0317071008455645</v>
      </c>
      <c r="AI172" s="620" t="inlineStr"/>
      <c r="AJ172" s="620" t="inlineStr"/>
      <c r="AK172" s="433">
        <f>AE172/AE160-1</f>
        <v>0.105084330359208</v>
      </c>
      <c r="AL172" s="433">
        <f>AF172/AF160-1</f>
        <v>0.104978803820918</v>
      </c>
      <c r="AM172" s="433">
        <f>(AE172/AE112)^(12/60)-1</f>
        <v>0.0688442400007963</v>
      </c>
      <c r="AN172" s="433">
        <f>(AF172/AF112)^(12/60)-1</f>
        <v>0.0693221351310414</v>
      </c>
      <c r="AO172" s="433">
        <f>AM172-AN172</f>
        <v>-0.000477895130245098</v>
      </c>
      <c r="AP172" s="433">
        <f>STDEV(AD113:AD172)*SQRT(12)</f>
        <v>0.0155837915311433</v>
      </c>
      <c r="AQ172" s="628">
        <f>AO172/AP172</f>
        <v>-0.0306661655021534</v>
      </c>
    </row>
    <row r="173">
      <c r="N173" s="554">
        <f>Data!A425</f>
        <v>43921.0</v>
      </c>
      <c r="O173" s="433">
        <f>Data!B425/Data!B424-1</f>
        <v>-0.209423775291239</v>
      </c>
      <c r="P173" s="433">
        <f>Data!C425/Data!C424-1</f>
        <v>-0.0811152595651371</v>
      </c>
      <c r="Q173" s="433">
        <f>Data!D425/Data!D424-1</f>
        <v>-0.0828373952220654</v>
      </c>
      <c r="R173" s="433">
        <f>Data!E425/Data!E424-1</f>
        <v>-0.183149947477981</v>
      </c>
      <c r="S173" s="433">
        <f>Data!F425/Data!F424-1</f>
        <v>-0.256547818821296</v>
      </c>
      <c r="T173" s="433">
        <f>Data!G425/Data!G424-1</f>
        <v>0.0190755403801093</v>
      </c>
      <c r="U173" s="433">
        <f>Data!H425/Data!H424-1</f>
        <v>0.0443732399161405</v>
      </c>
      <c r="V173" s="433">
        <f>Data!I425/Data!I424-1</f>
        <v>-0.0646004890598516</v>
      </c>
      <c r="W173" s="433">
        <f>Data!J425/Data!J424-1</f>
        <v>-0.00207994699753655</v>
      </c>
      <c r="X173" s="433">
        <f>Data!K425/Data!K424-1</f>
        <v>-0.00135079956539985</v>
      </c>
      <c r="Y173" s="433">
        <f>Data!L425/Data!L424-1</f>
        <v>0.000991342774463888</v>
      </c>
      <c r="Z173" s="433">
        <f>SUMPRODUCT(O173:Y173,Risk!$B$56:$L$56)</f>
        <v>-0.118658218797971</v>
      </c>
      <c r="AA173" s="433">
        <f>Z173-$B$8/12</f>
        <v>-0.118751552131305</v>
      </c>
      <c r="AB173" s="433">
        <f>SUMPRODUCT(O173:Y173,Risk!$B$57:$L$57)</f>
        <v>-0.0923232613789104</v>
      </c>
      <c r="AC173" s="433">
        <f>AB173-$B$9/12</f>
        <v>-0.092604928045577</v>
      </c>
      <c r="AD173" s="433">
        <f>AA173-AC173</f>
        <v>-0.0261466240857276</v>
      </c>
      <c r="AE173" s="560">
        <f>AE172*(1+AA173)</f>
        <v>2.09842846230457</v>
      </c>
      <c r="AF173" s="560">
        <f>AF172*(1+AC173)</f>
        <v>2.12507640734418</v>
      </c>
      <c r="AG173" s="433">
        <f>AE173/MAX(AE$5:AE173)-1</f>
        <v>-0.156672487618645</v>
      </c>
      <c r="AH173" s="433">
        <f>AF173/MAX(AF$5:AF173)-1</f>
        <v>-0.121375795098804</v>
      </c>
      <c r="AI173" s="620" t="inlineStr"/>
      <c r="AJ173" s="620" t="inlineStr"/>
      <c r="AK173" s="433">
        <f>AE173/AE161-1</f>
        <v>-0.0396535127257636</v>
      </c>
      <c r="AL173" s="433">
        <f>AF173/AF161-1</f>
        <v>-0.0100530618471072</v>
      </c>
      <c r="AM173" s="433">
        <f>(AE173/AE113)^(12/60)-1</f>
        <v>0.0402353265790563</v>
      </c>
      <c r="AN173" s="433">
        <f>(AF173/AF113)^(12/60)-1</f>
        <v>0.0461927978378633</v>
      </c>
      <c r="AO173" s="433">
        <f>AM173-AN173</f>
        <v>-0.00595747125880708</v>
      </c>
      <c r="AP173" s="433">
        <f>STDEV(AD114:AD173)*SQRT(12)</f>
        <v>0.0194561720189288</v>
      </c>
      <c r="AQ173" s="628">
        <f>AO173/AP173</f>
        <v>-0.306199557292723</v>
      </c>
    </row>
    <row r="174">
      <c r="N174" s="554">
        <f>Data!A426</f>
        <v>43951.0</v>
      </c>
      <c r="O174" s="433">
        <f>Data!B426/Data!B425-1</f>
        <v>0.0954231191963519</v>
      </c>
      <c r="P174" s="433">
        <f>Data!C426/Data!C425-1</f>
        <v>0.0336254724967715</v>
      </c>
      <c r="Q174" s="433">
        <f>Data!D426/Data!D425-1</f>
        <v>0.0172728413394203</v>
      </c>
      <c r="R174" s="433">
        <f>Data!E426/Data!E425-1</f>
        <v>0.00180678788228095</v>
      </c>
      <c r="S174" s="433">
        <f>Data!F426/Data!F425-1</f>
        <v>-0.155559234937235</v>
      </c>
      <c r="T174" s="433">
        <f>Data!G426/Data!G425-1</f>
        <v>0</v>
      </c>
      <c r="U174" s="433">
        <f>Data!H426/Data!H425-1</f>
        <v>-0.121048254194594</v>
      </c>
      <c r="V174" s="433">
        <f>Data!I426/Data!I425-1</f>
        <v>0</v>
      </c>
      <c r="W174" s="433">
        <f>Data!J426/Data!J425-1</f>
        <v>-0.00128594961978312</v>
      </c>
      <c r="X174" s="433">
        <f>Data!K426/Data!K425-1</f>
        <v>0.00742620739823674</v>
      </c>
      <c r="Y174" s="433">
        <f>Data!L426/Data!L425-1</f>
        <v>0.000487633368977836</v>
      </c>
      <c r="Z174" s="433">
        <f>SUMPRODUCT(O174:Y174,Risk!$B$56:$L$56)</f>
        <v>0.0455103594508431</v>
      </c>
      <c r="AA174" s="433">
        <f>Z174-$B$8/12</f>
        <v>0.0454170261175098</v>
      </c>
      <c r="AB174" s="433">
        <f>SUMPRODUCT(O174:Y174,Risk!$B$57:$L$57)</f>
        <v>0.0264794001337787</v>
      </c>
      <c r="AC174" s="433">
        <f>AB174-$B$9/12</f>
        <v>0.026197733467112</v>
      </c>
      <c r="AD174" s="433">
        <f>AA174-AC174</f>
        <v>0.0192192926503978</v>
      </c>
      <c r="AE174" s="560">
        <f>AE173*(1+AA174)</f>
        <v>2.19373284258278</v>
      </c>
      <c r="AF174" s="560">
        <f>AF173*(1+AC174)</f>
        <v>2.18074859266103</v>
      </c>
      <c r="AG174" s="433">
        <f>AE174/MAX(AE$5:AE174)-1</f>
        <v>-0.118371059963206</v>
      </c>
      <c r="AH174" s="433">
        <f>AF174/MAX(AF$5:AF174)-1</f>
        <v>-0.0983578323610496</v>
      </c>
      <c r="AI174" s="620" t="inlineStr"/>
      <c r="AJ174" s="620" t="inlineStr"/>
      <c r="AK174" s="433">
        <f>AE174/AE162-1</f>
        <v>-0.0165587797536547</v>
      </c>
      <c r="AL174" s="433">
        <f>AF174/AF162-1</f>
        <v>-0.00365206475095325</v>
      </c>
      <c r="AM174" s="433">
        <f>(AE174/AE114)^(12/60)-1</f>
        <v>0.05350884851655</v>
      </c>
      <c r="AN174" s="433">
        <f>(AF174/AF114)^(12/60)-1</f>
        <v>0.0543897565774458</v>
      </c>
      <c r="AO174" s="433">
        <f>AM174-AN174</f>
        <v>-0.000880908060895802</v>
      </c>
      <c r="AP174" s="433">
        <f>STDEV(AD115:AD174)*SQRT(12)</f>
        <v>0.0211792496482793</v>
      </c>
      <c r="AQ174" s="628">
        <f>AO174/AP174</f>
        <v>-0.0415929778214485</v>
      </c>
    </row>
    <row r="175">
      <c r="N175" s="554">
        <f>Data!A427</f>
        <v>43980.0</v>
      </c>
      <c r="O175" s="433">
        <f>Data!B427/Data!B426-1</f>
        <v>0.0503718865743859</v>
      </c>
      <c r="P175" s="433">
        <f>Data!C427/Data!C426-1</f>
        <v>0.0335130688411811</v>
      </c>
      <c r="Q175" s="433">
        <f>Data!D427/Data!D426-1</f>
        <v>-0.00724190764367361</v>
      </c>
      <c r="R175" s="433">
        <f>Data!E427/Data!E426-1</f>
        <v>-0.00448645755703825</v>
      </c>
      <c r="S175" s="433">
        <f>Data!F427/Data!F426-1</f>
        <v>0.147777465471334</v>
      </c>
      <c r="T175" s="433">
        <f>Data!G427/Data!G426-1</f>
        <v>0</v>
      </c>
      <c r="U175" s="433">
        <f>Data!H427/Data!H426-1</f>
        <v>0.0236733288235729</v>
      </c>
      <c r="V175" s="433">
        <f>Data!I427/Data!I426-1</f>
        <v>0</v>
      </c>
      <c r="W175" s="433">
        <f>Data!J427/Data!J426-1</f>
        <v>0.0029270388326359</v>
      </c>
      <c r="X175" s="433">
        <f>Data!K427/Data!K426-1</f>
        <v>-0.000192550533686164</v>
      </c>
      <c r="Y175" s="433">
        <f>Data!L427/Data!L426-1</f>
        <v>8.53339964401734e-05</v>
      </c>
      <c r="Z175" s="433">
        <f>SUMPRODUCT(O175:Y175,Risk!$B$56:$L$56)</f>
        <v>0.026832347804238</v>
      </c>
      <c r="AA175" s="433">
        <f>Z175-$B$8/12</f>
        <v>0.0267390144709047</v>
      </c>
      <c r="AB175" s="433">
        <f>SUMPRODUCT(O175:Y175,Risk!$B$57:$L$57)</f>
        <v>0.0241617129790677</v>
      </c>
      <c r="AC175" s="433">
        <f>AB175-$B$9/12</f>
        <v>0.023880046312401</v>
      </c>
      <c r="AD175" s="433">
        <f>AA175-AC175</f>
        <v>0.00285896815850372</v>
      </c>
      <c r="AE175" s="560">
        <f>AE174*(1+AA175)</f>
        <v>2.2523910968059</v>
      </c>
      <c r="AF175" s="560">
        <f>AF174*(1+AC175)</f>
        <v>2.23282497004948</v>
      </c>
      <c r="AG175" s="433">
        <f>AE175/MAX(AE$5:AE175)-1</f>
        <v>-0.0947971709775938</v>
      </c>
      <c r="AH175" s="433">
        <f>AF175/MAX(AF$5:AF175)-1</f>
        <v>-0.0768265756406179</v>
      </c>
      <c r="AI175" s="620" t="inlineStr"/>
      <c r="AJ175" s="620" t="inlineStr"/>
      <c r="AK175" s="433">
        <f>AE175/AE163-1</f>
        <v>0.00605809439085414</v>
      </c>
      <c r="AL175" s="433">
        <f>AF175/AF163-1</f>
        <v>0.0241738981012445</v>
      </c>
      <c r="AM175" s="433">
        <f>(AE175/AE115)^(12/60)-1</f>
        <v>0.0561882931221587</v>
      </c>
      <c r="AN175" s="433">
        <f>(AF175/AF115)^(12/60)-1</f>
        <v>0.0564703507107704</v>
      </c>
      <c r="AO175" s="433">
        <f>AM175-AN175</f>
        <v>-0.000282057588611773</v>
      </c>
      <c r="AP175" s="433">
        <f>STDEV(AD116:AD175)*SQRT(12)</f>
        <v>0.0212162496639812</v>
      </c>
      <c r="AQ175" s="628">
        <f>AO175/AP175</f>
        <v>-0.0132944131540185</v>
      </c>
    </row>
    <row r="176">
      <c r="N176" s="554">
        <f>Data!A428</f>
        <v>44012.0</v>
      </c>
      <c r="O176" s="433">
        <f>Data!B428/Data!B427-1</f>
        <v>0.0233831264349262</v>
      </c>
      <c r="P176" s="433">
        <f>Data!C428/Data!C427-1</f>
        <v>-0.0126838098835058</v>
      </c>
      <c r="Q176" s="433">
        <f>Data!D428/Data!D427-1</f>
        <v>0.0285230909555883</v>
      </c>
      <c r="R176" s="433">
        <f>Data!E428/Data!E427-1</f>
        <v>-0.0153210820346228</v>
      </c>
      <c r="S176" s="433">
        <f>Data!F428/Data!F427-1</f>
        <v>0.013205743590647</v>
      </c>
      <c r="T176" s="433">
        <f>Data!G428/Data!G427-1</f>
        <v>-0.0148856976573047</v>
      </c>
      <c r="U176" s="433">
        <f>Data!H428/Data!H427-1</f>
        <v>-0.00204954471671925</v>
      </c>
      <c r="V176" s="433">
        <f>Data!I428/Data!I427-1</f>
        <v>0.0360007263702673</v>
      </c>
      <c r="W176" s="433">
        <f>Data!J428/Data!J427-1</f>
        <v>0.00320810417401929</v>
      </c>
      <c r="X176" s="433">
        <f>Data!K428/Data!K427-1</f>
        <v>0.0028880131620066</v>
      </c>
      <c r="Y176" s="433">
        <f>Data!L428/Data!L427-1</f>
        <v>7.79563442119269e-05</v>
      </c>
      <c r="Z176" s="433">
        <f>SUMPRODUCT(O176:Y176,Risk!$B$56:$L$56)</f>
        <v>0.00600209401696531</v>
      </c>
      <c r="AA176" s="433">
        <f>Z176-$B$8/12</f>
        <v>0.00590876068363198</v>
      </c>
      <c r="AB176" s="433">
        <f>SUMPRODUCT(O176:Y176,Risk!$B$57:$L$57)</f>
        <v>0.00389240438399814</v>
      </c>
      <c r="AC176" s="433">
        <f>AB176-$B$9/12</f>
        <v>0.00361073771733148</v>
      </c>
      <c r="AD176" s="433">
        <f>AA176-AC176</f>
        <v>0.0022980229663005</v>
      </c>
      <c r="AE176" s="560">
        <f>AE175*(1+AA176)</f>
        <v>2.26569993676287</v>
      </c>
      <c r="AF176" s="560">
        <f>AF175*(1+AC176)</f>
        <v>2.24088711538504</v>
      </c>
      <c r="AG176" s="433">
        <f>AE176/MAX(AE$5:AE176)-1</f>
        <v>-0.0894485440907538</v>
      </c>
      <c r="AH176" s="433">
        <f>AF176/MAX(AF$5:AF176)-1</f>
        <v>-0.0734932385376453</v>
      </c>
      <c r="AI176" s="620" t="inlineStr"/>
      <c r="AJ176" s="620" t="inlineStr"/>
      <c r="AK176" s="433">
        <f>AE176/AE164-1</f>
        <v>-0.0134830270769118</v>
      </c>
      <c r="AL176" s="433">
        <f>AF176/AF164-1</f>
        <v>0.00190757100015082</v>
      </c>
      <c r="AM176" s="433">
        <f>(AE176/AE116)^(12/60)-1</f>
        <v>0.0649741579892726</v>
      </c>
      <c r="AN176" s="433">
        <f>(AF176/AF116)^(12/60)-1</f>
        <v>0.0625245376521888</v>
      </c>
      <c r="AO176" s="433">
        <f>AM176-AN176</f>
        <v>0.00244962033708385</v>
      </c>
      <c r="AP176" s="433">
        <f>STDEV(AD117:AD176)*SQRT(12)</f>
        <v>0.0207071765030248</v>
      </c>
      <c r="AQ176" s="628">
        <f>AO176/AP176</f>
        <v>0.118298133824572</v>
      </c>
    </row>
    <row r="177">
      <c r="N177" s="554">
        <f>Data!A429</f>
        <v>44043.0</v>
      </c>
      <c r="O177" s="433">
        <f>Data!B429/Data!B428-1</f>
        <v>0.00948258251034595</v>
      </c>
      <c r="P177" s="433">
        <f>Data!C429/Data!C428-1</f>
        <v>-0.00707098340519274</v>
      </c>
      <c r="Q177" s="433">
        <f>Data!D429/Data!D428-1</f>
        <v>0.038826353054741</v>
      </c>
      <c r="R177" s="433">
        <f>Data!E429/Data!E428-1</f>
        <v>-0.012149164528519</v>
      </c>
      <c r="S177" s="433">
        <f>Data!F429/Data!F428-1</f>
        <v>-0.00350046919568681</v>
      </c>
      <c r="T177" s="433">
        <f>Data!G429/Data!G428-1</f>
        <v>0</v>
      </c>
      <c r="U177" s="433">
        <f>Data!H429/Data!H428-1</f>
        <v>0.0322261626281652</v>
      </c>
      <c r="V177" s="433">
        <f>Data!I429/Data!I428-1</f>
        <v>0</v>
      </c>
      <c r="W177" s="433">
        <f>Data!J429/Data!J428-1</f>
        <v>0.00378758940151358</v>
      </c>
      <c r="X177" s="433">
        <f>Data!K429/Data!K428-1</f>
        <v>0.00699975038967393</v>
      </c>
      <c r="Y177" s="433">
        <f>Data!L429/Data!L428-1</f>
        <v>8.28346118322276e-05</v>
      </c>
      <c r="Z177" s="433">
        <f>SUMPRODUCT(O177:Y177,Risk!$B$56:$L$56)</f>
        <v>0.00229783673447714</v>
      </c>
      <c r="AA177" s="433">
        <f>Z177-$B$8/12</f>
        <v>0.00220450340114381</v>
      </c>
      <c r="AB177" s="433">
        <f>SUMPRODUCT(O177:Y177,Risk!$B$57:$L$57)</f>
        <v>0.00318745427734835</v>
      </c>
      <c r="AC177" s="433">
        <f>AB177-$B$9/12</f>
        <v>0.00290578761068169</v>
      </c>
      <c r="AD177" s="433">
        <f>AA177-AC177</f>
        <v>-0.000701284209537879</v>
      </c>
      <c r="AE177" s="560">
        <f>AE176*(1+AA177)</f>
        <v>2.27069467997944</v>
      </c>
      <c r="AF177" s="560">
        <f>AF176*(1+AC177)</f>
        <v>2.24739865740186</v>
      </c>
      <c r="AG177" s="433">
        <f>AE177/MAX(AE$5:AE177)-1</f>
        <v>-0.0874412303092854</v>
      </c>
      <c r="AH177" s="433">
        <f>AF177/MAX(AF$5:AF177)-1</f>
        <v>-0.0708010066689752</v>
      </c>
      <c r="AI177" s="620" t="inlineStr"/>
      <c r="AJ177" s="620" t="inlineStr"/>
      <c r="AK177" s="433">
        <f>AE177/AE165-1</f>
        <v>-0.0335070093153729</v>
      </c>
      <c r="AL177" s="433">
        <f>AF177/AF165-1</f>
        <v>-0.0145290071687618</v>
      </c>
      <c r="AM177" s="433">
        <f>(AE177/AE117)^(12/60)-1</f>
        <v>0.0562908146799803</v>
      </c>
      <c r="AN177" s="433">
        <f>(AF177/AF117)^(12/60)-1</f>
        <v>0.0557073564939006</v>
      </c>
      <c r="AO177" s="433">
        <f>AM177-AN177</f>
        <v>0.000583458186079744</v>
      </c>
      <c r="AP177" s="433">
        <f>STDEV(AD118:AD177)*SQRT(12)</f>
        <v>0.0203838125494602</v>
      </c>
      <c r="AQ177" s="628">
        <f>AO177/AP177</f>
        <v>0.0286236043754825</v>
      </c>
    </row>
    <row r="178">
      <c r="N178" s="554">
        <f>Data!A430</f>
        <v>44074.0</v>
      </c>
      <c r="O178" s="433">
        <f>Data!B430/Data!B429-1</f>
        <v>0.0370544044699408</v>
      </c>
      <c r="P178" s="433">
        <f>Data!C430/Data!C429-1</f>
        <v>0.0308810205212087</v>
      </c>
      <c r="Q178" s="433">
        <f>Data!D430/Data!D429-1</f>
        <v>-0.00896795904289216</v>
      </c>
      <c r="R178" s="433">
        <f>Data!E430/Data!E429-1</f>
        <v>-0.0156659156924887</v>
      </c>
      <c r="S178" s="433">
        <f>Data!F430/Data!F429-1</f>
        <v>0.0141734519356189</v>
      </c>
      <c r="T178" s="433">
        <f>Data!G430/Data!G429-1</f>
        <v>0</v>
      </c>
      <c r="U178" s="433">
        <f>Data!H430/Data!H429-1</f>
        <v>0.00966560929058402</v>
      </c>
      <c r="V178" s="433">
        <f>Data!I430/Data!I429-1</f>
        <v>0</v>
      </c>
      <c r="W178" s="433">
        <f>Data!J430/Data!J429-1</f>
        <v>-0.00411955183704227</v>
      </c>
      <c r="X178" s="433">
        <f>Data!K430/Data!K429-1</f>
        <v>-0.011345829600716</v>
      </c>
      <c r="Y178" s="433">
        <f>Data!L430/Data!L429-1</f>
        <v>9.54816175391393e-05</v>
      </c>
      <c r="Z178" s="433">
        <f>SUMPRODUCT(O178:Y178,Risk!$B$56:$L$56)</f>
        <v>0.0179124588925833</v>
      </c>
      <c r="AA178" s="433">
        <f>Z178-$B$8/12</f>
        <v>0.01781912555925</v>
      </c>
      <c r="AB178" s="433">
        <f>SUMPRODUCT(O178:Y178,Risk!$B$57:$L$57)</f>
        <v>0.0140609164255057</v>
      </c>
      <c r="AC178" s="433">
        <f>AB178-$B$9/12</f>
        <v>0.013779249758839</v>
      </c>
      <c r="AD178" s="433">
        <f>AA178-AC178</f>
        <v>0.00403987580041093</v>
      </c>
      <c r="AE178" s="560">
        <f>AE177*(1+AA178)</f>
        <v>2.31115647358871</v>
      </c>
      <c r="AF178" s="560">
        <f>AF177*(1+AC178)</f>
        <v>2.27836612480988</v>
      </c>
      <c r="AG178" s="433">
        <f>AE178/MAX(AE$5:AE178)-1</f>
        <v>-0.0711802310119719</v>
      </c>
      <c r="AH178" s="433">
        <f>AF178/MAX(AF$5:AF178)-1</f>
        <v>-0.0579973416642051</v>
      </c>
      <c r="AI178" s="620" t="inlineStr"/>
      <c r="AJ178" s="620" t="inlineStr"/>
      <c r="AK178" s="433">
        <f>AE178/AE166-1</f>
        <v>-0.0172095397288685</v>
      </c>
      <c r="AL178" s="433">
        <f>AF178/AF166-1</f>
        <v>-0.00356004367571516</v>
      </c>
      <c r="AM178" s="433">
        <f>(AE178/AE118)^(12/60)-1</f>
        <v>0.0680593806115992</v>
      </c>
      <c r="AN178" s="433">
        <f>(AF178/AF118)^(12/60)-1</f>
        <v>0.0644722249661396</v>
      </c>
      <c r="AO178" s="433">
        <f>AM178-AN178</f>
        <v>0.00358715564545964</v>
      </c>
      <c r="AP178" s="433">
        <f>STDEV(AD119:AD178)*SQRT(12)</f>
        <v>0.0199476452566196</v>
      </c>
      <c r="AQ178" s="628">
        <f>AO178/AP178</f>
        <v>0.179828526089777</v>
      </c>
    </row>
    <row r="179">
      <c r="N179" s="554">
        <f>Data!A431</f>
        <v>44104.0</v>
      </c>
      <c r="O179" s="433">
        <f>Data!B431/Data!B430-1</f>
        <v>-0.0342714925605804</v>
      </c>
      <c r="P179" s="433">
        <f>Data!C431/Data!C430-1</f>
        <v>0.00238695894759577</v>
      </c>
      <c r="Q179" s="433">
        <f>Data!D431/Data!D430-1</f>
        <v>0.0150346559504704</v>
      </c>
      <c r="R179" s="433">
        <f>Data!E431/Data!E430-1</f>
        <v>0.00377995905698825</v>
      </c>
      <c r="S179" s="433">
        <f>Data!F431/Data!F430-1</f>
        <v>-0.00574075253360296</v>
      </c>
      <c r="T179" s="433">
        <f>Data!G431/Data!G430-1</f>
        <v>0.0107038445351582</v>
      </c>
      <c r="U179" s="433">
        <f>Data!H431/Data!H430-1</f>
        <v>0.033711390455252</v>
      </c>
      <c r="V179" s="433">
        <f>Data!I431/Data!I430-1</f>
        <v>0.0563970727859657</v>
      </c>
      <c r="W179" s="433">
        <f>Data!J431/Data!J430-1</f>
        <v>0.0116135128293582</v>
      </c>
      <c r="X179" s="433">
        <f>Data!K431/Data!K430-1</f>
        <v>0.00910169514282622</v>
      </c>
      <c r="Y179" s="433">
        <f>Data!L431/Data!L430-1</f>
        <v>7.49496811980333e-05</v>
      </c>
      <c r="Z179" s="433">
        <f>SUMPRODUCT(O179:Y179,Risk!$B$56:$L$56)</f>
        <v>-0.0103778003155005</v>
      </c>
      <c r="AA179" s="433">
        <f>Z179-$B$8/12</f>
        <v>-0.0104711336488338</v>
      </c>
      <c r="AB179" s="433">
        <f>SUMPRODUCT(O179:Y179,Risk!$B$57:$L$57)</f>
        <v>-0.00152640835463947</v>
      </c>
      <c r="AC179" s="433">
        <f>AB179-$B$9/12</f>
        <v>-0.00180807502130614</v>
      </c>
      <c r="AD179" s="433">
        <f>AA179-AC179</f>
        <v>-0.00866305862752768</v>
      </c>
      <c r="AE179" s="560">
        <f>AE178*(1+AA179)</f>
        <v>2.2869560452704</v>
      </c>
      <c r="AF179" s="560">
        <f>AF178*(1+AC179)</f>
        <v>2.27424666793022</v>
      </c>
      <c r="AG179" s="433">
        <f>AE179/MAX(AE$5:AE179)-1</f>
        <v>-0.0809060269487244</v>
      </c>
      <c r="AH179" s="433">
        <f>AF179/MAX(AF$5:AF179)-1</f>
        <v>-0.0597005531407461</v>
      </c>
      <c r="AI179" s="620" t="inlineStr"/>
      <c r="AJ179" s="620" t="inlineStr"/>
      <c r="AK179" s="433">
        <f>AE179/AE167-1</f>
        <v>-0.0414859027804628</v>
      </c>
      <c r="AL179" s="433">
        <f>AF179/AF167-1</f>
        <v>-0.0191127476900812</v>
      </c>
      <c r="AM179" s="433">
        <f>(AE179/AE119)^(12/60)-1</f>
        <v>0.0681537938209089</v>
      </c>
      <c r="AN179" s="433">
        <f>(AF179/AF119)^(12/60)-1</f>
        <v>0.0657944711440794</v>
      </c>
      <c r="AO179" s="433">
        <f>AM179-AN179</f>
        <v>0.00235932267682948</v>
      </c>
      <c r="AP179" s="433">
        <f>STDEV(AD120:AD179)*SQRT(12)</f>
        <v>0.0203035563738974</v>
      </c>
      <c r="AQ179" s="628">
        <f>AO179/AP179</f>
        <v>0.116202434360843</v>
      </c>
    </row>
    <row r="180">
      <c r="N180" s="554">
        <f>Data!A432</f>
        <v>44134.0</v>
      </c>
      <c r="O180" s="433">
        <f>Data!B432/Data!B431-1</f>
        <v>0.0208319875949055</v>
      </c>
      <c r="P180" s="433">
        <f>Data!C432/Data!C431-1</f>
        <v>-0.0102487276594185</v>
      </c>
      <c r="Q180" s="433">
        <f>Data!D432/Data!D431-1</f>
        <v>0.0360407174258373</v>
      </c>
      <c r="R180" s="433">
        <f>Data!E432/Data!E431-1</f>
        <v>-0.0102134992304924</v>
      </c>
      <c r="S180" s="433">
        <f>Data!F432/Data!F431-1</f>
        <v>-0.0158370888709476</v>
      </c>
      <c r="T180" s="433">
        <f>Data!G432/Data!G431-1</f>
        <v>0</v>
      </c>
      <c r="U180" s="433">
        <f>Data!H432/Data!H431-1</f>
        <v>0.00535241022594102</v>
      </c>
      <c r="V180" s="433">
        <f>Data!I432/Data!I431-1</f>
        <v>0</v>
      </c>
      <c r="W180" s="433">
        <f>Data!J432/Data!J431-1</f>
        <v>0.00301920033443825</v>
      </c>
      <c r="X180" s="433">
        <f>Data!K432/Data!K431-1</f>
        <v>-0.00108906665801256</v>
      </c>
      <c r="Y180" s="433">
        <f>Data!L432/Data!L431-1</f>
        <v>0.000109194389100065</v>
      </c>
      <c r="Z180" s="433">
        <f>SUMPRODUCT(O180:Y180,Risk!$B$56:$L$56)</f>
        <v>0.00563509790779097</v>
      </c>
      <c r="AA180" s="433">
        <f>Z180-$B$8/12</f>
        <v>0.00554176457445764</v>
      </c>
      <c r="AB180" s="433">
        <f>SUMPRODUCT(O180:Y180,Risk!$B$57:$L$57)</f>
        <v>0.00326457591257882</v>
      </c>
      <c r="AC180" s="433">
        <f>AB180-$B$9/12</f>
        <v>0.00298290924591215</v>
      </c>
      <c r="AD180" s="433">
        <f>AA180-AC180</f>
        <v>0.00255885532854549</v>
      </c>
      <c r="AE180" s="560">
        <f>AE179*(1+AA180)</f>
        <v>2.29962981726542</v>
      </c>
      <c r="AF180" s="560">
        <f>AF179*(1+AC180)</f>
        <v>2.28103053934347</v>
      </c>
      <c r="AG180" s="433">
        <f>AE180/MAX(AE$5:AE180)-1</f>
        <v>-0.0758126245282713</v>
      </c>
      <c r="AH180" s="433">
        <f>AF180/MAX(AF$5:AF180)-1</f>
        <v>-0.0568957252267835</v>
      </c>
      <c r="AI180" s="620" t="inlineStr"/>
      <c r="AJ180" s="620" t="inlineStr"/>
      <c r="AK180" s="433">
        <f>AE180/AE168-1</f>
        <v>-0.0329596953054926</v>
      </c>
      <c r="AL180" s="433">
        <f>AF180/AF168-1</f>
        <v>-0.0130029192902446</v>
      </c>
      <c r="AM180" s="433">
        <f>(AE180/AE120)^(12/60)-1</f>
        <v>0.061914620714296</v>
      </c>
      <c r="AN180" s="433">
        <f>(AF180/AF120)^(12/60)-1</f>
        <v>0.0599637085701183</v>
      </c>
      <c r="AO180" s="433">
        <f>AM180-AN180</f>
        <v>0.00195091214417764</v>
      </c>
      <c r="AP180" s="433">
        <f>STDEV(AD121:AD180)*SQRT(12)</f>
        <v>0.0202378455326506</v>
      </c>
      <c r="AQ180" s="628">
        <f>AO180/AP180</f>
        <v>0.0963992012405745</v>
      </c>
    </row>
    <row r="181">
      <c r="N181" s="554">
        <f>Data!A433</f>
        <v>44165.0</v>
      </c>
      <c r="O181" s="433">
        <f>Data!B433/Data!B432-1</f>
        <v>0.101605163984191</v>
      </c>
      <c r="P181" s="433">
        <f>Data!C433/Data!C432-1</f>
        <v>0.0675418695658137</v>
      </c>
      <c r="Q181" s="433">
        <f>Data!D433/Data!D432-1</f>
        <v>0.027193578710939</v>
      </c>
      <c r="R181" s="433">
        <f>Data!E433/Data!E432-1</f>
        <v>0.056570603878964</v>
      </c>
      <c r="S181" s="433">
        <f>Data!F433/Data!F432-1</f>
        <v>0.0677949950094519</v>
      </c>
      <c r="T181" s="433">
        <f>Data!G433/Data!G432-1</f>
        <v>0</v>
      </c>
      <c r="U181" s="433">
        <f>Data!H433/Data!H432-1</f>
        <v>-0.0159705906131702</v>
      </c>
      <c r="V181" s="433">
        <f>Data!I433/Data!I432-1</f>
        <v>0</v>
      </c>
      <c r="W181" s="433">
        <f>Data!J433/Data!J432-1</f>
        <v>-0.00127597081402819</v>
      </c>
      <c r="X181" s="433">
        <f>Data!K433/Data!K432-1</f>
        <v>0.00181961327617741</v>
      </c>
      <c r="Y181" s="433">
        <f>Data!L433/Data!L432-1</f>
        <v>6.75199828494844e-05</v>
      </c>
      <c r="Z181" s="433">
        <f>SUMPRODUCT(O181:Y181,Risk!$B$56:$L$56)</f>
        <v>0.0597663997335249</v>
      </c>
      <c r="AA181" s="433">
        <f>Z181-$B$8/12</f>
        <v>0.0596730664001916</v>
      </c>
      <c r="AB181" s="433">
        <f>SUMPRODUCT(O181:Y181,Risk!$B$57:$L$57)</f>
        <v>0.0472874186523936</v>
      </c>
      <c r="AC181" s="433">
        <f>AB181-$B$9/12</f>
        <v>0.047005751985727</v>
      </c>
      <c r="AD181" s="433">
        <f>AA181-AC181</f>
        <v>0.0126673144144646</v>
      </c>
      <c r="AE181" s="560">
        <f>AE180*(1+AA181)</f>
        <v>2.43685578004696</v>
      </c>
      <c r="AF181" s="560">
        <f>AF180*(1+AC181)</f>
        <v>2.38825209514772</v>
      </c>
      <c r="AG181" s="433">
        <f>AE181/MAX(AE$5:AE181)-1</f>
        <v>-0.020663529905528</v>
      </c>
      <c r="AH181" s="433">
        <f>AF181/MAX(AF$5:AF181)-1</f>
        <v>-0.0125643995901148</v>
      </c>
      <c r="AI181" s="620" t="inlineStr"/>
      <c r="AJ181" s="620" t="inlineStr"/>
      <c r="AK181" s="433">
        <f>AE181/AE169-1</f>
        <v>0.000165642765203256</v>
      </c>
      <c r="AL181" s="433">
        <f>AF181/AF169-1</f>
        <v>0.0101314395244048</v>
      </c>
      <c r="AM181" s="433">
        <f>(AE181/AE121)^(12/60)-1</f>
        <v>0.0760256006968356</v>
      </c>
      <c r="AN181" s="433">
        <f>(AF181/AF121)^(12/60)-1</f>
        <v>0.0717918503140149</v>
      </c>
      <c r="AO181" s="433">
        <f>AM181-AN181</f>
        <v>0.0042337503828207</v>
      </c>
      <c r="AP181" s="433">
        <f>STDEV(AD122:AD181)*SQRT(12)</f>
        <v>0.0209794974082048</v>
      </c>
      <c r="AQ181" s="628">
        <f>AO181/AP181</f>
        <v>0.201804185316896</v>
      </c>
    </row>
    <row r="182">
      <c r="N182" s="554">
        <f>Data!A434</f>
        <v>44196.0</v>
      </c>
      <c r="O182" s="433">
        <f>Data!B434/Data!B433-1</f>
        <v>0.0175499378510506</v>
      </c>
      <c r="P182" s="433">
        <f>Data!C434/Data!C433-1</f>
        <v>-0.0112780150986209</v>
      </c>
      <c r="Q182" s="433">
        <f>Data!D434/Data!D433-1</f>
        <v>0.0132731293738804</v>
      </c>
      <c r="R182" s="433">
        <f>Data!E434/Data!E433-1</f>
        <v>-0.0136719047200651</v>
      </c>
      <c r="S182" s="433">
        <f>Data!F434/Data!F433-1</f>
        <v>0.0119164583126314</v>
      </c>
      <c r="T182" s="433">
        <f>Data!G434/Data!G433-1</f>
        <v>0.0335837814015074</v>
      </c>
      <c r="U182" s="433">
        <f>Data!H434/Data!H433-1</f>
        <v>0.0210699767111999</v>
      </c>
      <c r="V182" s="433">
        <f>Data!I434/Data!I433-1</f>
        <v>0.0502855286081689</v>
      </c>
      <c r="W182" s="433">
        <f>Data!J434/Data!J433-1</f>
        <v>-0.00262167539813252</v>
      </c>
      <c r="X182" s="433">
        <f>Data!K434/Data!K433-1</f>
        <v>-0.00100900071181986</v>
      </c>
      <c r="Y182" s="433">
        <f>Data!L434/Data!L433-1</f>
        <v>2.73310871297117e-05</v>
      </c>
      <c r="Z182" s="433">
        <f>SUMPRODUCT(O182:Y182,Risk!$B$56:$L$56)</f>
        <v>0.00292512345812318</v>
      </c>
      <c r="AA182" s="433">
        <f>Z182-$B$8/12</f>
        <v>0.00283179012478984</v>
      </c>
      <c r="AB182" s="433">
        <f>SUMPRODUCT(O182:Y182,Risk!$B$57:$L$57)</f>
        <v>0.00470290008438971</v>
      </c>
      <c r="AC182" s="433">
        <f>AB182-$B$9/12</f>
        <v>0.00442123341772305</v>
      </c>
      <c r="AD182" s="433">
        <f>AA182-AC182</f>
        <v>-0.0015894432929332</v>
      </c>
      <c r="AE182" s="560">
        <f>AE181*(1+AA182)</f>
        <v>2.44375644418043</v>
      </c>
      <c r="AF182" s="560">
        <f>AF181*(1+AC182)</f>
        <v>2.39881111512074</v>
      </c>
      <c r="AG182" s="433">
        <f>AE182/MAX(AE$5:AE182)-1</f>
        <v>-0.0178902545606681</v>
      </c>
      <c r="AH182" s="433">
        <f>AF182/MAX(AF$5:AF182)-1</f>
        <v>-0.00819871631573321</v>
      </c>
      <c r="AI182" s="620" t="inlineStr"/>
      <c r="AJ182" s="620" t="inlineStr"/>
      <c r="AK182" s="433">
        <f>AE182/AE170-1</f>
        <v>0.0213618849351025</v>
      </c>
      <c r="AL182" s="433">
        <f>AF182/AF170-1</f>
        <v>0.0253237691341708</v>
      </c>
      <c r="AM182" s="433">
        <f>(AE182/AE122)^(12/60)-1</f>
        <v>0.0752277989031032</v>
      </c>
      <c r="AN182" s="433">
        <f>(AF182/AF122)^(12/60)-1</f>
        <v>0.0725334694522659</v>
      </c>
      <c r="AO182" s="433">
        <f>AM182-AN182</f>
        <v>0.00269432945083725</v>
      </c>
      <c r="AP182" s="433">
        <f>STDEV(AD123:AD182)*SQRT(12)</f>
        <v>0.0208662479641198</v>
      </c>
      <c r="AQ182" s="628">
        <f>AO182/AP182</f>
        <v>0.12912381063765</v>
      </c>
    </row>
    <row r="183">
      <c r="N183" s="554">
        <f>Data!A435</f>
        <v>44225.0</v>
      </c>
      <c r="O183" s="433">
        <f>Data!B435/Data!B434-1</f>
        <v>0.00301573583886361</v>
      </c>
      <c r="P183" s="433">
        <f>Data!C435/Data!C434-1</f>
        <v>-0.00179216947688743</v>
      </c>
      <c r="Q183" s="433">
        <f>Data!D435/Data!D434-1</f>
        <v>0.0442722134514231</v>
      </c>
      <c r="R183" s="433">
        <f>Data!E435/Data!E434-1</f>
        <v>0.00655976435862304</v>
      </c>
      <c r="S183" s="433">
        <f>Data!F435/Data!F434-1</f>
        <v>0.0554595483664146</v>
      </c>
      <c r="T183" s="433">
        <f>Data!G435/Data!G434-1</f>
        <v>0</v>
      </c>
      <c r="U183" s="433">
        <f>Data!H435/Data!H434-1</f>
        <v>0.0362256058693227</v>
      </c>
      <c r="V183" s="433">
        <f>Data!I435/Data!I434-1</f>
        <v>0</v>
      </c>
      <c r="W183" s="433">
        <f>Data!J435/Data!J434-1</f>
        <v>-0.00484648513268349</v>
      </c>
      <c r="X183" s="433">
        <f>Data!K435/Data!K434-1</f>
        <v>-0.00495199922506939</v>
      </c>
      <c r="Y183" s="433">
        <f>Data!L435/Data!L434-1</f>
        <v>1.07812410494734e-05</v>
      </c>
      <c r="Z183" s="433">
        <f>SUMPRODUCT(O183:Y183,Risk!$B$56:$L$56)</f>
        <v>0.000381458854995651</v>
      </c>
      <c r="AA183" s="433">
        <f>Z183-$B$8/12</f>
        <v>0.000288125521662318</v>
      </c>
      <c r="AB183" s="433">
        <f>SUMPRODUCT(O183:Y183,Risk!$B$57:$L$57)</f>
        <v>0.00308421794121536</v>
      </c>
      <c r="AC183" s="433">
        <f>AB183-$B$9/12</f>
        <v>0.00280255127454869</v>
      </c>
      <c r="AD183" s="433">
        <f>AA183-AC183</f>
        <v>-0.00251442575288638</v>
      </c>
      <c r="AE183" s="560">
        <f>AE182*(1+AA183)</f>
        <v>2.44446055278073</v>
      </c>
      <c r="AF183" s="560">
        <f>AF182*(1+AC183)</f>
        <v>2.40553390626882</v>
      </c>
      <c r="AG183" s="433">
        <f>AE183/MAX(AE$5:AE183)-1</f>
        <v>-0.0176072836779337</v>
      </c>
      <c r="AH183" s="433">
        <f>AF183/MAX(AF$5:AF183)-1</f>
        <v>-0.00541914236404495</v>
      </c>
      <c r="AI183" s="620" t="inlineStr"/>
      <c r="AJ183" s="620" t="inlineStr"/>
      <c r="AK183" s="433">
        <f>AE183/AE171-1</f>
        <v>-0.0176072836779337</v>
      </c>
      <c r="AL183" s="433">
        <f>AF183/AF171-1</f>
        <v>-0.00541914236404495</v>
      </c>
      <c r="AM183" s="433">
        <f>(AE183/AE123)^(12/60)-1</f>
        <v>0.0804143528870842</v>
      </c>
      <c r="AN183" s="433">
        <f>(AF183/AF123)^(12/60)-1</f>
        <v>0.0769122655878023</v>
      </c>
      <c r="AO183" s="433">
        <f>AM183-AN183</f>
        <v>0.00350208729928192</v>
      </c>
      <c r="AP183" s="433">
        <f>STDEV(AD124:AD183)*SQRT(12)</f>
        <v>0.0207043195101002</v>
      </c>
      <c r="AQ183" s="628">
        <f>AO183/AP183</f>
        <v>0.169147664938879</v>
      </c>
    </row>
    <row r="184">
      <c r="N184" s="554">
        <f>Data!A436</f>
        <v>44253.0</v>
      </c>
      <c r="O184" s="433">
        <f>Data!B436/Data!B435-1</f>
        <v>0.0142509075315196</v>
      </c>
      <c r="P184" s="433">
        <f>Data!C436/Data!C435-1</f>
        <v>0.0175931974182362</v>
      </c>
      <c r="Q184" s="433">
        <f>Data!D436/Data!D435-1</f>
        <v>0.0013152381102961</v>
      </c>
      <c r="R184" s="433">
        <f>Data!E436/Data!E435-1</f>
        <v>0.0209667742677175</v>
      </c>
      <c r="S184" s="433">
        <f>Data!F436/Data!F435-1</f>
        <v>0.0958970332564915</v>
      </c>
      <c r="T184" s="433">
        <f>Data!G436/Data!G435-1</f>
        <v>0</v>
      </c>
      <c r="U184" s="433">
        <f>Data!H436/Data!H435-1</f>
        <v>0.00140270646456409</v>
      </c>
      <c r="V184" s="433">
        <f>Data!I436/Data!I435-1</f>
        <v>0</v>
      </c>
      <c r="W184" s="433">
        <f>Data!J436/Data!J435-1</f>
        <v>-0.0362370461847474</v>
      </c>
      <c r="X184" s="433">
        <f>Data!K436/Data!K435-1</f>
        <v>-0.025901363360488</v>
      </c>
      <c r="Y184" s="433">
        <f>Data!L436/Data!L435-1</f>
        <v>1.28723192838187e-06</v>
      </c>
      <c r="Z184" s="433">
        <f>SUMPRODUCT(O184:Y184,Risk!$B$56:$L$56)</f>
        <v>0.00380810403271066</v>
      </c>
      <c r="AA184" s="433">
        <f>Z184-$B$8/12</f>
        <v>0.00371477069937732</v>
      </c>
      <c r="AB184" s="433">
        <f>SUMPRODUCT(O184:Y184,Risk!$B$57:$L$57)</f>
        <v>0.00332994964581197</v>
      </c>
      <c r="AC184" s="433">
        <f>AB184-$B$9/12</f>
        <v>0.00304828297914531</v>
      </c>
      <c r="AD184" s="433">
        <f>AA184-AC184</f>
        <v>0.000666487720232019</v>
      </c>
      <c r="AE184" s="560">
        <f>AE183*(1+AA184)</f>
        <v>2.45354116321798</v>
      </c>
      <c r="AF184" s="560">
        <f>AF183*(1+AC184)</f>
        <v>2.41286665433106</v>
      </c>
      <c r="AG184" s="433">
        <f>AE184/MAX(AE$5:AE184)-1</f>
        <v>-0.0139579200000588</v>
      </c>
      <c r="AH184" s="433">
        <f>AF184/MAX(AF$5:AF184)-1</f>
        <v>-0.00238737846432935</v>
      </c>
      <c r="AI184" s="620" t="inlineStr"/>
      <c r="AJ184" s="620" t="inlineStr"/>
      <c r="AK184" s="433">
        <f>AE184/AE172-1</f>
        <v>0.030380296830903</v>
      </c>
      <c r="AL184" s="433">
        <f>AF184/AF172-1</f>
        <v>0.0302798072843855</v>
      </c>
      <c r="AM184" s="433">
        <f>(AE184/AE124)^(12/60)-1</f>
        <v>0.0831646415031986</v>
      </c>
      <c r="AN184" s="433">
        <f>(AF184/AF124)^(12/60)-1</f>
        <v>0.0793421410651067</v>
      </c>
      <c r="AO184" s="433">
        <f>AM184-AN184</f>
        <v>0.00382250043809185</v>
      </c>
      <c r="AP184" s="433">
        <f>STDEV(AD125:AD184)*SQRT(12)</f>
        <v>0.0206979318566251</v>
      </c>
      <c r="AQ184" s="628">
        <f>AO184/AP184</f>
        <v>0.184680308379135</v>
      </c>
    </row>
    <row r="185">
      <c r="N185" s="554">
        <f>Data!A437</f>
        <v>44286.0</v>
      </c>
      <c r="O185" s="433">
        <f>Data!B437/Data!B436-1</f>
        <v>0.0184374639010132</v>
      </c>
      <c r="P185" s="433">
        <f>Data!C437/Data!C436-1</f>
        <v>0.0598546850465462</v>
      </c>
      <c r="Q185" s="433">
        <f>Data!D437/Data!D436-1</f>
        <v>0.00787470656304667</v>
      </c>
      <c r="R185" s="433">
        <f>Data!E437/Data!E436-1</f>
        <v>0.0596325499998465</v>
      </c>
      <c r="S185" s="433">
        <f>Data!F437/Data!F436-1</f>
        <v>-0.00541791589157248</v>
      </c>
      <c r="T185" s="433">
        <f>Data!G437/Data!G436-1</f>
        <v>0.056961217928194</v>
      </c>
      <c r="U185" s="433">
        <f>Data!H437/Data!H436-1</f>
        <v>0.0152032672919373</v>
      </c>
      <c r="V185" s="433">
        <f>Data!I437/Data!I436-1</f>
        <v>0.0250004114075073</v>
      </c>
      <c r="W185" s="433">
        <f>Data!J437/Data!J436-1</f>
        <v>0.00622862493787091</v>
      </c>
      <c r="X185" s="433">
        <f>Data!K437/Data!K436-1</f>
        <v>0.0008508703235246</v>
      </c>
      <c r="Y185" s="433">
        <f>Data!L437/Data!L436-1</f>
        <v>2.05536113224714e-05</v>
      </c>
      <c r="Z185" s="433">
        <f>SUMPRODUCT(O185:Y185,Risk!$B$56:$L$56)</f>
        <v>0.0263129796890544</v>
      </c>
      <c r="AA185" s="433">
        <f>Z185-$B$8/12</f>
        <v>0.026219646355721</v>
      </c>
      <c r="AB185" s="433">
        <f>SUMPRODUCT(O185:Y185,Risk!$B$57:$L$57)</f>
        <v>0.0282970428580959</v>
      </c>
      <c r="AC185" s="433">
        <f>AB185-$B$9/12</f>
        <v>0.0280153761914293</v>
      </c>
      <c r="AD185" s="433">
        <f>AA185-AC185</f>
        <v>-0.00179572983570826</v>
      </c>
      <c r="AE185" s="560">
        <f>AE184*(1+AA185)</f>
        <v>2.51787214483676</v>
      </c>
      <c r="AF185" s="560">
        <f>AF184*(1+AC185)</f>
        <v>2.4804640213519</v>
      </c>
      <c r="AG185" s="433">
        <f>AE185/MAX(AE$5:AE185)-1</f>
        <v>0</v>
      </c>
      <c r="AH185" s="433">
        <f>AF185/MAX(AF$5:AF185)-1</f>
        <v>0</v>
      </c>
      <c r="AI185" s="620" t="inlineStr"/>
      <c r="AJ185" s="620" t="inlineStr"/>
      <c r="AK185" s="433">
        <f>AE185/AE173-1</f>
        <v>0.199884670870096</v>
      </c>
      <c r="AL185" s="433">
        <f>AF185/AF173-1</f>
        <v>0.167235216945381</v>
      </c>
      <c r="AM185" s="433">
        <f>(AE185/AE125)^(12/60)-1</f>
        <v>0.0854572175267507</v>
      </c>
      <c r="AN185" s="433">
        <f>(AF185/AF125)^(12/60)-1</f>
        <v>0.084023641421622</v>
      </c>
      <c r="AO185" s="433">
        <f>AM185-AN185</f>
        <v>0.00143357610512873</v>
      </c>
      <c r="AP185" s="433">
        <f>STDEV(AD126:AD185)*SQRT(12)</f>
        <v>0.0203091796352837</v>
      </c>
      <c r="AQ185" s="628">
        <f>AO185/AP185</f>
        <v>0.0705875929443324</v>
      </c>
    </row>
    <row r="186">
      <c r="N186" s="554">
        <f>Data!A438</f>
        <v>44316.0</v>
      </c>
      <c r="O186" s="433">
        <f>Data!B438/Data!B437-1</f>
        <v>0.0391650364826628</v>
      </c>
      <c r="P186" s="433">
        <f>Data!C438/Data!C437-1</f>
        <v>0.0263361580711414</v>
      </c>
      <c r="Q186" s="433">
        <f>Data!D438/Data!D437-1</f>
        <v>0.00195987151938803</v>
      </c>
      <c r="R186" s="433">
        <f>Data!E438/Data!E437-1</f>
        <v>0.0503378912690866</v>
      </c>
      <c r="S186" s="433">
        <f>Data!F438/Data!F437-1</f>
        <v>0.067173640276196</v>
      </c>
      <c r="T186" s="433">
        <f>Data!G438/Data!G437-1</f>
        <v>0</v>
      </c>
      <c r="U186" s="433">
        <f>Data!H438/Data!H437-1</f>
        <v>0.0146457706380754</v>
      </c>
      <c r="V186" s="433">
        <f>Data!I438/Data!I437-1</f>
        <v>0</v>
      </c>
      <c r="W186" s="433">
        <f>Data!J438/Data!J437-1</f>
        <v>0.00675370380636009</v>
      </c>
      <c r="X186" s="433">
        <f>Data!K438/Data!K437-1</f>
        <v>0.000961543448730229</v>
      </c>
      <c r="Y186" s="433">
        <f>Data!L438/Data!L437-1</f>
        <v>3.09641865492427e-05</v>
      </c>
      <c r="Z186" s="433">
        <f>SUMPRODUCT(O186:Y186,Risk!$B$56:$L$56)</f>
        <v>0.0270591818741129</v>
      </c>
      <c r="AA186" s="433">
        <f>Z186-$B$8/12</f>
        <v>0.0269658485407796</v>
      </c>
      <c r="AB186" s="433">
        <f>SUMPRODUCT(O186:Y186,Risk!$B$57:$L$57)</f>
        <v>0.0225294487546707</v>
      </c>
      <c r="AC186" s="433">
        <f>AB186-$B$9/12</f>
        <v>0.0222477820880041</v>
      </c>
      <c r="AD186" s="433">
        <f>AA186-AC186</f>
        <v>0.00471806645277554</v>
      </c>
      <c r="AE186" s="560">
        <f>AE185*(1+AA186)</f>
        <v>2.58576870373947</v>
      </c>
      <c r="AF186" s="560">
        <f>AF185*(1+AC186)</f>
        <v>2.53564884437607</v>
      </c>
      <c r="AG186" s="433">
        <f>AE186/MAX(AE$5:AE186)-1</f>
        <v>0</v>
      </c>
      <c r="AH186" s="433">
        <f>AF186/MAX(AF$5:AF186)-1</f>
        <v>0</v>
      </c>
      <c r="AI186" s="433">
        <f>AE186/MAX(AE$185:AE186)-1</f>
        <v>0</v>
      </c>
      <c r="AJ186" s="433">
        <f>AF186/MAX(AF$185:AF186)-1</f>
        <v>0</v>
      </c>
      <c r="AK186" s="433">
        <f>AE186/AE174-1</f>
        <v>0.178707203332531</v>
      </c>
      <c r="AL186" s="433">
        <f>AF186/AF174-1</f>
        <v>0.162742396308037</v>
      </c>
      <c r="AM186" s="433">
        <f>(AE186/AE126)^(12/60)-1</f>
        <v>0.087589508307516</v>
      </c>
      <c r="AN186" s="433">
        <f>(AF186/AF126)^(12/60)-1</f>
        <v>0.0855520818136255</v>
      </c>
      <c r="AO186" s="433">
        <f>AM186-AN186</f>
        <v>0.00203742649389049</v>
      </c>
      <c r="AP186" s="433">
        <f>STDEV(AD127:AD186)*SQRT(12)</f>
        <v>0.0203959261834338</v>
      </c>
      <c r="AQ186" s="628">
        <f>AO186/AP186</f>
        <v>0.0998937962202156</v>
      </c>
    </row>
    <row r="187">
      <c r="N187" s="554">
        <f>Data!A439</f>
        <v>44347.0</v>
      </c>
      <c r="O187" s="433">
        <f>Data!B439/Data!B438-1</f>
        <v>0.0195522534060624</v>
      </c>
      <c r="P187" s="433">
        <f>Data!C439/Data!C438-1</f>
        <v>0.00880846519648637</v>
      </c>
      <c r="Q187" s="433">
        <f>Data!D439/Data!D438-1</f>
        <v>0.0116162160423898</v>
      </c>
      <c r="R187" s="433">
        <f>Data!E439/Data!E438-1</f>
        <v>0.00863775884833595</v>
      </c>
      <c r="S187" s="433">
        <f>Data!F439/Data!F438-1</f>
        <v>0.0230978375228079</v>
      </c>
      <c r="T187" s="433">
        <f>Data!G439/Data!G438-1</f>
        <v>0</v>
      </c>
      <c r="U187" s="433">
        <f>Data!H439/Data!H438-1</f>
        <v>0.0440118167132828</v>
      </c>
      <c r="V187" s="433">
        <f>Data!I439/Data!I438-1</f>
        <v>0</v>
      </c>
      <c r="W187" s="433">
        <f>Data!J439/Data!J438-1</f>
        <v>0.00296199364412586</v>
      </c>
      <c r="X187" s="433">
        <f>Data!K439/Data!K438-1</f>
        <v>0.00135780520697026</v>
      </c>
      <c r="Y187" s="433">
        <f>Data!L439/Data!L438-1</f>
        <v>3.58543622038798e-05</v>
      </c>
      <c r="Z187" s="433">
        <f>SUMPRODUCT(O187:Y187,Risk!$B$56:$L$56)</f>
        <v>0.0110018035550866</v>
      </c>
      <c r="AA187" s="433">
        <f>Z187-$B$8/12</f>
        <v>0.0109084702217533</v>
      </c>
      <c r="AB187" s="433">
        <f>SUMPRODUCT(O187:Y187,Risk!$B$57:$L$57)</f>
        <v>0.0103026491649926</v>
      </c>
      <c r="AC187" s="433">
        <f>AB187-$B$9/12</f>
        <v>0.010020982498326</v>
      </c>
      <c r="AD187" s="433">
        <f>AA187-AC187</f>
        <v>0.000887487723427279</v>
      </c>
      <c r="AE187" s="560">
        <f>AE186*(1+AA187)</f>
        <v>2.61397548464456</v>
      </c>
      <c r="AF187" s="560">
        <f>AF186*(1+AC187)</f>
        <v>2.56105853706746</v>
      </c>
      <c r="AG187" s="433">
        <f>AE187/MAX(AE$5:AE187)-1</f>
        <v>0</v>
      </c>
      <c r="AH187" s="433">
        <f>AF187/MAX(AF$5:AF187)-1</f>
        <v>0</v>
      </c>
      <c r="AI187" s="433">
        <f>AE187/MAX(AE$185:AE187)-1</f>
        <v>0</v>
      </c>
      <c r="AJ187" s="433">
        <f>AF187/MAX(AF$185:AF187)-1</f>
        <v>0</v>
      </c>
      <c r="AK187" s="433">
        <f>AE187/AE175-1</f>
        <v>0.160533571790182</v>
      </c>
      <c r="AL187" s="433">
        <f>AF187/AF175-1</f>
        <v>0.14700371566102</v>
      </c>
      <c r="AM187" s="433">
        <f>(AE187/AE127)^(12/60)-1</f>
        <v>0.0821980343455124</v>
      </c>
      <c r="AN187" s="433">
        <f>(AF187/AF127)^(12/60)-1</f>
        <v>0.0803417352132092</v>
      </c>
      <c r="AO187" s="433">
        <f>AM187-AN187</f>
        <v>0.00185629913230323</v>
      </c>
      <c r="AP187" s="433">
        <f>STDEV(AD128:AD187)*SQRT(12)</f>
        <v>0.0203871666381968</v>
      </c>
      <c r="AQ187" s="628">
        <f>AO187/AP187</f>
        <v>0.0910523352875002</v>
      </c>
    </row>
    <row r="188">
      <c r="N188" s="554">
        <f>Data!A440</f>
        <v>44377.0</v>
      </c>
      <c r="O188" s="433">
        <f>Data!B440/Data!B439-1</f>
        <v>0.025593716605846</v>
      </c>
      <c r="P188" s="433">
        <f>Data!C440/Data!C439-1</f>
        <v>0.0555222461945568</v>
      </c>
      <c r="Q188" s="433">
        <f>Data!D440/Data!D439-1</f>
        <v>0.0399826697980827</v>
      </c>
      <c r="R188" s="433">
        <f>Data!E440/Data!E439-1</f>
        <v>0.0577004336515594</v>
      </c>
      <c r="S188" s="433">
        <f>Data!F440/Data!F439-1</f>
        <v>0.0752972651563395</v>
      </c>
      <c r="T188" s="433">
        <f>Data!G440/Data!G439-1</f>
        <v>0.0702076967454446</v>
      </c>
      <c r="U188" s="433">
        <f>Data!H440/Data!H439-1</f>
        <v>0.00953722865830775</v>
      </c>
      <c r="V188" s="433">
        <f>Data!I440/Data!I439-1</f>
        <v>0.0755994104633131</v>
      </c>
      <c r="W188" s="433">
        <f>Data!J440/Data!J439-1</f>
        <v>0.00765899499460221</v>
      </c>
      <c r="X188" s="433">
        <f>Data!K440/Data!K439-1</f>
        <v>0.002485878490182</v>
      </c>
      <c r="Y188" s="433">
        <f>Data!L440/Data!L439-1</f>
        <v>2.79503129161363e-05</v>
      </c>
      <c r="Z188" s="433">
        <f>SUMPRODUCT(O188:Y188,Risk!$B$56:$L$56)</f>
        <v>0.0284616552967147</v>
      </c>
      <c r="AA188" s="433">
        <f>Z188-$B$8/12</f>
        <v>0.0283683219633814</v>
      </c>
      <c r="AB188" s="433">
        <f>SUMPRODUCT(O188:Y188,Risk!$B$57:$L$57)</f>
        <v>0.0338792524443062</v>
      </c>
      <c r="AC188" s="433">
        <f>AB188-$B$9/12</f>
        <v>0.0335975857776396</v>
      </c>
      <c r="AD188" s="433">
        <f>AA188-AC188</f>
        <v>-0.00522926381425818</v>
      </c>
      <c r="AE188" s="560">
        <f>AE187*(1+AA188)</f>
        <v>2.68812958279734</v>
      </c>
      <c r="AF188" s="560">
        <f>AF187*(1+AC188)</f>
        <v>2.64710392094814</v>
      </c>
      <c r="AG188" s="433">
        <f>AE188/MAX(AE$5:AE188)-1</f>
        <v>0</v>
      </c>
      <c r="AH188" s="433">
        <f>AF188/MAX(AF$5:AF188)-1</f>
        <v>0</v>
      </c>
      <c r="AI188" s="433">
        <f>AE188/MAX(AE$185:AE188)-1</f>
        <v>0</v>
      </c>
      <c r="AJ188" s="433">
        <f>AF188/MAX(AF$185:AF188)-1</f>
        <v>0</v>
      </c>
      <c r="AK188" s="433">
        <f>AE188/AE176-1</f>
        <v>0.186445539049632</v>
      </c>
      <c r="AL188" s="433">
        <f>AF188/AF176-1</f>
        <v>0.181274997198288</v>
      </c>
      <c r="AM188" s="433">
        <f>(AE188/AE128)^(12/60)-1</f>
        <v>0.0909277376605555</v>
      </c>
      <c r="AN188" s="433">
        <f>(AF188/AF128)^(12/60)-1</f>
        <v>0.0894828226829676</v>
      </c>
      <c r="AO188" s="433">
        <f>AM188-AN188</f>
        <v>0.00144491497758792</v>
      </c>
      <c r="AP188" s="433">
        <f>STDEV(AD129:AD188)*SQRT(12)</f>
        <v>0.0204811098664355</v>
      </c>
      <c r="AQ188" s="628">
        <f>AO188/AP188</f>
        <v>0.0705486659175562</v>
      </c>
    </row>
    <row r="189">
      <c r="N189" s="554">
        <f>Data!A441</f>
        <v>44407.0</v>
      </c>
      <c r="O189" s="433">
        <f>Data!B441/Data!B440-1</f>
        <v>0.0105661099490977</v>
      </c>
      <c r="P189" s="433">
        <f>Data!C441/Data!C440-1</f>
        <v>0.0391196469505191</v>
      </c>
      <c r="Q189" s="433">
        <f>Data!D441/Data!D440-1</f>
        <v>-0.0403940073106066</v>
      </c>
      <c r="R189" s="433">
        <f>Data!E441/Data!E440-1</f>
        <v>0.0632367317315405</v>
      </c>
      <c r="S189" s="433">
        <f>Data!F441/Data!F440-1</f>
        <v>0.0374379803611744</v>
      </c>
      <c r="T189" s="433">
        <f>Data!G441/Data!G440-1</f>
        <v>0</v>
      </c>
      <c r="U189" s="433">
        <f>Data!H441/Data!H440-1</f>
        <v>0.0251109933732172</v>
      </c>
      <c r="V189" s="433">
        <f>Data!I441/Data!I440-1</f>
        <v>0</v>
      </c>
      <c r="W189" s="433">
        <f>Data!J441/Data!J440-1</f>
        <v>0.0185356535417347</v>
      </c>
      <c r="X189" s="433">
        <f>Data!K441/Data!K440-1</f>
        <v>0.016698982554882</v>
      </c>
      <c r="Y189" s="433">
        <f>Data!L441/Data!L440-1</f>
        <v>2.86266632740784e-05</v>
      </c>
      <c r="Z189" s="433">
        <f>SUMPRODUCT(O189:Y189,Risk!$B$56:$L$56)</f>
        <v>0.0224923170449769</v>
      </c>
      <c r="AA189" s="433">
        <f>Z189-$B$8/12</f>
        <v>0.0223989837116436</v>
      </c>
      <c r="AB189" s="433">
        <f>SUMPRODUCT(O189:Y189,Risk!$B$57:$L$57)</f>
        <v>0.0211798215424867</v>
      </c>
      <c r="AC189" s="433">
        <f>AB189-$B$9/12</f>
        <v>0.0208981548758201</v>
      </c>
      <c r="AD189" s="433">
        <f>AA189-AC189</f>
        <v>0.00150082883582348</v>
      </c>
      <c r="AE189" s="560">
        <f>AE188*(1+AA189)</f>
        <v>2.74834095353721</v>
      </c>
      <c r="AF189" s="560">
        <f>AF188*(1+AC189)</f>
        <v>2.7024235086605</v>
      </c>
      <c r="AG189" s="433">
        <f>AE189/MAX(AE$5:AE189)-1</f>
        <v>0</v>
      </c>
      <c r="AH189" s="433">
        <f>AF189/MAX(AF$5:AF189)-1</f>
        <v>0</v>
      </c>
      <c r="AI189" s="433">
        <f>AE189/MAX(AE$185:AE189)-1</f>
        <v>0</v>
      </c>
      <c r="AJ189" s="433">
        <f>AF189/MAX(AF$185:AF189)-1</f>
        <v>0</v>
      </c>
      <c r="AK189" s="433">
        <f>AE189/AE177-1</f>
        <v>0.210352487178988</v>
      </c>
      <c r="AL189" s="433">
        <f>AF189/AF177-1</f>
        <v>0.202467350311887</v>
      </c>
      <c r="AM189" s="433">
        <f>(AE189/AE129)^(12/60)-1</f>
        <v>0.0886521498190684</v>
      </c>
      <c r="AN189" s="433">
        <f>(AF189/AF129)^(12/60)-1</f>
        <v>0.0891279008034398</v>
      </c>
      <c r="AO189" s="433">
        <f>AM189-AN189</f>
        <v>-0.000475750984371359</v>
      </c>
      <c r="AP189" s="433">
        <f>STDEV(AD130:AD189)*SQRT(12)</f>
        <v>0.019944056371678</v>
      </c>
      <c r="AQ189" s="628">
        <f>AO189/AP189</f>
        <v>-0.0238542739503564</v>
      </c>
    </row>
    <row r="190">
      <c r="N190" s="554">
        <f>Data!A442</f>
        <v>44439.0</v>
      </c>
      <c r="O190" s="433">
        <f>Data!B442/Data!B441-1</f>
        <v>0.0260453677932893</v>
      </c>
      <c r="P190" s="433">
        <f>Data!C442/Data!C441-1</f>
        <v>0.0329455391582847</v>
      </c>
      <c r="Q190" s="433">
        <f>Data!D442/Data!D441-1</f>
        <v>0.0287965051825614</v>
      </c>
      <c r="R190" s="433">
        <f>Data!E442/Data!E441-1</f>
        <v>0.0254831536562954</v>
      </c>
      <c r="S190" s="433">
        <f>Data!F442/Data!F441-1</f>
        <v>-0.0174030710878509</v>
      </c>
      <c r="T190" s="433">
        <f>Data!G442/Data!G441-1</f>
        <v>0</v>
      </c>
      <c r="U190" s="433">
        <f>Data!H442/Data!H441-1</f>
        <v>-0.00386281594445248</v>
      </c>
      <c r="V190" s="433">
        <f>Data!I442/Data!I441-1</f>
        <v>0</v>
      </c>
      <c r="W190" s="433">
        <f>Data!J442/Data!J441-1</f>
        <v>0.000734232820834846</v>
      </c>
      <c r="X190" s="433">
        <f>Data!K442/Data!K441-1</f>
        <v>-0.00133603585647257</v>
      </c>
      <c r="Y190" s="433">
        <f>Data!L442/Data!L441-1</f>
        <v>1.36130189498651e-05</v>
      </c>
      <c r="Z190" s="433">
        <f>SUMPRODUCT(O190:Y190,Risk!$B$56:$L$56)</f>
        <v>0.0195597752805361</v>
      </c>
      <c r="AA190" s="433">
        <f>Z190-$B$8/12</f>
        <v>0.0194664419472028</v>
      </c>
      <c r="AB190" s="433">
        <f>SUMPRODUCT(O190:Y190,Risk!$B$57:$L$57)</f>
        <v>0.016558278398911</v>
      </c>
      <c r="AC190" s="433">
        <f>AB190-$B$9/12</f>
        <v>0.0162766117322443</v>
      </c>
      <c r="AD190" s="433">
        <f>AA190-AC190</f>
        <v>0.00318983021495847</v>
      </c>
      <c r="AE190" s="560">
        <f>AE189*(1+AA190)</f>
        <v>2.80184137316036</v>
      </c>
      <c r="AF190" s="560">
        <f>AF189*(1+AC190)</f>
        <v>2.74640980684706</v>
      </c>
      <c r="AG190" s="433">
        <f>AE190/MAX(AE$5:AE190)-1</f>
        <v>0</v>
      </c>
      <c r="AH190" s="433">
        <f>AF190/MAX(AF$5:AF190)-1</f>
        <v>0</v>
      </c>
      <c r="AI190" s="433">
        <f>AE190/MAX(AE$185:AE190)-1</f>
        <v>0</v>
      </c>
      <c r="AJ190" s="433">
        <f>AF190/MAX(AF$185:AF190)-1</f>
        <v>0</v>
      </c>
      <c r="AK190" s="433">
        <f>AE190/AE178-1</f>
        <v>0.212311414298022</v>
      </c>
      <c r="AL190" s="433">
        <f>AF190/AF178-1</f>
        <v>0.205429529933974</v>
      </c>
      <c r="AM190" s="433">
        <f>(AE190/AE130)^(12/60)-1</f>
        <v>0.0935488264806337</v>
      </c>
      <c r="AN190" s="433">
        <f>(AF190/AF130)^(12/60)-1</f>
        <v>0.092291858250608</v>
      </c>
      <c r="AO190" s="433">
        <f>AM190-AN190</f>
        <v>0.00125696823002563</v>
      </c>
      <c r="AP190" s="433">
        <f>STDEV(AD131:AD190)*SQRT(12)</f>
        <v>0.0198672230825991</v>
      </c>
      <c r="AQ190" s="628">
        <f>AO190/AP190</f>
        <v>0.0632684409290478</v>
      </c>
    </row>
    <row r="191">
      <c r="N191" s="554">
        <f>Data!A443</f>
        <v>44469.0</v>
      </c>
      <c r="O191" s="433">
        <f>Data!B443/Data!B442-1</f>
        <v>-0.0158271399815128</v>
      </c>
      <c r="P191" s="433">
        <f>Data!C443/Data!C442-1</f>
        <v>-0.0250919776408579</v>
      </c>
      <c r="Q191" s="433">
        <f>Data!D443/Data!D442-1</f>
        <v>-0.0164082697449366</v>
      </c>
      <c r="R191" s="433">
        <f>Data!E443/Data!E442-1</f>
        <v>-0.0394882727070931</v>
      </c>
      <c r="S191" s="433">
        <f>Data!F443/Data!F442-1</f>
        <v>0.0728102115175964</v>
      </c>
      <c r="T191" s="433">
        <f>Data!G443/Data!G442-1</f>
        <v>0.0533901363354117</v>
      </c>
      <c r="U191" s="433">
        <f>Data!H443/Data!H442-1</f>
        <v>0.00101631657168699</v>
      </c>
      <c r="V191" s="433">
        <f>Data!I443/Data!I442-1</f>
        <v>0.12</v>
      </c>
      <c r="W191" s="433">
        <f>Data!J443/Data!J442-1</f>
        <v>-0.0164861695523211</v>
      </c>
      <c r="X191" s="433">
        <f>Data!K443/Data!K442-1</f>
        <v>-0.0129319195617563</v>
      </c>
      <c r="Y191" s="433">
        <f>Data!L443/Data!L442-1</f>
        <v>7.69158875835174e-06</v>
      </c>
      <c r="Z191" s="433">
        <f>SUMPRODUCT(O191:Y191,Risk!$B$56:$L$56)</f>
        <v>-0.0188050193780616</v>
      </c>
      <c r="AA191" s="433">
        <f>Z191-$B$8/12</f>
        <v>-0.0188983527113949</v>
      </c>
      <c r="AB191" s="433">
        <f>SUMPRODUCT(O191:Y191,Risk!$B$57:$L$57)</f>
        <v>-0.00920943040821097</v>
      </c>
      <c r="AC191" s="433">
        <f>AB191-$B$9/12</f>
        <v>-0.00949109707487764</v>
      </c>
      <c r="AD191" s="433">
        <f>AA191-AC191</f>
        <v>-0.00940725563651727</v>
      </c>
      <c r="AE191" s="560">
        <f>AE190*(1+AA191)</f>
        <v>2.74889118664899</v>
      </c>
      <c r="AF191" s="560">
        <f>AF190*(1+AC191)</f>
        <v>2.72034336476288</v>
      </c>
      <c r="AG191" s="433">
        <f>AE191/MAX(AE$5:AE191)-1</f>
        <v>-0.018898352711395</v>
      </c>
      <c r="AH191" s="433">
        <f>AF191/MAX(AF$5:AF191)-1</f>
        <v>-0.00949109707487761</v>
      </c>
      <c r="AI191" s="433">
        <f>AE191/MAX(AE$185:AE191)-1</f>
        <v>-0.018898352711395</v>
      </c>
      <c r="AJ191" s="433">
        <f>AF191/MAX(AF$185:AF191)-1</f>
        <v>-0.00949109707487761</v>
      </c>
      <c r="AK191" s="433">
        <f>AE191/AE179-1</f>
        <v>0.201986890974103</v>
      </c>
      <c r="AL191" s="433">
        <f>AF191/AF179-1</f>
        <v>0.196151412739521</v>
      </c>
      <c r="AM191" s="433">
        <f>(AE191/AE131)^(12/60)-1</f>
        <v>0.0905007711850816</v>
      </c>
      <c r="AN191" s="433">
        <f>(AF191/AF131)^(12/60)-1</f>
        <v>0.0911423262941724</v>
      </c>
      <c r="AO191" s="433">
        <f>AM191-AN191</f>
        <v>-0.000641555109090808</v>
      </c>
      <c r="AP191" s="433">
        <f>STDEV(AD132:AD191)*SQRT(12)</f>
        <v>0.020322943311212</v>
      </c>
      <c r="AQ191" s="628">
        <f>AO191/AP191</f>
        <v>-0.0315680213867874</v>
      </c>
    </row>
    <row r="192">
      <c r="N192" s="554">
        <f>Data!A444</f>
        <v>44498.0</v>
      </c>
      <c r="O192" s="433">
        <f>Data!B444/Data!B443-1</f>
        <v>0.00149342376003037</v>
      </c>
      <c r="P192" s="433">
        <f>Data!C444/Data!C443-1</f>
        <v>0.0149218592242477</v>
      </c>
      <c r="Q192" s="433">
        <f>Data!D444/Data!D443-1</f>
        <v>-0.0295593034595364</v>
      </c>
      <c r="R192" s="433">
        <f>Data!E444/Data!E443-1</f>
        <v>0.0186865864872612</v>
      </c>
      <c r="S192" s="433">
        <f>Data!F444/Data!F443-1</f>
        <v>0.0174744659849169</v>
      </c>
      <c r="T192" s="433">
        <f>Data!G444/Data!G443-1</f>
        <v>0</v>
      </c>
      <c r="U192" s="433">
        <f>Data!H444/Data!H443-1</f>
        <v>-0.0434859252302057</v>
      </c>
      <c r="V192" s="433">
        <f>Data!I444/Data!I443-1</f>
        <v>0</v>
      </c>
      <c r="W192" s="433">
        <f>Data!J444/Data!J443-1</f>
        <v>-0.0346466083596115</v>
      </c>
      <c r="X192" s="433">
        <f>Data!K444/Data!K443-1</f>
        <v>-0.00270528475552745</v>
      </c>
      <c r="Y192" s="433">
        <f>Data!L444/Data!L443-1</f>
        <v>-2.70937346680267e-06</v>
      </c>
      <c r="Z192" s="433">
        <f>SUMPRODUCT(O192:Y192,Risk!$B$56:$L$56)</f>
        <v>3.67963070612058e-05</v>
      </c>
      <c r="AA192" s="433">
        <f>Z192-$B$8/12</f>
        <v>-5.65370262721275e-05</v>
      </c>
      <c r="AB192" s="433">
        <f>SUMPRODUCT(O192:Y192,Risk!$B$57:$L$57)</f>
        <v>-0.00172739210771624</v>
      </c>
      <c r="AC192" s="433">
        <f>AB192-$B$9/12</f>
        <v>-0.0020090587743829</v>
      </c>
      <c r="AD192" s="433">
        <f>AA192-AC192</f>
        <v>0.00195252174811078</v>
      </c>
      <c r="AE192" s="560">
        <f>AE191*(1+AA192)</f>
        <v>2.74873577251576</v>
      </c>
      <c r="AF192" s="560">
        <f>AF191*(1+AC192)</f>
        <v>2.71487803505657</v>
      </c>
      <c r="AG192" s="433">
        <f>AE192/MAX(AE$5:AE192)-1</f>
        <v>-0.0189538212810033</v>
      </c>
      <c r="AH192" s="433">
        <f>AF192/MAX(AF$5:AF192)-1</f>
        <v>-0.0114810876774037</v>
      </c>
      <c r="AI192" s="433">
        <f>AE192/MAX(AE$185:AE192)-1</f>
        <v>-0.0189538212810033</v>
      </c>
      <c r="AJ192" s="433">
        <f>AF192/MAX(AF$185:AF192)-1</f>
        <v>-0.0114810876774037</v>
      </c>
      <c r="AK192" s="433">
        <f>AE192/AE180-1</f>
        <v>0.195294891324895</v>
      </c>
      <c r="AL192" s="433">
        <f>AF192/AF180-1</f>
        <v>0.190198021565272</v>
      </c>
      <c r="AM192" s="433">
        <f>(AE192/AE132)^(12/60)-1</f>
        <v>0.0940595973486436</v>
      </c>
      <c r="AN192" s="433">
        <f>(AF192/AF132)^(12/60)-1</f>
        <v>0.0932865952011717</v>
      </c>
      <c r="AO192" s="433">
        <f>AM192-AN192</f>
        <v>0.000773002147471891</v>
      </c>
      <c r="AP192" s="433">
        <f>STDEV(AD133:AD192)*SQRT(12)</f>
        <v>0.0202350643068822</v>
      </c>
      <c r="AQ192" s="628">
        <f>AO192/AP192</f>
        <v>0.0382011213677726</v>
      </c>
    </row>
    <row r="193">
      <c r="N193" s="554">
        <f>Data!A445</f>
        <v>44530.0</v>
      </c>
      <c r="O193" s="433">
        <f>Data!B445/Data!B444-1</f>
        <v>-0.00329432043047062</v>
      </c>
      <c r="P193" s="433">
        <f>Data!C445/Data!C444-1</f>
        <v>0.0441152223555728</v>
      </c>
      <c r="Q193" s="433">
        <f>Data!D445/Data!D444-1</f>
        <v>0.0252653256488165</v>
      </c>
      <c r="R193" s="433">
        <f>Data!E445/Data!E444-1</f>
        <v>0.053191193506607</v>
      </c>
      <c r="S193" s="433">
        <f>Data!F445/Data!F444-1</f>
        <v>-0.0553500783107177</v>
      </c>
      <c r="T193" s="433">
        <f>Data!G445/Data!G444-1</f>
        <v>0</v>
      </c>
      <c r="U193" s="433">
        <f>Data!H445/Data!H444-1</f>
        <v>0.0496343094899132</v>
      </c>
      <c r="V193" s="433">
        <f>Data!I445/Data!I444-1</f>
        <v>0</v>
      </c>
      <c r="W193" s="433">
        <f>Data!J445/Data!J444-1</f>
        <v>0.0208219190145829</v>
      </c>
      <c r="X193" s="433">
        <f>Data!K445/Data!K444-1</f>
        <v>0.00816512436354699</v>
      </c>
      <c r="Y193" s="433">
        <f>Data!L445/Data!L444-1</f>
        <v>4.92070021236302e-05</v>
      </c>
      <c r="Z193" s="433">
        <f>SUMPRODUCT(O193:Y193,Risk!$B$56:$L$56)</f>
        <v>0.0166043779410068</v>
      </c>
      <c r="AA193" s="433">
        <f>Z193-$B$8/12</f>
        <v>0.0165110446076735</v>
      </c>
      <c r="AB193" s="433">
        <f>SUMPRODUCT(O193:Y193,Risk!$B$57:$L$57)</f>
        <v>0.0184421528432253</v>
      </c>
      <c r="AC193" s="433">
        <f>AB193-$B$9/12</f>
        <v>0.0181604861765586</v>
      </c>
      <c r="AD193" s="433">
        <f>AA193-AC193</f>
        <v>-0.00164944156888514</v>
      </c>
      <c r="AE193" s="560">
        <f>AE192*(1+AA193)</f>
        <v>2.79412027147047</v>
      </c>
      <c r="AF193" s="560">
        <f>AF192*(1+AC193)</f>
        <v>2.76418154008326</v>
      </c>
      <c r="AG193" s="433">
        <f>AE193/MAX(AE$5:AE193)-1</f>
        <v>-0.00275572406198632</v>
      </c>
      <c r="AH193" s="433">
        <f>AF193/MAX(AF$5:AF193)-1</f>
        <v>0</v>
      </c>
      <c r="AI193" s="433">
        <f>AE193/MAX(AE$185:AE193)-1</f>
        <v>-0.00275572406198632</v>
      </c>
      <c r="AJ193" s="433">
        <f>AF193/MAX(AF$185:AF193)-1</f>
        <v>0</v>
      </c>
      <c r="AK193" s="433">
        <f>AE193/AE181-1</f>
        <v>0.14660879578874</v>
      </c>
      <c r="AL193" s="433">
        <f>AF193/AF181-1</f>
        <v>0.157407773534176</v>
      </c>
      <c r="AM193" s="433">
        <f>(AE193/AE133)^(12/60)-1</f>
        <v>0.0934483841699567</v>
      </c>
      <c r="AN193" s="433">
        <f>(AF193/AF133)^(12/60)-1</f>
        <v>0.0931466422834688</v>
      </c>
      <c r="AO193" s="433">
        <f>AM193-AN193</f>
        <v>0.000301741886487905</v>
      </c>
      <c r="AP193" s="433">
        <f>STDEV(AD134:AD193)*SQRT(12)</f>
        <v>0.0202505558800298</v>
      </c>
      <c r="AQ193" s="628">
        <f>AO193/AP193</f>
        <v>0.0149004248710757</v>
      </c>
    </row>
    <row r="194">
      <c r="N194" s="554">
        <f>Data!A446</f>
        <v>44561.0</v>
      </c>
      <c r="O194" s="433">
        <f>Data!B446/Data!B445-1</f>
        <v>0.0266975897308077</v>
      </c>
      <c r="P194" s="433">
        <f>Data!C446/Data!C445-1</f>
        <v>0.014514422798428</v>
      </c>
      <c r="Q194" s="433">
        <f>Data!D446/Data!D445-1</f>
        <v>-0.00980736942232841</v>
      </c>
      <c r="R194" s="433">
        <f>Data!E446/Data!E445-1</f>
        <v>0.0456326780482079</v>
      </c>
      <c r="S194" s="433">
        <f>Data!F446/Data!F445-1</f>
        <v>0.0492809065194011</v>
      </c>
      <c r="T194" s="433">
        <f>Data!G446/Data!G445-1</f>
        <v>0.0504086975053737</v>
      </c>
      <c r="U194" s="433">
        <f>Data!H446/Data!H445-1</f>
        <v>-0.0257478787899497</v>
      </c>
      <c r="V194" s="433">
        <f>Data!I446/Data!I445-1</f>
        <v>0.0896362201870073</v>
      </c>
      <c r="W194" s="433">
        <f>Data!J446/Data!J445-1</f>
        <v>-0.00054071724062299</v>
      </c>
      <c r="X194" s="433">
        <f>Data!K446/Data!K445-1</f>
        <v>-0.00629931018414098</v>
      </c>
      <c r="Y194" s="433">
        <f>Data!L446/Data!L445-1</f>
        <v>4.42678221506121e-05</v>
      </c>
      <c r="Z194" s="433">
        <f>SUMPRODUCT(O194:Y194,Risk!$B$56:$L$56)</f>
        <v>0.0175632346035553</v>
      </c>
      <c r="AA194" s="433">
        <f>Z194-$B$8/12</f>
        <v>0.017469901270222</v>
      </c>
      <c r="AB194" s="433">
        <f>SUMPRODUCT(O194:Y194,Risk!$B$57:$L$57)</f>
        <v>0.0177133320333196</v>
      </c>
      <c r="AC194" s="433">
        <f>AB194-$B$9/12</f>
        <v>0.0174316653666529</v>
      </c>
      <c r="AD194" s="433">
        <f>AA194-AC194</f>
        <v>3.8235903569047e-05</v>
      </c>
      <c r="AE194" s="560">
        <f>AE193*(1+AA194)</f>
        <v>2.84293327675019</v>
      </c>
      <c r="AF194" s="560">
        <f>AF193*(1+AC194)</f>
        <v>2.81236582770267</v>
      </c>
      <c r="AG194" s="433">
        <f>AE194/MAX(AE$5:AE194)-1</f>
        <v>0</v>
      </c>
      <c r="AH194" s="433">
        <f>AF194/MAX(AF$5:AF194)-1</f>
        <v>0</v>
      </c>
      <c r="AI194" s="433">
        <f>AE194/MAX(AE$185:AE194)-1</f>
        <v>0</v>
      </c>
      <c r="AJ194" s="433">
        <f>AF194/MAX(AF$185:AF194)-1</f>
        <v>0</v>
      </c>
      <c r="AK194" s="433">
        <f>AE194/AE182-1</f>
        <v>0.163345587699771</v>
      </c>
      <c r="AL194" s="433">
        <f>AF194/AF182-1</f>
        <v>0.172399865072793</v>
      </c>
      <c r="AM194" s="433">
        <f>(AE194/AE134)^(12/60)-1</f>
        <v>0.0900948251890172</v>
      </c>
      <c r="AN194" s="433">
        <f>(AF194/AF134)^(12/60)-1</f>
        <v>0.0899978417688183</v>
      </c>
      <c r="AO194" s="433">
        <f>AM194-AN194</f>
        <v>9.69834201989261e-05</v>
      </c>
      <c r="AP194" s="433">
        <f>STDEV(AD135:AD194)*SQRT(12)</f>
        <v>0.0202466959606861</v>
      </c>
      <c r="AQ194" s="628">
        <f>AO194/AP194</f>
        <v>0.00479008626332135</v>
      </c>
    </row>
    <row r="195">
      <c r="N195" s="554">
        <f>Data!A447</f>
        <v>44592.0</v>
      </c>
      <c r="O195" s="433">
        <f>Data!B447/Data!B446-1</f>
        <v>-0.0656492625128728</v>
      </c>
      <c r="P195" s="433">
        <f>Data!C447/Data!C446-1</f>
        <v>-0.0187498337933978</v>
      </c>
      <c r="Q195" s="433">
        <f>Data!D447/Data!D446-1</f>
        <v>0.0135354864702626</v>
      </c>
      <c r="R195" s="433">
        <f>Data!E447/Data!E446-1</f>
        <v>-0.0330927405267208</v>
      </c>
      <c r="S195" s="433">
        <f>Data!F447/Data!F446-1</f>
        <v>0.151987455135483</v>
      </c>
      <c r="T195" s="433">
        <f>Data!G447/Data!G446-1</f>
        <v>0</v>
      </c>
      <c r="U195" s="433">
        <f>Data!H447/Data!H446-1</f>
        <v>0.0252252454611124</v>
      </c>
      <c r="V195" s="433">
        <f>Data!I447/Data!I446-1</f>
        <v>0</v>
      </c>
      <c r="W195" s="433">
        <f>Data!J447/Data!J446-1</f>
        <v>-0.0112536198332026</v>
      </c>
      <c r="X195" s="433">
        <f>Data!K447/Data!K446-1</f>
        <v>-0.0144619085011144</v>
      </c>
      <c r="Y195" s="433">
        <f>Data!L447/Data!L446-1</f>
        <v>4.78896619511282e-05</v>
      </c>
      <c r="Z195" s="433">
        <f>SUMPRODUCT(O195:Y195,Risk!$B$56:$L$56)</f>
        <v>-0.0361605891952337</v>
      </c>
      <c r="AA195" s="433">
        <f>Z195-$B$8/12</f>
        <v>-0.0362539225285671</v>
      </c>
      <c r="AB195" s="433">
        <f>SUMPRODUCT(O195:Y195,Risk!$B$57:$L$57)</f>
        <v>-0.0221910765367657</v>
      </c>
      <c r="AC195" s="433">
        <f>AB195-$B$9/12</f>
        <v>-0.0224727432034323</v>
      </c>
      <c r="AD195" s="433">
        <f>AA195-AC195</f>
        <v>-0.0137811793251348</v>
      </c>
      <c r="AE195" s="560">
        <f>AE194*(1+AA195)</f>
        <v>2.739865793981</v>
      </c>
      <c r="AF195" s="560">
        <f>AF194*(1+AC195)</f>
        <v>2.7491642526626</v>
      </c>
      <c r="AG195" s="433">
        <f>AE195/MAX(AE$5:AE195)-1</f>
        <v>-0.0362539225285671</v>
      </c>
      <c r="AH195" s="433">
        <f>AF195/MAX(AF$5:AF195)-1</f>
        <v>-0.0224727432034324</v>
      </c>
      <c r="AI195" s="433">
        <f>AE195/MAX(AE$185:AE195)-1</f>
        <v>-0.0362539225285671</v>
      </c>
      <c r="AJ195" s="433">
        <f>AF195/MAX(AF$185:AF195)-1</f>
        <v>-0.0224727432034324</v>
      </c>
      <c r="AK195" s="433">
        <f>AE195/AE183-1</f>
        <v>0.120846802319731</v>
      </c>
      <c r="AL195" s="433">
        <f>AF195/AF183-1</f>
        <v>0.142849928449679</v>
      </c>
      <c r="AM195" s="433">
        <f>(AE195/AE135)^(12/60)-1</f>
        <v>0.0852430485064806</v>
      </c>
      <c r="AN195" s="433">
        <f>(AF195/AF135)^(12/60)-1</f>
        <v>0.088288972051257</v>
      </c>
      <c r="AO195" s="433">
        <f>AM195-AN195</f>
        <v>-0.0030459235447764</v>
      </c>
      <c r="AP195" s="433">
        <f>STDEV(AD136:AD195)*SQRT(12)</f>
        <v>0.021178658374655</v>
      </c>
      <c r="AQ195" s="628">
        <f>AO195/AP195</f>
        <v>-0.143820420108458</v>
      </c>
    </row>
    <row r="196">
      <c r="N196" s="554">
        <f>Data!A448</f>
        <v>44620.0</v>
      </c>
      <c r="O196" s="433">
        <f>Data!B448/Data!B447-1</f>
        <v>0.017274591043102</v>
      </c>
      <c r="P196" s="433">
        <f>Data!C448/Data!C447-1</f>
        <v>-0.0545006360330568</v>
      </c>
      <c r="Q196" s="433">
        <f>Data!D448/Data!D447-1</f>
        <v>-0.0520919079741482</v>
      </c>
      <c r="R196" s="433">
        <f>Data!E448/Data!E447-1</f>
        <v>-0.0531128860518181</v>
      </c>
      <c r="S196" s="433">
        <f>Data!F448/Data!F447-1</f>
        <v>0.0561097840625875</v>
      </c>
      <c r="T196" s="433">
        <f>Data!G448/Data!G447-1</f>
        <v>0</v>
      </c>
      <c r="U196" s="433">
        <f>Data!H448/Data!H447-1</f>
        <v>-0.0417887238905447</v>
      </c>
      <c r="V196" s="433">
        <f>Data!I448/Data!I447-1</f>
        <v>0</v>
      </c>
      <c r="W196" s="433">
        <f>Data!J448/Data!J447-1</f>
        <v>-0.0149696267538975</v>
      </c>
      <c r="X196" s="433">
        <f>Data!K448/Data!K447-1</f>
        <v>-0.0124452643212279</v>
      </c>
      <c r="Y196" s="433">
        <f>Data!L448/Data!L447-1</f>
        <v>5.03748292284278e-05</v>
      </c>
      <c r="Z196" s="433">
        <f>SUMPRODUCT(O196:Y196,Risk!$B$56:$L$56)</f>
        <v>-0.0125391183152892</v>
      </c>
      <c r="AA196" s="433">
        <f>Z196-$B$8/12</f>
        <v>-0.0126324516486226</v>
      </c>
      <c r="AB196" s="433">
        <f>SUMPRODUCT(O196:Y196,Risk!$B$57:$L$57)</f>
        <v>-0.0176368457614783</v>
      </c>
      <c r="AC196" s="433">
        <f>AB196-$B$9/12</f>
        <v>-0.017918512428145</v>
      </c>
      <c r="AD196" s="433">
        <f>AA196-AC196</f>
        <v>0.0052860607795224</v>
      </c>
      <c r="AE196" s="560">
        <f>AE195*(1+AA196)</f>
        <v>2.70525457181482</v>
      </c>
      <c r="AF196" s="560">
        <f>AF195*(1+AC196)</f>
        <v>2.69990331883425</v>
      </c>
      <c r="AG196" s="433">
        <f>AE196/MAX(AE$5:AE196)-1</f>
        <v>-0.0484283982537748</v>
      </c>
      <c r="AH196" s="433">
        <f>AF196/MAX(AF$5:AF196)-1</f>
        <v>-0.0399885775031921</v>
      </c>
      <c r="AI196" s="433">
        <f>AE196/MAX(AE$185:AE196)-1</f>
        <v>-0.0484283982537748</v>
      </c>
      <c r="AJ196" s="433">
        <f>AF196/MAX(AF$185:AF196)-1</f>
        <v>-0.0399885775031921</v>
      </c>
      <c r="AK196" s="433">
        <f>AE196/AE184-1</f>
        <v>0.102591883262599</v>
      </c>
      <c r="AL196" s="433">
        <f>AF196/AF184-1</f>
        <v>0.118960848494453</v>
      </c>
      <c r="AM196" s="433">
        <f>(AE196/AE136)^(12/60)-1</f>
        <v>0.0792968488076671</v>
      </c>
      <c r="AN196" s="433">
        <f>(AF196/AF136)^(12/60)-1</f>
        <v>0.0817907769809982</v>
      </c>
      <c r="AO196" s="433">
        <f>AM196-AN196</f>
        <v>-0.00249392817333116</v>
      </c>
      <c r="AP196" s="433">
        <f>STDEV(AD137:AD196)*SQRT(12)</f>
        <v>0.0212735338794874</v>
      </c>
      <c r="AQ196" s="628">
        <f>AO196/AP196</f>
        <v>-0.117231494657118</v>
      </c>
    </row>
    <row r="197">
      <c r="N197" s="554">
        <f>Data!A449</f>
        <v>44651.0</v>
      </c>
      <c r="O197" s="433">
        <f>Data!B449/Data!B448-1</f>
        <v>0.0691300564273316</v>
      </c>
      <c r="P197" s="433">
        <f>Data!C449/Data!C448-1</f>
        <v>-0.00306002531786542</v>
      </c>
      <c r="Q197" s="433">
        <f>Data!D449/Data!D448-1</f>
        <v>-0.0532874401968076</v>
      </c>
      <c r="R197" s="433">
        <f>Data!E449/Data!E448-1</f>
        <v>0.0228204791645368</v>
      </c>
      <c r="S197" s="433">
        <f>Data!F449/Data!F448-1</f>
        <v>0.0593971033426224</v>
      </c>
      <c r="T197" s="433">
        <f>Data!G449/Data!G448-1</f>
        <v>0.0305633576875415</v>
      </c>
      <c r="U197" s="433">
        <f>Data!H449/Data!H448-1</f>
        <v>-0.0457936389304423</v>
      </c>
      <c r="V197" s="433">
        <f>Data!I449/Data!I448-1</f>
        <v>0.0385995638746095</v>
      </c>
      <c r="W197" s="433">
        <f>Data!J449/Data!J448-1</f>
        <v>-0.0392560139316975</v>
      </c>
      <c r="X197" s="433">
        <f>Data!K449/Data!K448-1</f>
        <v>-0.0238039074214804</v>
      </c>
      <c r="Y197" s="433">
        <f>Data!L449/Data!L448-1</f>
        <v>5.28505567738424e-05</v>
      </c>
      <c r="Z197" s="433">
        <f>SUMPRODUCT(O197:Y197,Risk!$B$56:$L$56)</f>
        <v>0.0215330502793143</v>
      </c>
      <c r="AA197" s="433">
        <f>Z197-$B$8/12</f>
        <v>0.021439716945981</v>
      </c>
      <c r="AB197" s="433">
        <f>SUMPRODUCT(O197:Y197,Risk!$B$57:$L$57)</f>
        <v>0.0109345198156158</v>
      </c>
      <c r="AC197" s="433">
        <f>AB197-$B$9/12</f>
        <v>0.0106528531489491</v>
      </c>
      <c r="AD197" s="433">
        <f>AA197-AC197</f>
        <v>0.0107868637970319</v>
      </c>
      <c r="AE197" s="560">
        <f>AE196*(1+AA197)</f>
        <v>2.76325446410135</v>
      </c>
      <c r="AF197" s="560">
        <f>AF196*(1+AC197)</f>
        <v>2.72866499240615</v>
      </c>
      <c r="AG197" s="433">
        <f>AE197/MAX(AE$5:AE197)-1</f>
        <v>-0.0280269724585019</v>
      </c>
      <c r="AH197" s="433">
        <f>AF197/MAX(AF$5:AF197)-1</f>
        <v>-0.0297617167980199</v>
      </c>
      <c r="AI197" s="433">
        <f>AE197/MAX(AE$185:AE197)-1</f>
        <v>-0.0280269724585019</v>
      </c>
      <c r="AJ197" s="433">
        <f>AF197/MAX(AF$185:AF197)-1</f>
        <v>-0.0297617167980199</v>
      </c>
      <c r="AK197" s="433">
        <f>AE197/AE185-1</f>
        <v>0.0974562269842736</v>
      </c>
      <c r="AL197" s="433">
        <f>AF197/AF185-1</f>
        <v>0.100062314517661</v>
      </c>
      <c r="AM197" s="433">
        <f>(AE197/AE137)^(12/60)-1</f>
        <v>0.0804163140012548</v>
      </c>
      <c r="AN197" s="433">
        <f>(AF197/AF137)^(12/60)-1</f>
        <v>0.0809398479501733</v>
      </c>
      <c r="AO197" s="433">
        <f>AM197-AN197</f>
        <v>-0.000523533948918464</v>
      </c>
      <c r="AP197" s="433">
        <f>STDEV(AD138:AD197)*SQRT(12)</f>
        <v>0.0218120415602488</v>
      </c>
      <c r="AQ197" s="628">
        <f>AO197/AP197</f>
        <v>-0.0240020608558061</v>
      </c>
    </row>
    <row r="198">
      <c r="N198" s="554">
        <f>Data!A450</f>
        <v>44680.0</v>
      </c>
      <c r="O198" s="433">
        <f>Data!B450/Data!B449-1</f>
        <v>-0.00814993621132631</v>
      </c>
      <c r="P198" s="433">
        <f>Data!C450/Data!C449-1</f>
        <v>-0.0157214149170659</v>
      </c>
      <c r="Q198" s="433">
        <f>Data!D450/Data!D449-1</f>
        <v>0.01967266523176</v>
      </c>
      <c r="R198" s="433">
        <f>Data!E450/Data!E449-1</f>
        <v>0.0202724934865481</v>
      </c>
      <c r="S198" s="433">
        <f>Data!F450/Data!F449-1</f>
        <v>0.110808492402232</v>
      </c>
      <c r="T198" s="433">
        <f>Data!G450/Data!G449-1</f>
        <v>0</v>
      </c>
      <c r="U198" s="433">
        <f>Data!H450/Data!H449-1</f>
        <v>0.0208384951200531</v>
      </c>
      <c r="V198" s="433">
        <f>Data!I450/Data!I449-1</f>
        <v>0</v>
      </c>
      <c r="W198" s="433">
        <f>Data!J450/Data!J449-1</f>
        <v>-0.0181986619173563</v>
      </c>
      <c r="X198" s="433">
        <f>Data!K450/Data!K449-1</f>
        <v>-0.0209740823208893</v>
      </c>
      <c r="Y198" s="433">
        <f>Data!L450/Data!L449-1</f>
        <v>-0.000140950597351086</v>
      </c>
      <c r="Z198" s="433">
        <f>SUMPRODUCT(O198:Y198,Risk!$B$56:$L$56)</f>
        <v>-0.00879460053437806</v>
      </c>
      <c r="AA198" s="433">
        <f>Z198-$B$8/12</f>
        <v>-0.00888793386771139</v>
      </c>
      <c r="AB198" s="433">
        <f>SUMPRODUCT(O198:Y198,Risk!$B$57:$L$57)</f>
        <v>-0.00581923467191822</v>
      </c>
      <c r="AC198" s="433">
        <f>AB198-$B$9/12</f>
        <v>-0.00610090133858489</v>
      </c>
      <c r="AD198" s="433">
        <f>AA198-AC198</f>
        <v>-0.0027870325291265</v>
      </c>
      <c r="AE198" s="560">
        <f>AE197*(1+AA198)</f>
        <v>2.73869484116476</v>
      </c>
      <c r="AF198" s="560">
        <f>AF197*(1+AC198)</f>
        <v>2.71201767650143</v>
      </c>
      <c r="AG198" s="433">
        <f>AE198/MAX(AE$5:AE198)-1</f>
        <v>-0.0366658044484901</v>
      </c>
      <c r="AH198" s="433">
        <f>AF198/MAX(AF$5:AF198)-1</f>
        <v>-0.0356810448387531</v>
      </c>
      <c r="AI198" s="433">
        <f>AE198/MAX(AE$185:AE198)-1</f>
        <v>-0.0366658044484901</v>
      </c>
      <c r="AJ198" s="433">
        <f>AF198/MAX(AF$185:AF198)-1</f>
        <v>-0.0356810448387531</v>
      </c>
      <c r="AK198" s="433">
        <f>AE198/AE186-1</f>
        <v>0.0591414604114149</v>
      </c>
      <c r="AL198" s="433">
        <f>AF198/AF186-1</f>
        <v>0.0695557007101124</v>
      </c>
      <c r="AM198" s="433">
        <f>(AE198/AE138)^(12/60)-1</f>
        <v>0.0755108690649731</v>
      </c>
      <c r="AN198" s="433">
        <f>(AF198/AF138)^(12/60)-1</f>
        <v>0.0764966165765453</v>
      </c>
      <c r="AO198" s="433">
        <f>AM198-AN198</f>
        <v>-0.00098574751157221</v>
      </c>
      <c r="AP198" s="433">
        <f>STDEV(AD139:AD198)*SQRT(12)</f>
        <v>0.0218473453965858</v>
      </c>
      <c r="AQ198" s="628">
        <f>AO198/AP198</f>
        <v>-0.0451197842885873</v>
      </c>
    </row>
    <row r="199">
      <c r="N199" s="554">
        <f>Data!A451</f>
        <v>44712.0</v>
      </c>
      <c r="O199" s="433">
        <f>Data!B451/Data!B450-1</f>
        <v>-0.0312830837182909</v>
      </c>
      <c r="P199" s="433">
        <f>Data!C451/Data!C450-1</f>
        <v>-0.0108994541179983</v>
      </c>
      <c r="Q199" s="433">
        <f>Data!D451/Data!D450-1</f>
        <v>-0.0107637267871459</v>
      </c>
      <c r="R199" s="433">
        <f>Data!E451/Data!E450-1</f>
        <v>-0.0602241481390073</v>
      </c>
      <c r="S199" s="433">
        <f>Data!F451/Data!F450-1</f>
        <v>0.0408838187837413</v>
      </c>
      <c r="T199" s="433">
        <f>Data!G451/Data!G450-1</f>
        <v>0</v>
      </c>
      <c r="U199" s="433">
        <f>Data!H451/Data!H450-1</f>
        <v>0.0250473054446427</v>
      </c>
      <c r="V199" s="433">
        <f>Data!I451/Data!I450-1</f>
        <v>0</v>
      </c>
      <c r="W199" s="433">
        <f>Data!J451/Data!J450-1</f>
        <v>-0.00906532158805518</v>
      </c>
      <c r="X199" s="433">
        <f>Data!K451/Data!K450-1</f>
        <v>-0.00440430583645612</v>
      </c>
      <c r="Y199" s="433">
        <f>Data!L451/Data!L450-1</f>
        <v>0.00031838534380646</v>
      </c>
      <c r="Z199" s="433">
        <f>SUMPRODUCT(O199:Y199,Risk!$B$56:$L$56)</f>
        <v>-0.0224053948558751</v>
      </c>
      <c r="AA199" s="433">
        <f>Z199-$B$8/12</f>
        <v>-0.0224987281892084</v>
      </c>
      <c r="AB199" s="433">
        <f>SUMPRODUCT(O199:Y199,Risk!$B$57:$L$57)</f>
        <v>-0.0151502136562468</v>
      </c>
      <c r="AC199" s="433">
        <f>AB199-$B$9/12</f>
        <v>-0.0154318803229135</v>
      </c>
      <c r="AD199" s="433">
        <f>AA199-AC199</f>
        <v>-0.00706684786629493</v>
      </c>
      <c r="AE199" s="560">
        <f>AE198*(1+AA199)</f>
        <v>2.6770776903402</v>
      </c>
      <c r="AF199" s="560">
        <f>AF198*(1+AC199)</f>
        <v>2.67016614428404</v>
      </c>
      <c r="AG199" s="433">
        <f>AE199/MAX(AE$5:AE199)-1</f>
        <v>-0.0583395986695733</v>
      </c>
      <c r="AH199" s="433">
        <f>AF199/MAX(AF$5:AF199)-1</f>
        <v>-0.0505622995479184</v>
      </c>
      <c r="AI199" s="433">
        <f>AE199/MAX(AE$185:AE199)-1</f>
        <v>-0.0583395986695733</v>
      </c>
      <c r="AJ199" s="433">
        <f>AF199/MAX(AF$185:AF199)-1</f>
        <v>-0.0505622995479184</v>
      </c>
      <c r="AK199" s="433">
        <f>AE199/AE187-1</f>
        <v>0.0241403203918065</v>
      </c>
      <c r="AL199" s="433">
        <f>AF199/AF187-1</f>
        <v>0.0426025432989552</v>
      </c>
      <c r="AM199" s="433">
        <f>(AE199/AE139)^(12/60)-1</f>
        <v>0.0714049531913232</v>
      </c>
      <c r="AN199" s="433">
        <f>(AF199/AF139)^(12/60)-1</f>
        <v>0.0728034809378833</v>
      </c>
      <c r="AO199" s="433">
        <f>AM199-AN199</f>
        <v>-0.00139852774656002</v>
      </c>
      <c r="AP199" s="433">
        <f>STDEV(AD140:AD199)*SQRT(12)</f>
        <v>0.0219513618323882</v>
      </c>
      <c r="AQ199" s="628">
        <f>AO199/AP199</f>
        <v>-0.0637102953902639</v>
      </c>
    </row>
    <row r="200">
      <c r="N200" s="554">
        <f>Data!A452</f>
        <v>44742.0</v>
      </c>
      <c r="O200" s="433">
        <f>Data!B452/Data!B451-1</f>
        <v>-0.0935749067230585</v>
      </c>
      <c r="P200" s="433">
        <f>Data!C452/Data!C451-1</f>
        <v>-0.0375307984116446</v>
      </c>
      <c r="Q200" s="433">
        <f>Data!D452/Data!D451-1</f>
        <v>-0.00344981055189197</v>
      </c>
      <c r="R200" s="433">
        <f>Data!E452/Data!E451-1</f>
        <v>-0.0327517475322608</v>
      </c>
      <c r="S200" s="433">
        <f>Data!F452/Data!F451-1</f>
        <v>-0.0365425208772228</v>
      </c>
      <c r="T200" s="433">
        <f>Data!G452/Data!G451-1</f>
        <v>0.00607754048611686</v>
      </c>
      <c r="U200" s="433">
        <f>Data!H452/Data!H451-1</f>
        <v>0.0104605411854029</v>
      </c>
      <c r="V200" s="433">
        <f>Data!I452/Data!I451-1</f>
        <v>-0.105393533853702</v>
      </c>
      <c r="W200" s="433">
        <f>Data!J452/Data!J451-1</f>
        <v>-0.0180178197249564</v>
      </c>
      <c r="X200" s="433">
        <f>Data!K452/Data!K451-1</f>
        <v>-0.0221183731817366</v>
      </c>
      <c r="Y200" s="433">
        <f>Data!L452/Data!L451-1</f>
        <v>0.000493651406751727</v>
      </c>
      <c r="Z200" s="433">
        <f>SUMPRODUCT(O200:Y200,Risk!$B$56:$L$56)</f>
        <v>-0.0526488843395882</v>
      </c>
      <c r="AA200" s="433">
        <f>Z200-$B$8/12</f>
        <v>-0.0527422176729215</v>
      </c>
      <c r="AB200" s="433">
        <f>SUMPRODUCT(O200:Y200,Risk!$B$57:$L$57)</f>
        <v>-0.0430129043859443</v>
      </c>
      <c r="AC200" s="433">
        <f>AB200-$B$9/12</f>
        <v>-0.043294571052611</v>
      </c>
      <c r="AD200" s="433">
        <f>AA200-AC200</f>
        <v>-0.00944764662031052</v>
      </c>
      <c r="AE200" s="560">
        <f>AE199*(1+AA200)</f>
        <v>2.53588267606896</v>
      </c>
      <c r="AF200" s="560">
        <f>AF199*(1+AC200)</f>
        <v>2.55456244642805</v>
      </c>
      <c r="AG200" s="433">
        <f>AE200/MAX(AE$5:AE200)-1</f>
        <v>-0.108004856530513</v>
      </c>
      <c r="AH200" s="433">
        <f>AF200/MAX(AF$5:AF200)-1</f>
        <v>-0.0916677975301686</v>
      </c>
      <c r="AI200" s="433">
        <f>AE200/MAX(AE$185:AE200)-1</f>
        <v>-0.108004856530513</v>
      </c>
      <c r="AJ200" s="433">
        <f>AF200/MAX(AF$185:AF200)-1</f>
        <v>-0.0916677975301686</v>
      </c>
      <c r="AK200" s="433">
        <f>AE200/AE188-1</f>
        <v>-0.0566367438916203</v>
      </c>
      <c r="AL200" s="433">
        <f>AF200/AF188-1</f>
        <v>-0.0349595169980859</v>
      </c>
      <c r="AM200" s="433">
        <f>(AE200/AE140)^(12/60)-1</f>
        <v>0.0616387757868813</v>
      </c>
      <c r="AN200" s="433">
        <f>(AF200/AF140)^(12/60)-1</f>
        <v>0.0652121232440659</v>
      </c>
      <c r="AO200" s="433">
        <f>AM200-AN200</f>
        <v>-0.00357334745718463</v>
      </c>
      <c r="AP200" s="433">
        <f>STDEV(AD141:AD200)*SQRT(12)</f>
        <v>0.022354067283037</v>
      </c>
      <c r="AQ200" s="628">
        <f>AO200/AP200</f>
        <v>-0.159852227871579</v>
      </c>
    </row>
    <row r="201">
      <c r="N201" s="554">
        <f>Data!A453</f>
        <v>44771.0</v>
      </c>
      <c r="O201" s="433">
        <f>Data!B453/Data!B452-1</f>
        <v>0.0634131439534231</v>
      </c>
      <c r="P201" s="433">
        <f>Data!C453/Data!C452-1</f>
        <v>0.0643282205745186</v>
      </c>
      <c r="Q201" s="433">
        <f>Data!D453/Data!D452-1</f>
        <v>-0.0126259526742786</v>
      </c>
      <c r="R201" s="433">
        <f>Data!E453/Data!E452-1</f>
        <v>0.0669994985931912</v>
      </c>
      <c r="S201" s="433">
        <f>Data!F453/Data!F452-1</f>
        <v>-0.0149623419195697</v>
      </c>
      <c r="T201" s="433">
        <f>Data!G453/Data!G452-1</f>
        <v>0</v>
      </c>
      <c r="U201" s="433">
        <f>Data!H453/Data!H452-1</f>
        <v>-0.0638041455710261</v>
      </c>
      <c r="V201" s="433">
        <f>Data!I453/Data!I452-1</f>
        <v>0</v>
      </c>
      <c r="W201" s="433">
        <f>Data!J453/Data!J452-1</f>
        <v>0.0370961573807305</v>
      </c>
      <c r="X201" s="433">
        <f>Data!K453/Data!K452-1</f>
        <v>0.0292683677463101</v>
      </c>
      <c r="Y201" s="433">
        <f>Data!L453/Data!L452-1</f>
        <v>0.00127059401588281</v>
      </c>
      <c r="Z201" s="433">
        <f>SUMPRODUCT(O201:Y201,Risk!$B$56:$L$56)</f>
        <v>0.0529256861635183</v>
      </c>
      <c r="AA201" s="433">
        <f>Z201-$B$8/12</f>
        <v>0.0528323528301849</v>
      </c>
      <c r="AB201" s="433">
        <f>SUMPRODUCT(O201:Y201,Risk!$B$57:$L$57)</f>
        <v>0.041840974347886</v>
      </c>
      <c r="AC201" s="433">
        <f>AB201-$B$9/12</f>
        <v>0.0415593076812193</v>
      </c>
      <c r="AD201" s="433">
        <f>AA201-AC201</f>
        <v>0.0112730451489656</v>
      </c>
      <c r="AE201" s="560">
        <f>AE200*(1+AA201)</f>
        <v>2.66985932434699</v>
      </c>
      <c r="AF201" s="560">
        <f>AF200*(1+AC201)</f>
        <v>2.66072829313005</v>
      </c>
      <c r="AG201" s="433">
        <f>AE201/MAX(AE$5:AE201)-1</f>
        <v>-0.0608786543879221</v>
      </c>
      <c r="AH201" s="433">
        <f>AF201/MAX(AF$5:AF201)-1</f>
        <v>-0.0539181400509653</v>
      </c>
      <c r="AI201" s="433">
        <f>AE201/MAX(AE$185:AE201)-1</f>
        <v>-0.0608786543879221</v>
      </c>
      <c r="AJ201" s="433">
        <f>AF201/MAX(AF$185:AF201)-1</f>
        <v>-0.0539181400509653</v>
      </c>
      <c r="AK201" s="433">
        <f>AE201/AE189-1</f>
        <v>-0.028556001790538</v>
      </c>
      <c r="AL201" s="433">
        <f>AF201/AF189-1</f>
        <v>-0.015428823571449</v>
      </c>
      <c r="AM201" s="433">
        <f>(AE201/AE141)^(12/60)-1</f>
        <v>0.0740377288003529</v>
      </c>
      <c r="AN201" s="433">
        <f>(AF201/AF141)^(12/60)-1</f>
        <v>0.0753549946743433</v>
      </c>
      <c r="AO201" s="433">
        <f>AM201-AN201</f>
        <v>-0.00131726587399039</v>
      </c>
      <c r="AP201" s="433">
        <f>STDEV(AD142:AD201)*SQRT(12)</f>
        <v>0.0229308701918452</v>
      </c>
      <c r="AQ201" s="628">
        <f>AO201/AP201</f>
        <v>-0.0574450887807496</v>
      </c>
    </row>
    <row r="202">
      <c r="N202" s="554">
        <f>Data!A454</f>
        <v>44804.0</v>
      </c>
      <c r="O202" s="433">
        <f>Data!B454/Data!B453-1</f>
        <v>0.0128021061810035</v>
      </c>
      <c r="P202" s="433">
        <f>Data!C454/Data!C453-1</f>
        <v>-0.0169256240186488</v>
      </c>
      <c r="Q202" s="433">
        <f>Data!D454/Data!D453-1</f>
        <v>0.0305466144009441</v>
      </c>
      <c r="R202" s="433">
        <f>Data!E454/Data!E453-1</f>
        <v>-0.0361112252397161</v>
      </c>
      <c r="S202" s="433">
        <f>Data!F454/Data!F453-1</f>
        <v>-0.00939540403659389</v>
      </c>
      <c r="T202" s="433">
        <f>Data!G454/Data!G453-1</f>
        <v>0</v>
      </c>
      <c r="U202" s="433">
        <f>Data!H454/Data!H453-1</f>
        <v>0.0164268878252452</v>
      </c>
      <c r="V202" s="433">
        <f>Data!I454/Data!I453-1</f>
        <v>0</v>
      </c>
      <c r="W202" s="433">
        <f>Data!J454/Data!J453-1</f>
        <v>-0.0285636005199005</v>
      </c>
      <c r="X202" s="433">
        <f>Data!K454/Data!K453-1</f>
        <v>-0.0266009526164481</v>
      </c>
      <c r="Y202" s="433">
        <f>Data!L454/Data!L453-1</f>
        <v>0.00150614675934979</v>
      </c>
      <c r="Z202" s="433">
        <f>SUMPRODUCT(O202:Y202,Risk!$B$56:$L$56)</f>
        <v>-0.0081825908694464</v>
      </c>
      <c r="AA202" s="433">
        <f>Z202-$B$8/12</f>
        <v>-0.00827592420277974</v>
      </c>
      <c r="AB202" s="433">
        <f>SUMPRODUCT(O202:Y202,Risk!$B$57:$L$57)</f>
        <v>-0.00904793645776604</v>
      </c>
      <c r="AC202" s="433">
        <f>AB202-$B$9/12</f>
        <v>-0.0093296031244327</v>
      </c>
      <c r="AD202" s="433">
        <f>AA202-AC202</f>
        <v>0.00105367892165296</v>
      </c>
      <c r="AE202" s="560">
        <f>AE201*(1+AA202)</f>
        <v>2.64776377094661</v>
      </c>
      <c r="AF202" s="560">
        <f>AF201*(1+AC202)</f>
        <v>2.63590475413319</v>
      </c>
      <c r="AG202" s="433">
        <f>AE202/MAX(AE$5:AE202)-1</f>
        <v>-0.0686507514614201</v>
      </c>
      <c r="AH202" s="433">
        <f>AF202/MAX(AF$5:AF202)-1</f>
        <v>-0.0627447083275149</v>
      </c>
      <c r="AI202" s="433">
        <f>AE202/MAX(AE$185:AE202)-1</f>
        <v>-0.0686507514614201</v>
      </c>
      <c r="AJ202" s="433">
        <f>AF202/MAX(AF$185:AF202)-1</f>
        <v>-0.0627447083275149</v>
      </c>
      <c r="AK202" s="433">
        <f>AE202/AE190-1</f>
        <v>-0.0549915508028767</v>
      </c>
      <c r="AL202" s="433">
        <f>AF202/AF190-1</f>
        <v>-0.0402361848688309</v>
      </c>
      <c r="AM202" s="433">
        <f>(AE202/AE142)^(12/60)-1</f>
        <v>0.0709296116884159</v>
      </c>
      <c r="AN202" s="433">
        <f>(AF202/AF142)^(12/60)-1</f>
        <v>0.0719775261716309</v>
      </c>
      <c r="AO202" s="433">
        <f>AM202-AN202</f>
        <v>-0.00104791448321495</v>
      </c>
      <c r="AP202" s="433">
        <f>STDEV(AD143:AD202)*SQRT(12)</f>
        <v>0.0229351868998268</v>
      </c>
      <c r="AQ202" s="628">
        <f>AO202/AP202</f>
        <v>-0.0456902526145477</v>
      </c>
    </row>
    <row r="203">
      <c r="N203" s="554">
        <f>Data!A455</f>
        <v>44834.0</v>
      </c>
      <c r="O203" s="433">
        <f>Data!B455/Data!B454-1</f>
        <v>-0.0640578028591144</v>
      </c>
      <c r="P203" s="433">
        <f>Data!C455/Data!C454-1</f>
        <v>-0.0218543831731177</v>
      </c>
      <c r="Q203" s="433">
        <f>Data!D455/Data!D454-1</f>
        <v>-0.0332231674707747</v>
      </c>
      <c r="R203" s="433">
        <f>Data!E455/Data!E454-1</f>
        <v>-0.0563893112378411</v>
      </c>
      <c r="S203" s="433">
        <f>Data!F455/Data!F454-1</f>
        <v>-0.0169240492207541</v>
      </c>
      <c r="T203" s="433">
        <f>Data!G455/Data!G454-1</f>
        <v>-0.0316899729467108</v>
      </c>
      <c r="U203" s="433">
        <f>Data!H455/Data!H454-1</f>
        <v>0.0426840315070531</v>
      </c>
      <c r="V203" s="433">
        <f>Data!I455/Data!I454-1</f>
        <v>-0.00233674319891275</v>
      </c>
      <c r="W203" s="433">
        <f>Data!J455/Data!J454-1</f>
        <v>-0.0142987013253724</v>
      </c>
      <c r="X203" s="433">
        <f>Data!K455/Data!K454-1</f>
        <v>-0.036690318828106</v>
      </c>
      <c r="Y203" s="433">
        <f>Data!L455/Data!L454-1</f>
        <v>0.00144867844203511</v>
      </c>
      <c r="Z203" s="433">
        <f>SUMPRODUCT(O203:Y203,Risk!$B$56:$L$56)</f>
        <v>-0.0406115521161653</v>
      </c>
      <c r="AA203" s="433">
        <f>Z203-$B$8/12</f>
        <v>-0.0407048854494986</v>
      </c>
      <c r="AB203" s="433">
        <f>SUMPRODUCT(O203:Y203,Risk!$B$57:$L$57)</f>
        <v>-0.0329103033729881</v>
      </c>
      <c r="AC203" s="433">
        <f>AB203-$B$9/12</f>
        <v>-0.0331919700396548</v>
      </c>
      <c r="AD203" s="433">
        <f>AA203-AC203</f>
        <v>-0.00751291540984384</v>
      </c>
      <c r="AE203" s="560">
        <f>AE202*(1+AA203)</f>
        <v>2.53998684995289</v>
      </c>
      <c r="AF203" s="560">
        <f>AF202*(1+AC203)</f>
        <v>2.54841388250662</v>
      </c>
      <c r="AG203" s="433">
        <f>AE203/MAX(AE$5:AE203)-1</f>
        <v>-0.10656121593666</v>
      </c>
      <c r="AH203" s="433">
        <f>AF203/MAX(AF$5:AF203)-1</f>
        <v>-0.0938540578882159</v>
      </c>
      <c r="AI203" s="433">
        <f>AE203/MAX(AE$185:AE203)-1</f>
        <v>-0.10656121593666</v>
      </c>
      <c r="AJ203" s="433">
        <f>AF203/MAX(AF$185:AF203)-1</f>
        <v>-0.0938540578882159</v>
      </c>
      <c r="AK203" s="433">
        <f>AE203/AE191-1</f>
        <v>-0.0759958552418232</v>
      </c>
      <c r="AL203" s="433">
        <f>AF203/AF191-1</f>
        <v>-0.0632013901198262</v>
      </c>
      <c r="AM203" s="433">
        <f>(AE203/AE143)^(12/60)-1</f>
        <v>0.0605280472454464</v>
      </c>
      <c r="AN203" s="433">
        <f>(AF203/AF143)^(12/60)-1</f>
        <v>0.0625532800011326</v>
      </c>
      <c r="AO203" s="433">
        <f>AM203-AN203</f>
        <v>-0.00202523275568622</v>
      </c>
      <c r="AP203" s="433">
        <f>STDEV(AD144:AD203)*SQRT(12)</f>
        <v>0.0231403558409159</v>
      </c>
      <c r="AQ203" s="628">
        <f>AO203/AP203</f>
        <v>-0.0875195165367893</v>
      </c>
    </row>
    <row r="204">
      <c r="N204" s="554">
        <f>Data!A456</f>
        <v>44865.0</v>
      </c>
      <c r="O204" s="433">
        <f>Data!B456/Data!B455-1</f>
        <v>0.056799410290348</v>
      </c>
      <c r="P204" s="433">
        <f>Data!C456/Data!C455-1</f>
        <v>0.0775772450559735</v>
      </c>
      <c r="Q204" s="433">
        <f>Data!D456/Data!D455-1</f>
        <v>-0.0208048750824997</v>
      </c>
      <c r="R204" s="433">
        <f>Data!E456/Data!E455-1</f>
        <v>0.0473036149000425</v>
      </c>
      <c r="S204" s="433">
        <f>Data!F456/Data!F455-1</f>
        <v>0.0728896310582323</v>
      </c>
      <c r="T204" s="433">
        <f>Data!G456/Data!G455-1</f>
        <v>0</v>
      </c>
      <c r="U204" s="433">
        <f>Data!H456/Data!H455-1</f>
        <v>-0.00952240289981388</v>
      </c>
      <c r="V204" s="433">
        <f>Data!I456/Data!I455-1</f>
        <v>0</v>
      </c>
      <c r="W204" s="433">
        <f>Data!J456/Data!J455-1</f>
        <v>0.00759318554395283</v>
      </c>
      <c r="X204" s="433">
        <f>Data!K456/Data!K455-1</f>
        <v>0.00060811603741362</v>
      </c>
      <c r="Y204" s="433">
        <f>Data!L456/Data!L455-1</f>
        <v>0.00243472449675974</v>
      </c>
      <c r="Z204" s="433">
        <f>SUMPRODUCT(O204:Y204,Risk!$B$56:$L$56)</f>
        <v>0.0443236324466973</v>
      </c>
      <c r="AA204" s="433">
        <f>Z204-$B$8/12</f>
        <v>0.044230299113364</v>
      </c>
      <c r="AB204" s="433">
        <f>SUMPRODUCT(O204:Y204,Risk!$B$57:$L$57)</f>
        <v>0.0378805991858905</v>
      </c>
      <c r="AC204" s="433">
        <f>AB204-$B$9/12</f>
        <v>0.0375989325192239</v>
      </c>
      <c r="AD204" s="433">
        <f>AA204-AC204</f>
        <v>0.00663136659414013</v>
      </c>
      <c r="AE204" s="560">
        <f>AE203*(1+AA204)</f>
        <v>2.65233122807032</v>
      </c>
      <c r="AF204" s="560">
        <f>AF203*(1+AC204)</f>
        <v>2.64423152410604</v>
      </c>
      <c r="AG204" s="433">
        <f>AE204/MAX(AE$5:AE204)-1</f>
        <v>-0.067044151278058</v>
      </c>
      <c r="AH204" s="433">
        <f>AF204/MAX(AF$5:AF204)-1</f>
        <v>-0.0597839377581865</v>
      </c>
      <c r="AI204" s="433">
        <f>AE204/MAX(AE$185:AE204)-1</f>
        <v>-0.067044151278058</v>
      </c>
      <c r="AJ204" s="433">
        <f>AF204/MAX(AF$185:AF204)-1</f>
        <v>-0.0597839377581865</v>
      </c>
      <c r="AK204" s="433">
        <f>AE204/AE192-1</f>
        <v>-0.0350723213956649</v>
      </c>
      <c r="AL204" s="433">
        <f>AF204/AF192-1</f>
        <v>-0.0260219833223766</v>
      </c>
      <c r="AM204" s="433">
        <f>(AE204/AE144)^(12/60)-1</f>
        <v>0.0634241053767455</v>
      </c>
      <c r="AN204" s="433">
        <f>(AF204/AF144)^(12/60)-1</f>
        <v>0.0644255623743466</v>
      </c>
      <c r="AO204" s="433">
        <f>AM204-AN204</f>
        <v>-0.00100145699760112</v>
      </c>
      <c r="AP204" s="433">
        <f>STDEV(AD145:AD204)*SQRT(12)</f>
        <v>0.0233208720770349</v>
      </c>
      <c r="AQ204" s="628">
        <f>AO204/AP204</f>
        <v>-0.0429425192288287</v>
      </c>
    </row>
    <row r="205">
      <c r="N205" s="554">
        <f>Data!A457</f>
        <v>44895.0</v>
      </c>
      <c r="O205" s="433">
        <f>Data!B457/Data!B456-1</f>
        <v>0.064437618329197</v>
      </c>
      <c r="P205" s="433">
        <f>Data!C457/Data!C456-1</f>
        <v>0.00928463367887278</v>
      </c>
      <c r="Q205" s="433">
        <f>Data!D457/Data!D456-1</f>
        <v>0.0665200538288033</v>
      </c>
      <c r="R205" s="433">
        <f>Data!E457/Data!E456-1</f>
        <v>0.00404585534017832</v>
      </c>
      <c r="S205" s="433">
        <f>Data!F457/Data!F456-1</f>
        <v>-0.0614537984809543</v>
      </c>
      <c r="T205" s="433">
        <f>Data!G457/Data!G456-1</f>
        <v>0</v>
      </c>
      <c r="U205" s="433">
        <f>Data!H457/Data!H456-1</f>
        <v>0.0120938348552389</v>
      </c>
      <c r="V205" s="433">
        <f>Data!I457/Data!I456-1</f>
        <v>0</v>
      </c>
      <c r="W205" s="433">
        <f>Data!J457/Data!J456-1</f>
        <v>0.0174439963524653</v>
      </c>
      <c r="X205" s="433">
        <f>Data!K457/Data!K456-1</f>
        <v>0.0173546771587008</v>
      </c>
      <c r="Y205" s="433">
        <f>Data!L457/Data!L456-1</f>
        <v>0.00249081503231219</v>
      </c>
      <c r="Z205" s="433">
        <f>SUMPRODUCT(O205:Y205,Risk!$B$56:$L$56)</f>
        <v>0.0322158902792989</v>
      </c>
      <c r="AA205" s="433">
        <f>Z205-$B$8/12</f>
        <v>0.0321225569459656</v>
      </c>
      <c r="AB205" s="433">
        <f>SUMPRODUCT(O205:Y205,Risk!$B$57:$L$57)</f>
        <v>0.024176165657715</v>
      </c>
      <c r="AC205" s="433">
        <f>AB205-$B$9/12</f>
        <v>0.0238944989910483</v>
      </c>
      <c r="AD205" s="433">
        <f>AA205-AC205</f>
        <v>0.00822805795491727</v>
      </c>
      <c r="AE205" s="560">
        <f>AE204*(1+AA205)</f>
        <v>2.73753088898357</v>
      </c>
      <c r="AF205" s="560">
        <f>AF204*(1+AC205)</f>
        <v>2.70741411159089</v>
      </c>
      <c r="AG205" s="433">
        <f>AE205/MAX(AE$5:AE205)-1</f>
        <v>-0.0370752238994158</v>
      </c>
      <c r="AH205" s="433">
        <f>AF205/MAX(AF$5:AF205)-1</f>
        <v>-0.037317946007582</v>
      </c>
      <c r="AI205" s="433">
        <f>AE205/MAX(AE$185:AE205)-1</f>
        <v>-0.0370752238994158</v>
      </c>
      <c r="AJ205" s="433">
        <f>AF205/MAX(AF$185:AF205)-1</f>
        <v>-0.037317946007582</v>
      </c>
      <c r="AK205" s="433">
        <f>AE205/AE193-1</f>
        <v>-0.020253023130288</v>
      </c>
      <c r="AL205" s="433">
        <f>AF205/AF193-1</f>
        <v>-0.0205367945879041</v>
      </c>
      <c r="AM205" s="433">
        <f>(AE205/AE145)^(12/60)-1</f>
        <v>0.0663895169825641</v>
      </c>
      <c r="AN205" s="433">
        <f>(AF205/AF145)^(12/60)-1</f>
        <v>0.0661767140734657</v>
      </c>
      <c r="AO205" s="433">
        <f>AM205-AN205</f>
        <v>0.00021280290909842</v>
      </c>
      <c r="AP205" s="433">
        <f>STDEV(AD146:AD205)*SQRT(12)</f>
        <v>0.023584897049647</v>
      </c>
      <c r="AQ205" s="628">
        <f>AO205/AP205</f>
        <v>0.00902284663996889</v>
      </c>
    </row>
    <row r="206">
      <c r="N206" s="554">
        <f>Data!A458</f>
        <v>44925.0</v>
      </c>
      <c r="O206" s="433">
        <f>Data!B458/Data!B457-1</f>
        <v>-0.0330258424902878</v>
      </c>
      <c r="P206" s="433">
        <f>Data!C458/Data!C457-1</f>
        <v>-0.0622522730091466</v>
      </c>
      <c r="Q206" s="433">
        <f>Data!D458/Data!D457-1</f>
        <v>-0.0316721592186203</v>
      </c>
      <c r="R206" s="433">
        <f>Data!E458/Data!E457-1</f>
        <v>-0.0525262704558147</v>
      </c>
      <c r="S206" s="433">
        <f>Data!F458/Data!F457-1</f>
        <v>-0.0260871526558978</v>
      </c>
      <c r="T206" s="433">
        <f>Data!G458/Data!G457-1</f>
        <v>-0.0229375831057133</v>
      </c>
      <c r="U206" s="433">
        <f>Data!H458/Data!H457-1</f>
        <v>0.0386239302876439</v>
      </c>
      <c r="V206" s="433">
        <f>Data!I458/Data!I457-1</f>
        <v>0.0971875568739871</v>
      </c>
      <c r="W206" s="433">
        <f>Data!J458/Data!J457-1</f>
        <v>-0.0229912038161394</v>
      </c>
      <c r="X206" s="433">
        <f>Data!K458/Data!K457-1</f>
        <v>-0.0175755288745397</v>
      </c>
      <c r="Y206" s="433">
        <f>Data!L458/Data!L457-1</f>
        <v>0.00251628959062789</v>
      </c>
      <c r="Z206" s="433">
        <f>SUMPRODUCT(O206:Y206,Risk!$B$56:$L$56)</f>
        <v>-0.0355920012545661</v>
      </c>
      <c r="AA206" s="433">
        <f>Z206-$B$8/12</f>
        <v>-0.0356853345878994</v>
      </c>
      <c r="AB206" s="433">
        <f>SUMPRODUCT(O206:Y206,Risk!$B$57:$L$57)</f>
        <v>-0.0304948754695275</v>
      </c>
      <c r="AC206" s="433">
        <f>AB206-$B$9/12</f>
        <v>-0.0307765421361942</v>
      </c>
      <c r="AD206" s="433">
        <f>AA206-AC206</f>
        <v>-0.00490879245170521</v>
      </c>
      <c r="AE206" s="560">
        <f>AE205*(1+AA206)</f>
        <v>2.63984118326548</v>
      </c>
      <c r="AF206" s="560">
        <f>AF205*(1+AC206)</f>
        <v>2.62408926710539</v>
      </c>
      <c r="AG206" s="433">
        <f>AE206/MAX(AE$5:AE206)-1</f>
        <v>-0.0714375167175432</v>
      </c>
      <c r="AH206" s="433">
        <f>AF206/MAX(AF$5:AF206)-1</f>
        <v>-0.0669459708060377</v>
      </c>
      <c r="AI206" s="433">
        <f>AE206/MAX(AE$185:AE206)-1</f>
        <v>-0.0714375167175432</v>
      </c>
      <c r="AJ206" s="433">
        <f>AF206/MAX(AF$185:AF206)-1</f>
        <v>-0.0669459708060377</v>
      </c>
      <c r="AK206" s="433">
        <f>AE206/AE194-1</f>
        <v>-0.0714375167175432</v>
      </c>
      <c r="AL206" s="433">
        <f>AF206/AF194-1</f>
        <v>-0.0669459708060377</v>
      </c>
      <c r="AM206" s="433">
        <f>(AE206/AE146)^(12/60)-1</f>
        <v>0.0582684041413062</v>
      </c>
      <c r="AN206" s="433">
        <f>(AF206/AF146)^(12/60)-1</f>
        <v>0.0592594157005253</v>
      </c>
      <c r="AO206" s="433">
        <f>AM206-AN206</f>
        <v>-0.000991011559219102</v>
      </c>
      <c r="AP206" s="433">
        <f>STDEV(AD147:AD206)*SQRT(12)</f>
        <v>0.0236925689403009</v>
      </c>
      <c r="AQ206" s="628">
        <f>AO206/AP206</f>
        <v>-0.0418279487427552</v>
      </c>
    </row>
    <row r="207">
      <c r="N207" s="554">
        <f>Data!A459</f>
        <v>44957.0</v>
      </c>
      <c r="O207" s="433">
        <f>Data!B459/Data!B458-1</f>
        <v>0.0643538032489528</v>
      </c>
      <c r="P207" s="433">
        <f>Data!C459/Data!C458-1</f>
        <v>0.0252306149854247</v>
      </c>
      <c r="Q207" s="433">
        <f>Data!D459/Data!D458-1</f>
        <v>0.0254556032073285</v>
      </c>
      <c r="R207" s="433">
        <f>Data!E459/Data!E458-1</f>
        <v>0.0461888406278275</v>
      </c>
      <c r="S207" s="433">
        <f>Data!F459/Data!F458-1</f>
        <v>-0.0384488829622999</v>
      </c>
      <c r="T207" s="433">
        <f>Data!G459/Data!G458-1</f>
        <v>0</v>
      </c>
      <c r="U207" s="433">
        <f>Data!H459/Data!H458-1</f>
        <v>-0.0232886472814574</v>
      </c>
      <c r="V207" s="433">
        <f>Data!I459/Data!I458-1</f>
        <v>0</v>
      </c>
      <c r="W207" s="433">
        <f>Data!J459/Data!J458-1</f>
        <v>0.0308817074870356</v>
      </c>
      <c r="X207" s="433">
        <f>Data!K459/Data!K458-1</f>
        <v>0.0160252140683412</v>
      </c>
      <c r="Y207" s="433">
        <f>Data!L459/Data!L458-1</f>
        <v>0.00264293759116785</v>
      </c>
      <c r="Z207" s="433">
        <f>SUMPRODUCT(O207:Y207,Risk!$B$56:$L$56)</f>
        <v>0.0415058072393532</v>
      </c>
      <c r="AA207" s="433">
        <f>Z207-$B$8/12</f>
        <v>0.0414124739060199</v>
      </c>
      <c r="AB207" s="433">
        <f>SUMPRODUCT(O207:Y207,Risk!$B$57:$L$57)</f>
        <v>0.0308385489946557</v>
      </c>
      <c r="AC207" s="433">
        <f>AB207-$B$9/12</f>
        <v>0.0305568823279891</v>
      </c>
      <c r="AD207" s="433">
        <f>AA207-AC207</f>
        <v>0.0108555915780308</v>
      </c>
      <c r="AE207" s="560">
        <f>AE206*(1+AA207)</f>
        <v>2.7491635373835</v>
      </c>
      <c r="AF207" s="560">
        <f>AF206*(1+AC207)</f>
        <v>2.70427325405846</v>
      </c>
      <c r="AG207" s="433">
        <f>AE207/MAX(AE$5:AE207)-1</f>
        <v>-0.0329834471084995</v>
      </c>
      <c r="AH207" s="433">
        <f>AF207/MAX(AF$5:AF207)-1</f>
        <v>-0.0384347486303016</v>
      </c>
      <c r="AI207" s="433">
        <f>AE207/MAX(AE$185:AE207)-1</f>
        <v>-0.0329834471084995</v>
      </c>
      <c r="AJ207" s="433">
        <f>AF207/MAX(AF$185:AF207)-1</f>
        <v>-0.0384347486303016</v>
      </c>
      <c r="AK207" s="433">
        <f>AE207/AE195-1</f>
        <v>0.00339350322301524</v>
      </c>
      <c r="AL207" s="433">
        <f>AF207/AF195-1</f>
        <v>-0.0163289619965974</v>
      </c>
      <c r="AM207" s="433">
        <f>(AE207/AE147)^(12/60)-1</f>
        <v>0.0685811552410731</v>
      </c>
      <c r="AN207" s="433">
        <f>(AF207/AF147)^(12/60)-1</f>
        <v>0.0667063203337959</v>
      </c>
      <c r="AO207" s="433">
        <f>AM207-AN207</f>
        <v>0.00187483490727725</v>
      </c>
      <c r="AP207" s="433">
        <f>STDEV(AD148:AD207)*SQRT(12)</f>
        <v>0.0241344577444397</v>
      </c>
      <c r="AQ207" s="628">
        <f>AO207/AP207</f>
        <v>0.0776829099344145</v>
      </c>
    </row>
    <row r="208">
      <c r="N208" s="554">
        <f>Data!A460</f>
        <v>44985.0</v>
      </c>
      <c r="O208" s="433">
        <f>Data!B460/Data!B459-1</f>
        <v>-0.0248309914540484</v>
      </c>
      <c r="P208" s="433">
        <f>Data!C460/Data!C459-1</f>
        <v>0.0289494109741744</v>
      </c>
      <c r="Q208" s="433">
        <f>Data!D460/Data!D459-1</f>
        <v>-0.00362587599806374</v>
      </c>
      <c r="R208" s="433">
        <f>Data!E460/Data!E459-1</f>
        <v>0.00876773210830151</v>
      </c>
      <c r="S208" s="433">
        <f>Data!F460/Data!F459-1</f>
        <v>0.00495387502557154</v>
      </c>
      <c r="T208" s="433">
        <f>Data!G460/Data!G459-1</f>
        <v>0</v>
      </c>
      <c r="U208" s="433">
        <f>Data!H460/Data!H459-1</f>
        <v>0.0448147804745347</v>
      </c>
      <c r="V208" s="433">
        <f>Data!I460/Data!I459-1</f>
        <v>0</v>
      </c>
      <c r="W208" s="433">
        <f>Data!J460/Data!J459-1</f>
        <v>-0.0150691003402723</v>
      </c>
      <c r="X208" s="433">
        <f>Data!K460/Data!K459-1</f>
        <v>-0.0155885253656385</v>
      </c>
      <c r="Y208" s="433">
        <f>Data!L460/Data!L459-1</f>
        <v>0.00237888129976893</v>
      </c>
      <c r="Z208" s="433">
        <f>SUMPRODUCT(O208:Y208,Risk!$B$56:$L$56)</f>
        <v>-0.00660666656526245</v>
      </c>
      <c r="AA208" s="433">
        <f>Z208-$B$8/12</f>
        <v>-0.00669999989859578</v>
      </c>
      <c r="AB208" s="433">
        <f>SUMPRODUCT(O208:Y208,Risk!$B$57:$L$57)</f>
        <v>-0.00106444874618889</v>
      </c>
      <c r="AC208" s="433">
        <f>AB208-$B$9/12</f>
        <v>-0.00134611541285555</v>
      </c>
      <c r="AD208" s="433">
        <f>AA208-AC208</f>
        <v>-0.00535388448574023</v>
      </c>
      <c r="AE208" s="560">
        <f>AE207*(1+AA208)</f>
        <v>2.73074414196181</v>
      </c>
      <c r="AF208" s="560">
        <f>AF207*(1+AC208)</f>
        <v>2.7006329901506</v>
      </c>
      <c r="AG208" s="433">
        <f>AE208/MAX(AE$5:AE208)-1</f>
        <v>-0.0394624579148131</v>
      </c>
      <c r="AH208" s="433">
        <f>AF208/MAX(AF$5:AF208)-1</f>
        <v>-0.0397291264356366</v>
      </c>
      <c r="AI208" s="433">
        <f>AE208/MAX(AE$185:AE208)-1</f>
        <v>-0.0394624579148131</v>
      </c>
      <c r="AJ208" s="433">
        <f>AF208/MAX(AF$185:AF208)-1</f>
        <v>-0.0397291264356366</v>
      </c>
      <c r="AK208" s="433">
        <f>AE208/AE196-1</f>
        <v>0.00942224455049767</v>
      </c>
      <c r="AL208" s="433">
        <f>AF208/AF196-1</f>
        <v>0.000270258313052718</v>
      </c>
      <c r="AM208" s="433">
        <f>(AE208/AE148)^(12/60)-1</f>
        <v>0.0671594202668877</v>
      </c>
      <c r="AN208" s="433">
        <f>(AF208/AF148)^(12/60)-1</f>
        <v>0.0663470418679728</v>
      </c>
      <c r="AO208" s="433">
        <f>AM208-AN208</f>
        <v>0.000812378398914904</v>
      </c>
      <c r="AP208" s="433">
        <f>STDEV(AD149:AD208)*SQRT(12)</f>
        <v>0.0242650696774986</v>
      </c>
      <c r="AQ208" s="628">
        <f>AO208/AP208</f>
        <v>0.0334793350982311</v>
      </c>
    </row>
    <row r="209">
      <c r="N209" s="554">
        <f>Data!A461</f>
        <v>45016.0</v>
      </c>
      <c r="O209" s="433">
        <f>Data!B461/Data!B460-1</f>
        <v>-0.00173347555902215</v>
      </c>
      <c r="P209" s="433">
        <f>Data!C461/Data!C460-1</f>
        <v>0.0326098982353344</v>
      </c>
      <c r="Q209" s="433">
        <f>Data!D461/Data!D460-1</f>
        <v>0.0290528865965243</v>
      </c>
      <c r="R209" s="433">
        <f>Data!E461/Data!E460-1</f>
        <v>-0.0256153770337539</v>
      </c>
      <c r="S209" s="433">
        <f>Data!F461/Data!F460-1</f>
        <v>-0.00394265665779214</v>
      </c>
      <c r="T209" s="433">
        <f>Data!G461/Data!G460-1</f>
        <v>-0.00194191121779674</v>
      </c>
      <c r="U209" s="433">
        <f>Data!H461/Data!H460-1</f>
        <v>0.0265646143344302</v>
      </c>
      <c r="V209" s="433">
        <f>Data!I461/Data!I460-1</f>
        <v>0.0409255031743798</v>
      </c>
      <c r="W209" s="433">
        <f>Data!J461/Data!J460-1</f>
        <v>0.0343347580867104</v>
      </c>
      <c r="X209" s="433">
        <f>Data!K461/Data!K460-1</f>
        <v>0.0234890312982226</v>
      </c>
      <c r="Y209" s="433">
        <f>Data!L461/Data!L460-1</f>
        <v>0.00284985300763951</v>
      </c>
      <c r="Z209" s="433">
        <f>SUMPRODUCT(O209:Y209,Risk!$B$56:$L$56)</f>
        <v>0.0104958776474818</v>
      </c>
      <c r="AA209" s="433">
        <f>Z209-$B$8/12</f>
        <v>0.0104025443141484</v>
      </c>
      <c r="AB209" s="433">
        <f>SUMPRODUCT(O209:Y209,Risk!$B$57:$L$57)</f>
        <v>0.0157964268886494</v>
      </c>
      <c r="AC209" s="433">
        <f>AB209-$B$9/12</f>
        <v>0.0155147602219828</v>
      </c>
      <c r="AD209" s="433">
        <f>AA209-AC209</f>
        <v>-0.00511221590783433</v>
      </c>
      <c r="AE209" s="560">
        <f>AE208*(1+AA209)</f>
        <v>2.75915082890917</v>
      </c>
      <c r="AF209" s="560">
        <f>AF208*(1+AC209)</f>
        <v>2.74253266344037</v>
      </c>
      <c r="AG209" s="433">
        <f>AE209/MAX(AE$5:AE209)-1</f>
        <v>-0.0294704235678688</v>
      </c>
      <c r="AH209" s="433">
        <f>AF209/MAX(AF$5:AF209)-1</f>
        <v>-0.0248307540841316</v>
      </c>
      <c r="AI209" s="433">
        <f>AE209/MAX(AE$185:AE209)-1</f>
        <v>-0.0294704235678688</v>
      </c>
      <c r="AJ209" s="433">
        <f>AF209/MAX(AF$185:AF209)-1</f>
        <v>-0.0248307540841316</v>
      </c>
      <c r="AK209" s="433">
        <f>AE209/AE197-1</f>
        <v>-0.00148507321547575</v>
      </c>
      <c r="AL209" s="433">
        <f>AF209/AF197-1</f>
        <v>0.00508221825427779</v>
      </c>
      <c r="AM209" s="433">
        <f>(AE209/AE149)^(12/60)-1</f>
        <v>0.0715639366590426</v>
      </c>
      <c r="AN209" s="433">
        <f>(AF209/AF149)^(12/60)-1</f>
        <v>0.0705880772031251</v>
      </c>
      <c r="AO209" s="433">
        <f>AM209-AN209</f>
        <v>0.000975859455917494</v>
      </c>
      <c r="AP209" s="433">
        <f>STDEV(AD150:AD209)*SQRT(12)</f>
        <v>0.024234705401903</v>
      </c>
      <c r="AQ209" s="628">
        <f>AO209/AP209</f>
        <v>0.0402670236643713</v>
      </c>
    </row>
    <row r="210">
      <c r="N210" s="554">
        <f>Data!A462</f>
        <v>45044.0</v>
      </c>
      <c r="O210" s="433">
        <f>Data!B462/Data!B461-1</f>
        <v>0.0175925199814149</v>
      </c>
      <c r="P210" s="433">
        <f>Data!C462/Data!C461-1</f>
        <v>0.0302293138172891</v>
      </c>
      <c r="Q210" s="433">
        <f>Data!D462/Data!D461-1</f>
        <v>0.00659345640396247</v>
      </c>
      <c r="R210" s="433">
        <f>Data!E462/Data!E461-1</f>
        <v>0.030338616369876</v>
      </c>
      <c r="S210" s="433">
        <f>Data!F462/Data!F461-1</f>
        <v>0.00577978940198221</v>
      </c>
      <c r="T210" s="433">
        <f>Data!G462/Data!G461-1</f>
        <v>0</v>
      </c>
      <c r="U210" s="433">
        <f>Data!H462/Data!H461-1</f>
        <v>0.0236211818329604</v>
      </c>
      <c r="V210" s="433">
        <f>Data!I462/Data!I461-1</f>
        <v>0</v>
      </c>
      <c r="W210" s="433">
        <f>Data!J462/Data!J461-1</f>
        <v>0.00299182966080713</v>
      </c>
      <c r="X210" s="433">
        <f>Data!K462/Data!K461-1</f>
        <v>-0.00105978527012773</v>
      </c>
      <c r="Y210" s="433">
        <f>Data!L462/Data!L461-1</f>
        <v>0.00304560483342886</v>
      </c>
      <c r="Z210" s="433">
        <f>SUMPRODUCT(O210:Y210,Risk!$B$56:$L$56)</f>
        <v>0.0166939163588622</v>
      </c>
      <c r="AA210" s="433">
        <f>Z210-$B$8/12</f>
        <v>0.0166005830255289</v>
      </c>
      <c r="AB210" s="433">
        <f>SUMPRODUCT(O210:Y210,Risk!$B$57:$L$57)</f>
        <v>0.0151925513103436</v>
      </c>
      <c r="AC210" s="433">
        <f>AB210-$B$9/12</f>
        <v>0.0149108846436769</v>
      </c>
      <c r="AD210" s="433">
        <f>AA210-AC210</f>
        <v>0.00168969838185201</v>
      </c>
      <c r="AE210" s="560">
        <f>AE209*(1+AA210)</f>
        <v>2.80495434132443</v>
      </c>
      <c r="AF210" s="560">
        <f>AF209*(1+AC210)</f>
        <v>2.78342625161644</v>
      </c>
      <c r="AG210" s="433">
        <f>AE210/MAX(AE$5:AE210)-1</f>
        <v>-0.0133590667555759</v>
      </c>
      <c r="AH210" s="433">
        <f>AF210/MAX(AF$5:AF210)-1</f>
        <v>-0.0102901179502186</v>
      </c>
      <c r="AI210" s="433">
        <f>AE210/MAX(AE$185:AE210)-1</f>
        <v>-0.0133590667555759</v>
      </c>
      <c r="AJ210" s="433">
        <f>AF210/MAX(AF$185:AF210)-1</f>
        <v>-0.0102901179502186</v>
      </c>
      <c r="AK210" s="433">
        <f>AE210/AE198-1</f>
        <v>0.024193823701619</v>
      </c>
      <c r="AL210" s="433">
        <f>AF210/AF198-1</f>
        <v>0.0263304239252342</v>
      </c>
      <c r="AM210" s="433">
        <f>(AE210/AE150)^(12/60)-1</f>
        <v>0.0699135415540451</v>
      </c>
      <c r="AN210" s="433">
        <f>(AF210/AF150)^(12/60)-1</f>
        <v>0.0691924220521325</v>
      </c>
      <c r="AO210" s="433">
        <f>AM210-AN210</f>
        <v>0.000721119501912559</v>
      </c>
      <c r="AP210" s="433">
        <f>STDEV(AD151:AD210)*SQRT(12)</f>
        <v>0.0242133156664887</v>
      </c>
      <c r="AQ210" s="628">
        <f>AO210/AP210</f>
        <v>0.0297819394850822</v>
      </c>
    </row>
    <row r="211">
      <c r="N211" s="554">
        <f>Data!A463</f>
        <v>45077.0</v>
      </c>
      <c r="O211" s="433">
        <f>Data!B463/Data!B462-1</f>
        <v>-0.0262608619430752</v>
      </c>
      <c r="P211" s="433">
        <f>Data!C463/Data!C462-1</f>
        <v>0.019748233253666</v>
      </c>
      <c r="Q211" s="433">
        <f>Data!D463/Data!D462-1</f>
        <v>0.011350896922304</v>
      </c>
      <c r="R211" s="433">
        <f>Data!E463/Data!E462-1</f>
        <v>-0.00989990132127527</v>
      </c>
      <c r="S211" s="433">
        <f>Data!F463/Data!F462-1</f>
        <v>-0.0411965031337356</v>
      </c>
      <c r="T211" s="433">
        <f>Data!G463/Data!G462-1</f>
        <v>0</v>
      </c>
      <c r="U211" s="433">
        <f>Data!H463/Data!H462-1</f>
        <v>-0.0807433066801336</v>
      </c>
      <c r="V211" s="433">
        <f>Data!I463/Data!I462-1</f>
        <v>0</v>
      </c>
      <c r="W211" s="433">
        <f>Data!J463/Data!J462-1</f>
        <v>-0.0132359635100137</v>
      </c>
      <c r="X211" s="433">
        <f>Data!K463/Data!K462-1</f>
        <v>-0.00207149461001177</v>
      </c>
      <c r="Y211" s="433">
        <f>Data!L463/Data!L462-1</f>
        <v>0.0029523510722993</v>
      </c>
      <c r="Z211" s="433">
        <f>SUMPRODUCT(O211:Y211,Risk!$B$56:$L$56)</f>
        <v>-0.00948913777886644</v>
      </c>
      <c r="AA211" s="433">
        <f>Z211-$B$8/12</f>
        <v>-0.00958247111219977</v>
      </c>
      <c r="AB211" s="433">
        <f>SUMPRODUCT(O211:Y211,Risk!$B$57:$L$57)</f>
        <v>-0.00741666371912205</v>
      </c>
      <c r="AC211" s="433">
        <f>AB211-$B$9/12</f>
        <v>-0.00769833038578872</v>
      </c>
      <c r="AD211" s="433">
        <f>AA211-AC211</f>
        <v>-0.00188414072641106</v>
      </c>
      <c r="AE211" s="560">
        <f>AE210*(1+AA211)</f>
        <v>2.77807594737765</v>
      </c>
      <c r="AF211" s="560">
        <f>AF210*(1+AC211)</f>
        <v>2.76199851672702</v>
      </c>
      <c r="AG211" s="433">
        <f>AE211/MAX(AE$5:AE211)-1</f>
        <v>-0.0228135249965044</v>
      </c>
      <c r="AH211" s="433">
        <f>AF211/MAX(AF$5:AF211)-1</f>
        <v>-0.0179092316083179</v>
      </c>
      <c r="AI211" s="433">
        <f>AE211/MAX(AE$185:AE211)-1</f>
        <v>-0.0228135249965044</v>
      </c>
      <c r="AJ211" s="433">
        <f>AF211/MAX(AF$185:AF211)-1</f>
        <v>-0.0179092316083179</v>
      </c>
      <c r="AK211" s="433">
        <f>AE211/AE199-1</f>
        <v>0.0377270549158442</v>
      </c>
      <c r="AL211" s="433">
        <f>AF211/AF199-1</f>
        <v>0.0343920068942412</v>
      </c>
      <c r="AM211" s="433">
        <f>(AE211/AE151)^(12/60)-1</f>
        <v>0.0653737859000485</v>
      </c>
      <c r="AN211" s="433">
        <f>(AF211/AF151)^(12/60)-1</f>
        <v>0.0656348169024745</v>
      </c>
      <c r="AO211" s="433">
        <f>AM211-AN211</f>
        <v>-0.000261031002426027</v>
      </c>
      <c r="AP211" s="433">
        <f>STDEV(AD152:AD211)*SQRT(12)</f>
        <v>0.0242036966730408</v>
      </c>
      <c r="AQ211" s="628">
        <f>AO211/AP211</f>
        <v>-0.0107847576323651</v>
      </c>
    </row>
    <row r="212">
      <c r="N212" s="554">
        <f>Data!A464</f>
        <v>45107.0</v>
      </c>
      <c r="O212" s="433">
        <f>Data!B464/Data!B463-1</f>
        <v>0.0193636079249537</v>
      </c>
      <c r="P212" s="433">
        <f>Data!C464/Data!C463-1</f>
        <v>0.0278547732529049</v>
      </c>
      <c r="Q212" s="433">
        <f>Data!D464/Data!D463-1</f>
        <v>0.00663390997485669</v>
      </c>
      <c r="R212" s="433">
        <f>Data!E464/Data!E463-1</f>
        <v>0.00276932880428893</v>
      </c>
      <c r="S212" s="433">
        <f>Data!F464/Data!F463-1</f>
        <v>0.0148926039588582</v>
      </c>
      <c r="T212" s="433">
        <f>Data!G464/Data!G463-1</f>
        <v>0.030957922686802</v>
      </c>
      <c r="U212" s="433">
        <f>Data!H464/Data!H463-1</f>
        <v>0.0679022048122442</v>
      </c>
      <c r="V212" s="433">
        <f>Data!I464/Data!I463-1</f>
        <v>0.00932517833077351</v>
      </c>
      <c r="W212" s="433">
        <f>Data!J464/Data!J463-1</f>
        <v>-0.0210620199873387</v>
      </c>
      <c r="X212" s="433">
        <f>Data!K464/Data!K463-1</f>
        <v>-0.00233517338836697</v>
      </c>
      <c r="Y212" s="433">
        <f>Data!L464/Data!L463-1</f>
        <v>0.00301725493701777</v>
      </c>
      <c r="Z212" s="433">
        <f>SUMPRODUCT(O212:Y212,Risk!$B$56:$L$56)</f>
        <v>0.0104584216774124</v>
      </c>
      <c r="AA212" s="433">
        <f>Z212-$B$8/12</f>
        <v>0.0103650883440791</v>
      </c>
      <c r="AB212" s="433">
        <f>SUMPRODUCT(O212:Y212,Risk!$B$57:$L$57)</f>
        <v>0.0129664533624521</v>
      </c>
      <c r="AC212" s="433">
        <f>AB212-$B$9/12</f>
        <v>0.0126847866957854</v>
      </c>
      <c r="AD212" s="433">
        <f>AA212-AC212</f>
        <v>-0.00231969835170629</v>
      </c>
      <c r="AE212" s="560">
        <f>AE211*(1+AA212)</f>
        <v>2.80687094999878</v>
      </c>
      <c r="AF212" s="560">
        <f>AF211*(1+AC212)</f>
        <v>2.79703387876578</v>
      </c>
      <c r="AG212" s="433">
        <f>AE212/MAX(AE$5:AE212)-1</f>
        <v>-0.012684900854454</v>
      </c>
      <c r="AH212" s="433">
        <f>AF212/MAX(AF$5:AF212)-1</f>
        <v>-0.00545161969536945</v>
      </c>
      <c r="AI212" s="433">
        <f>AE212/MAX(AE$185:AE212)-1</f>
        <v>-0.012684900854454</v>
      </c>
      <c r="AJ212" s="433">
        <f>AF212/MAX(AF$185:AF212)-1</f>
        <v>-0.00545161969536945</v>
      </c>
      <c r="AK212" s="433">
        <f>AE212/AE200-1</f>
        <v>0.106861518668482</v>
      </c>
      <c r="AL212" s="433">
        <f>AF212/AF200-1</f>
        <v>0.0949170111996143</v>
      </c>
      <c r="AM212" s="433">
        <f>(AE212/AE152)^(12/60)-1</f>
        <v>0.0625758383933925</v>
      </c>
      <c r="AN212" s="433">
        <f>(AF212/AF152)^(12/60)-1</f>
        <v>0.0640562026311116</v>
      </c>
      <c r="AO212" s="433">
        <f>AM212-AN212</f>
        <v>-0.00148036423771902</v>
      </c>
      <c r="AP212" s="433">
        <f>STDEV(AD153:AD212)*SQRT(12)</f>
        <v>0.0241783997123928</v>
      </c>
      <c r="AQ212" s="628">
        <f>AO212/AP212</f>
        <v>-0.0612267253138451</v>
      </c>
    </row>
    <row r="213">
      <c r="N213" s="554">
        <f>Data!A465</f>
        <v>45138.0</v>
      </c>
      <c r="O213" s="433">
        <f>Data!B465/Data!B464-1</f>
        <v>0.0298954680758246</v>
      </c>
      <c r="P213" s="433">
        <f>Data!C465/Data!C464-1</f>
        <v>0.0168763485235524</v>
      </c>
      <c r="Q213" s="433">
        <f>Data!D465/Data!D464-1</f>
        <v>0.0408945259280931</v>
      </c>
      <c r="R213" s="433">
        <f>Data!E465/Data!E464-1</f>
        <v>0.0172120246723186</v>
      </c>
      <c r="S213" s="433">
        <f>Data!F465/Data!F464-1</f>
        <v>0.0938807235208907</v>
      </c>
      <c r="T213" s="433">
        <f>Data!G465/Data!G464-1</f>
        <v>0</v>
      </c>
      <c r="U213" s="433">
        <f>Data!H465/Data!H464-1</f>
        <v>0.018391265612842</v>
      </c>
      <c r="V213" s="433">
        <f>Data!I465/Data!I464-1</f>
        <v>0</v>
      </c>
      <c r="W213" s="433">
        <f>Data!J465/Data!J464-1</f>
        <v>0.00554796126137669</v>
      </c>
      <c r="X213" s="433">
        <f>Data!K465/Data!K464-1</f>
        <v>-0.00458130536052315</v>
      </c>
      <c r="Y213" s="433">
        <f>Data!L465/Data!L464-1</f>
        <v>0.00373975543619087</v>
      </c>
      <c r="Z213" s="433">
        <f>SUMPRODUCT(O213:Y213,Risk!$B$56:$L$56)</f>
        <v>0.0177821320431702</v>
      </c>
      <c r="AA213" s="433">
        <f>Z213-$B$8/12</f>
        <v>0.0176887987098368</v>
      </c>
      <c r="AB213" s="433">
        <f>SUMPRODUCT(O213:Y213,Risk!$B$57:$L$57)</f>
        <v>0.0167701842583378</v>
      </c>
      <c r="AC213" s="433">
        <f>AB213-$B$9/12</f>
        <v>0.0164885175916711</v>
      </c>
      <c r="AD213" s="433">
        <f>AA213-AC213</f>
        <v>0.00120028111816571</v>
      </c>
      <c r="AE213" s="560">
        <f>AE212*(1+AA213)</f>
        <v>2.8565211252378</v>
      </c>
      <c r="AF213" s="560">
        <f>AF212*(1+AC213)</f>
        <v>2.84315282108031</v>
      </c>
      <c r="AG213" s="433">
        <f>AE213/MAX(AE$5:AE213)-1</f>
        <v>0</v>
      </c>
      <c r="AH213" s="433">
        <f>AF213/MAX(AF$5:AF213)-1</f>
        <v>0</v>
      </c>
      <c r="AI213" s="433">
        <f>AE213/MAX(AE$185:AE213)-1</f>
        <v>0</v>
      </c>
      <c r="AJ213" s="433">
        <f>AF213/MAX(AF$185:AF213)-1</f>
        <v>0</v>
      </c>
      <c r="AK213" s="433">
        <f>AE213/AE201-1</f>
        <v>0.0699144704698871</v>
      </c>
      <c r="AL213" s="433">
        <f>AF213/AF201-1</f>
        <v>0.0685618777465102</v>
      </c>
      <c r="AM213" s="433">
        <f>(AE213/AE153)^(12/60)-1</f>
        <v>0.0640860041384834</v>
      </c>
      <c r="AN213" s="433">
        <f>(AF213/AF153)^(12/60)-1</f>
        <v>0.0655357858214203</v>
      </c>
      <c r="AO213" s="433">
        <f>AM213-AN213</f>
        <v>-0.00144978168293686</v>
      </c>
      <c r="AP213" s="433">
        <f>STDEV(AD154:AD213)*SQRT(12)</f>
        <v>0.0241798858731268</v>
      </c>
      <c r="AQ213" s="628">
        <f>AO213/AP213</f>
        <v>-0.0599581689733335</v>
      </c>
    </row>
    <row r="214">
      <c r="N214" s="554">
        <f>Data!A466</f>
        <v>45169.0</v>
      </c>
      <c r="O214" s="433">
        <f>Data!B466/Data!B465-1</f>
        <v>-0.00739557847296868</v>
      </c>
      <c r="P214" s="433">
        <f>Data!C466/Data!C465-1</f>
        <v>0.0226198678863698</v>
      </c>
      <c r="Q214" s="433">
        <f>Data!D466/Data!D465-1</f>
        <v>-0.00793294080428952</v>
      </c>
      <c r="R214" s="433">
        <f>Data!E466/Data!E465-1</f>
        <v>0.0157718028676523</v>
      </c>
      <c r="S214" s="433">
        <f>Data!F466/Data!F465-1</f>
        <v>0.0466641731576447</v>
      </c>
      <c r="T214" s="433">
        <f>Data!G466/Data!G465-1</f>
        <v>0</v>
      </c>
      <c r="U214" s="433">
        <f>Data!H466/Data!H465-1</f>
        <v>0.0366533055238458</v>
      </c>
      <c r="V214" s="433">
        <f>Data!I466/Data!I465-1</f>
        <v>0</v>
      </c>
      <c r="W214" s="433">
        <f>Data!J466/Data!J465-1</f>
        <v>0.00793532199231861</v>
      </c>
      <c r="X214" s="433">
        <f>Data!K466/Data!K465-1</f>
        <v>-0.00419840509940472</v>
      </c>
      <c r="Y214" s="433">
        <f>Data!L466/Data!L465-1</f>
        <v>0.00364997743294948</v>
      </c>
      <c r="Z214" s="433">
        <f>SUMPRODUCT(O214:Y214,Risk!$B$56:$L$56)</f>
        <v>0.00425284678605361</v>
      </c>
      <c r="AA214" s="433">
        <f>Z214-$B$8/12</f>
        <v>0.00415951345272027</v>
      </c>
      <c r="AB214" s="433">
        <f>SUMPRODUCT(O214:Y214,Risk!$B$57:$L$57)</f>
        <v>0.00723741412094041</v>
      </c>
      <c r="AC214" s="433">
        <f>AB214-$B$9/12</f>
        <v>0.00695574745427374</v>
      </c>
      <c r="AD214" s="433">
        <f>AA214-AC214</f>
        <v>-0.00279623400155347</v>
      </c>
      <c r="AE214" s="560">
        <f>AE213*(1+AA214)</f>
        <v>2.86840286328621</v>
      </c>
      <c r="AF214" s="560">
        <f>AF213*(1+AC214)</f>
        <v>2.86292907407765</v>
      </c>
      <c r="AG214" s="433">
        <f>AE214/MAX(AE$5:AE214)-1</f>
        <v>0</v>
      </c>
      <c r="AH214" s="433">
        <f>AF214/MAX(AF$5:AF214)-1</f>
        <v>0</v>
      </c>
      <c r="AI214" s="433">
        <f>AE214/MAX(AE$185:AE214)-1</f>
        <v>0</v>
      </c>
      <c r="AJ214" s="433">
        <f>AF214/MAX(AF$185:AF214)-1</f>
        <v>0</v>
      </c>
      <c r="AK214" s="433">
        <f>AE214/AE202-1</f>
        <v>0.0833303539993358</v>
      </c>
      <c r="AL214" s="433">
        <f>AF214/AF202-1</f>
        <v>0.0861276643583095</v>
      </c>
      <c r="AM214" s="433">
        <f>(AE214/AE154)^(12/60)-1</f>
        <v>0.0604242239687023</v>
      </c>
      <c r="AN214" s="433">
        <f>(AF214/AF154)^(12/60)-1</f>
        <v>0.0627792276482349</v>
      </c>
      <c r="AO214" s="433">
        <f>AM214-AN214</f>
        <v>-0.00235500367953256</v>
      </c>
      <c r="AP214" s="433">
        <f>STDEV(AD155:AD214)*SQRT(12)</f>
        <v>0.0242029292168942</v>
      </c>
      <c r="AQ214" s="628">
        <f>AO214/AP214</f>
        <v>-0.0973024239515898</v>
      </c>
    </row>
    <row r="215">
      <c r="N215" s="554">
        <f>Data!A467</f>
        <v>45198.0</v>
      </c>
      <c r="O215" s="433">
        <f>Data!B467/Data!B466-1</f>
        <v>-0.0282448928316327</v>
      </c>
      <c r="P215" s="433">
        <f>Data!C467/Data!C466-1</f>
        <v>-0.0332390134695945</v>
      </c>
      <c r="Q215" s="433">
        <f>Data!D467/Data!D466-1</f>
        <v>-0.0141189268845451</v>
      </c>
      <c r="R215" s="433">
        <f>Data!E467/Data!E466-1</f>
        <v>-0.056376138982978</v>
      </c>
      <c r="S215" s="433">
        <f>Data!F467/Data!F466-1</f>
        <v>0.0447880676617698</v>
      </c>
      <c r="T215" s="433">
        <f>Data!G467/Data!G466-1</f>
        <v>0.0303822614150213</v>
      </c>
      <c r="U215" s="433">
        <f>Data!H467/Data!H466-1</f>
        <v>-0.0263357163137468</v>
      </c>
      <c r="V215" s="433">
        <f>Data!I467/Data!I466-1</f>
        <v>0.0857133972339457</v>
      </c>
      <c r="W215" s="433">
        <f>Data!J467/Data!J466-1</f>
        <v>-0.016986849563008</v>
      </c>
      <c r="X215" s="433">
        <f>Data!K467/Data!K466-1</f>
        <v>-0.0181817993301239</v>
      </c>
      <c r="Y215" s="433">
        <f>Data!L467/Data!L466-1</f>
        <v>0.00337329676936782</v>
      </c>
      <c r="Z215" s="433">
        <f>SUMPRODUCT(O215:Y215,Risk!$B$56:$L$56)</f>
        <v>-0.0273498143318751</v>
      </c>
      <c r="AA215" s="433">
        <f>Z215-$B$8/12</f>
        <v>-0.0274431476652085</v>
      </c>
      <c r="AB215" s="433">
        <f>SUMPRODUCT(O215:Y215,Risk!$B$57:$L$57)</f>
        <v>-0.0194892370864169</v>
      </c>
      <c r="AC215" s="433">
        <f>AB215-$B$9/12</f>
        <v>-0.0197709037530836</v>
      </c>
      <c r="AD215" s="433">
        <f>AA215-AC215</f>
        <v>-0.00767224391212486</v>
      </c>
      <c r="AE215" s="560">
        <f>AE214*(1+AA215)</f>
        <v>2.78968485994573</v>
      </c>
      <c r="AF215" s="560">
        <f>AF214*(1+AC215)</f>
        <v>2.80632637890216</v>
      </c>
      <c r="AG215" s="433">
        <f>AE215/MAX(AE$5:AE215)-1</f>
        <v>-0.0274431476652086</v>
      </c>
      <c r="AH215" s="433">
        <f>AF215/MAX(AF$5:AF215)-1</f>
        <v>-0.0197709037530835</v>
      </c>
      <c r="AI215" s="433">
        <f>AE215/MAX(AE$185:AE215)-1</f>
        <v>-0.0274431476652086</v>
      </c>
      <c r="AJ215" s="433">
        <f>AF215/MAX(AF$185:AF215)-1</f>
        <v>-0.0197709037530835</v>
      </c>
      <c r="AK215" s="433">
        <f>AE215/AE203-1</f>
        <v>0.0983068120992328</v>
      </c>
      <c r="AL215" s="433">
        <f>AF215/AF203-1</f>
        <v>0.101205105719269</v>
      </c>
      <c r="AM215" s="433">
        <f>(AE215/AE155)^(12/60)-1</f>
        <v>0.0557869820770813</v>
      </c>
      <c r="AN215" s="433">
        <f>(AF215/AF155)^(12/60)-1</f>
        <v>0.0591870138080093</v>
      </c>
      <c r="AO215" s="433">
        <f>AM215-AN215</f>
        <v>-0.00340003173092796</v>
      </c>
      <c r="AP215" s="433">
        <f>STDEV(AD156:AD215)*SQRT(12)</f>
        <v>0.0244119730139106</v>
      </c>
      <c r="AQ215" s="628">
        <f>AO215/AP215</f>
        <v>-0.139277219788443</v>
      </c>
    </row>
    <row r="216">
      <c r="N216" s="554">
        <f>Data!A468</f>
        <v>45230.0</v>
      </c>
      <c r="O216" s="433">
        <f>Data!B468/Data!B467-1</f>
        <v>-0.0385095862787339</v>
      </c>
      <c r="P216" s="433">
        <f>Data!C468/Data!C467-1</f>
        <v>-0.00718182886825003</v>
      </c>
      <c r="Q216" s="433">
        <f>Data!D468/Data!D467-1</f>
        <v>-0.0171752341854846</v>
      </c>
      <c r="R216" s="433">
        <f>Data!E468/Data!E467-1</f>
        <v>-0.0243068009083727</v>
      </c>
      <c r="S216" s="433">
        <f>Data!F468/Data!F467-1</f>
        <v>-0.0233094139627541</v>
      </c>
      <c r="T216" s="433">
        <f>Data!G468/Data!G467-1</f>
        <v>0</v>
      </c>
      <c r="U216" s="433">
        <f>Data!H468/Data!H467-1</f>
        <v>0.0103402588795272</v>
      </c>
      <c r="V216" s="433">
        <f>Data!I468/Data!I467-1</f>
        <v>0</v>
      </c>
      <c r="W216" s="433">
        <f>Data!J468/Data!J467-1</f>
        <v>-0.0222329832797787</v>
      </c>
      <c r="X216" s="433">
        <f>Data!K468/Data!K467-1</f>
        <v>-0.00600572203021954</v>
      </c>
      <c r="Y216" s="433">
        <f>Data!L468/Data!L467-1</f>
        <v>0.00332089733043062</v>
      </c>
      <c r="Z216" s="433">
        <f>SUMPRODUCT(O216:Y216,Risk!$B$56:$L$56)</f>
        <v>-0.0228538228172351</v>
      </c>
      <c r="AA216" s="433">
        <f>Z216-$B$8/12</f>
        <v>-0.0229471561505684</v>
      </c>
      <c r="AB216" s="433">
        <f>SUMPRODUCT(O216:Y216,Risk!$B$57:$L$57)</f>
        <v>-0.0173973692626636</v>
      </c>
      <c r="AC216" s="433">
        <f>AB216-$B$9/12</f>
        <v>-0.0176790359293303</v>
      </c>
      <c r="AD216" s="433">
        <f>AA216-AC216</f>
        <v>-0.0052681202212381</v>
      </c>
      <c r="AE216" s="560">
        <f>AE215*(1+AA216)</f>
        <v>2.72566952585368</v>
      </c>
      <c r="AF216" s="560">
        <f>AF215*(1+AC216)</f>
        <v>2.75671323402012</v>
      </c>
      <c r="AG216" s="433">
        <f>AE216/MAX(AE$5:AE216)-1</f>
        <v>-0.0497605616210404</v>
      </c>
      <c r="AH216" s="433">
        <f>AF216/MAX(AF$5:AF216)-1</f>
        <v>-0.0371004091646078</v>
      </c>
      <c r="AI216" s="433">
        <f>AE216/MAX(AE$185:AE216)-1</f>
        <v>-0.0497605616210404</v>
      </c>
      <c r="AJ216" s="433">
        <f>AF216/MAX(AF$185:AF216)-1</f>
        <v>-0.0371004091646078</v>
      </c>
      <c r="AK216" s="433">
        <f>AE216/AE204-1</f>
        <v>0.0276505049622775</v>
      </c>
      <c r="AL216" s="433">
        <f>AF216/AF204-1</f>
        <v>0.0425385254236026</v>
      </c>
      <c r="AM216" s="433">
        <f>(AE216/AE156)^(12/60)-1</f>
        <v>0.058555919327137</v>
      </c>
      <c r="AN216" s="433">
        <f>(AF216/AF156)^(12/60)-1</f>
        <v>0.0619522919396291</v>
      </c>
      <c r="AO216" s="433">
        <f>AM216-AN216</f>
        <v>-0.00339637261249215</v>
      </c>
      <c r="AP216" s="433">
        <f>STDEV(AD157:AD216)*SQRT(12)</f>
        <v>0.0244124504600215</v>
      </c>
      <c r="AQ216" s="628">
        <f>AO216/AP216</f>
        <v>-0.139124608488367</v>
      </c>
    </row>
    <row r="217">
      <c r="N217" s="554">
        <f>Data!A469</f>
        <v>45260.0</v>
      </c>
      <c r="O217" s="433">
        <f>Data!B469/Data!B468-1</f>
        <v>0.0519466526187076</v>
      </c>
      <c r="P217" s="433">
        <f>Data!C469/Data!C468-1</f>
        <v>0.0346173901145732</v>
      </c>
      <c r="Q217" s="433">
        <f>Data!D469/Data!D468-1</f>
        <v>0.0140767763252276</v>
      </c>
      <c r="R217" s="433">
        <f>Data!E469/Data!E468-1</f>
        <v>0.0471259974569185</v>
      </c>
      <c r="S217" s="433">
        <f>Data!F469/Data!F468-1</f>
        <v>-0.0798996696862153</v>
      </c>
      <c r="T217" s="433">
        <f>Data!G469/Data!G468-1</f>
        <v>0</v>
      </c>
      <c r="U217" s="433">
        <f>Data!H469/Data!H468-1</f>
        <v>-0.0220649643730214</v>
      </c>
      <c r="V217" s="433">
        <f>Data!I469/Data!I468-1</f>
        <v>0</v>
      </c>
      <c r="W217" s="433">
        <f>Data!J469/Data!J468-1</f>
        <v>0.0333253821466246</v>
      </c>
      <c r="X217" s="433">
        <f>Data!K469/Data!K468-1</f>
        <v>0.0327646721801997</v>
      </c>
      <c r="Y217" s="433">
        <f>Data!L469/Data!L468-1</f>
        <v>0.00351884776665767</v>
      </c>
      <c r="Z217" s="433">
        <f>SUMPRODUCT(O217:Y217,Risk!$B$56:$L$56)</f>
        <v>0.0402810392561652</v>
      </c>
      <c r="AA217" s="433">
        <f>Z217-$B$8/12</f>
        <v>0.0401877059228319</v>
      </c>
      <c r="AB217" s="433">
        <f>SUMPRODUCT(O217:Y217,Risk!$B$57:$L$57)</f>
        <v>0.0311312504423498</v>
      </c>
      <c r="AC217" s="433">
        <f>AB217-$B$9/12</f>
        <v>0.0308495837756831</v>
      </c>
      <c r="AD217" s="433">
        <f>AA217-AC217</f>
        <v>0.00933812214714877</v>
      </c>
      <c r="AE217" s="560">
        <f>AE216*(1+AA217)</f>
        <v>2.83520793120152</v>
      </c>
      <c r="AF217" s="560">
        <f>AF216*(1+AC217)</f>
        <v>2.84175668987855</v>
      </c>
      <c r="AG217" s="433">
        <f>AE217/MAX(AE$5:AE217)-1</f>
        <v>-0.0115726185151896</v>
      </c>
      <c r="AH217" s="433">
        <f>AF217/MAX(AF$5:AF217)-1</f>
        <v>-0.00739535756956045</v>
      </c>
      <c r="AI217" s="433">
        <f>AE217/MAX(AE$185:AE217)-1</f>
        <v>-0.0115726185151896</v>
      </c>
      <c r="AJ217" s="433">
        <f>AF217/MAX(AF$185:AF217)-1</f>
        <v>-0.00739535756956045</v>
      </c>
      <c r="AK217" s="433">
        <f>AE217/AE205-1</f>
        <v>0.0356807087039701</v>
      </c>
      <c r="AL217" s="433">
        <f>AF217/AF205-1</f>
        <v>0.0496202548817786</v>
      </c>
      <c r="AM217" s="433">
        <f>(AE217/AE157)^(12/60)-1</f>
        <v>0.0694012293380575</v>
      </c>
      <c r="AN217" s="433">
        <f>(AF217/AF157)^(12/60)-1</f>
        <v>0.0709603395144351</v>
      </c>
      <c r="AO217" s="433">
        <f>AM217-AN217</f>
        <v>-0.00155911017637767</v>
      </c>
      <c r="AP217" s="433">
        <f>STDEV(AD158:AD217)*SQRT(12)</f>
        <v>0.0247756080872389</v>
      </c>
      <c r="AQ217" s="628">
        <f>AO217/AP217</f>
        <v>-0.0629292395523771</v>
      </c>
    </row>
    <row r="218">
      <c r="N218" s="554">
        <f>Data!A470</f>
        <v>45289.0</v>
      </c>
      <c r="O218" s="433">
        <f>Data!B470/Data!B469-1</f>
        <v>0.0743846091653917</v>
      </c>
      <c r="P218" s="433">
        <f>Data!C470/Data!C469-1</f>
        <v>0.0124892693278615</v>
      </c>
      <c r="Q218" s="433">
        <f>Data!D470/Data!D469-1</f>
        <v>0.00260652649177073</v>
      </c>
      <c r="R218" s="433">
        <f>Data!E470/Data!E469-1</f>
        <v>0.0586631268412861</v>
      </c>
      <c r="S218" s="433">
        <f>Data!F470/Data!F469-1</f>
        <v>-0.0604391365042007</v>
      </c>
      <c r="T218" s="433">
        <f>Data!G470/Data!G469-1</f>
        <v>0.00299999999999967</v>
      </c>
      <c r="U218" s="433">
        <f>Data!H470/Data!H469-1</f>
        <v>0.0118846817625933</v>
      </c>
      <c r="V218" s="433">
        <f>Data!I470/Data!I469-1</f>
        <v>0.117523827391003</v>
      </c>
      <c r="W218" s="433">
        <f>Data!J470/Data!J469-1</f>
        <v>0.03063133442301</v>
      </c>
      <c r="X218" s="433">
        <f>Data!K470/Data!K469-1</f>
        <v>0.0280545499360192</v>
      </c>
      <c r="Y218" s="433">
        <f>Data!L470/Data!L469-1</f>
        <v>0.00368958888432736</v>
      </c>
      <c r="Z218" s="433">
        <f>SUMPRODUCT(O218:Y218,Risk!$B$56:$L$56)</f>
        <v>0.0452153455960936</v>
      </c>
      <c r="AA218" s="433">
        <f>Z218-$B$8/12</f>
        <v>0.0451220122627602</v>
      </c>
      <c r="AB218" s="433">
        <f>SUMPRODUCT(O218:Y218,Risk!$B$57:$L$57)</f>
        <v>0.036086739126915</v>
      </c>
      <c r="AC218" s="433">
        <f>AB218-$B$9/12</f>
        <v>0.0358050724602484</v>
      </c>
      <c r="AD218" s="433">
        <f>AA218-AC218</f>
        <v>0.00931693980251185</v>
      </c>
      <c r="AE218" s="560">
        <f>AE217*(1+AA218)</f>
        <v>2.96313821824067</v>
      </c>
      <c r="AF218" s="560">
        <f>AF217*(1+AC218)</f>
        <v>2.94350599407405</v>
      </c>
      <c r="AG218" s="433">
        <f>AE218/MAX(AE$5:AE218)-1</f>
        <v>0</v>
      </c>
      <c r="AH218" s="433">
        <f>AF218/MAX(AF$5:AF218)-1</f>
        <v>0</v>
      </c>
      <c r="AI218" s="433">
        <f>AE218/MAX(AE$185:AE218)-1</f>
        <v>0</v>
      </c>
      <c r="AJ218" s="433">
        <f>AF218/MAX(AF$185:AF218)-1</f>
        <v>0</v>
      </c>
      <c r="AK218" s="433">
        <f>AE218/AE206-1</f>
        <v>0.122468365530711</v>
      </c>
      <c r="AL218" s="433">
        <f>AF218/AF206-1</f>
        <v>0.121724794568826</v>
      </c>
      <c r="AM218" s="433">
        <f>(AE218/AE158)^(12/60)-1</f>
        <v>0.0809394834713451</v>
      </c>
      <c r="AN218" s="433">
        <f>(AF218/AF158)^(12/60)-1</f>
        <v>0.0810251421433255</v>
      </c>
      <c r="AO218" s="433">
        <f>AM218-AN218</f>
        <v>-8.56586719804042e-05</v>
      </c>
      <c r="AP218" s="433">
        <f>STDEV(AD159:AD218)*SQRT(12)</f>
        <v>0.0251067394660198</v>
      </c>
      <c r="AQ218" s="628">
        <f>AO218/AP218</f>
        <v>-0.00341178001613221</v>
      </c>
    </row>
    <row r="219">
      <c r="N219" s="554">
        <f>Data!A471</f>
        <v>45322.0</v>
      </c>
      <c r="O219" s="433">
        <f>Data!B471/Data!B470-1</f>
        <v>0.0106839178137852</v>
      </c>
      <c r="P219" s="433">
        <f>Data!C471/Data!C470-1</f>
        <v>0.0509068771337404</v>
      </c>
      <c r="Q219" s="433">
        <f>Data!D471/Data!D470-1</f>
        <v>-0.00366617760613286</v>
      </c>
      <c r="R219" s="433">
        <f>Data!E471/Data!E470-1</f>
        <v>-0.00289571723480908</v>
      </c>
      <c r="S219" s="433">
        <f>Data!F471/Data!F470-1</f>
        <v>0.0783249536820825</v>
      </c>
      <c r="T219" s="433">
        <f>Data!G471/Data!G470-1</f>
        <v>0</v>
      </c>
      <c r="U219" s="433">
        <f>Data!H471/Data!H470-1</f>
        <v>0.043145374432507</v>
      </c>
      <c r="V219" s="433">
        <f>Data!I471/Data!I470-1</f>
        <v>0</v>
      </c>
      <c r="W219" s="433">
        <f>Data!J471/Data!J470-1</f>
        <v>0.000676871742493201</v>
      </c>
      <c r="X219" s="433">
        <f>Data!K471/Data!K470-1</f>
        <v>-0.00948099607168118</v>
      </c>
      <c r="Y219" s="433">
        <f>Data!L471/Data!L470-1</f>
        <v>0.00369431658072883</v>
      </c>
      <c r="Z219" s="433">
        <f>SUMPRODUCT(O219:Y219,Risk!$B$56:$L$56)</f>
        <v>0.0137670240650718</v>
      </c>
      <c r="AA219" s="433">
        <f>Z219-$B$8/12</f>
        <v>0.0136736907317384</v>
      </c>
      <c r="AB219" s="433">
        <f>SUMPRODUCT(O219:Y219,Risk!$B$57:$L$57)</f>
        <v>0.0165994867110262</v>
      </c>
      <c r="AC219" s="433">
        <f>AB219-$B$9/12</f>
        <v>0.0163178200443596</v>
      </c>
      <c r="AD219" s="433">
        <f>AA219-AC219</f>
        <v>-0.00264412931262113</v>
      </c>
      <c r="AE219" s="560">
        <f>AE218*(1+AA219)</f>
        <v>3.00365525383228</v>
      </c>
      <c r="AF219" s="560">
        <f>AF218*(1+AC219)</f>
        <v>2.99153759518484</v>
      </c>
      <c r="AG219" s="433">
        <f>AE219/MAX(AE$5:AE219)-1</f>
        <v>0</v>
      </c>
      <c r="AH219" s="433">
        <f>AF219/MAX(AF$5:AF219)-1</f>
        <v>0</v>
      </c>
      <c r="AI219" s="433">
        <f>AE219/MAX(AE$185:AE219)-1</f>
        <v>0</v>
      </c>
      <c r="AJ219" s="433">
        <f>AF219/MAX(AF$185:AF219)-1</f>
        <v>0</v>
      </c>
      <c r="AK219" s="433">
        <f>AE219/AE207-1</f>
        <v>0.092570599379836</v>
      </c>
      <c r="AL219" s="433">
        <f>AF219/AF207-1</f>
        <v>0.106226077817863</v>
      </c>
      <c r="AM219" s="433">
        <f>(AE219/AE159)^(12/60)-1</f>
        <v>0.0772242498627282</v>
      </c>
      <c r="AN219" s="433">
        <f>(AF219/AF159)^(12/60)-1</f>
        <v>0.0787689544455505</v>
      </c>
      <c r="AO219" s="433">
        <f>AM219-AN219</f>
        <v>-0.0015447045828223</v>
      </c>
      <c r="AP219" s="433">
        <f>STDEV(AD160:AD219)*SQRT(12)</f>
        <v>0.0250662749155423</v>
      </c>
      <c r="AQ219" s="628">
        <f>AO219/AP219</f>
        <v>-0.0616248161335095</v>
      </c>
    </row>
    <row r="220">
      <c r="N220" s="554">
        <f>Data!A472</f>
        <v>45351.0</v>
      </c>
      <c r="O220" s="433">
        <f>Data!B472/Data!B471-1</f>
        <v>0.0116873597237668</v>
      </c>
      <c r="P220" s="433">
        <f>Data!C472/Data!C471-1</f>
        <v>0.0623870618516675</v>
      </c>
      <c r="Q220" s="433">
        <f>Data!D472/Data!D471-1</f>
        <v>0.0671184085413294</v>
      </c>
      <c r="R220" s="433">
        <f>Data!E472/Data!E471-1</f>
        <v>0.0227448297695938</v>
      </c>
      <c r="S220" s="433">
        <f>Data!F472/Data!F471-1</f>
        <v>0.0240556365830769</v>
      </c>
      <c r="T220" s="433">
        <f>Data!G472/Data!G471-1</f>
        <v>0</v>
      </c>
      <c r="U220" s="433">
        <f>Data!H472/Data!H471-1</f>
        <v>0.0290182896052487</v>
      </c>
      <c r="V220" s="433">
        <f>Data!I472/Data!I471-1</f>
        <v>0</v>
      </c>
      <c r="W220" s="433">
        <f>Data!J472/Data!J471-1</f>
        <v>-0.00278868941443444</v>
      </c>
      <c r="X220" s="433">
        <f>Data!K472/Data!K471-1</f>
        <v>-0.00880144061644983</v>
      </c>
      <c r="Y220" s="433">
        <f>Data!L472/Data!L471-1</f>
        <v>0.00344172857429093</v>
      </c>
      <c r="Z220" s="433">
        <f>SUMPRODUCT(O220:Y220,Risk!$B$56:$L$56)</f>
        <v>0.0185453415755188</v>
      </c>
      <c r="AA220" s="433">
        <f>Z220-$B$8/12</f>
        <v>0.0184520082421855</v>
      </c>
      <c r="AB220" s="433">
        <f>SUMPRODUCT(O220:Y220,Risk!$B$57:$L$57)</f>
        <v>0.0215967634066708</v>
      </c>
      <c r="AC220" s="433">
        <f>AB220-$B$9/12</f>
        <v>0.0213150967400041</v>
      </c>
      <c r="AD220" s="433">
        <f>AA220-AC220</f>
        <v>-0.00286308849781863</v>
      </c>
      <c r="AE220" s="560">
        <f>AE219*(1+AA220)</f>
        <v>3.05907872533268</v>
      </c>
      <c r="AF220" s="560">
        <f>AF219*(1+AC220)</f>
        <v>3.05530250842757</v>
      </c>
      <c r="AG220" s="433">
        <f>AE220/MAX(AE$5:AE220)-1</f>
        <v>0</v>
      </c>
      <c r="AH220" s="433">
        <f>AF220/MAX(AF$5:AF220)-1</f>
        <v>0</v>
      </c>
      <c r="AI220" s="433">
        <f>AE220/MAX(AE$185:AE220)-1</f>
        <v>0</v>
      </c>
      <c r="AJ220" s="433">
        <f>AF220/MAX(AF$185:AF220)-1</f>
        <v>0</v>
      </c>
      <c r="AK220" s="433">
        <f>AE220/AE208-1</f>
        <v>0.120236304209369</v>
      </c>
      <c r="AL220" s="433">
        <f>AF220/AF208-1</f>
        <v>0.131328292133907</v>
      </c>
      <c r="AM220" s="433">
        <f>(AE220/AE160)^(12/60)-1</f>
        <v>0.0726006462073907</v>
      </c>
      <c r="AN220" s="433">
        <f>(AF220/AF160)^(12/60)-1</f>
        <v>0.0758853801830883</v>
      </c>
      <c r="AO220" s="433">
        <f>AM220-AN220</f>
        <v>-0.00328473397569762</v>
      </c>
      <c r="AP220" s="433">
        <f>STDEV(AD161:AD220)*SQRT(12)</f>
        <v>0.0249739642283875</v>
      </c>
      <c r="AQ220" s="628">
        <f>AO220/AP220</f>
        <v>-0.131526334612265</v>
      </c>
    </row>
    <row r="221">
      <c r="N221" s="554">
        <f>Data!A473</f>
        <v>45380.0</v>
      </c>
      <c r="O221" s="433">
        <f>Data!B473/Data!B472-1</f>
        <v>0.0313213701683439</v>
      </c>
      <c r="P221" s="433">
        <f>Data!C473/Data!C472-1</f>
        <v>0.0324957310503904</v>
      </c>
      <c r="Q221" s="433">
        <f>Data!D473/Data!D472-1</f>
        <v>0.0286318355788007</v>
      </c>
      <c r="R221" s="433">
        <f>Data!E473/Data!E472-1</f>
        <v>0.0271974260196342</v>
      </c>
      <c r="S221" s="433">
        <f>Data!F473/Data!F472-1</f>
        <v>0.045281977202231</v>
      </c>
      <c r="T221" s="433">
        <f>Data!G473/Data!G472-1</f>
        <v>0.00299999999999989</v>
      </c>
      <c r="U221" s="433">
        <f>Data!H473/Data!H472-1</f>
        <v>0.0187640927995012</v>
      </c>
      <c r="V221" s="433">
        <f>Data!I473/Data!I472-1</f>
        <v>0.120678964779084</v>
      </c>
      <c r="W221" s="433">
        <f>Data!J473/Data!J472-1</f>
        <v>0.0119633208203909</v>
      </c>
      <c r="X221" s="433">
        <f>Data!K473/Data!K472-1</f>
        <v>0.0096630394457955</v>
      </c>
      <c r="Y221" s="433">
        <f>Data!L473/Data!L472-1</f>
        <v>0.0036793299689788</v>
      </c>
      <c r="Z221" s="433">
        <f>SUMPRODUCT(O221:Y221,Risk!$B$56:$L$56)</f>
        <v>0.0245725312559298</v>
      </c>
      <c r="AA221" s="433">
        <f>Z221-$B$8/12</f>
        <v>0.0244791979225965</v>
      </c>
      <c r="AB221" s="433">
        <f>SUMPRODUCT(O221:Y221,Risk!$B$57:$L$57)</f>
        <v>0.0264792033072818</v>
      </c>
      <c r="AC221" s="433">
        <f>AB221-$B$9/12</f>
        <v>0.0261975366406152</v>
      </c>
      <c r="AD221" s="433">
        <f>AA221-AC221</f>
        <v>-0.00171833871801867</v>
      </c>
      <c r="AE221" s="560">
        <f>AE220*(1+AA221)</f>
        <v>3.1339625189109</v>
      </c>
      <c r="AF221" s="560">
        <f>AF220*(1+AC221)</f>
        <v>3.13534390784026</v>
      </c>
      <c r="AG221" s="433">
        <f>AE221/MAX(AE$5:AE221)-1</f>
        <v>0</v>
      </c>
      <c r="AH221" s="433">
        <f>AF221/MAX(AF$5:AF221)-1</f>
        <v>0</v>
      </c>
      <c r="AI221" s="433">
        <f>AE221/MAX(AE$185:AE221)-1</f>
        <v>0</v>
      </c>
      <c r="AJ221" s="433">
        <f>AF221/MAX(AF$185:AF221)-1</f>
        <v>0</v>
      </c>
      <c r="AK221" s="433">
        <f>AE221/AE209-1</f>
        <v>0.135843131906608</v>
      </c>
      <c r="AL221" s="433">
        <f>AF221/AF209-1</f>
        <v>0.143229376858956</v>
      </c>
      <c r="AM221" s="433">
        <f>(AE221/AE161)^(12/60)-1</f>
        <v>0.0747947005775722</v>
      </c>
      <c r="AN221" s="433">
        <f>(AF221/AF161)^(12/60)-1</f>
        <v>0.0787095168296219</v>
      </c>
      <c r="AO221" s="433">
        <f>AM221-AN221</f>
        <v>-0.0039148162520497</v>
      </c>
      <c r="AP221" s="433">
        <f>STDEV(AD162:AD221)*SQRT(12)</f>
        <v>0.0249768894059126</v>
      </c>
      <c r="AQ221" s="628">
        <f>AO221/AP221</f>
        <v>-0.156737541990436</v>
      </c>
    </row>
    <row r="222">
      <c r="N222" s="554">
        <f>Data!A474</f>
        <v>45412.0</v>
      </c>
      <c r="O222" s="433">
        <f>Data!B474/Data!B473-1</f>
        <v>-0.0269780788811943</v>
      </c>
      <c r="P222" s="433">
        <f>Data!C474/Data!C473-1</f>
        <v>-0.0273727648783078</v>
      </c>
      <c r="Q222" s="433">
        <f>Data!D474/Data!D473-1</f>
        <v>0.0190043664561734</v>
      </c>
      <c r="R222" s="433">
        <f>Data!E474/Data!E473-1</f>
        <v>-0.0533222442445901</v>
      </c>
      <c r="S222" s="433">
        <f>Data!F474/Data!F473-1</f>
        <v>0.0163489342880925</v>
      </c>
      <c r="T222" s="433">
        <f>Data!G474/Data!G473-1</f>
        <v>0</v>
      </c>
      <c r="U222" s="433">
        <f>Data!H474/Data!H473-1</f>
        <v>0.0189322377721621</v>
      </c>
      <c r="V222" s="433">
        <f>Data!I474/Data!I473-1</f>
        <v>0</v>
      </c>
      <c r="W222" s="433">
        <f>Data!J474/Data!J473-1</f>
        <v>-0.0220114843092436</v>
      </c>
      <c r="X222" s="433">
        <f>Data!K474/Data!K473-1</f>
        <v>-0.0140674135081248</v>
      </c>
      <c r="Y222" s="433">
        <f>Data!L474/Data!L473-1</f>
        <v>0.00352477678988516</v>
      </c>
      <c r="Z222" s="433">
        <f>SUMPRODUCT(O222:Y222,Risk!$B$56:$L$56)</f>
        <v>-0.0257783903043428</v>
      </c>
      <c r="AA222" s="433">
        <f>Z222-$B$8/12</f>
        <v>-0.0258717236376762</v>
      </c>
      <c r="AB222" s="433">
        <f>SUMPRODUCT(O222:Y222,Risk!$B$57:$L$57)</f>
        <v>-0.0201047435610931</v>
      </c>
      <c r="AC222" s="433">
        <f>AB222-$B$9/12</f>
        <v>-0.0203864102277598</v>
      </c>
      <c r="AD222" s="433">
        <f>AA222-AC222</f>
        <v>-0.00548531340991641</v>
      </c>
      <c r="AE222" s="560">
        <f>AE221*(1+AA222)</f>
        <v>3.05288150673081</v>
      </c>
      <c r="AF222" s="560">
        <f>AF221*(1+AC222)</f>
        <v>3.07142550072992</v>
      </c>
      <c r="AG222" s="433">
        <f>AE222/MAX(AE$5:AE222)-1</f>
        <v>-0.0258717236376762</v>
      </c>
      <c r="AH222" s="433">
        <f>AF222/MAX(AF$5:AF222)-1</f>
        <v>-0.0203864102277598</v>
      </c>
      <c r="AI222" s="433">
        <f>AE222/MAX(AE$185:AE222)-1</f>
        <v>-0.0258717236376762</v>
      </c>
      <c r="AJ222" s="433">
        <f>AF222/MAX(AF$185:AF222)-1</f>
        <v>-0.0203864102277598</v>
      </c>
      <c r="AK222" s="433">
        <f>AE222/AE210-1</f>
        <v>0.0883890200113946</v>
      </c>
      <c r="AL222" s="433">
        <f>AF222/AF210-1</f>
        <v>0.103469329911734</v>
      </c>
      <c r="AM222" s="433">
        <f>(AE222/AE162)^(12/60)-1</f>
        <v>0.0647678359535389</v>
      </c>
      <c r="AN222" s="433">
        <f>(AF222/AF162)^(12/60)-1</f>
        <v>0.0701116250422937</v>
      </c>
      <c r="AO222" s="433">
        <f>AM222-AN222</f>
        <v>-0.00534378908875488</v>
      </c>
      <c r="AP222" s="433">
        <f>STDEV(AD163:AD222)*SQRT(12)</f>
        <v>0.025081550361118</v>
      </c>
      <c r="AQ222" s="628">
        <f>AO222/AP222</f>
        <v>-0.213056569941504</v>
      </c>
    </row>
    <row r="223">
      <c r="N223" s="554">
        <f>Data!A475</f>
        <v>45443.0</v>
      </c>
      <c r="O223" s="433">
        <f>Data!B475/Data!B474-1</f>
        <v>0.00872118234116726</v>
      </c>
      <c r="P223" s="433">
        <f>Data!C475/Data!C474-1</f>
        <v>0.0167530903633544</v>
      </c>
      <c r="Q223" s="433">
        <f>Data!D475/Data!D474-1</f>
        <v>-0.0186671594716444</v>
      </c>
      <c r="R223" s="433">
        <f>Data!E475/Data!E474-1</f>
        <v>0.011427594005486</v>
      </c>
      <c r="S223" s="433">
        <f>Data!F475/Data!F474-1</f>
        <v>-0.0421733819703517</v>
      </c>
      <c r="T223" s="433">
        <f>Data!G475/Data!G474-1</f>
        <v>0</v>
      </c>
      <c r="U223" s="433">
        <f>Data!H475/Data!H474-1</f>
        <v>-0.00450089480583404</v>
      </c>
      <c r="V223" s="433">
        <f>Data!I475/Data!I474-1</f>
        <v>0</v>
      </c>
      <c r="W223" s="433">
        <f>Data!J475/Data!J474-1</f>
        <v>0.00348306337984838</v>
      </c>
      <c r="X223" s="433">
        <f>Data!K475/Data!K474-1</f>
        <v>-0.00316201856149445</v>
      </c>
      <c r="Y223" s="433">
        <f>Data!L475/Data!L474-1</f>
        <v>0.00375050431617163</v>
      </c>
      <c r="Z223" s="433">
        <f>SUMPRODUCT(O223:Y223,Risk!$B$56:$L$56)</f>
        <v>0.00851388373387609</v>
      </c>
      <c r="AA223" s="433">
        <f>Z223-$B$8/12</f>
        <v>0.00842055040054276</v>
      </c>
      <c r="AB223" s="433">
        <f>SUMPRODUCT(O223:Y223,Risk!$B$57:$L$57)</f>
        <v>0.00571478154604903</v>
      </c>
      <c r="AC223" s="433">
        <f>AB223-$B$9/12</f>
        <v>0.00543311487938236</v>
      </c>
      <c r="AD223" s="433">
        <f>AA223-AC223</f>
        <v>0.0029874355211604</v>
      </c>
      <c r="AE223" s="560">
        <f>AE222*(1+AA223)</f>
        <v>3.07858844932512</v>
      </c>
      <c r="AF223" s="560">
        <f>AF222*(1+AC223)</f>
        <v>3.08811290831885</v>
      </c>
      <c r="AG223" s="433">
        <f>AE223/MAX(AE$5:AE223)-1</f>
        <v>-0.0176690273899733</v>
      </c>
      <c r="AH223" s="433">
        <f>AF223/MAX(AF$5:AF223)-1</f>
        <v>-0.0150640570571231</v>
      </c>
      <c r="AI223" s="433">
        <f>AE223/MAX(AE$185:AE223)-1</f>
        <v>-0.0176690273899733</v>
      </c>
      <c r="AJ223" s="433">
        <f>AF223/MAX(AF$185:AF223)-1</f>
        <v>-0.0150640570571231</v>
      </c>
      <c r="AK223" s="433">
        <f>AE223/AE211-1</f>
        <v>0.108172889308924</v>
      </c>
      <c r="AL223" s="433">
        <f>AF223/AF211-1</f>
        <v>0.118071892369544</v>
      </c>
      <c r="AM223" s="433">
        <f>(AE223/AE163)^(12/60)-1</f>
        <v>0.0657765948928433</v>
      </c>
      <c r="AN223" s="433">
        <f>(AF223/AF163)^(12/60)-1</f>
        <v>0.0721176327088806</v>
      </c>
      <c r="AO223" s="433">
        <f>AM223-AN223</f>
        <v>-0.00634103781603734</v>
      </c>
      <c r="AP223" s="433">
        <f>STDEV(AD164:AD223)*SQRT(12)</f>
        <v>0.024871852452123</v>
      </c>
      <c r="AQ223" s="628">
        <f>AO223/AP223</f>
        <v>-0.254948352891828</v>
      </c>
    </row>
    <row r="224">
      <c r="N224" s="554">
        <f>Data!A476</f>
        <v>45471.0</v>
      </c>
      <c r="O224" s="433">
        <f>Data!B476/Data!B475-1</f>
        <v>0.0069790748813634</v>
      </c>
      <c r="P224" s="433">
        <f>Data!C476/Data!C475-1</f>
        <v>0.019252634747311</v>
      </c>
      <c r="Q224" s="433">
        <f>Data!D476/Data!D475-1</f>
        <v>0.0388543690454122</v>
      </c>
      <c r="R224" s="433">
        <f>Data!E476/Data!E475-1</f>
        <v>0.0113937994589972</v>
      </c>
      <c r="S224" s="433">
        <f>Data!F476/Data!F475-1</f>
        <v>0.0100167739678352</v>
      </c>
      <c r="T224" s="433">
        <f>Data!G476/Data!G475-1</f>
        <v>0.00300000000000011</v>
      </c>
      <c r="U224" s="433">
        <f>Data!H476/Data!H475-1</f>
        <v>-0.00296444968670873</v>
      </c>
      <c r="V224" s="433">
        <f>Data!I476/Data!I475-1</f>
        <v>-0.014554264488624</v>
      </c>
      <c r="W224" s="433">
        <f>Data!J476/Data!J475-1</f>
        <v>0.00877519430195606</v>
      </c>
      <c r="X224" s="433">
        <f>Data!K476/Data!K475-1</f>
        <v>0.0113665154010871</v>
      </c>
      <c r="Y224" s="433">
        <f>Data!L476/Data!L475-1</f>
        <v>0.00350165902749899</v>
      </c>
      <c r="Z224" s="433">
        <f>SUMPRODUCT(O224:Y224,Risk!$B$56:$L$56)</f>
        <v>0.0102522533572126</v>
      </c>
      <c r="AA224" s="433">
        <f>Z224-$B$8/12</f>
        <v>0.0101589200238793</v>
      </c>
      <c r="AB224" s="433">
        <f>SUMPRODUCT(O224:Y224,Risk!$B$57:$L$57)</f>
        <v>0.0107372658145028</v>
      </c>
      <c r="AC224" s="433">
        <f>AB224-$B$9/12</f>
        <v>0.0104555991478361</v>
      </c>
      <c r="AD224" s="433">
        <f>AA224-AC224</f>
        <v>-0.000296679123956867</v>
      </c>
      <c r="AE224" s="560">
        <f>AE223*(1+AA224)</f>
        <v>3.10986358316825</v>
      </c>
      <c r="AF224" s="560">
        <f>AF223*(1+AC224)</f>
        <v>3.1204009790115</v>
      </c>
      <c r="AG224" s="433">
        <f>AE224/MAX(AE$5:AE224)-1</f>
        <v>-0.00768960560224863</v>
      </c>
      <c r="AH224" s="433">
        <f>AF224/MAX(AF$5:AF224)-1</f>
        <v>-0.0047659616514163</v>
      </c>
      <c r="AI224" s="433">
        <f>AE224/MAX(AE$185:AE224)-1</f>
        <v>-0.00768960560224863</v>
      </c>
      <c r="AJ224" s="433">
        <f>AF224/MAX(AF$185:AF224)-1</f>
        <v>-0.0047659616514163</v>
      </c>
      <c r="AK224" s="433">
        <f>AE224/AE212-1</f>
        <v>0.107946762985166</v>
      </c>
      <c r="AL224" s="433">
        <f>AF224/AF212-1</f>
        <v>0.115610719877446</v>
      </c>
      <c r="AM224" s="433">
        <f>(AE224/AE164)^(12/60)-1</f>
        <v>0.0624994198090638</v>
      </c>
      <c r="AN224" s="433">
        <f>(AF224/AF164)^(12/60)-1</f>
        <v>0.0688668718317389</v>
      </c>
      <c r="AO224" s="433">
        <f>AM224-AN224</f>
        <v>-0.00636745202267508</v>
      </c>
      <c r="AP224" s="433">
        <f>STDEV(AD165:AD224)*SQRT(12)</f>
        <v>0.0248715898250831</v>
      </c>
      <c r="AQ224" s="628">
        <f>AO224/AP224</f>
        <v>-0.256013068221858</v>
      </c>
    </row>
    <row r="225">
      <c r="N225" s="554">
        <f>Data!A477</f>
        <v>45504.0</v>
      </c>
      <c r="O225" s="433">
        <f>Data!B477/Data!B476-1</f>
        <v>0.0384078975390771</v>
      </c>
      <c r="P225" s="433">
        <f>Data!C477/Data!C476-1</f>
        <v>0.0357186557262308</v>
      </c>
      <c r="Q225" s="433">
        <f>Data!D477/Data!D476-1</f>
        <v>0.0296367998025984</v>
      </c>
      <c r="R225" s="433">
        <f>Data!E477/Data!E476-1</f>
        <v>0.0812651789232346</v>
      </c>
      <c r="S225" s="433">
        <f>Data!F477/Data!F476-1</f>
        <v>-0.0132892520574905</v>
      </c>
      <c r="T225" s="433">
        <f>Data!G477/Data!G476-1</f>
        <v>0</v>
      </c>
      <c r="U225" s="433">
        <f>Data!H477/Data!H476-1</f>
        <v>0.00617859782174146</v>
      </c>
      <c r="V225" s="433">
        <f>Data!I477/Data!I476-1</f>
        <v>0</v>
      </c>
      <c r="W225" s="433">
        <f>Data!J477/Data!J476-1</f>
        <v>0.0167485334398703</v>
      </c>
      <c r="X225" s="433">
        <f>Data!K477/Data!K476-1</f>
        <v>0.0141042757618666</v>
      </c>
      <c r="Y225" s="433">
        <f>Data!L477/Data!L476-1</f>
        <v>0.00372919760387758</v>
      </c>
      <c r="Z225" s="433">
        <f>SUMPRODUCT(O225:Y225,Risk!$B$56:$L$56)</f>
        <v>0.0345350739624018</v>
      </c>
      <c r="AA225" s="433">
        <f>Z225-$B$8/12</f>
        <v>0.0344417406290684</v>
      </c>
      <c r="AB225" s="433">
        <f>SUMPRODUCT(O225:Y225,Risk!$B$57:$L$57)</f>
        <v>0.028679832114775</v>
      </c>
      <c r="AC225" s="433">
        <f>AB225-$B$9/12</f>
        <v>0.0283981654481083</v>
      </c>
      <c r="AD225" s="433">
        <f>AA225-AC225</f>
        <v>0.00604357518096014</v>
      </c>
      <c r="AE225" s="560">
        <f>AE224*(1+AA225)</f>
        <v>3.21697269809152</v>
      </c>
      <c r="AF225" s="560">
        <f>AF224*(1+AC225)</f>
        <v>3.2090146422779</v>
      </c>
      <c r="AG225" s="433">
        <f>AE225/MAX(AE$5:AE225)-1</f>
        <v>0</v>
      </c>
      <c r="AH225" s="433">
        <f>AF225/MAX(AF$5:AF225)-1</f>
        <v>0</v>
      </c>
      <c r="AI225" s="433">
        <f>AE225/MAX(AE$185:AE225)-1</f>
        <v>0</v>
      </c>
      <c r="AJ225" s="433">
        <f>AF225/MAX(AF$185:AF225)-1</f>
        <v>0</v>
      </c>
      <c r="AK225" s="433">
        <f>AE225/AE213-1</f>
        <v>0.12618550924377</v>
      </c>
      <c r="AL225" s="433">
        <f>AF225/AF213-1</f>
        <v>0.12868172913005</v>
      </c>
      <c r="AM225" s="433">
        <f>(AE225/AE165)^(12/60)-1</f>
        <v>0.0648721484453956</v>
      </c>
      <c r="AN225" s="433">
        <f>(AF225/AF165)^(12/60)-1</f>
        <v>0.0706982316785239</v>
      </c>
      <c r="AO225" s="433">
        <f>AM225-AN225</f>
        <v>-0.00582608323312828</v>
      </c>
      <c r="AP225" s="433">
        <f>STDEV(AD166:AD225)*SQRT(12)</f>
        <v>0.0249822223229109</v>
      </c>
      <c r="AQ225" s="628">
        <f>AO225/AP225</f>
        <v>-0.233209166015036</v>
      </c>
    </row>
    <row r="226">
      <c r="N226" s="554">
        <f>Data!A478</f>
        <v>45534.0</v>
      </c>
      <c r="O226" s="433">
        <f>Data!B478/Data!B477-1</f>
        <v>0.00401800593138524</v>
      </c>
      <c r="P226" s="433">
        <f>Data!C478/Data!C477-1</f>
        <v>-0.0192957367440756</v>
      </c>
      <c r="Q226" s="433">
        <f>Data!D478/Data!D477-1</f>
        <v>-0.0333890161534952</v>
      </c>
      <c r="R226" s="433">
        <f>Data!E478/Data!E477-1</f>
        <v>0.0141841587838714</v>
      </c>
      <c r="S226" s="433">
        <f>Data!F478/Data!F477-1</f>
        <v>-0.0541676320360427</v>
      </c>
      <c r="T226" s="433">
        <f>Data!G478/Data!G477-1</f>
        <v>0</v>
      </c>
      <c r="U226" s="433">
        <f>Data!H478/Data!H477-1</f>
        <v>0.00474395867698951</v>
      </c>
      <c r="V226" s="433">
        <f>Data!I478/Data!I477-1</f>
        <v>0</v>
      </c>
      <c r="W226" s="433">
        <f>Data!J478/Data!J477-1</f>
        <v>0.0117252937242156</v>
      </c>
      <c r="X226" s="433">
        <f>Data!K478/Data!K477-1</f>
        <v>0.013726963555641</v>
      </c>
      <c r="Y226" s="433">
        <f>Data!L478/Data!L477-1</f>
        <v>0.0037809749371791</v>
      </c>
      <c r="Z226" s="433">
        <f>SUMPRODUCT(O226:Y226,Risk!$B$56:$L$56)</f>
        <v>0.00228809029081227</v>
      </c>
      <c r="AA226" s="433">
        <f>Z226-$B$8/12</f>
        <v>0.00219475695747893</v>
      </c>
      <c r="AB226" s="433">
        <f>SUMPRODUCT(O226:Y226,Risk!$B$57:$L$57)</f>
        <v>-0.0013113522252508</v>
      </c>
      <c r="AC226" s="433">
        <f>AB226-$B$9/12</f>
        <v>-0.00159301889191746</v>
      </c>
      <c r="AD226" s="433">
        <f>AA226-AC226</f>
        <v>0.0037877758493964</v>
      </c>
      <c r="AE226" s="560">
        <f>AE225*(1+AA226)</f>
        <v>3.22403317130267</v>
      </c>
      <c r="AF226" s="560">
        <f>AF225*(1+AC226)</f>
        <v>3.20390262132831</v>
      </c>
      <c r="AG226" s="433">
        <f>AE226/MAX(AE$5:AE226)-1</f>
        <v>0</v>
      </c>
      <c r="AH226" s="433">
        <f>AF226/MAX(AF$5:AF226)-1</f>
        <v>-0.00159301889191743</v>
      </c>
      <c r="AI226" s="433">
        <f>AE226/MAX(AE$185:AE226)-1</f>
        <v>0</v>
      </c>
      <c r="AJ226" s="433">
        <f>AF226/MAX(AF$185:AF226)-1</f>
        <v>-0.00159301889191743</v>
      </c>
      <c r="AK226" s="433">
        <f>AE226/AE214-1</f>
        <v>0.123981994498861</v>
      </c>
      <c r="AL226" s="433">
        <f>AF226/AF214-1</f>
        <v>0.11909954400827</v>
      </c>
      <c r="AM226" s="433">
        <f>(AE226/AE166)^(12/60)-1</f>
        <v>0.0651388286901991</v>
      </c>
      <c r="AN226" s="433">
        <f>(AF226/AF166)^(12/60)-1</f>
        <v>0.0697970239194248</v>
      </c>
      <c r="AO226" s="433">
        <f>AM226-AN226</f>
        <v>-0.00465819522922573</v>
      </c>
      <c r="AP226" s="433">
        <f>STDEV(AD167:AD226)*SQRT(12)</f>
        <v>0.0250401583770012</v>
      </c>
      <c r="AQ226" s="628">
        <f>AO226/AP226</f>
        <v>-0.186028984285665</v>
      </c>
    </row>
    <row r="227">
      <c r="N227" s="554">
        <f>Data!A479</f>
        <v>45565.0</v>
      </c>
      <c r="O227" s="433">
        <f>Data!B479/Data!B478-1</f>
        <v>0.0344937965993548</v>
      </c>
      <c r="P227" s="433">
        <f>Data!C479/Data!C478-1</f>
        <v>-0.00690895345723774</v>
      </c>
      <c r="Q227" s="433">
        <f>Data!D479/Data!D478-1</f>
        <v>0.0327760448006882</v>
      </c>
      <c r="R227" s="433">
        <f>Data!E479/Data!E478-1</f>
        <v>0.00538639134448626</v>
      </c>
      <c r="S227" s="433">
        <f>Data!F479/Data!F478-1</f>
        <v>-0.0227753607625463</v>
      </c>
      <c r="T227" s="433">
        <f>Data!G479/Data!G478-1</f>
        <v>0.00299999999999989</v>
      </c>
      <c r="U227" s="433">
        <f>Data!H479/Data!H478-1</f>
        <v>-0.00989849844811674</v>
      </c>
      <c r="V227" s="433">
        <f>Data!I479/Data!I478-1</f>
        <v>0.113741106984652</v>
      </c>
      <c r="W227" s="433">
        <f>Data!J479/Data!J478-1</f>
        <v>0.00360347056958488</v>
      </c>
      <c r="X227" s="433">
        <f>Data!K479/Data!K478-1</f>
        <v>0.00996419571805274</v>
      </c>
      <c r="Y227" s="433">
        <f>Data!L479/Data!L478-1</f>
        <v>0.00359512286775288</v>
      </c>
      <c r="Z227" s="433">
        <f>SUMPRODUCT(O227:Y227,Risk!$B$56:$L$56)</f>
        <v>0.0145436819263677</v>
      </c>
      <c r="AA227" s="433">
        <f>Z227-$B$8/12</f>
        <v>0.0144503485930343</v>
      </c>
      <c r="AB227" s="433">
        <f>SUMPRODUCT(O227:Y227,Risk!$B$57:$L$57)</f>
        <v>0.0128438011938417</v>
      </c>
      <c r="AC227" s="433">
        <f>AB227-$B$9/12</f>
        <v>0.0125621345271751</v>
      </c>
      <c r="AD227" s="433">
        <f>AA227-AC227</f>
        <v>0.00188821406585925</v>
      </c>
      <c r="AE227" s="560">
        <f>AE226*(1+AA227)</f>
        <v>3.2706215745035</v>
      </c>
      <c r="AF227" s="560">
        <f>AF226*(1+AC227)</f>
        <v>3.24415047706941</v>
      </c>
      <c r="AG227" s="433">
        <f>AE227/MAX(AE$5:AE227)-1</f>
        <v>0</v>
      </c>
      <c r="AH227" s="433">
        <f>AF227/MAX(AF$5:AF227)-1</f>
        <v>0</v>
      </c>
      <c r="AI227" s="433">
        <f>AE227/MAX(AE$185:AE227)-1</f>
        <v>0</v>
      </c>
      <c r="AJ227" s="433">
        <f>AF227/MAX(AF$185:AF227)-1</f>
        <v>0</v>
      </c>
      <c r="AK227" s="433">
        <f>AE227/AE215-1</f>
        <v>0.172398223707291</v>
      </c>
      <c r="AL227" s="433">
        <f>AF227/AF215-1</f>
        <v>0.156013249727045</v>
      </c>
      <c r="AM227" s="433">
        <f>(AE227/AE167)^(12/60)-1</f>
        <v>0.0651093492680694</v>
      </c>
      <c r="AN227" s="433">
        <f>(AF227/AF167)^(12/60)-1</f>
        <v>0.0694894448893109</v>
      </c>
      <c r="AO227" s="433">
        <f>AM227-AN227</f>
        <v>-0.00438009562124142</v>
      </c>
      <c r="AP227" s="433">
        <f>STDEV(AD168:AD227)*SQRT(12)</f>
        <v>0.0250553615882173</v>
      </c>
      <c r="AQ227" s="628">
        <f>AO227/AP227</f>
        <v>-0.174816699644089</v>
      </c>
    </row>
    <row r="228">
      <c r="N228" s="554">
        <f>Data!A480</f>
        <v>45596.0</v>
      </c>
      <c r="O228" s="433">
        <f>Data!B480/Data!B479-1</f>
        <v>-0.0132789979304723</v>
      </c>
      <c r="P228" s="433">
        <f>Data!C480/Data!C479-1</f>
        <v>0.049672683439568</v>
      </c>
      <c r="Q228" s="433">
        <f>Data!D480/Data!D479-1</f>
        <v>0.030056733694094</v>
      </c>
      <c r="R228" s="433">
        <f>Data!E480/Data!E479-1</f>
        <v>0.0243290496944617</v>
      </c>
      <c r="S228" s="433">
        <f>Data!F480/Data!F479-1</f>
        <v>0.0639794593330614</v>
      </c>
      <c r="T228" s="433">
        <f>Data!G480/Data!G479-1</f>
        <v>0</v>
      </c>
      <c r="U228" s="433">
        <f>Data!H480/Data!H479-1</f>
        <v>0.0255019910192322</v>
      </c>
      <c r="V228" s="433">
        <f>Data!I480/Data!I479-1</f>
        <v>0</v>
      </c>
      <c r="W228" s="433">
        <f>Data!J480/Data!J479-1</f>
        <v>-0.0195539824999577</v>
      </c>
      <c r="X228" s="433">
        <f>Data!K480/Data!K479-1</f>
        <v>-0.0174668530020545</v>
      </c>
      <c r="Y228" s="433">
        <f>Data!L480/Data!L479-1</f>
        <v>0.00372827151403254</v>
      </c>
      <c r="Z228" s="433">
        <f>SUMPRODUCT(O228:Y228,Risk!$B$56:$L$56)</f>
        <v>0.00298637587599513</v>
      </c>
      <c r="AA228" s="433">
        <f>Z228-$B$8/12</f>
        <v>0.00289304254266179</v>
      </c>
      <c r="AB228" s="433">
        <f>SUMPRODUCT(O228:Y228,Risk!$B$57:$L$57)</f>
        <v>0.00870401571475249</v>
      </c>
      <c r="AC228" s="433">
        <f>AB228-$B$9/12</f>
        <v>0.00842234904808582</v>
      </c>
      <c r="AD228" s="433">
        <f>AA228-AC228</f>
        <v>-0.00552930650542403</v>
      </c>
      <c r="AE228" s="560">
        <f>AE227*(1+AA228)</f>
        <v>3.28008362185949</v>
      </c>
      <c r="AF228" s="560">
        <f>AF227*(1+AC228)</f>
        <v>3.2714738447518</v>
      </c>
      <c r="AG228" s="433">
        <f>AE228/MAX(AE$5:AE228)-1</f>
        <v>0</v>
      </c>
      <c r="AH228" s="433">
        <f>AF228/MAX(AF$5:AF228)-1</f>
        <v>0</v>
      </c>
      <c r="AI228" s="433">
        <f>AE228/MAX(AE$185:AE228)-1</f>
        <v>0</v>
      </c>
      <c r="AJ228" s="433">
        <f>AF228/MAX(AF$185:AF228)-1</f>
        <v>0</v>
      </c>
      <c r="AK228" s="433">
        <f>AE228/AE216-1</f>
        <v>0.203404738082531</v>
      </c>
      <c r="AL228" s="433">
        <f>AF228/AF216-1</f>
        <v>0.18672983623364</v>
      </c>
      <c r="AM228" s="433">
        <f>(AE228/AE168)^(12/60)-1</f>
        <v>0.0664348082701378</v>
      </c>
      <c r="AN228" s="433">
        <f>(AF228/AF168)^(12/60)-1</f>
        <v>0.0719774363719463</v>
      </c>
      <c r="AO228" s="433">
        <f>AM228-AN228</f>
        <v>-0.0055426281018085</v>
      </c>
      <c r="AP228" s="433">
        <f>STDEV(AD169:AD228)*SQRT(12)</f>
        <v>0.0251691680951502</v>
      </c>
      <c r="AQ228" s="628">
        <f>AO228/AP228</f>
        <v>-0.220214990056683</v>
      </c>
    </row>
    <row r="229">
      <c r="N229" s="554">
        <f>Data!A481</f>
        <v>45625.0</v>
      </c>
      <c r="O229" s="433">
        <f>Data!B481/Data!B480-1</f>
        <v>0.036570107310264</v>
      </c>
      <c r="P229" s="433">
        <f>Data!C481/Data!C480-1</f>
        <v>0.0548794954373382</v>
      </c>
      <c r="Q229" s="433">
        <f>Data!D481/Data!D480-1</f>
        <v>-0.022013493453643</v>
      </c>
      <c r="R229" s="433">
        <f>Data!E481/Data!E480-1</f>
        <v>0.0358793519554592</v>
      </c>
      <c r="S229" s="433">
        <f>Data!F481/Data!F480-1</f>
        <v>0.0060630621393909</v>
      </c>
      <c r="T229" s="433">
        <f>Data!G481/Data!G480-1</f>
        <v>0</v>
      </c>
      <c r="U229" s="433">
        <f>Data!H481/Data!H480-1</f>
        <v>-0.00927674440562731</v>
      </c>
      <c r="V229" s="433">
        <f>Data!I481/Data!I480-1</f>
        <v>0</v>
      </c>
      <c r="W229" s="433">
        <f>Data!J481/Data!J480-1</f>
        <v>0.0102753218917939</v>
      </c>
      <c r="X229" s="433">
        <f>Data!K481/Data!K480-1</f>
        <v>0.0077478893165599</v>
      </c>
      <c r="Y229" s="433">
        <f>Data!L481/Data!L480-1</f>
        <v>0.00361949755983715</v>
      </c>
      <c r="Z229" s="433">
        <f>SUMPRODUCT(O229:Y229,Risk!$B$56:$L$56)</f>
        <v>0.0316063714654016</v>
      </c>
      <c r="AA229" s="433">
        <f>Z229-$B$8/12</f>
        <v>0.0315130381320683</v>
      </c>
      <c r="AB229" s="433">
        <f>SUMPRODUCT(O229:Y229,Risk!$B$57:$L$57)</f>
        <v>0.0264071122928869</v>
      </c>
      <c r="AC229" s="433">
        <f>AB229-$B$9/12</f>
        <v>0.0261254456262202</v>
      </c>
      <c r="AD229" s="433">
        <f>AA229-AC229</f>
        <v>0.0053875925058481</v>
      </c>
      <c r="AE229" s="560">
        <f>AE228*(1+AA229)</f>
        <v>3.38344902211152</v>
      </c>
      <c r="AF229" s="560">
        <f>AF228*(1+AC229)</f>
        <v>3.35694255680047</v>
      </c>
      <c r="AG229" s="433">
        <f>AE229/MAX(AE$5:AE229)-1</f>
        <v>0</v>
      </c>
      <c r="AH229" s="433">
        <f>AF229/MAX(AF$5:AF229)-1</f>
        <v>0</v>
      </c>
      <c r="AI229" s="433">
        <f>AE229/MAX(AE$185:AE229)-1</f>
        <v>0</v>
      </c>
      <c r="AJ229" s="433">
        <f>AF229/MAX(AF$185:AF229)-1</f>
        <v>0</v>
      </c>
      <c r="AK229" s="433">
        <f>AE229/AE217-1</f>
        <v>0.19336891833456</v>
      </c>
      <c r="AL229" s="433">
        <f>AF229/AF217-1</f>
        <v>0.181291336009463</v>
      </c>
      <c r="AM229" s="433">
        <f>(AE229/AE169)^(12/60)-1</f>
        <v>0.0678748255028374</v>
      </c>
      <c r="AN229" s="433">
        <f>(AF229/AF169)^(12/60)-1</f>
        <v>0.0726260155072198</v>
      </c>
      <c r="AO229" s="433">
        <f>AM229-AN229</f>
        <v>-0.0047511900043824</v>
      </c>
      <c r="AP229" s="433">
        <f>STDEV(AD170:AD229)*SQRT(12)</f>
        <v>0.0252839151358749</v>
      </c>
      <c r="AQ229" s="628">
        <f>AO229/AP229</f>
        <v>-0.187913540242864</v>
      </c>
    </row>
    <row r="230">
      <c r="N230" s="554">
        <f>Data!A482</f>
        <v>45657.0</v>
      </c>
      <c r="O230" s="433">
        <f>Data!B482/Data!B481-1</f>
        <v>-0.0307057703730624</v>
      </c>
      <c r="P230" s="433">
        <f>Data!C482/Data!C481-1</f>
        <v>0.0323534202868616</v>
      </c>
      <c r="Q230" s="433">
        <f>Data!D482/Data!D481-1</f>
        <v>0.0651372633719061</v>
      </c>
      <c r="R230" s="433">
        <f>Data!E482/Data!E481-1</f>
        <v>-0.0151180402421236</v>
      </c>
      <c r="S230" s="433">
        <f>Data!F482/Data!F481-1</f>
        <v>0.0866569338789174</v>
      </c>
      <c r="T230" s="433">
        <f>Data!G482/Data!G481-1</f>
        <v>0.00499999999999967</v>
      </c>
      <c r="U230" s="433">
        <f>Data!H482/Data!H481-1</f>
        <v>0.0172619189440326</v>
      </c>
      <c r="V230" s="433">
        <f>Data!I482/Data!I481-1</f>
        <v>0.0237836969185654</v>
      </c>
      <c r="W230" s="433">
        <f>Data!J482/Data!J481-1</f>
        <v>0.00454230847335913</v>
      </c>
      <c r="X230" s="433">
        <f>Data!K482/Data!K481-1</f>
        <v>-0.00512563717532344</v>
      </c>
      <c r="Y230" s="433">
        <f>Data!L482/Data!L481-1</f>
        <v>0.0037497378775726</v>
      </c>
      <c r="Z230" s="433">
        <f>SUMPRODUCT(O230:Y230,Risk!$B$56:$L$56)</f>
        <v>-0.00678965116765694</v>
      </c>
      <c r="AA230" s="433">
        <f>Z230-$B$8/12</f>
        <v>-0.00688298450099027</v>
      </c>
      <c r="AB230" s="433">
        <f>SUMPRODUCT(O230:Y230,Risk!$B$57:$L$57)</f>
        <v>0.00438333574655786</v>
      </c>
      <c r="AC230" s="433">
        <f>AB230-$B$9/12</f>
        <v>0.00410166907989119</v>
      </c>
      <c r="AD230" s="433">
        <f>AA230-AC230</f>
        <v>-0.0109846535808815</v>
      </c>
      <c r="AE230" s="560">
        <f>AE229*(1+AA230)</f>
        <v>3.36016079493243</v>
      </c>
      <c r="AF230" s="560">
        <f>AF229*(1+AC230)</f>
        <v>3.37071162428867</v>
      </c>
      <c r="AG230" s="433">
        <f>AE230/MAX(AE$5:AE230)-1</f>
        <v>-0.00688298450099023</v>
      </c>
      <c r="AH230" s="433">
        <f>AF230/MAX(AF$5:AF230)-1</f>
        <v>0</v>
      </c>
      <c r="AI230" s="433">
        <f>AE230/MAX(AE$185:AE230)-1</f>
        <v>-0.00688298450099023</v>
      </c>
      <c r="AJ230" s="433">
        <f>AF230/MAX(AF$185:AF230)-1</f>
        <v>0</v>
      </c>
      <c r="AK230" s="433">
        <f>AE230/AE218-1</f>
        <v>0.133987194470968</v>
      </c>
      <c r="AL230" s="433">
        <f>AF230/AF218-1</f>
        <v>0.145134961870191</v>
      </c>
      <c r="AM230" s="433">
        <f>(AE230/AE170)^(12/60)-1</f>
        <v>0.0702774061442746</v>
      </c>
      <c r="AN230" s="433">
        <f>(AF230/AF170)^(12/60)-1</f>
        <v>0.075764761970355</v>
      </c>
      <c r="AO230" s="433">
        <f>AM230-AN230</f>
        <v>-0.0054873558260804</v>
      </c>
      <c r="AP230" s="433">
        <f>STDEV(AD171:AD230)*SQRT(12)</f>
        <v>0.0255340348123928</v>
      </c>
      <c r="AQ230" s="628">
        <f>AO230/AP230</f>
        <v>-0.214903593043475</v>
      </c>
    </row>
    <row r="231">
      <c r="N231" s="554">
        <f>Data!A483</f>
        <v>45688.0</v>
      </c>
      <c r="O231" s="433">
        <f>Data!B483/Data!B482-1</f>
        <v>0.0438451357979692</v>
      </c>
      <c r="P231" s="433">
        <f>Data!C483/Data!C482-1</f>
        <v>0.027165407955885</v>
      </c>
      <c r="Q231" s="433">
        <f>Data!D483/Data!D482-1</f>
        <v>0.00869007147124568</v>
      </c>
      <c r="R231" s="433">
        <f>Data!E483/Data!E482-1</f>
        <v>0.00820731380476758</v>
      </c>
      <c r="S231" s="433">
        <f>Data!F483/Data!F482-1</f>
        <v>0.0255424434135205</v>
      </c>
      <c r="T231" s="433">
        <f>Data!G483/Data!G482-1</f>
        <v>0</v>
      </c>
      <c r="U231" s="433">
        <f>Data!H483/Data!H482-1</f>
        <v>-0.000468433441463301</v>
      </c>
      <c r="V231" s="433">
        <f>Data!I483/Data!I482-1</f>
        <v>0</v>
      </c>
      <c r="W231" s="433">
        <f>Data!J483/Data!J482-1</f>
        <v>0.00245789839963795</v>
      </c>
      <c r="X231" s="433">
        <f>Data!K483/Data!K482-1</f>
        <v>-0.00173327740609508</v>
      </c>
      <c r="Y231" s="433">
        <f>Data!L483/Data!L482-1</f>
        <v>0.00382740927788916</v>
      </c>
      <c r="Z231" s="433">
        <f>SUMPRODUCT(O231:Y231,Risk!$B$56:$L$56)</f>
        <v>0.0242898085077518</v>
      </c>
      <c r="AA231" s="433">
        <f>Z231-$B$8/12</f>
        <v>0.0241964751744184</v>
      </c>
      <c r="AB231" s="433">
        <f>SUMPRODUCT(O231:Y231,Risk!$B$57:$L$57)</f>
        <v>0.0190812593740178</v>
      </c>
      <c r="AC231" s="433">
        <f>AB231-$B$9/12</f>
        <v>0.0187995927073512</v>
      </c>
      <c r="AD231" s="433">
        <f>AA231-AC231</f>
        <v>0.00539688246706726</v>
      </c>
      <c r="AE231" s="560">
        <f>AE230*(1+AA231)</f>
        <v>3.44146484218907</v>
      </c>
      <c r="AF231" s="560">
        <f>AF230*(1+AC231)</f>
        <v>3.43407962995923</v>
      </c>
      <c r="AG231" s="433">
        <f>AE231/MAX(AE$5:AE231)-1</f>
        <v>0</v>
      </c>
      <c r="AH231" s="433">
        <f>AF231/MAX(AF$5:AF231)-1</f>
        <v>0</v>
      </c>
      <c r="AI231" s="433">
        <f>AE231/MAX(AE$185:AE231)-1</f>
        <v>0</v>
      </c>
      <c r="AJ231" s="433">
        <f>AF231/MAX(AF$185:AF231)-1</f>
        <v>0</v>
      </c>
      <c r="AK231" s="433">
        <f>AE231/AE219-1</f>
        <v>0.14575893415138</v>
      </c>
      <c r="AL231" s="433">
        <f>AF231/AF219-1</f>
        <v>0.147931296429868</v>
      </c>
      <c r="AM231" s="433">
        <f>(AE231/AE171)^(12/60)-1</f>
        <v>0.067011468990348</v>
      </c>
      <c r="AN231" s="433">
        <f>(AF231/AF171)^(12/60)-1</f>
        <v>0.0726247036597125</v>
      </c>
      <c r="AO231" s="433">
        <f>AM231-AN231</f>
        <v>-0.00561323466936448</v>
      </c>
      <c r="AP231" s="433">
        <f>STDEV(AD172:AD231)*SQRT(12)</f>
        <v>0.0254968419296678</v>
      </c>
      <c r="AQ231" s="628">
        <f>AO231/AP231</f>
        <v>-0.220154114962489</v>
      </c>
    </row>
    <row r="232">
      <c r="N232" s="554">
        <f>Data!A484</f>
        <v>45716.0</v>
      </c>
      <c r="O232" s="433">
        <f>Data!B484/Data!B483-1</f>
        <v>-0.0396025412722619</v>
      </c>
      <c r="P232" s="433">
        <f>Data!C484/Data!C483-1</f>
        <v>-0.00624291728028514</v>
      </c>
      <c r="Q232" s="433">
        <f>Data!D484/Data!D483-1</f>
        <v>0.0106220008501636</v>
      </c>
      <c r="R232" s="433">
        <f>Data!E484/Data!E483-1</f>
        <v>0.0260768129735545</v>
      </c>
      <c r="S232" s="433">
        <f>Data!F484/Data!F483-1</f>
        <v>-0.0104270333646885</v>
      </c>
      <c r="T232" s="433">
        <f>Data!G484/Data!G483-1</f>
        <v>0</v>
      </c>
      <c r="U232" s="433">
        <f>Data!H484/Data!H483-1</f>
        <v>0.0222141509765557</v>
      </c>
      <c r="V232" s="433">
        <f>Data!I484/Data!I483-1</f>
        <v>0</v>
      </c>
      <c r="W232" s="433">
        <f>Data!J484/Data!J483-1</f>
        <v>0.0103703898049352</v>
      </c>
      <c r="X232" s="433">
        <f>Data!K484/Data!K483-1</f>
        <v>0.0116731148072855</v>
      </c>
      <c r="Y232" s="433">
        <f>Data!L484/Data!L483-1</f>
        <v>0.00338557756412161</v>
      </c>
      <c r="Z232" s="433">
        <f>SUMPRODUCT(O232:Y232,Risk!$B$56:$L$56)</f>
        <v>-0.0117555205827947</v>
      </c>
      <c r="AA232" s="433">
        <f>Z232-$B$8/12</f>
        <v>-0.0118488539161281</v>
      </c>
      <c r="AB232" s="433">
        <f>SUMPRODUCT(O232:Y232,Risk!$B$57:$L$57)</f>
        <v>-0.00595955014126131</v>
      </c>
      <c r="AC232" s="433">
        <f>AB232-$B$9/12</f>
        <v>-0.00624121680792798</v>
      </c>
      <c r="AD232" s="433">
        <f>AA232-AC232</f>
        <v>-0.00560763710820008</v>
      </c>
      <c r="AE232" s="560">
        <f>AE231*(1+AA232)</f>
        <v>3.40068742801648</v>
      </c>
      <c r="AF232" s="560">
        <f>AF231*(1+AC232)</f>
        <v>3.41264679445296</v>
      </c>
      <c r="AG232" s="433">
        <f>AE232/MAX(AE$5:AE232)-1</f>
        <v>-0.0118488539161282</v>
      </c>
      <c r="AH232" s="433">
        <f>AF232/MAX(AF$5:AF232)-1</f>
        <v>-0.006241216807928</v>
      </c>
      <c r="AI232" s="433">
        <f>AE232/MAX(AE$185:AE232)-1</f>
        <v>-0.0118488539161282</v>
      </c>
      <c r="AJ232" s="433">
        <f>AF232/MAX(AF$185:AF232)-1</f>
        <v>-0.006241216807928</v>
      </c>
      <c r="AK232" s="433">
        <f>AE232/AE220-1</f>
        <v>0.111670451582331</v>
      </c>
      <c r="AL232" s="433">
        <f>AF232/AF220-1</f>
        <v>0.116958725049227</v>
      </c>
      <c r="AM232" s="433">
        <f>(AE232/AE172)^(12/60)-1</f>
        <v>0.0738761139490824</v>
      </c>
      <c r="AN232" s="433">
        <f>(AF232/AF172)^(12/60)-1</f>
        <v>0.0782082278299976</v>
      </c>
      <c r="AO232" s="433">
        <f>AM232-AN232</f>
        <v>-0.00433211388091515</v>
      </c>
      <c r="AP232" s="433">
        <f>STDEV(AD173:AD232)*SQRT(12)</f>
        <v>0.0251185358673431</v>
      </c>
      <c r="AQ232" s="628">
        <f>AO232/AP232</f>
        <v>-0.172466815095994</v>
      </c>
    </row>
    <row r="233">
      <c r="N233" s="554">
        <f>Data!A485</f>
        <v>45747.0</v>
      </c>
      <c r="O233" s="433">
        <f>Data!B485/Data!B484-1</f>
        <v>-0.0353627147568518</v>
      </c>
      <c r="P233" s="433">
        <f>Data!C485/Data!C484-1</f>
        <v>-0.0515980281163735</v>
      </c>
      <c r="Q233" s="433">
        <f>Data!D485/Data!D484-1</f>
        <v>0.00127048369261806</v>
      </c>
      <c r="R233" s="433">
        <f>Data!E485/Data!E484-1</f>
        <v>-0.0296264173790226</v>
      </c>
      <c r="S233" s="433">
        <f>Data!F485/Data!F484-1</f>
        <v>0.0268955693623978</v>
      </c>
      <c r="T233" s="433">
        <f>Data!G485/Data!G484-1</f>
        <v>0.00499999999999967</v>
      </c>
      <c r="U233" s="433">
        <f>Data!H485/Data!H484-1</f>
        <v>0.00185679736839073</v>
      </c>
      <c r="V233" s="433">
        <f>Data!I485/Data!I484-1</f>
        <v>-0.0620413609072715</v>
      </c>
      <c r="W233" s="433">
        <f>Data!J485/Data!J484-1</f>
        <v>0.00136846663365486</v>
      </c>
      <c r="X233" s="433">
        <f>Data!K485/Data!K484-1</f>
        <v>-0.0041024857225469</v>
      </c>
      <c r="Y233" s="433">
        <f>Data!L485/Data!L484-1</f>
        <v>0.00347813755976434</v>
      </c>
      <c r="Z233" s="433">
        <f>SUMPRODUCT(O233:Y233,Risk!$B$56:$L$56)</f>
        <v>-0.0273067924974897</v>
      </c>
      <c r="AA233" s="433">
        <f>Z233-$B$8/12</f>
        <v>-0.027400125830823</v>
      </c>
      <c r="AB233" s="433">
        <f>SUMPRODUCT(O233:Y233,Risk!$B$57:$L$57)</f>
        <v>-0.0244329096357897</v>
      </c>
      <c r="AC233" s="433">
        <f>AB233-$B$9/12</f>
        <v>-0.0247145763024563</v>
      </c>
      <c r="AD233" s="433">
        <f>AA233-AC233</f>
        <v>-0.00268554952836671</v>
      </c>
      <c r="AE233" s="560">
        <f>AE232*(1+AA233)</f>
        <v>3.30750816457753</v>
      </c>
      <c r="AF233" s="560">
        <f>AF232*(1+AC233)</f>
        <v>3.32830467485812</v>
      </c>
      <c r="AG233" s="433">
        <f>AE233/MAX(AE$5:AE233)-1</f>
        <v>-0.0389243196586984</v>
      </c>
      <c r="AH233" s="433">
        <f>AF233/MAX(AF$5:AF233)-1</f>
        <v>-0.0308015440813645</v>
      </c>
      <c r="AI233" s="433">
        <f>AE233/MAX(AE$185:AE233)-1</f>
        <v>-0.0389243196586984</v>
      </c>
      <c r="AJ233" s="433">
        <f>AF233/MAX(AF$185:AF233)-1</f>
        <v>-0.0308015440813645</v>
      </c>
      <c r="AK233" s="433">
        <f>AE233/AE221-1</f>
        <v>0.055375788516749</v>
      </c>
      <c r="AL233" s="433">
        <f>AF233/AF221-1</f>
        <v>0.0615437325823618</v>
      </c>
      <c r="AM233" s="433">
        <f>(AE233/AE173)^(12/60)-1</f>
        <v>0.0952704011176782</v>
      </c>
      <c r="AN233" s="433">
        <f>(AF233/AF173)^(12/60)-1</f>
        <v>0.0938800581351629</v>
      </c>
      <c r="AO233" s="433">
        <f>AM233-AN233</f>
        <v>0.00139034298251528</v>
      </c>
      <c r="AP233" s="433">
        <f>STDEV(AD174:AD233)*SQRT(12)</f>
        <v>0.0222090803497894</v>
      </c>
      <c r="AQ233" s="628">
        <f>AO233/AP233</f>
        <v>0.0626024563204601</v>
      </c>
    </row>
    <row r="234">
      <c r="N234" s="554">
        <f>Data!A486</f>
        <v>45777.0</v>
      </c>
      <c r="O234" s="433">
        <f>Data!B486/Data!B485-1</f>
        <v>0.0359912360068562</v>
      </c>
      <c r="P234" s="433">
        <f>Data!C486/Data!C485-1</f>
        <v>-0.0293018550670938</v>
      </c>
      <c r="Q234" s="433">
        <f>Data!D486/Data!D485-1</f>
        <v>-0.0278874674646057</v>
      </c>
      <c r="R234" s="433">
        <f>Data!E486/Data!E485-1</f>
        <v>-0.0370112385257425</v>
      </c>
      <c r="S234" s="433">
        <f>Data!F486/Data!F485-1</f>
        <v>-0.108245173481781</v>
      </c>
      <c r="T234" s="433">
        <f>Data!G486/Data!G485-1</f>
        <v>0</v>
      </c>
      <c r="U234" s="433">
        <f>Data!H486/Data!H485-1</f>
        <v>-0.00330629569037511</v>
      </c>
      <c r="V234" s="433">
        <f>Data!I486/Data!I485-1</f>
        <v>0</v>
      </c>
      <c r="W234" s="433">
        <f>Data!J486/Data!J485-1</f>
        <v>0.0159321770885599</v>
      </c>
      <c r="X234" s="433">
        <f>Data!K486/Data!K485-1</f>
        <v>0.00899960833573554</v>
      </c>
      <c r="Y234" s="433">
        <f>Data!L486/Data!L485-1</f>
        <v>0.00353111740497902</v>
      </c>
      <c r="Z234" s="433">
        <f>SUMPRODUCT(O234:Y234,Risk!$B$56:$L$56)</f>
        <v>0.00819197298524081</v>
      </c>
      <c r="AA234" s="433">
        <f>Z234-$B$8/12</f>
        <v>0.00809863965190747</v>
      </c>
      <c r="AB234" s="433">
        <f>SUMPRODUCT(O234:Y234,Risk!$B$57:$L$57)</f>
        <v>-0.000399744043996825</v>
      </c>
      <c r="AC234" s="433">
        <f>AB234-$B$9/12</f>
        <v>-0.000681410710663492</v>
      </c>
      <c r="AD234" s="433">
        <f>AA234-AC234</f>
        <v>0.00878005036257097</v>
      </c>
      <c r="AE234" s="560">
        <f>AE233*(1+AA234)</f>
        <v>3.33429448134819</v>
      </c>
      <c r="AF234" s="560">
        <f>AF233*(1+AC234)</f>
        <v>3.32603673240432</v>
      </c>
      <c r="AG234" s="433">
        <f>AE234/MAX(AE$5:AE234)-1</f>
        <v>-0.0311409140454024</v>
      </c>
      <c r="AH234" s="433">
        <f>AF234/MAX(AF$5:AF234)-1</f>
        <v>-0.031461966289986</v>
      </c>
      <c r="AI234" s="433">
        <f>AE234/MAX(AE$185:AE234)-1</f>
        <v>-0.0311409140454024</v>
      </c>
      <c r="AJ234" s="433">
        <f>AF234/MAX(AF$185:AF234)-1</f>
        <v>-0.031461966289986</v>
      </c>
      <c r="AK234" s="433">
        <f>AE234/AE222-1</f>
        <v>0.0921794619270153</v>
      </c>
      <c r="AL234" s="433">
        <f>AF234/AF222-1</f>
        <v>0.0828967629570989</v>
      </c>
      <c r="AM234" s="433">
        <f>(AE234/AE174)^(12/60)-1</f>
        <v>0.0873366915364222</v>
      </c>
      <c r="AN234" s="433">
        <f>(AF234/AF174)^(12/60)-1</f>
        <v>0.0880886698628165</v>
      </c>
      <c r="AO234" s="433">
        <f>AM234-AN234</f>
        <v>-0.000751978326394287</v>
      </c>
      <c r="AP234" s="433">
        <f>STDEV(AD175:AD234)*SQRT(12)</f>
        <v>0.0208400404832541</v>
      </c>
      <c r="AQ234" s="628">
        <f>AO234/AP234</f>
        <v>-0.0360833428801894</v>
      </c>
    </row>
    <row r="235">
      <c r="N235" s="554">
        <f>Data!A487</f>
        <v>45807.0</v>
      </c>
      <c r="O235" s="433">
        <f>Data!B487/Data!B486-1</f>
        <v>0.0419885272212446</v>
      </c>
      <c r="P235" s="433">
        <f>Data!C487/Data!C486-1</f>
        <v>0.0538706059761558</v>
      </c>
      <c r="Q235" s="433">
        <f>Data!D487/Data!D486-1</f>
        <v>0.0257545742529504</v>
      </c>
      <c r="R235" s="433">
        <f>Data!E487/Data!E486-1</f>
        <v>0.020554525467716</v>
      </c>
      <c r="S235" s="433">
        <f>Data!F487/Data!F486-1</f>
        <v>0.0100627001910774</v>
      </c>
      <c r="T235" s="433">
        <f>Data!G487/Data!G486-1</f>
        <v>0</v>
      </c>
      <c r="U235" s="433">
        <f>Data!H487/Data!H486-1</f>
        <v>0.0445757712753139</v>
      </c>
      <c r="V235" s="433">
        <f>Data!I487/Data!I486-1</f>
        <v>0</v>
      </c>
      <c r="W235" s="433">
        <f>Data!J487/Data!J486-1</f>
        <v>9.6805723404314e-05</v>
      </c>
      <c r="X235" s="433">
        <f>Data!K487/Data!K486-1</f>
        <v>-0.00512821406866093</v>
      </c>
      <c r="Y235" s="433">
        <f>Data!L487/Data!L486-1</f>
        <v>0.00341426987585902</v>
      </c>
      <c r="Z235" s="433">
        <f>SUMPRODUCT(O235:Y235,Risk!$B$56:$L$56)</f>
        <v>0.0294682472548285</v>
      </c>
      <c r="AA235" s="433">
        <f>Z235-$B$8/12</f>
        <v>0.0293749139214952</v>
      </c>
      <c r="AB235" s="433">
        <f>SUMPRODUCT(O235:Y235,Risk!$B$57:$L$57)</f>
        <v>0.0267279357419978</v>
      </c>
      <c r="AC235" s="433">
        <f>AB235-$B$9/12</f>
        <v>0.0264462690753311</v>
      </c>
      <c r="AD235" s="433">
        <f>AA235-AC235</f>
        <v>0.00292864484616403</v>
      </c>
      <c r="AE235" s="560">
        <f>AE234*(1+AA235)</f>
        <v>3.43223909472671</v>
      </c>
      <c r="AF235" s="560">
        <f>AF234*(1+AC235)</f>
        <v>3.41399799478392</v>
      </c>
      <c r="AG235" s="433">
        <f>AE235/MAX(AE$5:AE235)-1</f>
        <v>-0.00268076179342769</v>
      </c>
      <c r="AH235" s="433">
        <f>AF235/MAX(AF$5:AF235)-1</f>
        <v>-0.00584774884079886</v>
      </c>
      <c r="AI235" s="433">
        <f>AE235/MAX(AE$185:AE235)-1</f>
        <v>-0.00268076179342769</v>
      </c>
      <c r="AJ235" s="433">
        <f>AF235/MAX(AF$185:AF235)-1</f>
        <v>-0.00584774884079886</v>
      </c>
      <c r="AK235" s="433">
        <f>AE235/AE223-1</f>
        <v>0.114874284505003</v>
      </c>
      <c r="AL235" s="433">
        <f>AF235/AF223-1</f>
        <v>0.105528876741258</v>
      </c>
      <c r="AM235" s="433">
        <f>(AE235/AE175)^(12/60)-1</f>
        <v>0.0878944129164858</v>
      </c>
      <c r="AN235" s="433">
        <f>(AF235/AF175)^(12/60)-1</f>
        <v>0.0886335545359649</v>
      </c>
      <c r="AO235" s="433">
        <f>AM235-AN235</f>
        <v>-0.000739141619479078</v>
      </c>
      <c r="AP235" s="433">
        <f>STDEV(AD176:AD235)*SQRT(12)</f>
        <v>0.0208419847962598</v>
      </c>
      <c r="AQ235" s="628">
        <f>AO235/AP235</f>
        <v>-0.0354640705625944</v>
      </c>
    </row>
    <row r="236">
      <c r="N236" s="554">
        <f>Data!A488</f>
        <v>45838.0</v>
      </c>
      <c r="O236" s="433">
        <f>Data!B488/Data!B487-1</f>
        <v>0.0143987276601831</v>
      </c>
      <c r="P236" s="433">
        <f>Data!C488/Data!C487-1</f>
        <v>0.0193870055514747</v>
      </c>
      <c r="Q236" s="433">
        <f>Data!D488/Data!D487-1</f>
        <v>0.0311535248756889</v>
      </c>
      <c r="R236" s="433">
        <f>Data!E488/Data!E487-1</f>
        <v>-0.0168962537608668</v>
      </c>
      <c r="S236" s="433">
        <f>Data!F488/Data!F487-1</f>
        <v>0.0259794224924645</v>
      </c>
      <c r="T236" s="433">
        <f>Data!G488/Data!G487-1</f>
        <v>0.00600000000000023</v>
      </c>
      <c r="U236" s="433">
        <f>Data!H488/Data!H487-1</f>
        <v>0.0166778798387057</v>
      </c>
      <c r="V236" s="433">
        <f>Data!I488/Data!I487-1</f>
        <v>0.0684461551334616</v>
      </c>
      <c r="W236" s="433">
        <f>Data!J488/Data!J487-1</f>
        <v>0.00996710553110369</v>
      </c>
      <c r="X236" s="433">
        <f>Data!K488/Data!K487-1</f>
        <v>0.0067010837977366</v>
      </c>
      <c r="Y236" s="433">
        <f>Data!L488/Data!L487-1</f>
        <v>0.00319055633919119</v>
      </c>
      <c r="Z236" s="433">
        <f>SUMPRODUCT(O236:Y236,Risk!$B$56:$L$56)</f>
        <v>0.0102017582755094</v>
      </c>
      <c r="AA236" s="433">
        <f>Z236-$B$8/12</f>
        <v>0.010108424942176</v>
      </c>
      <c r="AB236" s="433">
        <f>SUMPRODUCT(O236:Y236,Risk!$B$57:$L$57)</f>
        <v>0.0136059714117053</v>
      </c>
      <c r="AC236" s="433">
        <f>AB236-$B$9/12</f>
        <v>0.0133243047450386</v>
      </c>
      <c r="AD236" s="433">
        <f>AA236-AC236</f>
        <v>-0.00321587980286259</v>
      </c>
      <c r="AE236" s="560">
        <f>AE235*(1+AA236)</f>
        <v>3.46693362599935</v>
      </c>
      <c r="AF236" s="560">
        <f>AF235*(1+AC236)</f>
        <v>3.45948714446537</v>
      </c>
      <c r="AG236" s="433">
        <f>AE236/MAX(AE$5:AE236)-1</f>
        <v>0</v>
      </c>
      <c r="AH236" s="433">
        <f>AF236/MAX(AF$5:AF236)-1</f>
        <v>0</v>
      </c>
      <c r="AI236" s="433">
        <f>AE236/MAX(AE$185:AE236)-1</f>
        <v>0</v>
      </c>
      <c r="AJ236" s="433">
        <f>AF236/MAX(AF$185:AF236)-1</f>
        <v>0</v>
      </c>
      <c r="AK236" s="433">
        <f>AE236/AE224-1</f>
        <v>0.114818554988618</v>
      </c>
      <c r="AL236" s="433">
        <f>AF236/AF224-1</f>
        <v>0.108667497457746</v>
      </c>
      <c r="AM236" s="433">
        <f>(AE236/AE176)^(12/60)-1</f>
        <v>0.0888012904874365</v>
      </c>
      <c r="AN236" s="433">
        <f>(AF236/AF176)^(12/60)-1</f>
        <v>0.0907327374280043</v>
      </c>
      <c r="AO236" s="433">
        <f>AM236-AN236</f>
        <v>-0.00193144694056779</v>
      </c>
      <c r="AP236" s="433">
        <f>STDEV(AD177:AD236)*SQRT(12)</f>
        <v>0.0208660775337736</v>
      </c>
      <c r="AQ236" s="628">
        <f>AO236/AP236</f>
        <v>-0.09256396835685</v>
      </c>
    </row>
    <row r="237">
      <c r="N237" s="554">
        <f>Data!A489</f>
        <v>45869.0</v>
      </c>
      <c r="O237" s="433">
        <f>Data!B489/Data!B488-1</f>
        <v>0.0258940510559957</v>
      </c>
      <c r="P237" s="433">
        <f>Data!C489/Data!C488-1</f>
        <v>0.0386995698711685</v>
      </c>
      <c r="Q237" s="433">
        <f>Data!D489/Data!D488-1</f>
        <v>0.0528969081997444</v>
      </c>
      <c r="R237" s="433">
        <f>Data!E489/Data!E488-1</f>
        <v>0.0186489228942428</v>
      </c>
      <c r="S237" s="433">
        <f>Data!F489/Data!F488-1</f>
        <v>0.0546599866643407</v>
      </c>
      <c r="T237" s="433">
        <f>Data!G489/Data!G488-1</f>
        <v>0</v>
      </c>
      <c r="U237" s="433">
        <f>Data!H489/Data!H488-1</f>
        <v>0.0181960311459859</v>
      </c>
      <c r="V237" s="433">
        <f>Data!I489/Data!I488-1</f>
        <v>0</v>
      </c>
      <c r="W237" s="433">
        <f>Data!J489/Data!J488-1</f>
        <v>-0.00183158895334956</v>
      </c>
      <c r="X237" s="433">
        <f>Data!K489/Data!K488-1</f>
        <v>-0.00230750757919684</v>
      </c>
      <c r="Y237" s="433">
        <f>Data!L489/Data!L488-1</f>
        <v>0.00301329454340471</v>
      </c>
      <c r="Z237" s="433">
        <f>SUMPRODUCT(O237:Y237,Risk!$B$56:$L$56)</f>
        <v>0.0197140183547564</v>
      </c>
      <c r="AA237" s="433">
        <f>Z237-$B$8/12</f>
        <v>0.0196206850214231</v>
      </c>
      <c r="AB237" s="433">
        <f>SUMPRODUCT(O237:Y237,Risk!$B$57:$L$57)</f>
        <v>0.0198729725984566</v>
      </c>
      <c r="AC237" s="433">
        <f>AB237-$B$9/12</f>
        <v>0.01959130593179</v>
      </c>
      <c r="AD237" s="433">
        <f>AA237-AC237</f>
        <v>2.93790896331129e-05</v>
      </c>
      <c r="AE237" s="560">
        <f>AE236*(1+AA237)</f>
        <v>3.53495723866527</v>
      </c>
      <c r="AF237" s="560">
        <f>AF236*(1+AC237)</f>
        <v>3.52726301547969</v>
      </c>
      <c r="AG237" s="433">
        <f>AE237/MAX(AE$5:AE237)-1</f>
        <v>0</v>
      </c>
      <c r="AH237" s="433">
        <f>AF237/MAX(AF$5:AF237)-1</f>
        <v>0</v>
      </c>
      <c r="AI237" s="433">
        <f>AE237/MAX(AE$185:AE237)-1</f>
        <v>0</v>
      </c>
      <c r="AJ237" s="433">
        <f>AF237/MAX(AF$185:AF237)-1</f>
        <v>0</v>
      </c>
      <c r="AK237" s="433">
        <f>AE237/AE225-1</f>
        <v>0.0988458934582805</v>
      </c>
      <c r="AL237" s="433">
        <f>AF237/AF225-1</f>
        <v>0.0991732381052275</v>
      </c>
      <c r="AM237" s="433">
        <f>(AE237/AE177)^(12/60)-1</f>
        <v>0.0925594667603042</v>
      </c>
      <c r="AN237" s="433">
        <f>(AF237/AF177)^(12/60)-1</f>
        <v>0.0943381650743163</v>
      </c>
      <c r="AO237" s="433">
        <f>AM237-AN237</f>
        <v>-0.00177869831401201</v>
      </c>
      <c r="AP237" s="433">
        <f>STDEV(AD178:AD237)*SQRT(12)</f>
        <v>0.0208640464086328</v>
      </c>
      <c r="AQ237" s="628">
        <f>AO237/AP237</f>
        <v>-0.0852518384581451</v>
      </c>
    </row>
    <row r="238">
      <c r="N238" s="554">
        <f>Data!A490</f>
        <v>45898.0</v>
      </c>
      <c r="O238" s="433">
        <f>Data!B490/Data!B489-1</f>
        <v>0.0315351075139503</v>
      </c>
      <c r="P238" s="433">
        <f>Data!C490/Data!C489-1</f>
        <v>0.00429281801433512</v>
      </c>
      <c r="Q238" s="433">
        <f>Data!D490/Data!D489-1</f>
        <v>-0.000961306466075174</v>
      </c>
      <c r="R238" s="433">
        <f>Data!E490/Data!E489-1</f>
        <v>0.0203989519892891</v>
      </c>
      <c r="S238" s="433">
        <f>Data!F490/Data!F489-1</f>
        <v>-0.0182795530856537</v>
      </c>
      <c r="T238" s="433">
        <f>Data!G490/Data!G489-1</f>
        <v>0</v>
      </c>
      <c r="U238" s="433">
        <f>Data!H490/Data!H489-1</f>
        <v>0.00395518478409618</v>
      </c>
      <c r="V238" s="433">
        <f>Data!I490/Data!I489-1</f>
        <v>0</v>
      </c>
      <c r="W238" s="433">
        <f>Data!J490/Data!J489-1</f>
        <v>0.00345117094786684</v>
      </c>
      <c r="X238" s="433">
        <f>Data!K490/Data!K489-1</f>
        <v>0.00361755155385701</v>
      </c>
      <c r="Y238" s="433">
        <f>Data!L490/Data!L489-1</f>
        <v>0.00318939914330119</v>
      </c>
      <c r="Z238" s="433">
        <f>SUMPRODUCT(O238:Y238,Risk!$B$56:$L$56)</f>
        <v>0.0165428395138957</v>
      </c>
      <c r="AA238" s="433">
        <f>Z238-$B$8/12</f>
        <v>0.0164495061805624</v>
      </c>
      <c r="AB238" s="433">
        <f>SUMPRODUCT(O238:Y238,Risk!$B$57:$L$57)</f>
        <v>0.0110429817069305</v>
      </c>
      <c r="AC238" s="433">
        <f>AB238-$B$9/12</f>
        <v>0.0107613150402638</v>
      </c>
      <c r="AD238" s="433">
        <f>AA238-AC238</f>
        <v>0.00568819114029859</v>
      </c>
      <c r="AE238" s="560">
        <f>AE237*(1+AA238)</f>
        <v>3.59310553961071</v>
      </c>
      <c r="AF238" s="560">
        <f>AF237*(1+AC238)</f>
        <v>3.56522100401914</v>
      </c>
      <c r="AG238" s="433">
        <f>AE238/MAX(AE$5:AE238)-1</f>
        <v>0</v>
      </c>
      <c r="AH238" s="433">
        <f>AF238/MAX(AF$5:AF238)-1</f>
        <v>0</v>
      </c>
      <c r="AI238" s="433">
        <f>AE238/MAX(AE$185:AE238)-1</f>
        <v>0</v>
      </c>
      <c r="AJ238" s="433">
        <f>AF238/MAX(AF$185:AF238)-1</f>
        <v>0</v>
      </c>
      <c r="AK238" s="433">
        <f>AE238/AE226-1</f>
        <v>0.114475363216849</v>
      </c>
      <c r="AL238" s="433">
        <f>AF238/AF226-1</f>
        <v>0.112774458338882</v>
      </c>
      <c r="AM238" s="433">
        <f>(AE238/AE178)^(12/60)-1</f>
        <v>0.0922652697515578</v>
      </c>
      <c r="AN238" s="433">
        <f>(AF238/AF178)^(12/60)-1</f>
        <v>0.0936858374882266</v>
      </c>
      <c r="AO238" s="433">
        <f>AM238-AN238</f>
        <v>-0.00142056773666877</v>
      </c>
      <c r="AP238" s="433">
        <f>STDEV(AD179:AD238)*SQRT(12)</f>
        <v>0.0209425530239534</v>
      </c>
      <c r="AQ238" s="628">
        <f>AO238/AP238</f>
        <v>-0.0678316409199953</v>
      </c>
    </row>
    <row r="239">
      <c r="N239" s="554">
        <f>Data!A491</f>
        <v>45930.0</v>
      </c>
      <c r="O239" s="433">
        <f>Data!B491/Data!B490-1</f>
        <v>-0.00540815202389455</v>
      </c>
      <c r="P239" s="433">
        <f>Data!C491/Data!C490-1</f>
        <v>0.0198394336331011</v>
      </c>
      <c r="Q239" s="433">
        <f>Data!D491/Data!D490-1</f>
        <v>0.0574699250624464</v>
      </c>
      <c r="R239" s="433">
        <f>Data!E491/Data!E490-1</f>
        <v>-0.00411284698299119</v>
      </c>
      <c r="S239" s="433">
        <f>Data!F491/Data!F490-1</f>
        <v>-0.00604887191667558</v>
      </c>
      <c r="T239" s="433">
        <f>Data!G491/Data!G490-1</f>
        <v>0.0206325856879306</v>
      </c>
      <c r="U239" s="433">
        <f>Data!H491/Data!H490-1</f>
        <v>0.013009355589076</v>
      </c>
      <c r="V239" s="433">
        <f>Data!I491/Data!I490-1</f>
        <v>0.0172416133805779</v>
      </c>
      <c r="W239" s="433">
        <f>Data!J491/Data!J490-1</f>
        <v>0.000859861094740122</v>
      </c>
      <c r="X239" s="433">
        <f>Data!K491/Data!K490-1</f>
        <v>0.00617927754505065</v>
      </c>
      <c r="Y239" s="433">
        <f>Data!L491/Data!L490-1</f>
        <v>0.00294806752334464</v>
      </c>
      <c r="Z239" s="433">
        <f>SUMPRODUCT(O239:Y239,Risk!$B$56:$L$56)</f>
        <v>0.00222302731321248</v>
      </c>
      <c r="AA239" s="433">
        <f>Z239-$B$8/12</f>
        <v>0.00212969397987915</v>
      </c>
      <c r="AB239" s="433">
        <f>SUMPRODUCT(O239:Y239,Risk!$B$57:$L$57)</f>
        <v>0.00755234855310681</v>
      </c>
      <c r="AC239" s="433">
        <f>AB239-$B$9/12</f>
        <v>0.00727068188644014</v>
      </c>
      <c r="AD239" s="433">
        <f>AA239-AC239</f>
        <v>-0.00514098790656099</v>
      </c>
      <c r="AE239" s="560">
        <f>AE238*(1+AA239)</f>
        <v>3.60075775484749</v>
      </c>
      <c r="AF239" s="560">
        <f>AF238*(1+AC239)</f>
        <v>3.59114259179422</v>
      </c>
      <c r="AG239" s="433">
        <f>AE239/MAX(AE$5:AE239)-1</f>
        <v>0</v>
      </c>
      <c r="AH239" s="433">
        <f>AF239/MAX(AF$5:AF239)-1</f>
        <v>0</v>
      </c>
      <c r="AI239" s="433">
        <f>AE239/MAX(AE$185:AE239)-1</f>
        <v>0</v>
      </c>
      <c r="AJ239" s="433">
        <f>AF239/MAX(AF$185:AF239)-1</f>
        <v>0</v>
      </c>
      <c r="AK239" s="433">
        <f>AE239/AE227-1</f>
        <v>0.100939889505288</v>
      </c>
      <c r="AL239" s="433">
        <f>AF239/AF227-1</f>
        <v>0.106959315598166</v>
      </c>
      <c r="AM239" s="433">
        <f>(AE239/AE179)^(12/60)-1</f>
        <v>0.0950330254692406</v>
      </c>
      <c r="AN239" s="433">
        <f>(AF239/AF179)^(12/60)-1</f>
        <v>0.0956680975858775</v>
      </c>
      <c r="AO239" s="433">
        <f>AM239-AN239</f>
        <v>-0.000635072116636826</v>
      </c>
      <c r="AP239" s="433">
        <f>STDEV(AD180:AD239)*SQRT(12)</f>
        <v>0.0207046992075513</v>
      </c>
      <c r="AQ239" s="628">
        <f>AO239/AP239</f>
        <v>-0.0306728492054212</v>
      </c>
    </row>
    <row r="240">
      <c r="N240" s="554">
        <f>Data!A492</f>
        <v>45961.0</v>
      </c>
      <c r="O240" s="433">
        <f>Data!B492/Data!B491-1</f>
        <v>0.00486712777810472</v>
      </c>
      <c r="P240" s="433">
        <f>Data!C492/Data!C491-1</f>
        <v>0.0385908784615545</v>
      </c>
      <c r="Q240" s="433">
        <f>Data!D492/Data!D491-1</f>
        <v>0.0591730440043174</v>
      </c>
      <c r="R240" s="433">
        <f>Data!E492/Data!E491-1</f>
        <v>0.00609233592213676</v>
      </c>
      <c r="S240" s="433">
        <f>Data!F492/Data!F491-1</f>
        <v>0.0260400617667074</v>
      </c>
      <c r="T240" s="433">
        <f>Data!G492/Data!G491-1</f>
        <v>0</v>
      </c>
      <c r="U240" s="433">
        <f>Data!H492/Data!H491-1</f>
        <v>0.0228584743209526</v>
      </c>
      <c r="V240" s="433">
        <f>Data!I492/Data!I491-1</f>
        <v>0</v>
      </c>
      <c r="W240" s="433">
        <f>Data!J492/Data!J491-1</f>
        <v>0.004209428049752</v>
      </c>
      <c r="X240" s="433">
        <f>Data!K492/Data!K491-1</f>
        <v>0.00712607018035083</v>
      </c>
      <c r="Y240" s="433">
        <f>Data!L492/Data!L491-1</f>
        <v>0.00294876369457242</v>
      </c>
      <c r="Z240" s="433">
        <f>SUMPRODUCT(O240:Y240,Risk!$B$56:$L$56)</f>
        <v>0.0116821736762774</v>
      </c>
      <c r="AA240" s="433">
        <f>Z240-$B$8/12</f>
        <v>0.0115888403429441</v>
      </c>
      <c r="AB240" s="433">
        <f>SUMPRODUCT(O240:Y240,Risk!$B$57:$L$57)</f>
        <v>0.0153484536325821</v>
      </c>
      <c r="AC240" s="433">
        <f>AB240-$B$9/12</f>
        <v>0.0150667869659155</v>
      </c>
      <c r="AD240" s="433">
        <f>AA240-AC240</f>
        <v>-0.00347794662297139</v>
      </c>
      <c r="AE240" s="560">
        <f>AE239*(1+AA240)</f>
        <v>3.64248636158204</v>
      </c>
      <c r="AF240" s="560">
        <f>AF239*(1+AC240)</f>
        <v>3.64524957218901</v>
      </c>
      <c r="AG240" s="433">
        <f>AE240/MAX(AE$5:AE240)-1</f>
        <v>0</v>
      </c>
      <c r="AH240" s="433">
        <f>AF240/MAX(AF$5:AF240)-1</f>
        <v>0</v>
      </c>
      <c r="AI240" s="433">
        <f>AE240/MAX(AE$185:AE240)-1</f>
        <v>0</v>
      </c>
      <c r="AJ240" s="433">
        <f>AF240/MAX(AF$185:AF240)-1</f>
        <v>0</v>
      </c>
      <c r="AK240" s="433">
        <f>AE240/AE228-1</f>
        <v>0.110485823381876</v>
      </c>
      <c r="AL240" s="433">
        <f>AF240/AF228-1</f>
        <v>0.114253008024755</v>
      </c>
      <c r="AM240" s="433">
        <f>(AE240/AE180)^(12/60)-1</f>
        <v>0.0963469194374362</v>
      </c>
      <c r="AN240" s="433">
        <f>(AF240/AF180)^(12/60)-1</f>
        <v>0.0982955742998692</v>
      </c>
      <c r="AO240" s="433">
        <f>AM240-AN240</f>
        <v>-0.00194865486243301</v>
      </c>
      <c r="AP240" s="433">
        <f>STDEV(AD181:AD240)*SQRT(12)</f>
        <v>0.0207314105818484</v>
      </c>
      <c r="AQ240" s="628">
        <f>AO240/AP240</f>
        <v>-0.0939952857881833</v>
      </c>
    </row>
    <row r="241">
      <c r="N241" s="554">
        <f>Data!A493</f>
        <v>45989.0</v>
      </c>
      <c r="O241" s="433">
        <f>Data!B493/Data!B492-1</f>
        <v>-0.0250869875232946</v>
      </c>
      <c r="P241" s="433">
        <f>Data!C493/Data!C492-1</f>
        <v>0.00102872943073651</v>
      </c>
      <c r="Q241" s="433">
        <f>Data!D493/Data!D492-1</f>
        <v>-0.0176298508434245</v>
      </c>
      <c r="R241" s="433">
        <f>Data!E493/Data!E492-1</f>
        <v>0.0158262668001601</v>
      </c>
      <c r="S241" s="433">
        <f>Data!F493/Data!F492-1</f>
        <v>-0.00250171599965987</v>
      </c>
      <c r="T241" s="433">
        <f>Data!G493/Data!G492-1</f>
        <v>0</v>
      </c>
      <c r="U241" s="433">
        <f>Data!H493/Data!H492-1</f>
        <v>-0.000888680908170514</v>
      </c>
      <c r="V241" s="433">
        <f>Data!I493/Data!I492-1</f>
        <v>0</v>
      </c>
      <c r="W241" s="433">
        <f>Data!J493/Data!J492-1</f>
        <v>-0.0098839659459613</v>
      </c>
      <c r="X241" s="433">
        <f>Data!K493/Data!K492-1</f>
        <v>-0.00280609124707731</v>
      </c>
      <c r="Y241" s="433">
        <f>Data!L493/Data!L492-1</f>
        <v>0.00297331258471445</v>
      </c>
      <c r="Z241" s="433">
        <f>SUMPRODUCT(O241:Y241,Risk!$B$56:$L$56)</f>
        <v>-0.00974537275388491</v>
      </c>
      <c r="AA241" s="433">
        <f>Z241-$B$8/12</f>
        <v>-0.00983870608721825</v>
      </c>
      <c r="AB241" s="433">
        <f>SUMPRODUCT(O241:Y241,Risk!$B$57:$L$57)</f>
        <v>-0.00712582930604839</v>
      </c>
      <c r="AC241" s="433">
        <f>AB241-$B$9/12</f>
        <v>-0.00740749597271506</v>
      </c>
      <c r="AD241" s="433">
        <f>AA241-AC241</f>
        <v>-0.00243121011450319</v>
      </c>
      <c r="AE241" s="560">
        <f>AE240*(1+AA241)</f>
        <v>3.60664900884373</v>
      </c>
      <c r="AF241" s="560">
        <f>AF240*(1+AC241)</f>
        <v>3.61824740066347</v>
      </c>
      <c r="AG241" s="433">
        <f>AE241/MAX(AE$5:AE241)-1</f>
        <v>-0.00983870608721826</v>
      </c>
      <c r="AH241" s="433">
        <f>AF241/MAX(AF$5:AF241)-1</f>
        <v>-0.00740749597271506</v>
      </c>
      <c r="AI241" s="433">
        <f>AE241/MAX(AE$185:AE241)-1</f>
        <v>-0.00983870608721826</v>
      </c>
      <c r="AJ241" s="433">
        <f>AF241/MAX(AF$185:AF241)-1</f>
        <v>-0.00740749597271506</v>
      </c>
      <c r="AK241" s="433">
        <f>AE241/AE229-1</f>
        <v>0.0659681837301396</v>
      </c>
      <c r="AL241" s="433">
        <f>AF241/AF229-1</f>
        <v>0.0778401296541873</v>
      </c>
      <c r="AM241" s="433">
        <f>(AE241/AE181)^(12/60)-1</f>
        <v>0.0815704432456523</v>
      </c>
      <c r="AN241" s="433">
        <f>(AF241/AF181)^(12/60)-1</f>
        <v>0.0866348221809894</v>
      </c>
      <c r="AO241" s="433">
        <f>AM241-AN241</f>
        <v>-0.00506437893533707</v>
      </c>
      <c r="AP241" s="433">
        <f>STDEV(AD182:AD241)*SQRT(12)</f>
        <v>0.0199304175671591</v>
      </c>
      <c r="AQ241" s="628">
        <f>AO241/AP241</f>
        <v>-0.254103002020491</v>
      </c>
    </row>
    <row r="242">
      <c r="N242" s="554">
        <f>Data!A494</f>
        <v>46022.0</v>
      </c>
      <c r="O242" s="433">
        <f>Data!B494/Data!B493-1</f>
        <v>0.0125609169953711</v>
      </c>
      <c r="P242" s="433">
        <f>Data!C494/Data!C493-1</f>
        <v>-0.0110325551572321</v>
      </c>
      <c r="Q242" s="433">
        <f>Data!D494/Data!D493-1</f>
        <v>0.00941170406720615</v>
      </c>
      <c r="R242" s="433">
        <f>Data!E494/Data!E493-1</f>
        <v>-0.0301780346730786</v>
      </c>
      <c r="S242" s="433">
        <f>Data!F494/Data!F493-1</f>
        <v>-0.0195443606349294</v>
      </c>
      <c r="T242" s="433">
        <f>Data!G494/Data!G493-1</f>
        <v>0.032437858508604</v>
      </c>
      <c r="U242" s="433">
        <f>Data!H494/Data!H493-1</f>
        <v>-0.00679537559709631</v>
      </c>
      <c r="V242" s="433">
        <f>Data!I494/Data!I493-1</f>
        <v>-0.0147339481375702</v>
      </c>
      <c r="W242" s="433">
        <f>Data!J494/Data!J493-1</f>
        <v>-0.00434028813452858</v>
      </c>
      <c r="X242" s="433">
        <f>Data!K494/Data!K493-1</f>
        <v>-0.0025581960369605</v>
      </c>
      <c r="Y242" s="433">
        <f>Data!L494/Data!L493-1</f>
        <v>0.0030970568250337</v>
      </c>
      <c r="Z242" s="433">
        <f>SUMPRODUCT(O242:Y242,Risk!$B$56:$L$56)</f>
        <v>-0.000838852625989609</v>
      </c>
      <c r="AA242" s="433">
        <f>Z242-$B$8/12</f>
        <v>-0.000932185959322942</v>
      </c>
      <c r="AB242" s="433">
        <f>SUMPRODUCT(O242:Y242,Risk!$B$57:$L$57)</f>
        <v>-0.00154869949144928</v>
      </c>
      <c r="AC242" s="433">
        <f>AB242-$B$9/12</f>
        <v>-0.00183036615811594</v>
      </c>
      <c r="AD242" s="433">
        <f>AA242-AC242</f>
        <v>0.000898180198793</v>
      </c>
      <c r="AE242" s="560">
        <f>AE241*(1+AA242)</f>
        <v>3.60328694127748</v>
      </c>
      <c r="AF242" s="560">
        <f>AF241*(1+AC242)</f>
        <v>3.61162468306961</v>
      </c>
      <c r="AG242" s="433">
        <f>AE242/MAX(AE$5:AE242)-1</f>
        <v>-0.0107617205428689</v>
      </c>
      <c r="AH242" s="433">
        <f>AF242/MAX(AF$5:AF242)-1</f>
        <v>-0.00922430370088623</v>
      </c>
      <c r="AI242" s="433">
        <f>AE242/MAX(AE$185:AE242)-1</f>
        <v>-0.0107617205428689</v>
      </c>
      <c r="AJ242" s="433">
        <f>AF242/MAX(AF$185:AF242)-1</f>
        <v>-0.00922430370088623</v>
      </c>
      <c r="AK242" s="433">
        <f>AE242/AE230-1</f>
        <v>0.072355509507674</v>
      </c>
      <c r="AL242" s="433">
        <f>AF242/AF230-1</f>
        <v>0.0714724620893024</v>
      </c>
      <c r="AM242" s="433">
        <f>(AE242/AE182)^(12/60)-1</f>
        <v>0.0807573196328828</v>
      </c>
      <c r="AN242" s="433">
        <f>(AF242/AF182)^(12/60)-1</f>
        <v>0.0852787811916069</v>
      </c>
      <c r="AO242" s="433">
        <f>AM242-AN242</f>
        <v>-0.00452146155872413</v>
      </c>
      <c r="AP242" s="433">
        <f>STDEV(AD183:AD242)*SQRT(12)</f>
        <v>0.0199290063081277</v>
      </c>
      <c r="AQ242" s="628">
        <f>AO242/AP242</f>
        <v>-0.22687842478529</v>
      </c>
    </row>
    <row r="243">
      <c r="N243" s="554">
        <f>Data!A495</f>
        <v>46052.0</v>
      </c>
      <c r="O243" s="433">
        <f>Data!B495/Data!B494-1</f>
        <v>0.0161950664177188</v>
      </c>
      <c r="P243" s="433">
        <f>Data!C495/Data!C494-1</f>
        <v>-0.0317080115988254</v>
      </c>
      <c r="Q243" s="433">
        <f>Data!D495/Data!D494-1</f>
        <v>0.0355415023006616</v>
      </c>
      <c r="R243" s="433">
        <f>Data!E495/Data!E494-1</f>
        <v>-0.026378690611542</v>
      </c>
      <c r="S243" s="433">
        <f>Data!F495/Data!F494-1</f>
        <v>0.0454494992878132</v>
      </c>
      <c r="T243" s="433">
        <f>Data!G495/Data!G494-1</f>
        <v>0</v>
      </c>
      <c r="U243" s="433">
        <f>Data!H495/Data!H494-1</f>
        <v>-0.0160640073281364</v>
      </c>
      <c r="V243" s="433">
        <f>Data!I495/Data!I494-1</f>
        <v>0</v>
      </c>
      <c r="W243" s="433">
        <f>Data!J495/Data!J494-1</f>
        <v>0.000787339960357958</v>
      </c>
      <c r="X243" s="433">
        <f>Data!K495/Data!K494-1</f>
        <v>-0.000420003057447604</v>
      </c>
      <c r="Y243" s="433">
        <f>Data!L495/Data!L494-1</f>
        <v>0.0030403608647831</v>
      </c>
      <c r="Z243" s="433">
        <f>SUMPRODUCT(O243:Y243,Risk!$B$56:$L$56)</f>
        <v>-0.00220411880383904</v>
      </c>
      <c r="AA243" s="433">
        <f>Z243-$B$8/12</f>
        <v>-0.00229745213717238</v>
      </c>
      <c r="AB243" s="433">
        <f>SUMPRODUCT(O243:Y243,Risk!$B$57:$L$57)</f>
        <v>-0.00375911160308994</v>
      </c>
      <c r="AC243" s="433">
        <f>AB243-$B$9/12</f>
        <v>-0.00404077826975661</v>
      </c>
      <c r="AD243" s="433">
        <f>AA243-AC243</f>
        <v>0.00174332613258423</v>
      </c>
      <c r="AE243" s="560">
        <f>AE242*(1+AA243)</f>
        <v>3.5950085619934</v>
      </c>
      <c r="AF243" s="560">
        <f>AF242*(1+AC243)</f>
        <v>3.59703090853174</v>
      </c>
      <c r="AG243" s="433">
        <f>AE243/MAX(AE$5:AE243)-1</f>
        <v>-0.0130344481421804</v>
      </c>
      <c r="AH243" s="433">
        <f>AF243/MAX(AF$5:AF243)-1</f>
        <v>-0.0132278086046946</v>
      </c>
      <c r="AI243" s="433">
        <f>AE243/MAX(AE$185:AE243)-1</f>
        <v>-0.0130344481421804</v>
      </c>
      <c r="AJ243" s="433">
        <f>AF243/MAX(AF$185:AF243)-1</f>
        <v>-0.0132278086046946</v>
      </c>
      <c r="AK243" s="433">
        <f>AE243/AE231-1</f>
        <v>0.0446158036897626</v>
      </c>
      <c r="AL243" s="433">
        <f>AF243/AF231-1</f>
        <v>0.0474512230732553</v>
      </c>
      <c r="AM243" s="433">
        <f>(AE243/AE183)^(12/60)-1</f>
        <v>0.0801980256450652</v>
      </c>
      <c r="AN243" s="433">
        <f>(AF243/AF183)^(12/60)-1</f>
        <v>0.0837934884240643</v>
      </c>
      <c r="AO243" s="433">
        <f>AM243-AN243</f>
        <v>-0.00359546277899914</v>
      </c>
      <c r="AP243" s="433">
        <f>STDEV(AD184:AD243)*SQRT(12)</f>
        <v>0.0199224124923251</v>
      </c>
      <c r="AQ243" s="628">
        <f>AO243/AP243</f>
        <v>-0.180473262481853</v>
      </c>
    </row>
    <row r="244">
      <c r="N244" s="554">
        <f>Data!A496</f>
        <v>46080.0</v>
      </c>
      <c r="O244" s="433">
        <f>Data!B496/Data!B495-1</f>
        <v>0.0333544412533588</v>
      </c>
      <c r="P244" s="433">
        <f>Data!C496/Data!C495-1</f>
        <v>-0.00727627403309183</v>
      </c>
      <c r="Q244" s="433">
        <f>Data!D496/Data!D495-1</f>
        <v>0.0318557472513399</v>
      </c>
      <c r="R244" s="433">
        <f>Data!E496/Data!E495-1</f>
        <v>0.0440232295874139</v>
      </c>
      <c r="S244" s="433">
        <f>Data!F496/Data!F495-1</f>
        <v>0.00637903147698427</v>
      </c>
      <c r="T244" s="433">
        <f>Data!G496/Data!G495-1</f>
        <v>0</v>
      </c>
      <c r="U244" s="433">
        <f>Data!H496/Data!H495-1</f>
        <v>0.00475110375333476</v>
      </c>
      <c r="V244" s="433">
        <f>Data!I496/Data!I495-1</f>
        <v>0</v>
      </c>
      <c r="W244" s="433">
        <f>Data!J496/Data!J495-1</f>
        <v>0.00879299238070486</v>
      </c>
      <c r="X244" s="433">
        <f>Data!K496/Data!K495-1</f>
        <v>0.0167784815397614</v>
      </c>
      <c r="Y244" s="433">
        <f>Data!L496/Data!L495-1</f>
        <v>0.00284301635947593</v>
      </c>
      <c r="Z244" s="433">
        <f>SUMPRODUCT(O244:Y244,Risk!$B$56:$L$56)</f>
        <v>0.0191490831789165</v>
      </c>
      <c r="AA244" s="433">
        <f>Z244-$B$8/12</f>
        <v>0.0190557498455832</v>
      </c>
      <c r="AB244" s="433">
        <f>SUMPRODUCT(O244:Y244,Risk!$B$57:$L$57)</f>
        <v>0.0140616591696533</v>
      </c>
      <c r="AC244" s="433">
        <f>AB244-$B$9/12</f>
        <v>0.0137799925029866</v>
      </c>
      <c r="AD244" s="433">
        <f>AA244-AC244</f>
        <v>0.00527575734259657</v>
      </c>
      <c r="AE244" s="560">
        <f>AE243*(1+AA244)</f>
        <v>3.66351414584347</v>
      </c>
      <c r="AF244" s="560">
        <f>AF243*(1+AC244)</f>
        <v>3.64659796748432</v>
      </c>
      <c r="AG244" s="433">
        <f>AE244/MAX(AE$5:AE244)-1</f>
        <v>0</v>
      </c>
      <c r="AH244" s="433">
        <f>AF244/MAX(AF$5:AF244)-1</f>
        <v>0</v>
      </c>
      <c r="AI244" s="433">
        <f>AE244/MAX(AE$185:AE244)-1</f>
        <v>0</v>
      </c>
      <c r="AJ244" s="433">
        <f>AF244/MAX(AF$185:AF244)-1</f>
        <v>0</v>
      </c>
      <c r="AK244" s="433">
        <f>AE244/AE232-1</f>
        <v>0.0772863497132084</v>
      </c>
      <c r="AL244" s="433">
        <f>AF244/AF232-1</f>
        <v>0.0685541713287274</v>
      </c>
      <c r="AM244" s="433">
        <f>(AE244/AE184)^(12/60)-1</f>
        <v>0.0834800144153391</v>
      </c>
      <c r="AN244" s="433">
        <f>(AF244/AF184)^(12/60)-1</f>
        <v>0.0861027487005401</v>
      </c>
      <c r="AO244" s="433">
        <f>AM244-AN244</f>
        <v>-0.00262273428520099</v>
      </c>
      <c r="AP244" s="433">
        <f>STDEV(AD185:AD244)*SQRT(12)</f>
        <v>0.020069208377967</v>
      </c>
      <c r="AQ244" s="628">
        <f>AO244/AP244</f>
        <v>-0.130684491177059</v>
      </c>
    </row>
    <row r="245">
      <c r="N245" s="614">
        <f>Data!A497</f>
        <v>46112.0</v>
      </c>
      <c r="O245" s="645">
        <f>Data!B497/Data!B496-1</f>
        <v>-0.0730161849402222</v>
      </c>
      <c r="P245" s="645">
        <f>Data!C497/Data!C496-1</f>
        <v>-0.0180245517594161</v>
      </c>
      <c r="Q245" s="645">
        <f>Data!D497/Data!D496-1</f>
        <v>-0.0688819017396813</v>
      </c>
      <c r="R245" s="645">
        <f>Data!E497/Data!E496-1</f>
        <v>-0.0307100587079338</v>
      </c>
      <c r="S245" s="645">
        <f>Data!F497/Data!F496-1</f>
        <v>0.295749933651788</v>
      </c>
      <c r="T245" s="645">
        <f>Data!G497/Data!G496-1</f>
        <v>0.0199999999999996</v>
      </c>
      <c r="U245" s="645">
        <f>Data!H497/Data!H496-1</f>
        <v>-0.0203095483251907</v>
      </c>
      <c r="V245" s="645">
        <f>Data!I497/Data!I496-1</f>
        <v>-0.166176769387064</v>
      </c>
      <c r="W245" s="645">
        <f>Data!J497/Data!J496-1</f>
        <v>-0.0141642378912418</v>
      </c>
      <c r="X245" s="645">
        <f>Data!K497/Data!K496-1</f>
        <v>-0.0225945448909654</v>
      </c>
      <c r="Y245" s="645">
        <f>Data!L497/Data!L496-1</f>
        <v>0.00316011950647765</v>
      </c>
      <c r="Z245" s="645">
        <f>SUMPRODUCT(O245:Y245,Risk!$B$56:$L$56)</f>
        <v>-0.0395933811082755</v>
      </c>
      <c r="AA245" s="645">
        <f>Z245-$B$8/12</f>
        <v>-0.0396867144416089</v>
      </c>
      <c r="AB245" s="645">
        <f>SUMPRODUCT(O245:Y245,Risk!$B$57:$L$57)</f>
        <v>-0.0298492803349788</v>
      </c>
      <c r="AC245" s="645">
        <f>AB245-$B$9/12</f>
        <v>-0.0301309470016455</v>
      </c>
      <c r="AD245" s="645">
        <f>AA245-AC245</f>
        <v>-0.00955576743996339</v>
      </c>
      <c r="AE245" s="616">
        <f>AE244*(1+AA245)</f>
        <v>3.51812130608459</v>
      </c>
      <c r="AF245" s="616">
        <f>AF244*(1+AC245)</f>
        <v>3.53672251738974</v>
      </c>
      <c r="AG245" s="645">
        <f>AE245/MAX(AE$5:AE245)-1</f>
        <v>-0.0396867144416088</v>
      </c>
      <c r="AH245" s="645">
        <f>AF245/MAX(AF$5:AF245)-1</f>
        <v>-0.0301309470016455</v>
      </c>
      <c r="AI245" s="645">
        <f>AE245/MAX(AE$185:AE245)-1</f>
        <v>-0.0396867144416088</v>
      </c>
      <c r="AJ245" s="645">
        <f>AF245/MAX(AF$185:AF245)-1</f>
        <v>-0.0301309470016455</v>
      </c>
      <c r="AK245" s="645">
        <f>AE245/AE233-1</f>
        <v>0.0636772854448751</v>
      </c>
      <c r="AL245" s="645">
        <f>AF245/AF233-1</f>
        <v>0.062619820867363</v>
      </c>
      <c r="AM245" s="645">
        <f>(AE245/AE185)^(12/60)-1</f>
        <v>0.069191327325671</v>
      </c>
      <c r="AN245" s="645">
        <f>(AF245/AF185)^(12/60)-1</f>
        <v>0.0735285803859276</v>
      </c>
      <c r="AO245" s="645">
        <f>AM245-AN245</f>
        <v>-0.00433725306025656</v>
      </c>
      <c r="AP245" s="645">
        <f>STDEV(AD186:AD245)*SQRT(12)</f>
        <v>0.0204963799178002</v>
      </c>
      <c r="AQ245" s="646">
        <f>AO245/AP245</f>
        <v>-0.211610688211816</v>
      </c>
    </row>
  </sheetData>
  <mergeCells count="6">
    <mergeCell ref="B67:J67"/>
    <mergeCell ref="B66:J66"/>
    <mergeCell ref="B71:J71"/>
    <mergeCell ref="B69:J69"/>
    <mergeCell ref="B70:J70"/>
    <mergeCell ref="B68:J68"/>
  </mergeCells>
  <conditionalFormatting sqref="B30:F30">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fRule type="cellIs" priority="7" operator="equal" dxfId="0">
      <formula>"REVIEW"</formula>
    </cfRule>
  </conditionalFormatting>
  <conditionalFormatting sqref="J35:J38">
    <cfRule type="cellIs" priority="8" operator="equal" dxfId="3">
      <formula>"MET"</formula>
    </cfRule>
    <cfRule type="cellIs" priority="9" operator="equal" dxfId="3">
      <formula>"PASS"</formula>
    </cfRule>
    <cfRule type="cellIs" priority="10" operator="equal" dxfId="3">
      <formula>"INFO"</formula>
    </cfRule>
    <cfRule type="cellIs" priority="11" operator="equal" dxfId="1">
      <formula>"NOT MET"</formula>
    </cfRule>
    <cfRule type="cellIs" priority="12" operator="equal" dxfId="1">
      <formula>"FAIL"</formula>
    </cfRule>
    <cfRule type="cellIs" priority="13" operator="equal" dxfId="0">
      <formula>"MAX FEASIBLE"</formula>
    </cfRule>
    <cfRule type="cellIs" priority="14" operator="equal" dxfId="0">
      <formula>"REVIEW"</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fitToPage="1"/>
  </sheetPr>
  <dimension ref="A1:D52"/>
  <sheetViews>
    <sheetView showGridLines="0" workbookViewId="0">
      <selection activeCell="F6" sqref="F6"/>
    </sheetView>
  </sheetViews>
  <sheetFormatPr baseColWidth="10" defaultColWidth="8.83203125" defaultRowHeight="15"/>
  <cols>
    <col width="44" customWidth="1" min="1" max="1"/>
    <col width="20.6640625" customWidth="1" min="2" max="2"/>
    <col width="14" customWidth="1" min="3" max="3"/>
    <col width="12" customWidth="1" min="4" max="4"/>
  </cols>
  <sheetData>
    <row r="1" ht="19" customHeight="1">
      <c r="A1" s="53" t="inlineStr">
        <is>
          <t>Checks</t>
        </is>
      </c>
    </row>
    <row r="3">
      <c r="A3" s="58" t="inlineStr">
        <is>
          <t>Master flag</t>
        </is>
      </c>
      <c r="B3" s="59" t="n"/>
      <c r="C3" s="59" t="n"/>
      <c r="D3" s="60" t="n"/>
    </row>
    <row r="4">
      <c r="A4" s="199" t="inlineStr">
        <is>
          <t>Status</t>
        </is>
      </c>
      <c r="B4" s="421" t="str">
        <f>IF(COUNTIF(D7:D49,"FAIL")=0,"ALL CHECKS PASS","FAIL: "&amp;COUNTIF(D7:D49,"FAIL")&amp;" check(s)")</f>
        <v>ALL CHECKS PASS</v>
      </c>
      <c r="C4" s="200" t="n"/>
      <c r="D4" s="202" t="n"/>
    </row>
    <row r="5">
      <c r="A5" s="647" t="inlineStr">
        <is>
          <t>Tests</t>
        </is>
      </c>
      <c r="B5" s="648" t="n"/>
      <c r="C5" s="648" t="n"/>
      <c r="D5" s="649" t="n"/>
    </row>
    <row r="6">
      <c r="A6" s="650" t="inlineStr">
        <is>
          <t>Test</t>
        </is>
      </c>
      <c r="B6" s="651" t="inlineStr">
        <is>
          <t>Value</t>
        </is>
      </c>
      <c r="C6" s="651" t="inlineStr">
        <is>
          <t>Limit</t>
        </is>
      </c>
      <c r="D6" s="652" t="inlineStr">
        <is>
          <t>Status</t>
        </is>
      </c>
    </row>
    <row r="7">
      <c r="A7" s="653" t="inlineStr">
        <is>
          <t>Current fund weights sum to 100%</t>
        </is>
      </c>
      <c r="B7" s="483">
        <f>Inputs!B16</f>
        <v>1</v>
      </c>
      <c r="C7" s="483">
        <f>1</f>
        <v>1</v>
      </c>
      <c r="D7" s="654" t="str">
        <f>IF(ABS(B7-C7)&lt;0.000001,"PASS","FAIL")</f>
        <v>PASS</v>
      </c>
    </row>
    <row r="8">
      <c r="A8" s="653" t="inlineStr">
        <is>
          <t>Benchmark weights sum to 100%</t>
        </is>
      </c>
      <c r="B8" s="483">
        <f>Inputs!C16</f>
        <v>1</v>
      </c>
      <c r="C8" s="483">
        <f>1</f>
        <v>1</v>
      </c>
      <c r="D8" s="654" t="str">
        <f>IF(ABS(B8-C8)&lt;0.000001,"PASS","FAIL")</f>
        <v>PASS</v>
      </c>
    </row>
    <row r="9">
      <c r="A9" s="653" t="inlineStr">
        <is>
          <t>Recommended weights sum to 100%</t>
        </is>
      </c>
      <c r="B9" s="483">
        <f>Portfolio!E17</f>
        <v>1</v>
      </c>
      <c r="C9" s="483">
        <f>1</f>
        <v>1</v>
      </c>
      <c r="D9" s="654" t="str">
        <f>IF(ABS(B9-C9)&lt;0.000001,"PASS","FAIL")</f>
        <v>PASS</v>
      </c>
    </row>
    <row r="10">
      <c r="A10" s="653" t="inlineStr">
        <is>
          <t>No short sales</t>
        </is>
      </c>
      <c r="B10" s="433">
        <f>MIN(Portfolio!E6:E16)</f>
        <v>0</v>
      </c>
      <c r="C10" s="433">
        <f>0</f>
        <v>0</v>
      </c>
      <c r="D10" s="654" t="str">
        <f>IF(B10&gt;=C10-0.000001,"PASS","FAIL")</f>
        <v>PASS</v>
      </c>
    </row>
    <row r="11">
      <c r="A11" s="653" t="inlineStr">
        <is>
          <t>All weights inside bounds</t>
        </is>
      </c>
      <c r="B11" s="483">
        <f>Portfolio!B38</f>
        <v>1</v>
      </c>
      <c r="C11" s="483">
        <f>1</f>
        <v>1</v>
      </c>
      <c r="D11" s="654" t="str">
        <f>IF(B11&gt;=C11,"PASS","FAIL")</f>
        <v>PASS</v>
      </c>
    </row>
    <row r="12">
      <c r="A12" s="653" t="inlineStr">
        <is>
          <t>Equity inside benchmark band</t>
        </is>
      </c>
      <c r="B12" s="483">
        <f>Portfolio!B34</f>
        <v>0.62</v>
      </c>
      <c r="C12" s="483">
        <f>Inputs!$B$32</f>
        <v>0.62</v>
      </c>
      <c r="D12" s="654" t="str">
        <f>IF(AND(B12&gt;=Inputs!$B$31-0.000001,B12&lt;=C12+0.000001),"PASS","FAIL")</f>
        <v>PASS</v>
      </c>
    </row>
    <row r="13">
      <c r="A13" s="653" t="inlineStr">
        <is>
          <t>Illiquids within maximum</t>
        </is>
      </c>
      <c r="B13" s="483">
        <f>Portfolio!B35</f>
        <v>0</v>
      </c>
      <c r="C13" s="483">
        <f>Inputs!$B$33</f>
        <v>0.3</v>
      </c>
      <c r="D13" s="654" t="str">
        <f>IF(B13&lt;=C13,"PASS","FAIL")</f>
        <v>PASS</v>
      </c>
    </row>
    <row r="14">
      <c r="A14" s="653" t="inlineStr">
        <is>
          <t>Cash at least minimum</t>
        </is>
      </c>
      <c r="B14" s="483">
        <f>Portfolio!B36</f>
        <v>0.02</v>
      </c>
      <c r="C14" s="483">
        <f>Inputs!$B$34</f>
        <v>0.02</v>
      </c>
      <c r="D14" s="654" t="str">
        <f>IF(B14&gt;=C14,"PASS","FAIL")</f>
        <v>PASS</v>
      </c>
    </row>
    <row r="15">
      <c r="A15" s="653" t="inlineStr">
        <is>
          <t>Parametric TE &lt;= optimiser limit</t>
        </is>
      </c>
      <c r="B15" s="433">
        <f>Portfolio!B33</f>
        <v>0.0110023822192608</v>
      </c>
      <c r="C15" s="433">
        <f>Inputs!$B$45</f>
        <v>0.011</v>
      </c>
      <c r="D15" s="654" t="str">
        <f>IF(B15&lt;=C15+0.00005,"PASS","FAIL")</f>
        <v>PASS</v>
      </c>
    </row>
    <row r="16">
      <c r="A16" s="653" t="inlineStr">
        <is>
          <t>Bootstrap TE &lt;= 1.5%</t>
        </is>
      </c>
      <c r="B16" s="433">
        <f>Bootstrap!D12</f>
        <v>0.0118216021109069</v>
      </c>
      <c r="C16" s="433">
        <f>Inputs!$B$27</f>
        <v>0.015</v>
      </c>
      <c r="D16" s="654" t="str">
        <f>IF(B16&lt;=C16,"PASS","FAIL")</f>
        <v>PASS</v>
      </c>
    </row>
    <row r="17">
      <c r="A17" s="653" t="inlineStr">
        <is>
          <t>Bootstrap loss probability &lt;= 25%</t>
        </is>
      </c>
      <c r="B17" s="483">
        <f>Bootstrap!D6</f>
        <v>0.073</v>
      </c>
      <c r="C17" s="483">
        <f>Inputs!$B$28</f>
        <v>0.25</v>
      </c>
      <c r="D17" s="654" t="str">
        <f>IF(B17&lt;=C17,"PASS","FAIL")</f>
        <v>PASS</v>
      </c>
    </row>
    <row r="18">
      <c r="A18" s="653" t="inlineStr">
        <is>
          <t>Normal loss probability &lt;= 25%</t>
        </is>
      </c>
      <c r="B18" s="483">
        <f>Bootstrap!D7</f>
        <v>0.0280640130865004</v>
      </c>
      <c r="C18" s="483">
        <f>Inputs!$B$28</f>
        <v>0.25</v>
      </c>
      <c r="D18" s="654" t="str">
        <f>IF(B18&lt;=C18,"PASS","FAIL")</f>
        <v>PASS</v>
      </c>
    </row>
    <row r="19">
      <c r="A19" s="653" t="inlineStr">
        <is>
          <t>Stage 2 overweights within cap</t>
        </is>
      </c>
      <c r="B19" s="433">
        <f>MAX(Portfolio!H10:H13)</f>
        <v>0.0044</v>
      </c>
      <c r="C19" s="433">
        <f>Inputs!$B$47</f>
        <v>0.02</v>
      </c>
      <c r="D19" s="654" t="str">
        <f>IF(B19&lt;=C19+0.000001,"PASS","FAIL")</f>
        <v>PASS</v>
      </c>
    </row>
    <row r="20">
      <c r="A20" s="653" t="inlineStr">
        <is>
          <t>Quarterly return data complete</t>
        </is>
      </c>
      <c r="B20" s="564">
        <f>COUNT('Quarterly returns'!N6:X85)</f>
        <v>880</v>
      </c>
      <c r="C20" s="564">
        <f>880</f>
        <v>880</v>
      </c>
      <c r="D20" s="654" t="str">
        <f>IF(B20=C20,"PASS","FAIL")</f>
        <v>PASS</v>
      </c>
    </row>
    <row r="21">
      <c r="A21" s="653" t="inlineStr">
        <is>
          <t>Bootstrap draws valid</t>
        </is>
      </c>
      <c r="B21" s="564">
        <f>COUNT(Bootstrap!B102:F1101)</f>
        <v>5000</v>
      </c>
      <c r="C21" s="564">
        <f>5000</f>
        <v>5000</v>
      </c>
      <c r="D21" s="654" t="str">
        <f>IF(AND(B21=C21,MIN(Bootstrap!B102:F1101)&gt;=1,MAX(Bootstrap!B102:F1101)&lt;=77),"PASS","FAIL")</f>
        <v>PASS</v>
      </c>
    </row>
    <row r="22">
      <c r="A22" s="653" t="inlineStr">
        <is>
          <t>Shrunk diagonal = sample variance</t>
        </is>
      </c>
      <c r="B22" s="618">
        <f>(Risk!B41-Risk!B5)+(Risk!G46-Risk!G10)+(Risk!L51-Risk!L15)</f>
        <v>0</v>
      </c>
      <c r="C22" s="618">
        <f>0</f>
        <v>0</v>
      </c>
      <c r="D22" s="654" t="str">
        <f>IF(ABS(B22)&lt;0.0000001,"PASS","FAIL")</f>
        <v>PASS</v>
      </c>
    </row>
    <row r="23">
      <c r="A23" s="653" t="inlineStr">
        <is>
          <t>Forecast inputs complete (section 4)</t>
        </is>
      </c>
      <c r="B23" s="564">
        <f>COUNT(Forecast!B55:B104)</f>
        <v>50</v>
      </c>
      <c r="C23" s="564" t="n">
        <v>50</v>
      </c>
      <c r="D23" s="654" t="str">
        <f>IF(B23=C23,"PASS","FAIL")</f>
        <v>PASS</v>
      </c>
    </row>
    <row r="24">
      <c r="A24" s="653" t="inlineStr">
        <is>
          <t>Oil panel complete (WTI months)</t>
        </is>
      </c>
      <c r="B24" s="564">
        <f>COUNT(Oil!O5:O701)</f>
        <v>697</v>
      </c>
      <c r="C24" s="564">
        <f>697</f>
        <v>697</v>
      </c>
      <c r="D24" s="654" t="str">
        <f>IF(B24=C24,"PASS","FAIL")</f>
        <v>PASS</v>
      </c>
    </row>
    <row r="25">
      <c r="A25" s="653" t="inlineStr">
        <is>
          <t>Oil regressions have 30+ observations</t>
        </is>
      </c>
      <c r="B25" s="564">
        <f>MIN(Oil!G11:G19)</f>
        <v>434</v>
      </c>
      <c r="C25" s="564">
        <f>30</f>
        <v>30</v>
      </c>
      <c r="D25" s="654" t="str">
        <f>IF(B25&gt;=C25,"PASS","FAIL")</f>
        <v>PASS</v>
      </c>
    </row>
    <row r="26">
      <c r="A26" s="653" t="inlineStr">
        <is>
          <t>Method weights sum to 100%</t>
        </is>
      </c>
      <c r="B26" s="560">
        <f>SUM(Methods!B6:H16)</f>
        <v>7</v>
      </c>
      <c r="C26" s="560">
        <f>7</f>
        <v>7</v>
      </c>
      <c r="D26" s="654" t="str">
        <f>IF(ABS(B26-C26)&lt;0.0001,"PASS","FAIL")</f>
        <v>PASS</v>
      </c>
    </row>
    <row r="27">
      <c r="A27" s="653" t="inlineStr">
        <is>
          <t>Frontier weights sum to 100%</t>
        </is>
      </c>
      <c r="B27" s="560">
        <f>SUM(Validation!B113:K123)+SUM(Validation!B131:K141)</f>
        <v>20</v>
      </c>
      <c r="C27" s="560">
        <f>20</f>
        <v>20</v>
      </c>
      <c r="D27" s="654" t="str">
        <f>IF(ABS(B27-C27)&lt;0.0001,"PASS","FAIL")</f>
        <v>PASS</v>
      </c>
    </row>
    <row r="28">
      <c r="A28" s="653" t="inlineStr">
        <is>
          <t>Constraint-cost weights sum to 100%</t>
        </is>
      </c>
      <c r="B28" s="560">
        <f>SUM(Portfolio!B43:G53)</f>
        <v>6</v>
      </c>
      <c r="C28" s="560">
        <f>6</f>
        <v>6</v>
      </c>
      <c r="D28" s="654" t="str">
        <f>IF(ABS(B28-C28)&lt;0.0001,"PASS","FAIL")</f>
        <v>PASS</v>
      </c>
    </row>
    <row r="29">
      <c r="A29" s="653" t="inlineStr">
        <is>
          <t>Track record windows complete</t>
        </is>
      </c>
      <c r="B29" s="564">
        <f>COUNT('Track record'!D5:D65)</f>
        <v>61</v>
      </c>
      <c r="C29" s="564">
        <f>61</f>
        <v>61</v>
      </c>
      <c r="D29" s="654" t="str">
        <f>IF(B29=C29,"PASS","FAIL")</f>
        <v>PASS</v>
      </c>
    </row>
    <row r="30">
      <c r="A30" s="653" t="inlineStr">
        <is>
          <t>Recommended compound return &gt;= current</t>
        </is>
      </c>
      <c r="B30" s="433">
        <f>(Risk!$N$58-Risk!$M$58^2/2)-(Risk!$N$56-Risk!$M$56^2/2)</f>
        <v>0.000849130614777691</v>
      </c>
      <c r="C30" s="433">
        <f>0</f>
        <v>0</v>
      </c>
      <c r="D30" s="654" t="str">
        <f>IF(B30&gt;=C30,"PASS","FAIL")</f>
        <v>PASS</v>
      </c>
    </row>
    <row r="31">
      <c r="A31" s="653" t="inlineStr">
        <is>
          <t>Performance panel complete (monthly, Apr-2006 to Mar-2026)</t>
        </is>
      </c>
      <c r="B31" s="564">
        <f>COUNT(Performance!AD6:AD245)</f>
        <v>240</v>
      </c>
      <c r="C31" s="564" t="n">
        <v>240</v>
      </c>
      <c r="D31" s="655" t="str">
        <f>IF(B31=C31,"PASS","FAIL")</f>
        <v>PASS</v>
      </c>
    </row>
    <row r="32">
      <c r="A32" s="653" t="inlineStr">
        <is>
          <t>Attribution reconciles to active return (5 years)</t>
        </is>
      </c>
      <c r="B32" s="618">
        <f>ABS(Performance!F60-Performance!F61)</f>
        <v>0</v>
      </c>
      <c r="C32" s="618" t="n">
        <v>0</v>
      </c>
      <c r="D32" s="655" t="str">
        <f>IF(B32&lt;0.0000001,"PASS","FAIL")</f>
        <v>PASS</v>
      </c>
    </row>
    <row r="33">
      <c r="A33" s="653" t="inlineStr">
        <is>
          <t>Attribution reconciles to active return (20 years)</t>
        </is>
      </c>
      <c r="B33" s="618">
        <f>ABS(Performance!H60-Performance!H61)</f>
        <v>9.32413868337534e-18</v>
      </c>
      <c r="C33" s="618" t="n">
        <v>0</v>
      </c>
      <c r="D33" s="655" t="str">
        <f>IF(B33&lt;0.0000001,"PASS","FAIL")</f>
        <v>PASS</v>
      </c>
    </row>
    <row r="34">
      <c r="A34" s="653" t="inlineStr">
        <is>
          <t>Max weight gap formulas evaluate (Risk P59:P62)</t>
        </is>
      </c>
      <c r="B34" s="564">
        <f>COUNT(Risk!P59:P62)</f>
        <v>4</v>
      </c>
      <c r="C34" s="564" t="n">
        <v>4</v>
      </c>
      <c r="D34" s="655" t="str">
        <f>IF(B34=C34,"PASS","FAIL")</f>
        <v>PASS</v>
      </c>
    </row>
    <row r="35">
      <c r="A35" s="653" t="inlineStr">
        <is>
          <t>AU 3-month rate gaps interpolated (zeros in Oil panel)</t>
        </is>
      </c>
      <c r="B35" s="564">
        <f>COUNTIF(Oil!S5:S701,0)</f>
        <v>0</v>
      </c>
      <c r="C35" s="564" t="n">
        <v>0</v>
      </c>
      <c r="D35" s="655" t="str">
        <f>IF(B35=C35,"PASS","FAIL")</f>
        <v>PASS</v>
      </c>
    </row>
    <row r="36">
      <c r="A36" s="653" t="inlineStr">
        <is>
          <t>Oil robustness regressions have 30+ observations</t>
        </is>
      </c>
      <c r="B36" s="564">
        <f>MIN(Oil!H91:H102)</f>
        <v>434</v>
      </c>
      <c r="C36" s="564" t="n">
        <v>30</v>
      </c>
      <c r="D36" s="655" t="str">
        <f>IF(B36&gt;=C36,"PASS","FAIL")</f>
        <v>PASS</v>
      </c>
    </row>
    <row r="37">
      <c r="A37" s="653" t="inlineStr">
        <is>
          <t>Asset-class oil regressions have 30+ observations</t>
        </is>
      </c>
      <c r="B37" s="564">
        <f>MIN(Oil!E107:E117)</f>
        <v>278</v>
      </c>
      <c r="C37" s="564" t="n">
        <v>30</v>
      </c>
      <c r="D37" s="655" t="str">
        <f>IF(B37&gt;=C37,"PASS","FAIL")</f>
        <v>PASS</v>
      </c>
    </row>
    <row r="38">
      <c r="A38" s="653" t="inlineStr">
        <is>
          <t>2008 oil episode prices found</t>
        </is>
      </c>
      <c r="B38" s="564">
        <f>COUNT(Oil!D130:E130)</f>
        <v>2</v>
      </c>
      <c r="C38" s="564" t="n">
        <v>2</v>
      </c>
      <c r="D38" s="655" t="str">
        <f>IF(B38=C38,"PASS","FAIL")</f>
        <v>PASS</v>
      </c>
    </row>
    <row r="39">
      <c r="A39" s="653" t="inlineStr">
        <is>
          <t>Pasted Solver outputs still meet constraints</t>
        </is>
      </c>
      <c r="B39" s="564">
        <f>COUNTIF(Validation!$H$87:$H$104,"REVIEW")</f>
        <v>0</v>
      </c>
      <c r="C39" s="564" t="n">
        <v>0</v>
      </c>
      <c r="D39" s="655" t="str">
        <f>IF(B39=C39,"PASS","REVIEW")</f>
        <v>PASS</v>
      </c>
    </row>
    <row r="40">
      <c r="A40" s="653" t="inlineStr">
        <is>
          <t>Transition plan phases meet constraints</t>
        </is>
      </c>
      <c r="B40" s="564">
        <f>COUNTIF(Portfolio!C102:F102,"NOT MET")</f>
        <v>0</v>
      </c>
      <c r="C40" s="564" t="n">
        <v>0</v>
      </c>
      <c r="D40" s="655" t="str">
        <f>IF(B40=C40,"PASS","REVIEW")</f>
        <v>PASS</v>
      </c>
    </row>
    <row r="41">
      <c r="A41" s="653" t="inlineStr">
        <is>
          <t>Robust vs resampled largest weight gap within limit</t>
        </is>
      </c>
      <c r="B41" s="483">
        <f>Methods!D33</f>
        <v>0.0274</v>
      </c>
      <c r="C41" s="483">
        <f>Methods!E33</f>
        <v>0.03</v>
      </c>
      <c r="D41" s="655" t="str">
        <f>IF(B41&lt;=C41,"PASS","REVIEW")</f>
        <v>PASS</v>
      </c>
    </row>
    <row r="42">
      <c r="A42" s="653" t="inlineStr">
        <is>
          <t>Return advantage survives transition costs</t>
        </is>
      </c>
      <c r="B42" s="433">
        <f>Portfolio!$D$79</f>
        <v>0.000743620614777691</v>
      </c>
      <c r="C42" s="433" t="n">
        <v>0</v>
      </c>
      <c r="D42" s="655" t="str">
        <f>IF(B42&gt;=C42,"PASS","REVIEW")</f>
        <v>PASS</v>
      </c>
    </row>
    <row r="43">
      <c r="A43" s="653" t="inlineStr">
        <is>
          <t>Return advantage survives franking adjustment</t>
        </is>
      </c>
      <c r="B43" s="433">
        <f>Portfolio!$E$111</f>
        <v>-0.000449467385222307</v>
      </c>
      <c r="C43" s="433" t="n">
        <v>0</v>
      </c>
      <c r="D43" s="655" t="str">
        <f>IF(B43&gt;=C43,"PASS","REVIEW")</f>
        <v>REVIEW</v>
      </c>
    </row>
    <row r="44">
      <c r="A44" s="653" t="inlineStr">
        <is>
          <t>Equity inside band if listed property counts as equity</t>
        </is>
      </c>
      <c r="B44" s="483">
        <f>Portfolio!$D$119</f>
        <v>0.7067</v>
      </c>
      <c r="C44" s="483">
        <f>Portfolio!$D$121</f>
        <v>0.69</v>
      </c>
      <c r="D44" s="655" t="str">
        <f>IF(B44&lt;=C44+0.00001,"PASS","REVIEW")</f>
        <v>REVIEW</v>
      </c>
    </row>
    <row r="45">
      <c r="A45" s="653" t="inlineStr">
        <is>
          <t>Theory-based forecasts complete (11 asset classes)</t>
        </is>
      </c>
      <c r="B45" s="564">
        <f>COUNT(Forecast!M139:M149)</f>
        <v>11</v>
      </c>
      <c r="C45" s="564" t="n">
        <v>11</v>
      </c>
      <c r="D45" s="655" t="str">
        <f>IF(B45=C45,"PASS","FAIL")</f>
        <v>PASS</v>
      </c>
    </row>
    <row r="46">
      <c r="A46" s="653" t="inlineStr">
        <is>
          <t>Compound forecasts below arithmetic for every asset</t>
        </is>
      </c>
      <c r="B46" s="564">
        <f>SUMPRODUCT((Forecast!M139:M149&gt;Forecast!L139:L149)*1)</f>
        <v>0</v>
      </c>
      <c r="C46" s="564" t="n">
        <v>0</v>
      </c>
      <c r="D46" s="655" t="str">
        <f>IF(B46=C46,"PASS","FAIL")</f>
        <v>PASS</v>
      </c>
    </row>
    <row r="47">
      <c r="A47" s="653" t="inlineStr">
        <is>
          <t>World bond country weights sum to 100%</t>
        </is>
      </c>
      <c r="B47" s="483">
        <f>SUM(Forecast!B95:B98)</f>
        <v>1</v>
      </c>
      <c r="C47" s="483" t="n">
        <v>1</v>
      </c>
      <c r="D47" s="655" t="str">
        <f>IF(ABS(B47-C47)&lt;0.000001,"PASS","FAIL")</f>
        <v>PASS</v>
      </c>
    </row>
    <row r="48">
      <c r="A48" s="653" t="inlineStr">
        <is>
          <t>Beta regressions have 30+ quarters</t>
        </is>
      </c>
      <c r="B48" s="564">
        <f>MIN(Forecast!D130:D133)</f>
        <v>80</v>
      </c>
      <c r="C48" s="564" t="n">
        <v>30</v>
      </c>
      <c r="D48" s="655" t="str">
        <f>IF(B48&gt;=C48,"PASS","FAIL")</f>
        <v>PASS</v>
      </c>
    </row>
    <row r="49">
      <c r="A49" s="656" t="inlineStr">
        <is>
          <t>Asset-class scope portfolios sum to 100% (Portfolio section 9)</t>
        </is>
      </c>
      <c r="B49" s="731">
        <f>SUM(Portfolio!B138:F138)</f>
        <v>5</v>
      </c>
      <c r="C49" s="731" t="n">
        <v>5</v>
      </c>
      <c r="D49" s="658" t="str">
        <f>IF(ABS(B49-C49)&lt;0.000001,"PASS","FAIL")</f>
        <v>PASS</v>
      </c>
    </row>
    <row r="51">
      <c r="A51" s="732" t="inlineStr">
        <is>
          <t>REVIEW marks a judgement to disclose in the report, not a model error. The master flag counts FAIL only.</t>
        </is>
      </c>
    </row>
    <row r="52">
      <c r="A52" s="733" t="str">
        <f>COUNTIF(D7:D49,"REVIEW")&amp;" item(s) flagged REVIEW"</f>
        <v>2 item(s) flagged REVIEW</v>
      </c>
    </row>
  </sheetData>
  <conditionalFormatting sqref="B4">
    <cfRule type="cellIs" priority="7" operator="equal" dxfId="3">
      <formula>"ALL CHECKS PASS"</formula>
    </cfRule>
  </conditionalFormatting>
  <conditionalFormatting sqref="D7:D30">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conditionalFormatting sqref="D31:D44">
    <cfRule type="cellIs" priority="8" operator="equal" dxfId="3">
      <formula>"MET"</formula>
    </cfRule>
    <cfRule type="cellIs" priority="9" operator="equal" dxfId="3">
      <formula>"PASS"</formula>
    </cfRule>
    <cfRule type="cellIs" priority="10" operator="equal" dxfId="3">
      <formula>"INFO"</formula>
    </cfRule>
    <cfRule type="cellIs" priority="11" operator="equal" dxfId="1">
      <formula>"NOT MET"</formula>
    </cfRule>
    <cfRule type="cellIs" priority="12" operator="equal" dxfId="1">
      <formula>"FAIL"</formula>
    </cfRule>
    <cfRule type="cellIs" priority="13" operator="equal" dxfId="0">
      <formula>"MAX FEASIBLE"</formula>
    </cfRule>
    <cfRule type="cellIs" priority="14" operator="equal" dxfId="0">
      <formula>"REVIEW"</formula>
    </cfRule>
  </conditionalFormatting>
  <conditionalFormatting sqref="D45:D49">
    <cfRule type="cellIs" priority="15" operator="equal" dxfId="3">
      <formula>"MET"</formula>
    </cfRule>
    <cfRule type="cellIs" priority="16" operator="equal" dxfId="3">
      <formula>"PASS"</formula>
    </cfRule>
    <cfRule type="cellIs" priority="17" operator="equal" dxfId="3">
      <formula>"INFO"</formula>
    </cfRule>
    <cfRule type="cellIs" priority="18" operator="equal" dxfId="1">
      <formula>"NOT MET"</formula>
    </cfRule>
    <cfRule type="cellIs" priority="19" operator="equal" dxfId="1">
      <formula>"FAIL"</formula>
    </cfRule>
    <cfRule type="cellIs" priority="20" operator="equal" dxfId="0">
      <formula>"MAX FEASIBLE"</formula>
    </cfRule>
    <cfRule type="cellIs" priority="21" operator="equal" dxfId="0">
      <formula>"REVIEW"</formula>
    </cfRule>
  </conditionalFormatting>
  <pageMargins left="0.75" right="0.75" top="1" bottom="1" header="0.5" footer="0.5"/>
  <pageSetup orientation="landscape" fitToHeight="0"/>
</worksheet>
</file>

<file path=xl/worksheets/sheet15.xml><?xml version="1.0" encoding="utf-8"?>
<worksheet xmlns="http://schemas.openxmlformats.org/spreadsheetml/2006/main">
  <sheetPr>
    <tabColor rgb="FF595959"/>
    <outlinePr summaryBelow="1" summaryRight="1"/>
    <pageSetUpPr fitToPage="1"/>
  </sheetPr>
  <dimension ref="A1:AJ85"/>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2" customWidth="1" min="1" max="1"/>
    <col width="10" customWidth="1" min="2" max="12"/>
    <col width="3" customWidth="1" min="13" max="13"/>
    <col width="10" customWidth="1" min="14" max="24"/>
    <col width="3" customWidth="1" min="25" max="25"/>
    <col width="11" customWidth="1" min="26" max="30"/>
    <col width="3" customWidth="1" min="31" max="31"/>
    <col width="11" customWidth="1" min="32" max="32"/>
    <col width="11" customWidth="1" min="33" max="33"/>
    <col width="11" customWidth="1" min="34" max="34"/>
    <col width="11" customWidth="1" min="35" max="35"/>
    <col width="11" customWidth="1" min="36" max="36"/>
  </cols>
  <sheetData>
    <row r="1" ht="19" customHeight="1">
      <c r="A1" s="53" t="inlineStr">
        <is>
          <t>Quarterly returns</t>
        </is>
      </c>
    </row>
    <row r="3">
      <c r="A3" s="203" t="inlineStr">
        <is>
          <t>Reported quarterly returns (from Data tab index levels)</t>
        </is>
      </c>
      <c r="B3" s="204" t="n"/>
      <c r="C3" s="204" t="n"/>
      <c r="D3" s="204" t="n"/>
      <c r="E3" s="204" t="n"/>
      <c r="F3" s="204" t="n"/>
      <c r="G3" s="204" t="n"/>
      <c r="H3" s="204" t="n"/>
      <c r="I3" s="204" t="n"/>
      <c r="J3" s="204" t="n"/>
      <c r="K3" s="204" t="n"/>
      <c r="L3" s="205" t="n"/>
      <c r="N3" s="136" t="inlineStr">
        <is>
          <t>Adjusted (illiquids unsmoothed)</t>
        </is>
      </c>
      <c r="O3" s="137" t="n"/>
      <c r="P3" s="137" t="n"/>
      <c r="Q3" s="137" t="n"/>
      <c r="R3" s="137" t="n"/>
      <c r="S3" s="137" t="n"/>
      <c r="T3" s="137" t="n"/>
      <c r="U3" s="137" t="n"/>
      <c r="V3" s="137" t="n"/>
      <c r="W3" s="137" t="n"/>
      <c r="X3" s="138" t="n"/>
      <c r="Z3" s="247" t="inlineStr">
        <is>
          <t>Constant-weight portfolios (net of fees)</t>
        </is>
      </c>
      <c r="AA3" s="248" t="n"/>
      <c r="AB3" s="248" t="n"/>
      <c r="AC3" s="248" t="n"/>
      <c r="AD3" s="249" t="n"/>
      <c r="AF3" s="548" t="inlineStr">
        <is>
          <t>Excess returns over cash (adjusted; for Forecast section 5c)</t>
        </is>
      </c>
      <c r="AG3" s="549" t="n"/>
      <c r="AH3" s="549" t="n"/>
      <c r="AI3" s="549" t="n"/>
      <c r="AJ3" s="550" t="n"/>
    </row>
    <row r="4" ht="28" customHeight="1">
      <c r="A4" s="206" t="inlineStr">
        <is>
          <t>Quarter end</t>
        </is>
      </c>
      <c r="B4" s="207" t="inlineStr">
        <is>
          <t>Australian Equities</t>
        </is>
      </c>
      <c r="C4" s="207" t="inlineStr">
        <is>
          <t>World Equities</t>
        </is>
      </c>
      <c r="D4" s="207" t="inlineStr">
        <is>
          <t>Emerging Markets</t>
        </is>
      </c>
      <c r="E4" s="207" t="inlineStr">
        <is>
          <t>Listed Property</t>
        </is>
      </c>
      <c r="F4" s="207" t="inlineStr">
        <is>
          <t>Commodities</t>
        </is>
      </c>
      <c r="G4" s="207" t="inlineStr">
        <is>
          <t>Direct Property</t>
        </is>
      </c>
      <c r="H4" s="207" t="inlineStr">
        <is>
          <t>Hedge Funds</t>
        </is>
      </c>
      <c r="I4" s="207" t="inlineStr">
        <is>
          <t>Private Equity</t>
        </is>
      </c>
      <c r="J4" s="207" t="inlineStr">
        <is>
          <t>Australian Fixed Income</t>
        </is>
      </c>
      <c r="K4" s="207" t="inlineStr">
        <is>
          <t>World Fixed Income</t>
        </is>
      </c>
      <c r="L4" s="208" t="inlineStr">
        <is>
          <t>Cash</t>
        </is>
      </c>
      <c r="N4" s="139" t="inlineStr">
        <is>
          <t>Australian Equities</t>
        </is>
      </c>
      <c r="O4" s="140" t="inlineStr">
        <is>
          <t>World Equities</t>
        </is>
      </c>
      <c r="P4" s="140" t="inlineStr">
        <is>
          <t>Emerging Markets</t>
        </is>
      </c>
      <c r="Q4" s="140" t="inlineStr">
        <is>
          <t>Listed Property</t>
        </is>
      </c>
      <c r="R4" s="140" t="inlineStr">
        <is>
          <t>Commodities</t>
        </is>
      </c>
      <c r="S4" s="140" t="inlineStr">
        <is>
          <t>Direct Property</t>
        </is>
      </c>
      <c r="T4" s="140" t="inlineStr">
        <is>
          <t>Hedge Funds</t>
        </is>
      </c>
      <c r="U4" s="140" t="inlineStr">
        <is>
          <t>Private Equity</t>
        </is>
      </c>
      <c r="V4" s="140" t="inlineStr">
        <is>
          <t>Australian Fixed Income</t>
        </is>
      </c>
      <c r="W4" s="140" t="inlineStr">
        <is>
          <t>World Fixed Income</t>
        </is>
      </c>
      <c r="X4" s="141" t="inlineStr">
        <is>
          <t>Cash</t>
        </is>
      </c>
      <c r="Z4" s="252" t="inlineStr">
        <is>
          <t>Current</t>
        </is>
      </c>
      <c r="AA4" s="253" t="inlineStr">
        <is>
          <t>Benchmark</t>
        </is>
      </c>
      <c r="AB4" s="253" t="inlineStr">
        <is>
          <t>Recommended</t>
        </is>
      </c>
      <c r="AC4" s="253" t="inlineStr">
        <is>
          <t>OOS robust (fit 2006-16)</t>
        </is>
      </c>
      <c r="AD4" s="254" t="inlineStr">
        <is>
          <t>OOS naive (fit 2006-16)</t>
        </is>
      </c>
      <c r="AF4" s="551" t="inlineStr">
        <is>
          <t>World equities excess</t>
        </is>
      </c>
      <c r="AG4" s="552" t="inlineStr">
        <is>
          <t>Listed property excess</t>
        </is>
      </c>
      <c r="AH4" s="552" t="inlineStr">
        <is>
          <t>Direct property excess</t>
        </is>
      </c>
      <c r="AI4" s="552" t="inlineStr">
        <is>
          <t>Private equity excess</t>
        </is>
      </c>
      <c r="AJ4" s="553" t="inlineStr">
        <is>
          <t>Hedge funds excess</t>
        </is>
      </c>
    </row>
    <row r="5">
      <c r="A5" s="660">
        <f>Data!A257</f>
        <v>38807.0</v>
      </c>
      <c r="B5" s="72">
        <f>Data!B257/Data!B254-1</f>
        <v>0.0938821101274554</v>
      </c>
      <c r="C5" s="72">
        <f>Data!C257/Data!C254-1</f>
        <v>0.0924403094905246</v>
      </c>
      <c r="D5" s="72">
        <f>Data!D257/Data!D254-1</f>
        <v>0.128248463609246</v>
      </c>
      <c r="E5" s="72">
        <f>Data!E257/Data!E254-1</f>
        <v>0.160173035022523</v>
      </c>
      <c r="F5" s="72">
        <f>Data!F257/Data!F254-1</f>
        <v>0.014384653207635</v>
      </c>
      <c r="G5" s="72">
        <f>Data!G257/Data!G254-1</f>
        <v>0.0139180222937152</v>
      </c>
      <c r="H5" s="72">
        <f>Data!H257/Data!H254-1</f>
        <v>-0.00411595075899984</v>
      </c>
      <c r="I5" s="72">
        <f>Data!I257/Data!I254-1</f>
        <v>0.111590845268183</v>
      </c>
      <c r="J5" s="72">
        <f>Data!J257/Data!J254-1</f>
        <v>0.00851837019869817</v>
      </c>
      <c r="K5" s="72">
        <f>Data!K257/Data!K254-1</f>
        <v>-0.00465073864672649</v>
      </c>
      <c r="L5" s="211">
        <f>Data!L257/Data!L254-1</f>
        <v>0.0138987849957863</v>
      </c>
      <c r="N5" s="288" t="n"/>
      <c r="O5" s="77" t="n"/>
      <c r="P5" s="77" t="n"/>
      <c r="Q5" s="77" t="n"/>
      <c r="R5" s="77" t="n"/>
      <c r="S5" s="77" t="n"/>
      <c r="T5" s="77" t="n"/>
      <c r="U5" s="77" t="n"/>
      <c r="V5" s="77" t="n"/>
      <c r="W5" s="77" t="n"/>
      <c r="X5" s="289" t="n"/>
      <c r="Z5" s="257" t="n"/>
      <c r="AA5" s="77" t="n"/>
      <c r="AB5" s="77" t="n"/>
      <c r="AC5" s="77" t="n"/>
      <c r="AD5" s="251" t="n"/>
      <c r="AF5" s="734" t="n"/>
      <c r="AG5" s="433" t="n"/>
      <c r="AH5" s="433" t="n"/>
      <c r="AI5" s="433" t="n"/>
      <c r="AJ5" s="666" t="n"/>
    </row>
    <row r="6">
      <c r="A6" s="660">
        <f>Data!A260</f>
        <v>38898.0</v>
      </c>
      <c r="B6" s="72">
        <f>Data!B260/Data!B257-1</f>
        <v>-0.00218098190302085</v>
      </c>
      <c r="C6" s="72">
        <f>Data!C260/Data!C257-1</f>
        <v>-0.0676835441332846</v>
      </c>
      <c r="D6" s="72">
        <f>Data!D260/Data!D257-1</f>
        <v>-0.0679414612368783</v>
      </c>
      <c r="E6" s="72">
        <f>Data!E260/Data!E257-1</f>
        <v>-0.0522696876230896</v>
      </c>
      <c r="F6" s="72">
        <f>Data!F260/Data!F257-1</f>
        <v>0.0244582578810595</v>
      </c>
      <c r="G6" s="72">
        <f>Data!G260/Data!G257-1</f>
        <v>0.0394478486527561</v>
      </c>
      <c r="H6" s="72">
        <f>Data!H260/Data!H257-1</f>
        <v>0.0305425491199993</v>
      </c>
      <c r="I6" s="72">
        <f>Data!I260/Data!I257-1</f>
        <v>0.104304165219313</v>
      </c>
      <c r="J6" s="72">
        <f>Data!J260/Data!J257-1</f>
        <v>0.000111943056889885</v>
      </c>
      <c r="K6" s="72">
        <f>Data!K260/Data!K257-1</f>
        <v>0.00151168117269784</v>
      </c>
      <c r="L6" s="211">
        <f>Data!L260/Data!L257-1</f>
        <v>0.0141284403669721</v>
      </c>
      <c r="N6" s="394">
        <f>B6</f>
        <v>-0.00218098190302085</v>
      </c>
      <c r="O6" s="72">
        <f>C6</f>
        <v>-0.0676835441332846</v>
      </c>
      <c r="P6" s="72">
        <f>D6</f>
        <v>-0.0679414612368783</v>
      </c>
      <c r="Q6" s="72">
        <f>E6</f>
        <v>-0.0522696876230896</v>
      </c>
      <c r="R6" s="72">
        <f>F6</f>
        <v>0.0244582578810595</v>
      </c>
      <c r="S6" s="72">
        <f>(G6-Inputs!$B$39*G5)/(1-Inputs!$B$39)</f>
        <v>0.0868603833195463</v>
      </c>
      <c r="T6" s="72">
        <f>H6</f>
        <v>0.0305425491199993</v>
      </c>
      <c r="U6" s="72">
        <f>(I6-Inputs!$B$40*I5)/(1-Inputs!$B$40)</f>
        <v>0.102003108361775</v>
      </c>
      <c r="V6" s="72">
        <f>J6</f>
        <v>0.000111943056889885</v>
      </c>
      <c r="W6" s="72">
        <f>K6</f>
        <v>0.00151168117269784</v>
      </c>
      <c r="X6" s="145">
        <f>L6</f>
        <v>0.0141284403669721</v>
      </c>
      <c r="Z6" s="395">
        <f>SUMPRODUCT($N6:$X6,Risk!$B$56:$L$56)-SUMPRODUCT(MMULT(Risk!$B$56:$L$56,Inputs!$D$5:$D$15))/4</f>
        <v>-0.0187893535721369</v>
      </c>
      <c r="AA6" s="72">
        <f>SUMPRODUCT($N6:$X6,Risk!$B$57:$L$57)-SUMPRODUCT(MMULT(Risk!$B$57:$L$57,Inputs!$D$5:$D$15))/4</f>
        <v>-0.0139170538224439</v>
      </c>
      <c r="AB6" s="72">
        <f>SUMPRODUCT($N6:$X6,Risk!$B$58:$L$58)-SUMPRODUCT(MMULT(Risk!$B$58:$L$58,Inputs!$D$5:$D$15))/4</f>
        <v>-0.0278234456006488</v>
      </c>
      <c r="AC6" s="72">
        <f>SUMPRODUCT($N6:$X6,Risk!$B$63:$L$63)-SUMPRODUCT(MMULT(Risk!$B$63:$L$63,Inputs!$D$5:$D$15))/4</f>
        <v>-0.021682913021445</v>
      </c>
      <c r="AD6" s="263">
        <f>SUMPRODUCT($N6:$X6,Risk!$B$64:$L$64)-SUMPRODUCT(MMULT(Risk!$B$64:$L$64,Inputs!$D$5:$D$15))/4</f>
        <v>-0.01284690976761</v>
      </c>
      <c r="AF6" s="734">
        <f>O6-$X6</f>
        <v>-0.0818119845002567</v>
      </c>
      <c r="AG6" s="433">
        <f>Q6-$X6</f>
        <v>-0.0663981279900617</v>
      </c>
      <c r="AH6" s="433">
        <f>S6-$X6</f>
        <v>0.0727319429525742</v>
      </c>
      <c r="AI6" s="433">
        <f>U6-$X6</f>
        <v>0.0878746679948033</v>
      </c>
      <c r="AJ6" s="666">
        <f>T6-$X6</f>
        <v>0.0164141087530272</v>
      </c>
    </row>
    <row r="7">
      <c r="A7" s="660">
        <f>Data!A263</f>
        <v>38989.0</v>
      </c>
      <c r="B7" s="72">
        <f>Data!B263/Data!B260-1</f>
        <v>0.0288034151410834</v>
      </c>
      <c r="C7" s="72">
        <f>Data!C263/Data!C260-1</f>
        <v>0.0463013030170434</v>
      </c>
      <c r="D7" s="72">
        <f>Data!D263/Data!D260-1</f>
        <v>0.0504364938267419</v>
      </c>
      <c r="E7" s="72">
        <f>Data!E263/Data!E260-1</f>
        <v>0.0957651331799396</v>
      </c>
      <c r="F7" s="72">
        <f>Data!F263/Data!F260-1</f>
        <v>-0.158998497941522</v>
      </c>
      <c r="G7" s="72">
        <f>Data!G263/Data!G260-1</f>
        <v>0.0212358149654799</v>
      </c>
      <c r="H7" s="72">
        <f>Data!H263/Data!H260-1</f>
        <v>0.0466505783000004</v>
      </c>
      <c r="I7" s="72">
        <f>Data!I263/Data!I260-1</f>
        <v>0.0385902201887332</v>
      </c>
      <c r="J7" s="72">
        <f>Data!J263/Data!J260-1</f>
        <v>0.019883507776004</v>
      </c>
      <c r="K7" s="72">
        <f>Data!K263/Data!K260-1</f>
        <v>0.0357224534601841</v>
      </c>
      <c r="L7" s="211">
        <f>Data!L263/Data!L260-1</f>
        <v>0.0152361136240275</v>
      </c>
      <c r="N7" s="394">
        <f>B7</f>
        <v>0.0288034151410834</v>
      </c>
      <c r="O7" s="72">
        <f>C7</f>
        <v>0.0463013030170434</v>
      </c>
      <c r="P7" s="72">
        <f>D7</f>
        <v>0.0504364938267419</v>
      </c>
      <c r="Q7" s="72">
        <f>E7</f>
        <v>0.0957651331799396</v>
      </c>
      <c r="R7" s="72">
        <f>F7</f>
        <v>-0.158998497941522</v>
      </c>
      <c r="S7" s="72">
        <f>(G7-Inputs!$B$39*G6)/(1-Inputs!$B$39)</f>
        <v>-0.0125865333108902</v>
      </c>
      <c r="T7" s="72">
        <f>H7</f>
        <v>0.0466505783000004</v>
      </c>
      <c r="U7" s="72">
        <f>(I7-Inputs!$B$40*I6)/(1-Inputs!$B$40)</f>
        <v>0.0178384480738131</v>
      </c>
      <c r="V7" s="72">
        <f>J7</f>
        <v>0.019883507776004</v>
      </c>
      <c r="W7" s="72">
        <f>K7</f>
        <v>0.0357224534601841</v>
      </c>
      <c r="X7" s="145">
        <f>L7</f>
        <v>0.0152361136240275</v>
      </c>
      <c r="Z7" s="395">
        <f>SUMPRODUCT($N7:$X7,Risk!$B$56:$L$56)-SUMPRODUCT(MMULT(Risk!$B$56:$L$56,Inputs!$D$5:$D$15))/4</f>
        <v>0.0369849903747333</v>
      </c>
      <c r="AA7" s="72">
        <f>SUMPRODUCT($N7:$X7,Risk!$B$57:$L$57)-SUMPRODUCT(MMULT(Risk!$B$57:$L$57,Inputs!$D$5:$D$15))/4</f>
        <v>0.0309804391915804</v>
      </c>
      <c r="AB7" s="72">
        <f>SUMPRODUCT($N7:$X7,Risk!$B$58:$L$58)-SUMPRODUCT(MMULT(Risk!$B$58:$L$58,Inputs!$D$5:$D$15))/4</f>
        <v>0.0355796371460872</v>
      </c>
      <c r="AC7" s="72">
        <f>SUMPRODUCT($N7:$X7,Risk!$B$63:$L$63)-SUMPRODUCT(MMULT(Risk!$B$63:$L$63,Inputs!$D$5:$D$15))/4</f>
        <v>0.0309719477221915</v>
      </c>
      <c r="AD7" s="263">
        <f>SUMPRODUCT($N7:$X7,Risk!$B$64:$L$64)-SUMPRODUCT(MMULT(Risk!$B$64:$L$64,Inputs!$D$5:$D$15))/4</f>
        <v>0.0300670011457634</v>
      </c>
      <c r="AF7" s="734">
        <f>O7-$X7</f>
        <v>0.0310651893930158</v>
      </c>
      <c r="AG7" s="433">
        <f>Q7-$X7</f>
        <v>0.0805290195559121</v>
      </c>
      <c r="AH7" s="433">
        <f>S7-$X7</f>
        <v>-0.0278226469349177</v>
      </c>
      <c r="AI7" s="433">
        <f>U7-$X7</f>
        <v>0.00260233444978556</v>
      </c>
      <c r="AJ7" s="666">
        <f>T7-$X7</f>
        <v>0.0314144646759729</v>
      </c>
    </row>
    <row r="8">
      <c r="A8" s="660">
        <f>Data!A266</f>
        <v>39080.0</v>
      </c>
      <c r="B8" s="72">
        <f>Data!B266/Data!B263-1</f>
        <v>0.112847626868219</v>
      </c>
      <c r="C8" s="72">
        <f>Data!C266/Data!C263-1</f>
        <v>0.0140809077220259</v>
      </c>
      <c r="D8" s="72">
        <f>Data!D266/Data!D263-1</f>
        <v>0.0855228752784416</v>
      </c>
      <c r="E8" s="72">
        <f>Data!E266/Data!E263-1</f>
        <v>0.0516519397137609</v>
      </c>
      <c r="F8" s="72">
        <f>Data!F266/Data!F263-1</f>
        <v>-0.0958335802844501</v>
      </c>
      <c r="G8" s="72">
        <f>Data!G266/Data!G263-1</f>
        <v>0.0209108354986713</v>
      </c>
      <c r="H8" s="72">
        <f>Data!H266/Data!H263-1</f>
        <v>-0.00604268699200028</v>
      </c>
      <c r="I8" s="72">
        <f>Data!I266/Data!I263-1</f>
        <v>0.0973031016396151</v>
      </c>
      <c r="J8" s="72">
        <f>Data!J266/Data!J263-1</f>
        <v>0.00264845534381286</v>
      </c>
      <c r="K8" s="72">
        <f>Data!K266/Data!K263-1</f>
        <v>0.0112612612612615</v>
      </c>
      <c r="L8" s="211">
        <f>Data!L266/Data!L263-1</f>
        <v>0.0156383382550287</v>
      </c>
      <c r="N8" s="394">
        <f>B8</f>
        <v>0.112847626868219</v>
      </c>
      <c r="O8" s="72">
        <f>C8</f>
        <v>0.0140809077220259</v>
      </c>
      <c r="P8" s="72">
        <f>D8</f>
        <v>0.0855228752784416</v>
      </c>
      <c r="Q8" s="72">
        <f>E8</f>
        <v>0.0516519397137609</v>
      </c>
      <c r="R8" s="72">
        <f>F8</f>
        <v>-0.0958335802844501</v>
      </c>
      <c r="S8" s="72">
        <f>(G8-Inputs!$B$39*G7)/(1-Inputs!$B$39)</f>
        <v>0.0203073022031698</v>
      </c>
      <c r="T8" s="72">
        <f>H8</f>
        <v>-0.00604268699200028</v>
      </c>
      <c r="U8" s="72">
        <f>(I8-Inputs!$B$40*I7)/(1-Inputs!$B$40)</f>
        <v>0.115844011571473</v>
      </c>
      <c r="V8" s="72">
        <f>J8</f>
        <v>0.00264845534381286</v>
      </c>
      <c r="W8" s="72">
        <f>K8</f>
        <v>0.0112612612612615</v>
      </c>
      <c r="X8" s="145">
        <f>L8</f>
        <v>0.0156383382550287</v>
      </c>
      <c r="Z8" s="395">
        <f>SUMPRODUCT($N8:$X8,Risk!$B$56:$L$56)-SUMPRODUCT(MMULT(Risk!$B$56:$L$56,Inputs!$D$5:$D$15))/4</f>
        <v>0.0552332791433936</v>
      </c>
      <c r="AA8" s="72">
        <f>SUMPRODUCT($N8:$X8,Risk!$B$57:$L$57)-SUMPRODUCT(MMULT(Risk!$B$57:$L$57,Inputs!$D$5:$D$15))/4</f>
        <v>0.0413990524850345</v>
      </c>
      <c r="AB8" s="72">
        <f>SUMPRODUCT($N8:$X8,Risk!$B$58:$L$58)-SUMPRODUCT(MMULT(Risk!$B$58:$L$58,Inputs!$D$5:$D$15))/4</f>
        <v>0.044462657506852</v>
      </c>
      <c r="AC8" s="72">
        <f>SUMPRODUCT($N8:$X8,Risk!$B$63:$L$63)-SUMPRODUCT(MMULT(Risk!$B$63:$L$63,Inputs!$D$5:$D$15))/4</f>
        <v>0.0443743125805623</v>
      </c>
      <c r="AD8" s="263">
        <f>SUMPRODUCT($N8:$X8,Risk!$B$64:$L$64)-SUMPRODUCT(MMULT(Risk!$B$64:$L$64,Inputs!$D$5:$D$15))/4</f>
        <v>0.0393890212478679</v>
      </c>
      <c r="AF8" s="734">
        <f>O8-$X8</f>
        <v>-0.00155743053300283</v>
      </c>
      <c r="AG8" s="433">
        <f>Q8-$X8</f>
        <v>0.0360136014587322</v>
      </c>
      <c r="AH8" s="433">
        <f>S8-$X8</f>
        <v>0.00466896394814108</v>
      </c>
      <c r="AI8" s="433">
        <f>U8-$X8</f>
        <v>0.100205673316444</v>
      </c>
      <c r="AJ8" s="666">
        <f>T8-$X8</f>
        <v>-0.021681025247029</v>
      </c>
    </row>
    <row r="9">
      <c r="A9" s="660">
        <f>Data!A269</f>
        <v>39171.0</v>
      </c>
      <c r="B9" s="72">
        <f>Data!B269/Data!B266-1</f>
        <v>0.0708579538097056</v>
      </c>
      <c r="C9" s="72">
        <f>Data!C269/Data!C266-1</f>
        <v>-0.0027267198449612</v>
      </c>
      <c r="D9" s="72">
        <f>Data!D269/Data!D266-1</f>
        <v>-0.00143276347995192</v>
      </c>
      <c r="E9" s="72">
        <f>Data!E269/Data!E266-1</f>
        <v>0.0273842581577968</v>
      </c>
      <c r="F9" s="72">
        <f>Data!F269/Data!F266-1</f>
        <v>0.0264578867474936</v>
      </c>
      <c r="G9" s="72">
        <f>Data!G269/Data!G266-1</f>
        <v>0.0117985432504595</v>
      </c>
      <c r="H9" s="72">
        <f>Data!H269/Data!H266-1</f>
        <v>0.0445278147640005</v>
      </c>
      <c r="I9" s="72">
        <f>Data!I269/Data!I266-1</f>
        <v>0.0279021917773847</v>
      </c>
      <c r="J9" s="72">
        <f>Data!J269/Data!J266-1</f>
        <v>0.0140024204774039</v>
      </c>
      <c r="K9" s="72">
        <f>Data!K269/Data!K266-1</f>
        <v>0.0141054194506307</v>
      </c>
      <c r="L9" s="211">
        <f>Data!L269/Data!L266-1</f>
        <v>0.0157204121453742</v>
      </c>
      <c r="N9" s="394">
        <f>B9</f>
        <v>0.0708579538097056</v>
      </c>
      <c r="O9" s="72">
        <f>C9</f>
        <v>-0.0027267198449612</v>
      </c>
      <c r="P9" s="72">
        <f>D9</f>
        <v>-0.00143276347995192</v>
      </c>
      <c r="Q9" s="72">
        <f>E9</f>
        <v>0.0273842581577968</v>
      </c>
      <c r="R9" s="72">
        <f>F9</f>
        <v>0.0264578867474936</v>
      </c>
      <c r="S9" s="72">
        <f>(G9-Inputs!$B$39*G8)/(1-Inputs!$B$39)</f>
        <v>-0.00512428521050541</v>
      </c>
      <c r="T9" s="72">
        <f>H9</f>
        <v>0.0445278147640005</v>
      </c>
      <c r="U9" s="72">
        <f>(I9-Inputs!$B$40*I8)/(1-Inputs!$B$40)</f>
        <v>0.00598611497878567</v>
      </c>
      <c r="V9" s="72">
        <f>J9</f>
        <v>0.0140024204774039</v>
      </c>
      <c r="W9" s="72">
        <f>K9</f>
        <v>0.0141054194506307</v>
      </c>
      <c r="X9" s="145">
        <f>L9</f>
        <v>0.0157204121453742</v>
      </c>
      <c r="Z9" s="395">
        <f>SUMPRODUCT($N9:$X9,Risk!$B$56:$L$56)-SUMPRODUCT(MMULT(Risk!$B$56:$L$56,Inputs!$D$5:$D$15))/4</f>
        <v>0.0345854888485069</v>
      </c>
      <c r="AA9" s="72">
        <f>SUMPRODUCT($N9:$X9,Risk!$B$57:$L$57)-SUMPRODUCT(MMULT(Risk!$B$57:$L$57,Inputs!$D$5:$D$15))/4</f>
        <v>0.0238608995937583</v>
      </c>
      <c r="AB9" s="72">
        <f>SUMPRODUCT($N9:$X9,Risk!$B$58:$L$58)-SUMPRODUCT(MMULT(Risk!$B$58:$L$58,Inputs!$D$5:$D$15))/4</f>
        <v>0.0250437710968025</v>
      </c>
      <c r="AC9" s="72">
        <f>SUMPRODUCT($N9:$X9,Risk!$B$63:$L$63)-SUMPRODUCT(MMULT(Risk!$B$63:$L$63,Inputs!$D$5:$D$15))/4</f>
        <v>0.0240755441655273</v>
      </c>
      <c r="AD9" s="263">
        <f>SUMPRODUCT($N9:$X9,Risk!$B$64:$L$64)-SUMPRODUCT(MMULT(Risk!$B$64:$L$64,Inputs!$D$5:$D$15))/4</f>
        <v>0.0240534384396406</v>
      </c>
      <c r="AF9" s="734">
        <f>O9-$X9</f>
        <v>-0.0184471319903354</v>
      </c>
      <c r="AG9" s="433">
        <f>Q9-$X9</f>
        <v>0.0116638460124225</v>
      </c>
      <c r="AH9" s="433">
        <f>S9-$X9</f>
        <v>-0.0208446973558796</v>
      </c>
      <c r="AI9" s="433">
        <f>U9-$X9</f>
        <v>-0.00973429716658856</v>
      </c>
      <c r="AJ9" s="666">
        <f>T9-$X9</f>
        <v>0.0288074026186262</v>
      </c>
    </row>
    <row r="10">
      <c r="A10" s="660">
        <f>Data!A272</f>
        <v>39262.0</v>
      </c>
      <c r="B10" s="72">
        <f>Data!B272/Data!B269-1</f>
        <v>0.06263034928611</v>
      </c>
      <c r="C10" s="72">
        <f>Data!C272/Data!C269-1</f>
        <v>0.0107261265319512</v>
      </c>
      <c r="D10" s="72">
        <f>Data!D272/Data!D269-1</f>
        <v>0.0726650083622953</v>
      </c>
      <c r="E10" s="72">
        <f>Data!E272/Data!E269-1</f>
        <v>-0.119736961450193</v>
      </c>
      <c r="F10" s="72">
        <f>Data!F272/Data!F269-1</f>
        <v>-0.035052161390728</v>
      </c>
      <c r="G10" s="72">
        <f>Data!G272/Data!G269-1</f>
        <v>0.0478542963447988</v>
      </c>
      <c r="H10" s="72">
        <f>Data!H272/Data!H269-1</f>
        <v>0.0337191718000001</v>
      </c>
      <c r="I10" s="72">
        <f>Data!I272/Data!I269-1</f>
        <v>0.0940059318206783</v>
      </c>
      <c r="J10" s="72">
        <f>Data!J272/Data!J269-1</f>
        <v>0.0028697589728337</v>
      </c>
      <c r="K10" s="72">
        <f>Data!K272/Data!K269-1</f>
        <v>-0.00469382482129022</v>
      </c>
      <c r="L10" s="211">
        <f>Data!L272/Data!L269-1</f>
        <v>0.0161473944252015</v>
      </c>
      <c r="N10" s="394">
        <f>B10</f>
        <v>0.06263034928611</v>
      </c>
      <c r="O10" s="72">
        <f>C10</f>
        <v>0.0107261265319512</v>
      </c>
      <c r="P10" s="72">
        <f>D10</f>
        <v>0.0726650083622953</v>
      </c>
      <c r="Q10" s="72">
        <f>E10</f>
        <v>-0.119736961450193</v>
      </c>
      <c r="R10" s="72">
        <f>F10</f>
        <v>-0.035052161390728</v>
      </c>
      <c r="S10" s="72">
        <f>(G10-Inputs!$B$39*G9)/(1-Inputs!$B$39)</f>
        <v>0.114814980662857</v>
      </c>
      <c r="T10" s="72">
        <f>H10</f>
        <v>0.0337191718000001</v>
      </c>
      <c r="U10" s="72">
        <f>(I10-Inputs!$B$40*I9)/(1-Inputs!$B$40)</f>
        <v>0.114880797097508</v>
      </c>
      <c r="V10" s="72">
        <f>J10</f>
        <v>0.0028697589728337</v>
      </c>
      <c r="W10" s="72">
        <f>K10</f>
        <v>-0.00469382482129022</v>
      </c>
      <c r="X10" s="145">
        <f>L10</f>
        <v>0.0161473944252015</v>
      </c>
      <c r="Z10" s="395">
        <f>SUMPRODUCT($N10:$X10,Risk!$B$56:$L$56)-SUMPRODUCT(MMULT(Risk!$B$56:$L$56,Inputs!$D$5:$D$15))/4</f>
        <v>0.0161289443458009</v>
      </c>
      <c r="AA10" s="72">
        <f>SUMPRODUCT($N10:$X10,Risk!$B$57:$L$57)-SUMPRODUCT(MMULT(Risk!$B$57:$L$57,Inputs!$D$5:$D$15))/4</f>
        <v>0.0210527928694155</v>
      </c>
      <c r="AB10" s="72">
        <f>SUMPRODUCT($N10:$X10,Risk!$B$58:$L$58)-SUMPRODUCT(MMULT(Risk!$B$58:$L$58,Inputs!$D$5:$D$15))/4</f>
        <v>0.0135169101490118</v>
      </c>
      <c r="AC10" s="72">
        <f>SUMPRODUCT($N10:$X10,Risk!$B$63:$L$63)-SUMPRODUCT(MMULT(Risk!$B$63:$L$63,Inputs!$D$5:$D$15))/4</f>
        <v>0.0201868832100381</v>
      </c>
      <c r="AD10" s="263">
        <f>SUMPRODUCT($N10:$X10,Risk!$B$64:$L$64)-SUMPRODUCT(MMULT(Risk!$B$64:$L$64,Inputs!$D$5:$D$15))/4</f>
        <v>0.0140182379581026</v>
      </c>
      <c r="AF10" s="734">
        <f>O10-$X10</f>
        <v>-0.00542126789325037</v>
      </c>
      <c r="AG10" s="433">
        <f>Q10-$X10</f>
        <v>-0.135884355875395</v>
      </c>
      <c r="AH10" s="433">
        <f>S10-$X10</f>
        <v>0.0986675862376559</v>
      </c>
      <c r="AI10" s="433">
        <f>U10-$X10</f>
        <v>0.0987334026723063</v>
      </c>
      <c r="AJ10" s="666">
        <f>T10-$X10</f>
        <v>0.0175717773747985</v>
      </c>
    </row>
    <row r="11">
      <c r="A11" s="660">
        <f>Data!A275</f>
        <v>39353.0</v>
      </c>
      <c r="B11" s="72">
        <f>Data!B275/Data!B272-1</f>
        <v>0.0548267775218996</v>
      </c>
      <c r="C11" s="72">
        <f>Data!C275/Data!C272-1</f>
        <v>-0.0423017516009689</v>
      </c>
      <c r="D11" s="72">
        <f>Data!D275/Data!D272-1</f>
        <v>0.0796092213743995</v>
      </c>
      <c r="E11" s="72">
        <f>Data!E275/Data!E272-1</f>
        <v>-0.0409919982319416</v>
      </c>
      <c r="F11" s="72">
        <f>Data!F275/Data!F272-1</f>
        <v>0.0686418484866329</v>
      </c>
      <c r="G11" s="72">
        <f>Data!G275/Data!G272-1</f>
        <v>0.0387787189717639</v>
      </c>
      <c r="H11" s="72">
        <f>Data!H275/Data!H272-1</f>
        <v>0.0596527975490002</v>
      </c>
      <c r="I11" s="72">
        <f>Data!I275/Data!I272-1</f>
        <v>-0.0301005210134659</v>
      </c>
      <c r="J11" s="72">
        <f>Data!J275/Data!J272-1</f>
        <v>0.0148357707594171</v>
      </c>
      <c r="K11" s="72">
        <f>Data!K275/Data!K272-1</f>
        <v>0.0292259767230556</v>
      </c>
      <c r="L11" s="211">
        <f>Data!L275/Data!L272-1</f>
        <v>0.0163736267472736</v>
      </c>
      <c r="N11" s="394">
        <f>B11</f>
        <v>0.0548267775218996</v>
      </c>
      <c r="O11" s="72">
        <f>C11</f>
        <v>-0.0423017516009689</v>
      </c>
      <c r="P11" s="72">
        <f>D11</f>
        <v>0.0796092213743995</v>
      </c>
      <c r="Q11" s="72">
        <f>E11</f>
        <v>-0.0409919982319416</v>
      </c>
      <c r="R11" s="72">
        <f>F11</f>
        <v>0.0686418484866329</v>
      </c>
      <c r="S11" s="72">
        <f>(G11-Inputs!$B$39*G10)/(1-Inputs!$B$39)</f>
        <v>0.0219240752789848</v>
      </c>
      <c r="T11" s="72">
        <f>H11</f>
        <v>0.0596527975490002</v>
      </c>
      <c r="U11" s="72">
        <f>(I11-Inputs!$B$40*I10)/(1-Inputs!$B$40)</f>
        <v>-0.0692920324347746</v>
      </c>
      <c r="V11" s="72">
        <f>J11</f>
        <v>0.0148357707594171</v>
      </c>
      <c r="W11" s="72">
        <f>K11</f>
        <v>0.0292259767230556</v>
      </c>
      <c r="X11" s="145">
        <f>L11</f>
        <v>0.0163736267472736</v>
      </c>
      <c r="Z11" s="395">
        <f>SUMPRODUCT($N11:$X11,Risk!$B$56:$L$56)-SUMPRODUCT(MMULT(Risk!$B$56:$L$56,Inputs!$D$5:$D$15))/4</f>
        <v>0.0148007584894381</v>
      </c>
      <c r="AA11" s="72">
        <f>SUMPRODUCT($N11:$X11,Risk!$B$57:$L$57)-SUMPRODUCT(MMULT(Risk!$B$57:$L$57,Inputs!$D$5:$D$15))/4</f>
        <v>0.0101910485966198</v>
      </c>
      <c r="AB11" s="72">
        <f>SUMPRODUCT($N11:$X11,Risk!$B$58:$L$58)-SUMPRODUCT(MMULT(Risk!$B$58:$L$58,Inputs!$D$5:$D$15))/4</f>
        <v>0.0122221959472273</v>
      </c>
      <c r="AC11" s="72">
        <f>SUMPRODUCT($N11:$X11,Risk!$B$63:$L$63)-SUMPRODUCT(MMULT(Risk!$B$63:$L$63,Inputs!$D$5:$D$15))/4</f>
        <v>0.0107159761609192</v>
      </c>
      <c r="AD11" s="263">
        <f>SUMPRODUCT($N11:$X11,Risk!$B$64:$L$64)-SUMPRODUCT(MMULT(Risk!$B$64:$L$64,Inputs!$D$5:$D$15))/4</f>
        <v>0.017259751386942</v>
      </c>
      <c r="AF11" s="734">
        <f>O11-$X11</f>
        <v>-0.0586753783482425</v>
      </c>
      <c r="AG11" s="433">
        <f>Q11-$X11</f>
        <v>-0.0573656249792152</v>
      </c>
      <c r="AH11" s="433">
        <f>S11-$X11</f>
        <v>0.00555044853171121</v>
      </c>
      <c r="AI11" s="433">
        <f>U11-$X11</f>
        <v>-0.0856656591820482</v>
      </c>
      <c r="AJ11" s="666">
        <f>T11-$X11</f>
        <v>0.0432791708017266</v>
      </c>
    </row>
    <row r="12">
      <c r="A12" s="660">
        <f>Data!A278</f>
        <v>39447.0</v>
      </c>
      <c r="B12" s="72">
        <f>Data!B278/Data!B275-1</f>
        <v>-0.0173132819012457</v>
      </c>
      <c r="C12" s="72">
        <f>Data!C278/Data!C275-1</f>
        <v>-0.0217335119294534</v>
      </c>
      <c r="D12" s="72">
        <f>Data!D278/Data!D275-1</f>
        <v>0.0370270748911672</v>
      </c>
      <c r="E12" s="72">
        <f>Data!E278/Data!E275-1</f>
        <v>-0.112706296773782</v>
      </c>
      <c r="F12" s="72">
        <f>Data!F278/Data!F275-1</f>
        <v>0.125172448053752</v>
      </c>
      <c r="G12" s="72">
        <f>Data!G278/Data!G275-1</f>
        <v>0.0410009233199908</v>
      </c>
      <c r="H12" s="72">
        <f>Data!H278/Data!H275-1</f>
        <v>0.00528068201600007</v>
      </c>
      <c r="I12" s="72">
        <f>Data!I278/Data!I275-1</f>
        <v>0.0493932248231437</v>
      </c>
      <c r="J12" s="72">
        <f>Data!J278/Data!J275-1</f>
        <v>0.00254754890973707</v>
      </c>
      <c r="K12" s="72">
        <f>Data!K278/Data!K275-1</f>
        <v>0.0263993105912523</v>
      </c>
      <c r="L12" s="211">
        <f>Data!L278/Data!L275-1</f>
        <v>0.0174312893399997</v>
      </c>
      <c r="N12" s="394">
        <f>B12</f>
        <v>-0.0173132819012457</v>
      </c>
      <c r="O12" s="72">
        <f>C12</f>
        <v>-0.0217335119294534</v>
      </c>
      <c r="P12" s="72">
        <f>D12</f>
        <v>0.0370270748911672</v>
      </c>
      <c r="Q12" s="72">
        <f>E12</f>
        <v>-0.112706296773782</v>
      </c>
      <c r="R12" s="72">
        <f>F12</f>
        <v>0.125172448053752</v>
      </c>
      <c r="S12" s="72">
        <f>(G12-Inputs!$B$39*G11)/(1-Inputs!$B$39)</f>
        <v>0.0451278742524123</v>
      </c>
      <c r="T12" s="72">
        <f>H12</f>
        <v>0.00528068201600007</v>
      </c>
      <c r="U12" s="72">
        <f>(I12-Inputs!$B$40*I11)/(1-Inputs!$B$40)</f>
        <v>0.074496512982073</v>
      </c>
      <c r="V12" s="72">
        <f>J12</f>
        <v>0.00254754890973707</v>
      </c>
      <c r="W12" s="72">
        <f>K12</f>
        <v>0.0263993105912523</v>
      </c>
      <c r="X12" s="145">
        <f>L12</f>
        <v>0.0174312893399997</v>
      </c>
      <c r="Z12" s="395">
        <f>SUMPRODUCT($N12:$X12,Risk!$B$56:$L$56)-SUMPRODUCT(MMULT(Risk!$B$56:$L$56,Inputs!$D$5:$D$15))/4</f>
        <v>-0.0191083773862064</v>
      </c>
      <c r="AA12" s="72">
        <f>SUMPRODUCT($N12:$X12,Risk!$B$57:$L$57)-SUMPRODUCT(MMULT(Risk!$B$57:$L$57,Inputs!$D$5:$D$15))/4</f>
        <v>-0.00623131364957115</v>
      </c>
      <c r="AB12" s="72">
        <f>SUMPRODUCT($N12:$X12,Risk!$B$58:$L$58)-SUMPRODUCT(MMULT(Risk!$B$58:$L$58,Inputs!$D$5:$D$15))/4</f>
        <v>-0.0113088073867866</v>
      </c>
      <c r="AC12" s="72">
        <f>SUMPRODUCT($N12:$X12,Risk!$B$63:$L$63)-SUMPRODUCT(MMULT(Risk!$B$63:$L$63,Inputs!$D$5:$D$15))/4</f>
        <v>-0.00972687425151814</v>
      </c>
      <c r="AD12" s="263">
        <f>SUMPRODUCT($N12:$X12,Risk!$B$64:$L$64)-SUMPRODUCT(MMULT(Risk!$B$64:$L$64,Inputs!$D$5:$D$15))/4</f>
        <v>-0.0035702513883972</v>
      </c>
      <c r="AF12" s="734">
        <f>O12-$X12</f>
        <v>-0.0391648012694531</v>
      </c>
      <c r="AG12" s="433">
        <f>Q12-$X12</f>
        <v>-0.130137586113781</v>
      </c>
      <c r="AH12" s="433">
        <f>S12-$X12</f>
        <v>0.0276965849124126</v>
      </c>
      <c r="AI12" s="433">
        <f>U12-$X12</f>
        <v>0.0570652236420733</v>
      </c>
      <c r="AJ12" s="666">
        <f>T12-$X12</f>
        <v>-0.0121506073239996</v>
      </c>
    </row>
    <row r="13">
      <c r="A13" s="660">
        <f>Data!A281</f>
        <v>39538.0</v>
      </c>
      <c r="B13" s="72">
        <f>Data!B281/Data!B278-1</f>
        <v>-0.146767204697334</v>
      </c>
      <c r="C13" s="72">
        <f>Data!C281/Data!C278-1</f>
        <v>-0.151541580982963</v>
      </c>
      <c r="D13" s="72">
        <f>Data!D281/Data!D278-1</f>
        <v>-0.143320021418856</v>
      </c>
      <c r="E13" s="72">
        <f>Data!E281/Data!E278-1</f>
        <v>-0.0772269617165701</v>
      </c>
      <c r="F13" s="72">
        <f>Data!F281/Data!F278-1</f>
        <v>0.0573351725916222</v>
      </c>
      <c r="G13" s="72">
        <f>Data!G281/Data!G278-1</f>
        <v>0.00743830543586554</v>
      </c>
      <c r="H13" s="72">
        <f>Data!H281/Data!H278-1</f>
        <v>0.0116079320160001</v>
      </c>
      <c r="I13" s="72">
        <f>Data!I281/Data!I278-1</f>
        <v>-0.0065001260564076</v>
      </c>
      <c r="J13" s="72">
        <f>Data!J281/Data!J278-1</f>
        <v>0.0221131447255218</v>
      </c>
      <c r="K13" s="72">
        <f>Data!K281/Data!K278-1</f>
        <v>0.027256158745111</v>
      </c>
      <c r="L13" s="211">
        <f>Data!L281/Data!L278-1</f>
        <v>0.0181519562551167</v>
      </c>
      <c r="N13" s="394">
        <f>B13</f>
        <v>-0.146767204697334</v>
      </c>
      <c r="O13" s="72">
        <f>C13</f>
        <v>-0.151541580982963</v>
      </c>
      <c r="P13" s="72">
        <f>D13</f>
        <v>-0.143320021418856</v>
      </c>
      <c r="Q13" s="72">
        <f>E13</f>
        <v>-0.0772269617165701</v>
      </c>
      <c r="R13" s="72">
        <f>F13</f>
        <v>0.0573351725916222</v>
      </c>
      <c r="S13" s="72">
        <f>(G13-Inputs!$B$39*G12)/(1-Inputs!$B$39)</f>
        <v>-0.0548922706346529</v>
      </c>
      <c r="T13" s="72">
        <f>H13</f>
        <v>0.0116079320160001</v>
      </c>
      <c r="U13" s="72">
        <f>(I13-Inputs!$B$40*I12)/(1-Inputs!$B$40)</f>
        <v>-0.024150657913108</v>
      </c>
      <c r="V13" s="72">
        <f>J13</f>
        <v>0.0221131447255218</v>
      </c>
      <c r="W13" s="72">
        <f>K13</f>
        <v>0.027256158745111</v>
      </c>
      <c r="X13" s="145">
        <f>L13</f>
        <v>0.0181519562551167</v>
      </c>
      <c r="Z13" s="395">
        <f>SUMPRODUCT($N13:$X13,Risk!$B$56:$L$56)-SUMPRODUCT(MMULT(Risk!$B$56:$L$56,Inputs!$D$5:$D$15))/4</f>
        <v>-0.0902497929008881</v>
      </c>
      <c r="AA13" s="72">
        <f>SUMPRODUCT($N13:$X13,Risk!$B$57:$L$57)-SUMPRODUCT(MMULT(Risk!$B$57:$L$57,Inputs!$D$5:$D$15))/4</f>
        <v>-0.078947884018595</v>
      </c>
      <c r="AB13" s="72">
        <f>SUMPRODUCT($N13:$X13,Risk!$B$58:$L$58)-SUMPRODUCT(MMULT(Risk!$B$58:$L$58,Inputs!$D$5:$D$15))/4</f>
        <v>-0.0911955061949053</v>
      </c>
      <c r="AC13" s="72">
        <f>SUMPRODUCT($N13:$X13,Risk!$B$63:$L$63)-SUMPRODUCT(MMULT(Risk!$B$63:$L$63,Inputs!$D$5:$D$15))/4</f>
        <v>-0.0936952641151573</v>
      </c>
      <c r="AD13" s="263">
        <f>SUMPRODUCT($N13:$X13,Risk!$B$64:$L$64)-SUMPRODUCT(MMULT(Risk!$B$64:$L$64,Inputs!$D$5:$D$15))/4</f>
        <v>-0.0639044972802951</v>
      </c>
      <c r="AF13" s="734">
        <f>O13-$X13</f>
        <v>-0.16969353723808</v>
      </c>
      <c r="AG13" s="433">
        <f>Q13-$X13</f>
        <v>-0.0953789179716867</v>
      </c>
      <c r="AH13" s="433">
        <f>S13-$X13</f>
        <v>-0.0730442268897695</v>
      </c>
      <c r="AI13" s="433">
        <f>U13-$X13</f>
        <v>-0.0423026141682247</v>
      </c>
      <c r="AJ13" s="666">
        <f>T13-$X13</f>
        <v>-0.0065440242391166</v>
      </c>
    </row>
    <row r="14">
      <c r="A14" s="660">
        <f>Data!A284</f>
        <v>39629.0</v>
      </c>
      <c r="B14" s="72">
        <f>Data!B284/Data!B281-1</f>
        <v>-0.00631407624005409</v>
      </c>
      <c r="C14" s="72">
        <f>Data!C284/Data!C281-1</f>
        <v>-0.0563831996409158</v>
      </c>
      <c r="D14" s="72">
        <f>Data!D284/Data!D281-1</f>
        <v>-0.0630837027266911</v>
      </c>
      <c r="E14" s="72">
        <f>Data!E284/Data!E281-1</f>
        <v>-0.135330453663602</v>
      </c>
      <c r="F14" s="72">
        <f>Data!F284/Data!F281-1</f>
        <v>0.223761053928357</v>
      </c>
      <c r="G14" s="72">
        <f>Data!G284/Data!G281-1</f>
        <v>-0.0058370688746241</v>
      </c>
      <c r="H14" s="72">
        <f>Data!H284/Data!H281-1</f>
        <v>0.0541287264200001</v>
      </c>
      <c r="I14" s="72">
        <f>Data!I284/Data!I281-1</f>
        <v>-0.0178957588596143</v>
      </c>
      <c r="J14" s="72">
        <f>Data!J284/Data!J281-1</f>
        <v>0.00412266842692199</v>
      </c>
      <c r="K14" s="72">
        <f>Data!K284/Data!K281-1</f>
        <v>-0.00566143050793444</v>
      </c>
      <c r="L14" s="211">
        <f>Data!L284/Data!L281-1</f>
        <v>0.0195060512356795</v>
      </c>
      <c r="N14" s="394">
        <f>B14</f>
        <v>-0.00631407624005409</v>
      </c>
      <c r="O14" s="72">
        <f>C14</f>
        <v>-0.0563831996409158</v>
      </c>
      <c r="P14" s="72">
        <f>D14</f>
        <v>-0.0630837027266911</v>
      </c>
      <c r="Q14" s="72">
        <f>E14</f>
        <v>-0.135330453663602</v>
      </c>
      <c r="R14" s="72">
        <f>F14</f>
        <v>0.223761053928357</v>
      </c>
      <c r="S14" s="72">
        <f>(G14-Inputs!$B$39*G13)/(1-Inputs!$B$39)</f>
        <v>-0.0304913354512477</v>
      </c>
      <c r="T14" s="72">
        <f>H14</f>
        <v>0.0541287264200001</v>
      </c>
      <c r="U14" s="72">
        <f>(I14-Inputs!$B$40*I13)/(1-Inputs!$B$40)</f>
        <v>-0.0214943797448374</v>
      </c>
      <c r="V14" s="72">
        <f>J14</f>
        <v>0.00412266842692199</v>
      </c>
      <c r="W14" s="72">
        <f>K14</f>
        <v>-0.00566143050793444</v>
      </c>
      <c r="X14" s="145">
        <f>L14</f>
        <v>0.0195060512356795</v>
      </c>
      <c r="Z14" s="395">
        <f>SUMPRODUCT($N14:$X14,Risk!$B$56:$L$56)-SUMPRODUCT(MMULT(Risk!$B$56:$L$56,Inputs!$D$5:$D$15))/4</f>
        <v>-0.0260844063806638</v>
      </c>
      <c r="AA14" s="72">
        <f>SUMPRODUCT($N14:$X14,Risk!$B$57:$L$57)-SUMPRODUCT(MMULT(Risk!$B$57:$L$57,Inputs!$D$5:$D$15))/4</f>
        <v>-0.0228518473448599</v>
      </c>
      <c r="AB14" s="72">
        <f>SUMPRODUCT($N14:$X14,Risk!$B$58:$L$58)-SUMPRODUCT(MMULT(Risk!$B$58:$L$58,Inputs!$D$5:$D$15))/4</f>
        <v>-0.0281500043708868</v>
      </c>
      <c r="AC14" s="72">
        <f>SUMPRODUCT($N14:$X14,Risk!$B$63:$L$63)-SUMPRODUCT(MMULT(Risk!$B$63:$L$63,Inputs!$D$5:$D$15))/4</f>
        <v>-0.027245338350015</v>
      </c>
      <c r="AD14" s="263">
        <f>SUMPRODUCT($N14:$X14,Risk!$B$64:$L$64)-SUMPRODUCT(MMULT(Risk!$B$64:$L$64,Inputs!$D$5:$D$15))/4</f>
        <v>-0.0213635725502896</v>
      </c>
      <c r="AF14" s="734">
        <f>O14-$X14</f>
        <v>-0.0758892508765953</v>
      </c>
      <c r="AG14" s="433">
        <f>Q14-$X14</f>
        <v>-0.154836504899281</v>
      </c>
      <c r="AH14" s="433">
        <f>S14-$X14</f>
        <v>-0.0499973866869272</v>
      </c>
      <c r="AI14" s="433">
        <f>U14-$X14</f>
        <v>-0.0410004309805169</v>
      </c>
      <c r="AJ14" s="666">
        <f>T14-$X14</f>
        <v>0.0346226751843206</v>
      </c>
    </row>
    <row r="15">
      <c r="A15" s="660">
        <f>Data!A287</f>
        <v>39721.0</v>
      </c>
      <c r="B15" s="72">
        <f>Data!B287/Data!B284-1</f>
        <v>-0.118895974995602</v>
      </c>
      <c r="C15" s="72">
        <f>Data!C287/Data!C284-1</f>
        <v>0.0792918973105528</v>
      </c>
      <c r="D15" s="72">
        <f>Data!D287/Data!D284-1</f>
        <v>-0.0360450944943076</v>
      </c>
      <c r="E15" s="72">
        <f>Data!E287/Data!E284-1</f>
        <v>0.222470865516088</v>
      </c>
      <c r="F15" s="72">
        <f>Data!F287/Data!F284-1</f>
        <v>-0.131416670204164</v>
      </c>
      <c r="G15" s="72">
        <f>Data!G287/Data!G284-1</f>
        <v>-0.0192883060239367</v>
      </c>
      <c r="H15" s="72">
        <f>Data!H287/Data!H284-1</f>
        <v>0.0346453308799999</v>
      </c>
      <c r="I15" s="72">
        <f>Data!I287/Data!I284-1</f>
        <v>-0.0299952816410902</v>
      </c>
      <c r="J15" s="72">
        <f>Data!J287/Data!J284-1</f>
        <v>0.0532482233087883</v>
      </c>
      <c r="K15" s="72">
        <f>Data!K287/Data!K284-1</f>
        <v>0.020248596631917</v>
      </c>
      <c r="L15" s="211">
        <f>Data!L287/Data!L284-1</f>
        <v>0.019341912492576</v>
      </c>
      <c r="N15" s="394">
        <f>B15</f>
        <v>-0.118895974995602</v>
      </c>
      <c r="O15" s="72">
        <f>C15</f>
        <v>0.0792918973105528</v>
      </c>
      <c r="P15" s="72">
        <f>D15</f>
        <v>-0.0360450944943076</v>
      </c>
      <c r="Q15" s="72">
        <f>E15</f>
        <v>0.222470865516088</v>
      </c>
      <c r="R15" s="72">
        <f>F15</f>
        <v>-0.131416670204164</v>
      </c>
      <c r="S15" s="72">
        <f>(G15-Inputs!$B$39*G14)/(1-Inputs!$B$39)</f>
        <v>-0.0442691750155173</v>
      </c>
      <c r="T15" s="72">
        <f>H15</f>
        <v>0.0346453308799999</v>
      </c>
      <c r="U15" s="72">
        <f>(I15-Inputs!$B$40*I14)/(1-Inputs!$B$40)</f>
        <v>-0.0338161835720826</v>
      </c>
      <c r="V15" s="72">
        <f>J15</f>
        <v>0.0532482233087883</v>
      </c>
      <c r="W15" s="72">
        <f>K15</f>
        <v>0.020248596631917</v>
      </c>
      <c r="X15" s="145">
        <f>L15</f>
        <v>0.019341912492576</v>
      </c>
      <c r="Z15" s="395">
        <f>SUMPRODUCT($N15:$X15,Risk!$B$56:$L$56)-SUMPRODUCT(MMULT(Risk!$B$56:$L$56,Inputs!$D$5:$D$15))/4</f>
        <v>0.0012281311168303</v>
      </c>
      <c r="AA15" s="72">
        <f>SUMPRODUCT($N15:$X15,Risk!$B$57:$L$57)-SUMPRODUCT(MMULT(Risk!$B$57:$L$57,Inputs!$D$5:$D$15))/4</f>
        <v>0.00839810588882588</v>
      </c>
      <c r="AB15" s="72">
        <f>SUMPRODUCT($N15:$X15,Risk!$B$58:$L$58)-SUMPRODUCT(MMULT(Risk!$B$58:$L$58,Inputs!$D$5:$D$15))/4</f>
        <v>0.0122820424858543</v>
      </c>
      <c r="AC15" s="72">
        <f>SUMPRODUCT($N15:$X15,Risk!$B$63:$L$63)-SUMPRODUCT(MMULT(Risk!$B$63:$L$63,Inputs!$D$5:$D$15))/4</f>
        <v>0.00791715089277639</v>
      </c>
      <c r="AD15" s="263">
        <f>SUMPRODUCT($N15:$X15,Risk!$B$64:$L$64)-SUMPRODUCT(MMULT(Risk!$B$64:$L$64,Inputs!$D$5:$D$15))/4</f>
        <v>0.00899115125633493</v>
      </c>
      <c r="AF15" s="734">
        <f>O15-$X15</f>
        <v>0.0599499848179768</v>
      </c>
      <c r="AG15" s="433">
        <f>Q15-$X15</f>
        <v>0.203128953023512</v>
      </c>
      <c r="AH15" s="433">
        <f>S15-$X15</f>
        <v>-0.0636110875080933</v>
      </c>
      <c r="AI15" s="433">
        <f>U15-$X15</f>
        <v>-0.0531580960646586</v>
      </c>
      <c r="AJ15" s="666">
        <f>T15-$X15</f>
        <v>0.0153034183874239</v>
      </c>
    </row>
    <row r="16">
      <c r="A16" s="660">
        <f>Data!A290</f>
        <v>39813.0</v>
      </c>
      <c r="B16" s="72">
        <f>Data!B290/Data!B287-1</f>
        <v>-0.20198103352278</v>
      </c>
      <c r="C16" s="72">
        <f>Data!C290/Data!C287-1</f>
        <v>-0.100791231256022</v>
      </c>
      <c r="D16" s="72">
        <f>Data!D290/Data!D287-1</f>
        <v>-0.116939949261175</v>
      </c>
      <c r="E16" s="72">
        <f>Data!E290/Data!E287-1</f>
        <v>-0.251193580181504</v>
      </c>
      <c r="F16" s="72">
        <f>Data!F290/Data!F287-1</f>
        <v>-0.400353898030068</v>
      </c>
      <c r="G16" s="72">
        <f>Data!G290/Data!G287-1</f>
        <v>-0.0106778302169772</v>
      </c>
      <c r="H16" s="72">
        <f>Data!H290/Data!H287-1</f>
        <v>0.038005526656</v>
      </c>
      <c r="I16" s="72">
        <f>Data!I290/Data!I287-1</f>
        <v>-0.0887033262299638</v>
      </c>
      <c r="J16" s="72">
        <f>Data!J290/Data!J287-1</f>
        <v>0.0633845210660047</v>
      </c>
      <c r="K16" s="72">
        <f>Data!K290/Data!K287-1</f>
        <v>0.0481430536451171</v>
      </c>
      <c r="L16" s="211">
        <f>Data!L290/Data!L287-1</f>
        <v>0.016939434761734</v>
      </c>
      <c r="N16" s="394">
        <f>B16</f>
        <v>-0.20198103352278</v>
      </c>
      <c r="O16" s="72">
        <f>C16</f>
        <v>-0.100791231256022</v>
      </c>
      <c r="P16" s="72">
        <f>D16</f>
        <v>-0.116939949261175</v>
      </c>
      <c r="Q16" s="72">
        <f>E16</f>
        <v>-0.251193580181504</v>
      </c>
      <c r="R16" s="72">
        <f>F16</f>
        <v>-0.400353898030068</v>
      </c>
      <c r="S16" s="72">
        <f>(G16-Inputs!$B$39*G15)/(1-Inputs!$B$39)</f>
        <v>0.00531305342451901</v>
      </c>
      <c r="T16" s="72">
        <f>H16</f>
        <v>0.038005526656</v>
      </c>
      <c r="U16" s="72">
        <f>(I16-Inputs!$B$40*I15)/(1-Inputs!$B$40)</f>
        <v>-0.107242708731713</v>
      </c>
      <c r="V16" s="72">
        <f>J16</f>
        <v>0.0633845210660047</v>
      </c>
      <c r="W16" s="72">
        <f>K16</f>
        <v>0.0481430536451171</v>
      </c>
      <c r="X16" s="145">
        <f>L16</f>
        <v>0.016939434761734</v>
      </c>
      <c r="Z16" s="395">
        <f>SUMPRODUCT($N16:$X16,Risk!$B$56:$L$56)-SUMPRODUCT(MMULT(Risk!$B$56:$L$56,Inputs!$D$5:$D$15))/4</f>
        <v>-0.111805134793635</v>
      </c>
      <c r="AA16" s="72">
        <f>SUMPRODUCT($N16:$X16,Risk!$B$57:$L$57)-SUMPRODUCT(MMULT(Risk!$B$57:$L$57,Inputs!$D$5:$D$15))/4</f>
        <v>-0.0917626918312721</v>
      </c>
      <c r="AB16" s="72">
        <f>SUMPRODUCT($N16:$X16,Risk!$B$58:$L$58)-SUMPRODUCT(MMULT(Risk!$B$58:$L$58,Inputs!$D$5:$D$15))/4</f>
        <v>-0.109010847764978</v>
      </c>
      <c r="AC16" s="72">
        <f>SUMPRODUCT($N16:$X16,Risk!$B$63:$L$63)-SUMPRODUCT(MMULT(Risk!$B$63:$L$63,Inputs!$D$5:$D$15))/4</f>
        <v>-0.112549609074332</v>
      </c>
      <c r="AD16" s="263">
        <f>SUMPRODUCT($N16:$X16,Risk!$B$64:$L$64)-SUMPRODUCT(MMULT(Risk!$B$64:$L$64,Inputs!$D$5:$D$15))/4</f>
        <v>-0.084624902730127</v>
      </c>
      <c r="AF16" s="734">
        <f>O16-$X16</f>
        <v>-0.117730666017756</v>
      </c>
      <c r="AG16" s="433">
        <f>Q16-$X16</f>
        <v>-0.268133014943238</v>
      </c>
      <c r="AH16" s="433">
        <f>S16-$X16</f>
        <v>-0.011626381337215</v>
      </c>
      <c r="AI16" s="433">
        <f>U16-$X16</f>
        <v>-0.124182143493447</v>
      </c>
      <c r="AJ16" s="666">
        <f>T16-$X16</f>
        <v>0.021066091894266</v>
      </c>
    </row>
    <row r="17">
      <c r="A17" s="660">
        <f>Data!A293</f>
        <v>39903.0</v>
      </c>
      <c r="B17" s="72">
        <f>Data!B293/Data!B290-1</f>
        <v>-0.0167033850953415</v>
      </c>
      <c r="C17" s="72">
        <f>Data!C293/Data!C290-1</f>
        <v>-0.0957766178682258</v>
      </c>
      <c r="D17" s="72">
        <f>Data!D293/Data!D290-1</f>
        <v>0.0457707048342604</v>
      </c>
      <c r="E17" s="72">
        <f>Data!E293/Data!E290-1</f>
        <v>-0.236608427571147</v>
      </c>
      <c r="F17" s="72">
        <f>Data!F293/Data!F290-1</f>
        <v>-0.103328902194667</v>
      </c>
      <c r="G17" s="72">
        <f>Data!G293/Data!G290-1</f>
        <v>0.000689210390220296</v>
      </c>
      <c r="H17" s="72">
        <f>Data!H293/Data!H290-1</f>
        <v>0.0455406394999998</v>
      </c>
      <c r="I17" s="72">
        <f>Data!I293/Data!I290-1</f>
        <v>-0.0543051407510961</v>
      </c>
      <c r="J17" s="72">
        <f>Data!J293/Data!J290-1</f>
        <v>0.00276802909035379</v>
      </c>
      <c r="K17" s="72">
        <f>Data!K293/Data!K290-1</f>
        <v>0.00639295088113978</v>
      </c>
      <c r="L17" s="211">
        <f>Data!L293/Data!L290-1</f>
        <v>0.00957540921237765</v>
      </c>
      <c r="N17" s="394">
        <f>B17</f>
        <v>-0.0167033850953415</v>
      </c>
      <c r="O17" s="72">
        <f>C17</f>
        <v>-0.0957766178682258</v>
      </c>
      <c r="P17" s="72">
        <f>D17</f>
        <v>0.0457707048342604</v>
      </c>
      <c r="Q17" s="72">
        <f>E17</f>
        <v>-0.236608427571147</v>
      </c>
      <c r="R17" s="72">
        <f>F17</f>
        <v>-0.103328902194667</v>
      </c>
      <c r="S17" s="72">
        <f>(G17-Inputs!$B$39*G16)/(1-Inputs!$B$39)</f>
        <v>0.02179942866073</v>
      </c>
      <c r="T17" s="72">
        <f>H17</f>
        <v>0.0455406394999998</v>
      </c>
      <c r="U17" s="72">
        <f>(I17-Inputs!$B$40*I16)/(1-Inputs!$B$40)</f>
        <v>-0.0434425558630325</v>
      </c>
      <c r="V17" s="72">
        <f>J17</f>
        <v>0.00276802909035379</v>
      </c>
      <c r="W17" s="72">
        <f>K17</f>
        <v>0.00639295088113978</v>
      </c>
      <c r="X17" s="145">
        <f>L17</f>
        <v>0.00957540921237765</v>
      </c>
      <c r="Z17" s="395">
        <f>SUMPRODUCT($N17:$X17,Risk!$B$56:$L$56)-SUMPRODUCT(MMULT(Risk!$B$56:$L$56,Inputs!$D$5:$D$15))/4</f>
        <v>-0.0481806012899858</v>
      </c>
      <c r="AA17" s="72">
        <f>SUMPRODUCT($N17:$X17,Risk!$B$57:$L$57)-SUMPRODUCT(MMULT(Risk!$B$57:$L$57,Inputs!$D$5:$D$15))/4</f>
        <v>-0.0427323565029636</v>
      </c>
      <c r="AB17" s="72">
        <f>SUMPRODUCT($N17:$X17,Risk!$B$58:$L$58)-SUMPRODUCT(MMULT(Risk!$B$58:$L$58,Inputs!$D$5:$D$15))/4</f>
        <v>-0.0502394996997766</v>
      </c>
      <c r="AC17" s="72">
        <f>SUMPRODUCT($N17:$X17,Risk!$B$63:$L$63)-SUMPRODUCT(MMULT(Risk!$B$63:$L$63,Inputs!$D$5:$D$15))/4</f>
        <v>-0.0500835954444679</v>
      </c>
      <c r="AD17" s="263">
        <f>SUMPRODUCT($N17:$X17,Risk!$B$64:$L$64)-SUMPRODUCT(MMULT(Risk!$B$64:$L$64,Inputs!$D$5:$D$15))/4</f>
        <v>-0.0388924605546408</v>
      </c>
      <c r="AF17" s="734">
        <f>O17-$X17</f>
        <v>-0.105352027080603</v>
      </c>
      <c r="AG17" s="433">
        <f>Q17-$X17</f>
        <v>-0.246183836783524</v>
      </c>
      <c r="AH17" s="433">
        <f>S17-$X17</f>
        <v>0.0122240194483523</v>
      </c>
      <c r="AI17" s="433">
        <f>U17-$X17</f>
        <v>-0.0530179650754102</v>
      </c>
      <c r="AJ17" s="666">
        <f>T17-$X17</f>
        <v>0.0359652302876221</v>
      </c>
    </row>
    <row r="18">
      <c r="A18" s="660">
        <f>Data!A296</f>
        <v>39994.0</v>
      </c>
      <c r="B18" s="72">
        <f>Data!B296/Data!B293-1</f>
        <v>0.126048166048769</v>
      </c>
      <c r="C18" s="72">
        <f>Data!C296/Data!C293-1</f>
        <v>0.00335394939091183</v>
      </c>
      <c r="D18" s="72">
        <f>Data!D296/Data!D293-1</f>
        <v>0.0706181267753576</v>
      </c>
      <c r="E18" s="72">
        <f>Data!E296/Data!E293-1</f>
        <v>0.0580899031897642</v>
      </c>
      <c r="F18" s="72">
        <f>Data!F296/Data!F293-1</f>
        <v>0.0248009083508864</v>
      </c>
      <c r="G18" s="72">
        <f>Data!G296/Data!G293-1</f>
        <v>0.0446948337945301</v>
      </c>
      <c r="H18" s="72">
        <f>Data!H296/Data!H293-1</f>
        <v>-0.00820589226799984</v>
      </c>
      <c r="I18" s="72">
        <f>Data!I296/Data!I293-1</f>
        <v>0.00339998924904594</v>
      </c>
      <c r="J18" s="72">
        <f>Data!J296/Data!J293-1</f>
        <v>-0.0132581759617635</v>
      </c>
      <c r="K18" s="72">
        <f>Data!K296/Data!K293-1</f>
        <v>0.0216836497084629</v>
      </c>
      <c r="L18" s="211">
        <f>Data!L296/Data!L293-1</f>
        <v>0.00785312581346176</v>
      </c>
      <c r="N18" s="394">
        <f>B18</f>
        <v>0.126048166048769</v>
      </c>
      <c r="O18" s="72">
        <f>C18</f>
        <v>0.00335394939091183</v>
      </c>
      <c r="P18" s="72">
        <f>D18</f>
        <v>0.0706181267753576</v>
      </c>
      <c r="Q18" s="72">
        <f>E18</f>
        <v>0.0580899031897642</v>
      </c>
      <c r="R18" s="72">
        <f>F18</f>
        <v>0.0248009083508864</v>
      </c>
      <c r="S18" s="72">
        <f>(G18-Inputs!$B$39*G17)/(1-Inputs!$B$39)</f>
        <v>0.126419562973963</v>
      </c>
      <c r="T18" s="72">
        <f>H18</f>
        <v>-0.00820589226799984</v>
      </c>
      <c r="U18" s="72">
        <f>(I18-Inputs!$B$40*I17)/(1-Inputs!$B$40)</f>
        <v>0.0216226618806697</v>
      </c>
      <c r="V18" s="72">
        <f>J18</f>
        <v>-0.0132581759617635</v>
      </c>
      <c r="W18" s="72">
        <f>K18</f>
        <v>0.0216836497084629</v>
      </c>
      <c r="X18" s="145">
        <f>L18</f>
        <v>0.00785312581346176</v>
      </c>
      <c r="Z18" s="395">
        <f>SUMPRODUCT($N18:$X18,Risk!$B$56:$L$56)-SUMPRODUCT(MMULT(Risk!$B$56:$L$56,Inputs!$D$5:$D$15))/4</f>
        <v>0.0569147310060214</v>
      </c>
      <c r="AA18" s="72">
        <f>SUMPRODUCT($N18:$X18,Risk!$B$57:$L$57)-SUMPRODUCT(MMULT(Risk!$B$57:$L$57,Inputs!$D$5:$D$15))/4</f>
        <v>0.0456409764043392</v>
      </c>
      <c r="AB18" s="72">
        <f>SUMPRODUCT($N18:$X18,Risk!$B$58:$L$58)-SUMPRODUCT(MMULT(Risk!$B$58:$L$58,Inputs!$D$5:$D$15))/4</f>
        <v>0.0468631434821141</v>
      </c>
      <c r="AC18" s="72">
        <f>SUMPRODUCT($N18:$X18,Risk!$B$63:$L$63)-SUMPRODUCT(MMULT(Risk!$B$63:$L$63,Inputs!$D$5:$D$15))/4</f>
        <v>0.0507144880822217</v>
      </c>
      <c r="AD18" s="263">
        <f>SUMPRODUCT($N18:$X18,Risk!$B$64:$L$64)-SUMPRODUCT(MMULT(Risk!$B$64:$L$64,Inputs!$D$5:$D$15))/4</f>
        <v>0.0480124374807161</v>
      </c>
      <c r="AF18" s="734">
        <f>O18-$X18</f>
        <v>-0.00449917642254993</v>
      </c>
      <c r="AG18" s="433">
        <f>Q18-$X18</f>
        <v>0.0502367773763024</v>
      </c>
      <c r="AH18" s="433">
        <f>S18-$X18</f>
        <v>0.118566437160501</v>
      </c>
      <c r="AI18" s="433">
        <f>U18-$X18</f>
        <v>0.013769536067208</v>
      </c>
      <c r="AJ18" s="666">
        <f>T18-$X18</f>
        <v>-0.0160590180814616</v>
      </c>
    </row>
    <row r="19">
      <c r="A19" s="660">
        <f>Data!A299</f>
        <v>40086.0</v>
      </c>
      <c r="B19" s="72">
        <f>Data!B299/Data!B296-1</f>
        <v>0.215495716977483</v>
      </c>
      <c r="C19" s="72">
        <f>Data!C299/Data!C296-1</f>
        <v>0.0530787621850455</v>
      </c>
      <c r="D19" s="72">
        <f>Data!D299/Data!D296-1</f>
        <v>0.0712611841847979</v>
      </c>
      <c r="E19" s="72">
        <f>Data!E299/Data!E296-1</f>
        <v>0.187332307912292</v>
      </c>
      <c r="F19" s="72">
        <f>Data!F299/Data!F296-1</f>
        <v>-0.100105263637435</v>
      </c>
      <c r="G19" s="72">
        <f>Data!G299/Data!G296-1</f>
        <v>0.0452557090846801</v>
      </c>
      <c r="H19" s="72">
        <f>Data!H299/Data!H296-1</f>
        <v>0.0151952062289999</v>
      </c>
      <c r="I19" s="72">
        <f>Data!I299/Data!I296-1</f>
        <v>0.0704078216031607</v>
      </c>
      <c r="J19" s="72">
        <f>Data!J299/Data!J296-1</f>
        <v>0.0176342885824652</v>
      </c>
      <c r="K19" s="72">
        <f>Data!K299/Data!K296-1</f>
        <v>0.0391102197100921</v>
      </c>
      <c r="L19" s="211">
        <f>Data!L299/Data!L296-1</f>
        <v>0.00803219485092632</v>
      </c>
      <c r="N19" s="394">
        <f>B19</f>
        <v>0.215495716977483</v>
      </c>
      <c r="O19" s="72">
        <f>C19</f>
        <v>0.0530787621850455</v>
      </c>
      <c r="P19" s="72">
        <f>D19</f>
        <v>0.0712611841847979</v>
      </c>
      <c r="Q19" s="72">
        <f>E19</f>
        <v>0.187332307912292</v>
      </c>
      <c r="R19" s="72">
        <f>F19</f>
        <v>-0.100105263637435</v>
      </c>
      <c r="S19" s="72">
        <f>(G19-Inputs!$B$39*G18)/(1-Inputs!$B$39)</f>
        <v>0.0462973346235302</v>
      </c>
      <c r="T19" s="72">
        <f>H19</f>
        <v>0.0151952062289999</v>
      </c>
      <c r="U19" s="72">
        <f>(I19-Inputs!$B$40*I18)/(1-Inputs!$B$40)</f>
        <v>0.0915681897149865</v>
      </c>
      <c r="V19" s="72">
        <f>J19</f>
        <v>0.0176342885824652</v>
      </c>
      <c r="W19" s="72">
        <f>K19</f>
        <v>0.0391102197100921</v>
      </c>
      <c r="X19" s="145">
        <f>L19</f>
        <v>0.00803219485092632</v>
      </c>
      <c r="Z19" s="395">
        <f>SUMPRODUCT($N19:$X19,Risk!$B$56:$L$56)-SUMPRODUCT(MMULT(Risk!$B$56:$L$56,Inputs!$D$5:$D$15))/4</f>
        <v>0.121603484522973</v>
      </c>
      <c r="AA19" s="72">
        <f>SUMPRODUCT($N19:$X19,Risk!$B$57:$L$57)-SUMPRODUCT(MMULT(Risk!$B$57:$L$57,Inputs!$D$5:$D$15))/4</f>
        <v>0.0915464830001165</v>
      </c>
      <c r="AB19" s="72">
        <f>SUMPRODUCT($N19:$X19,Risk!$B$58:$L$58)-SUMPRODUCT(MMULT(Risk!$B$58:$L$58,Inputs!$D$5:$D$15))/4</f>
        <v>0.0993848870460685</v>
      </c>
      <c r="AC19" s="72">
        <f>SUMPRODUCT($N19:$X19,Risk!$B$63:$L$63)-SUMPRODUCT(MMULT(Risk!$B$63:$L$63,Inputs!$D$5:$D$15))/4</f>
        <v>0.0981978722856595</v>
      </c>
      <c r="AD19" s="263">
        <f>SUMPRODUCT($N19:$X19,Risk!$B$64:$L$64)-SUMPRODUCT(MMULT(Risk!$B$64:$L$64,Inputs!$D$5:$D$15))/4</f>
        <v>0.0897993605272017</v>
      </c>
      <c r="AF19" s="734">
        <f>O19-$X19</f>
        <v>0.0450465673341192</v>
      </c>
      <c r="AG19" s="433">
        <f>Q19-$X19</f>
        <v>0.179300113061366</v>
      </c>
      <c r="AH19" s="433">
        <f>S19-$X19</f>
        <v>0.0382651397726039</v>
      </c>
      <c r="AI19" s="433">
        <f>U19-$X19</f>
        <v>0.0835359948640601</v>
      </c>
      <c r="AJ19" s="666">
        <f>T19-$X19</f>
        <v>0.00716301137807363</v>
      </c>
    </row>
    <row r="20">
      <c r="A20" s="660">
        <f>Data!A302</f>
        <v>40178.0</v>
      </c>
      <c r="B20" s="72">
        <f>Data!B302/Data!B299-1</f>
        <v>0.0371039483477418</v>
      </c>
      <c r="C20" s="72">
        <f>Data!C302/Data!C299-1</f>
        <v>0.0265281142537799</v>
      </c>
      <c r="D20" s="72">
        <f>Data!D302/Data!D299-1</f>
        <v>0.0519906238458427</v>
      </c>
      <c r="E20" s="72">
        <f>Data!E302/Data!E299-1</f>
        <v>0.0281467394642778</v>
      </c>
      <c r="F20" s="72">
        <f>Data!F302/Data!F299-1</f>
        <v>0.0639043805613471</v>
      </c>
      <c r="G20" s="72">
        <f>Data!G302/Data!G299-1</f>
        <v>0.0584845401438336</v>
      </c>
      <c r="H20" s="72">
        <f>Data!H302/Data!H299-1</f>
        <v>-0.031099154464</v>
      </c>
      <c r="I20" s="72">
        <f>Data!I302/Data!I299-1</f>
        <v>0.0579940441930884</v>
      </c>
      <c r="J20" s="72">
        <f>Data!J302/Data!J299-1</f>
        <v>0.0103492817933009</v>
      </c>
      <c r="K20" s="72">
        <f>Data!K302/Data!K299-1</f>
        <v>0.0111247587296015</v>
      </c>
      <c r="L20" s="211">
        <f>Data!L302/Data!L299-1</f>
        <v>0.00884560267185508</v>
      </c>
      <c r="N20" s="394">
        <f>B20</f>
        <v>0.0371039483477418</v>
      </c>
      <c r="O20" s="72">
        <f>C20</f>
        <v>0.0265281142537799</v>
      </c>
      <c r="P20" s="72">
        <f>D20</f>
        <v>0.0519906238458427</v>
      </c>
      <c r="Q20" s="72">
        <f>E20</f>
        <v>0.0281467394642778</v>
      </c>
      <c r="R20" s="72">
        <f>F20</f>
        <v>0.0639043805613471</v>
      </c>
      <c r="S20" s="72">
        <f>(G20-Inputs!$B$39*G19)/(1-Inputs!$B$39)</f>
        <v>0.0830523692536902</v>
      </c>
      <c r="T20" s="72">
        <f>H20</f>
        <v>-0.031099154464</v>
      </c>
      <c r="U20" s="72">
        <f>(I20-Inputs!$B$40*I19)/(1-Inputs!$B$40)</f>
        <v>0.0540739039583287</v>
      </c>
      <c r="V20" s="72">
        <f>J20</f>
        <v>0.0103492817933009</v>
      </c>
      <c r="W20" s="72">
        <f>K20</f>
        <v>0.0111247587296015</v>
      </c>
      <c r="X20" s="145">
        <f>L20</f>
        <v>0.00884560267185508</v>
      </c>
      <c r="Z20" s="395">
        <f>SUMPRODUCT($N20:$X20,Risk!$B$56:$L$56)-SUMPRODUCT(MMULT(Risk!$B$56:$L$56,Inputs!$D$5:$D$15))/4</f>
        <v>0.0257434412906736</v>
      </c>
      <c r="AA20" s="72">
        <f>SUMPRODUCT($N20:$X20,Risk!$B$57:$L$57)-SUMPRODUCT(MMULT(Risk!$B$57:$L$57,Inputs!$D$5:$D$15))/4</f>
        <v>0.0273856645359326</v>
      </c>
      <c r="AB20" s="72">
        <f>SUMPRODUCT($N20:$X20,Risk!$B$58:$L$58)-SUMPRODUCT(MMULT(Risk!$B$58:$L$58,Inputs!$D$5:$D$15))/4</f>
        <v>0.0275737963229855</v>
      </c>
      <c r="AC20" s="72">
        <f>SUMPRODUCT($N20:$X20,Risk!$B$63:$L$63)-SUMPRODUCT(MMULT(Risk!$B$63:$L$63,Inputs!$D$5:$D$15))/4</f>
        <v>0.0312861217573646</v>
      </c>
      <c r="AD20" s="263">
        <f>SUMPRODUCT($N20:$X20,Risk!$B$64:$L$64)-SUMPRODUCT(MMULT(Risk!$B$64:$L$64,Inputs!$D$5:$D$15))/4</f>
        <v>0.0280834003414214</v>
      </c>
      <c r="AF20" s="734">
        <f>O20-$X20</f>
        <v>0.0176825115819248</v>
      </c>
      <c r="AG20" s="433">
        <f>Q20-$X20</f>
        <v>0.0193011367924227</v>
      </c>
      <c r="AH20" s="433">
        <f>S20-$X20</f>
        <v>0.0742067665818351</v>
      </c>
      <c r="AI20" s="433">
        <f>U20-$X20</f>
        <v>0.0452283012864736</v>
      </c>
      <c r="AJ20" s="666">
        <f>T20-$X20</f>
        <v>-0.0399447571358551</v>
      </c>
    </row>
    <row r="21">
      <c r="A21" s="660">
        <f>Data!A305</f>
        <v>40268.0</v>
      </c>
      <c r="B21" s="72">
        <f>Data!B305/Data!B302-1</f>
        <v>0.014525532906291</v>
      </c>
      <c r="C21" s="72">
        <f>Data!C305/Data!C302-1</f>
        <v>0.0267183643574989</v>
      </c>
      <c r="D21" s="72">
        <f>Data!D305/Data!D302-1</f>
        <v>-0.00610233538800398</v>
      </c>
      <c r="E21" s="72">
        <f>Data!E305/Data!E302-1</f>
        <v>0.0392995990303291</v>
      </c>
      <c r="F21" s="72">
        <f>Data!F305/Data!F302-1</f>
        <v>-0.0289066271676715</v>
      </c>
      <c r="G21" s="72">
        <f>Data!G305/Data!G302-1</f>
        <v>0.0343442352748016</v>
      </c>
      <c r="H21" s="72">
        <f>Data!H305/Data!H302-1</f>
        <v>-0.0991175662180002</v>
      </c>
      <c r="I21" s="72">
        <f>Data!I305/Data!I302-1</f>
        <v>0.0175029861513536</v>
      </c>
      <c r="J21" s="72">
        <f>Data!J305/Data!J302-1</f>
        <v>0.0125544509838729</v>
      </c>
      <c r="K21" s="72">
        <f>Data!K305/Data!K302-1</f>
        <v>0.0269505761488273</v>
      </c>
      <c r="L21" s="211">
        <f>Data!L305/Data!L302-1</f>
        <v>0.010223970515274</v>
      </c>
      <c r="N21" s="394">
        <f>B21</f>
        <v>0.014525532906291</v>
      </c>
      <c r="O21" s="72">
        <f>C21</f>
        <v>0.0267183643574989</v>
      </c>
      <c r="P21" s="72">
        <f>D21</f>
        <v>-0.00610233538800398</v>
      </c>
      <c r="Q21" s="72">
        <f>E21</f>
        <v>0.0392995990303291</v>
      </c>
      <c r="R21" s="72">
        <f>F21</f>
        <v>-0.0289066271676715</v>
      </c>
      <c r="S21" s="72">
        <f>(G21-Inputs!$B$39*G20)/(1-Inputs!$B$39)</f>
        <v>-0.0104877594819723</v>
      </c>
      <c r="T21" s="72">
        <f>H21</f>
        <v>-0.0991175662180002</v>
      </c>
      <c r="U21" s="72">
        <f>(I21-Inputs!$B$40*I20)/(1-Inputs!$B$40)</f>
        <v>0.00471633624343734</v>
      </c>
      <c r="V21" s="72">
        <f>J21</f>
        <v>0.0125544509838729</v>
      </c>
      <c r="W21" s="72">
        <f>K21</f>
        <v>0.0269505761488273</v>
      </c>
      <c r="X21" s="145">
        <f>L21</f>
        <v>0.010223970515274</v>
      </c>
      <c r="Z21" s="395">
        <f>SUMPRODUCT($N21:$X21,Risk!$B$56:$L$56)-SUMPRODUCT(MMULT(Risk!$B$56:$L$56,Inputs!$D$5:$D$15))/4</f>
        <v>0.0195587376126054</v>
      </c>
      <c r="AA21" s="72">
        <f>SUMPRODUCT($N21:$X21,Risk!$B$57:$L$57)-SUMPRODUCT(MMULT(Risk!$B$57:$L$57,Inputs!$D$5:$D$15))/4</f>
        <v>0.0128610407557379</v>
      </c>
      <c r="AB21" s="72">
        <f>SUMPRODUCT($N21:$X21,Risk!$B$58:$L$58)-SUMPRODUCT(MMULT(Risk!$B$58:$L$58,Inputs!$D$5:$D$15))/4</f>
        <v>0.0185755589544032</v>
      </c>
      <c r="AC21" s="72">
        <f>SUMPRODUCT($N21:$X21,Risk!$B$63:$L$63)-SUMPRODUCT(MMULT(Risk!$B$63:$L$63,Inputs!$D$5:$D$15))/4</f>
        <v>0.0157719127198726</v>
      </c>
      <c r="AD21" s="263">
        <f>SUMPRODUCT($N21:$X21,Risk!$B$64:$L$64)-SUMPRODUCT(MMULT(Risk!$B$64:$L$64,Inputs!$D$5:$D$15))/4</f>
        <v>0.0164790832497183</v>
      </c>
      <c r="AF21" s="734">
        <f>O21-$X21</f>
        <v>0.0164943938422248</v>
      </c>
      <c r="AG21" s="433">
        <f>Q21-$X21</f>
        <v>0.0290756285150551</v>
      </c>
      <c r="AH21" s="433">
        <f>S21-$X21</f>
        <v>-0.0207117299972463</v>
      </c>
      <c r="AI21" s="433">
        <f>U21-$X21</f>
        <v>-0.00550763427183668</v>
      </c>
      <c r="AJ21" s="666">
        <f>T21-$X21</f>
        <v>-0.109341536733274</v>
      </c>
    </row>
    <row r="22">
      <c r="A22" s="660">
        <f>Data!A308</f>
        <v>40359.0</v>
      </c>
      <c r="B22" s="72">
        <f>Data!B308/Data!B305-1</f>
        <v>-0.110358206545144</v>
      </c>
      <c r="C22" s="72">
        <f>Data!C308/Data!C305-1</f>
        <v>-0.0331681656083106</v>
      </c>
      <c r="D22" s="72">
        <f>Data!D308/Data!D305-1</f>
        <v>0.0265940071793447</v>
      </c>
      <c r="E22" s="72">
        <f>Data!E308/Data!E305-1</f>
        <v>0.0373919834443157</v>
      </c>
      <c r="F22" s="72">
        <f>Data!F308/Data!F305-1</f>
        <v>-0.0264369364151482</v>
      </c>
      <c r="G22" s="72">
        <f>Data!G308/Data!G305-1</f>
        <v>0.022608323804113</v>
      </c>
      <c r="H22" s="72">
        <f>Data!H308/Data!H305-1</f>
        <v>0.0122760864340001</v>
      </c>
      <c r="I22" s="72">
        <f>Data!I308/Data!I305-1</f>
        <v>0.0216999662935713</v>
      </c>
      <c r="J22" s="72">
        <f>Data!J308/Data!J305-1</f>
        <v>0.0360045380754988</v>
      </c>
      <c r="K22" s="72">
        <f>Data!K308/Data!K305-1</f>
        <v>0.0248238335839937</v>
      </c>
      <c r="L22" s="211">
        <f>Data!L308/Data!L305-1</f>
        <v>0.0112079701120797</v>
      </c>
      <c r="N22" s="394">
        <f>B22</f>
        <v>-0.110358206545144</v>
      </c>
      <c r="O22" s="72">
        <f>C22</f>
        <v>-0.0331681656083106</v>
      </c>
      <c r="P22" s="72">
        <f>D22</f>
        <v>0.0265940071793447</v>
      </c>
      <c r="Q22" s="72">
        <f>E22</f>
        <v>0.0373919834443157</v>
      </c>
      <c r="R22" s="72">
        <f>F22</f>
        <v>-0.0264369364151482</v>
      </c>
      <c r="S22" s="72">
        <f>(G22-Inputs!$B$39*G21)/(1-Inputs!$B$39)</f>
        <v>0.000813059644262906</v>
      </c>
      <c r="T22" s="72">
        <f>H22</f>
        <v>0.0122760864340001</v>
      </c>
      <c r="U22" s="72">
        <f>(I22-Inputs!$B$40*I21)/(1-Inputs!$B$40)</f>
        <v>0.0230253284437453</v>
      </c>
      <c r="V22" s="72">
        <f>J22</f>
        <v>0.0360045380754988</v>
      </c>
      <c r="W22" s="72">
        <f>K22</f>
        <v>0.0248238335839937</v>
      </c>
      <c r="X22" s="145">
        <f>L22</f>
        <v>0.0112079701120797</v>
      </c>
      <c r="Z22" s="395">
        <f>SUMPRODUCT($N22:$X22,Risk!$B$56:$L$56)-SUMPRODUCT(MMULT(Risk!$B$56:$L$56,Inputs!$D$5:$D$15))/4</f>
        <v>-0.0391465720893984</v>
      </c>
      <c r="AA22" s="72">
        <f>SUMPRODUCT($N22:$X22,Risk!$B$57:$L$57)-SUMPRODUCT(MMULT(Risk!$B$57:$L$57,Inputs!$D$5:$D$15))/4</f>
        <v>-0.0243011994973841</v>
      </c>
      <c r="AB22" s="72">
        <f>SUMPRODUCT($N22:$X22,Risk!$B$58:$L$58)-SUMPRODUCT(MMULT(Risk!$B$58:$L$58,Inputs!$D$5:$D$15))/4</f>
        <v>-0.0276743330379564</v>
      </c>
      <c r="AC22" s="72">
        <f>SUMPRODUCT($N22:$X22,Risk!$B$63:$L$63)-SUMPRODUCT(MMULT(Risk!$B$63:$L$63,Inputs!$D$5:$D$15))/4</f>
        <v>-0.0288691952068377</v>
      </c>
      <c r="AD22" s="263">
        <f>SUMPRODUCT($N22:$X22,Risk!$B$64:$L$64)-SUMPRODUCT(MMULT(Risk!$B$64:$L$64,Inputs!$D$5:$D$15))/4</f>
        <v>-0.015889296741327</v>
      </c>
      <c r="AF22" s="734">
        <f>O22-$X22</f>
        <v>-0.0443761357203903</v>
      </c>
      <c r="AG22" s="433">
        <f>Q22-$X22</f>
        <v>0.026184013332236</v>
      </c>
      <c r="AH22" s="433">
        <f>S22-$X22</f>
        <v>-0.0103949104678168</v>
      </c>
      <c r="AI22" s="433">
        <f>U22-$X22</f>
        <v>0.0118173583316656</v>
      </c>
      <c r="AJ22" s="666">
        <f>T22-$X22</f>
        <v>0.00106811632192039</v>
      </c>
    </row>
    <row r="23">
      <c r="A23" s="660">
        <f>Data!A311</f>
        <v>40451.0</v>
      </c>
      <c r="B23" s="72">
        <f>Data!B311/Data!B308-1</f>
        <v>0.0868241787926227</v>
      </c>
      <c r="C23" s="72">
        <f>Data!C311/Data!C308-1</f>
        <v>-0.0456949863068341</v>
      </c>
      <c r="D23" s="72">
        <f>Data!D311/Data!D308-1</f>
        <v>-0.0153130588377735</v>
      </c>
      <c r="E23" s="72">
        <f>Data!E311/Data!E308-1</f>
        <v>-0.0182189161643512</v>
      </c>
      <c r="F23" s="72">
        <f>Data!F311/Data!F308-1</f>
        <v>-0.0555532014218764</v>
      </c>
      <c r="G23" s="72">
        <f>Data!G311/Data!G308-1</f>
        <v>-0.00950086372330572</v>
      </c>
      <c r="H23" s="72">
        <f>Data!H311/Data!H308-1</f>
        <v>0.0948139756999997</v>
      </c>
      <c r="I23" s="72">
        <f>Data!I311/Data!I308-1</f>
        <v>0.0495995631598107</v>
      </c>
      <c r="J23" s="72">
        <f>Data!J311/Data!J308-1</f>
        <v>0.0127635824596746</v>
      </c>
      <c r="K23" s="72">
        <f>Data!K311/Data!K308-1</f>
        <v>0.0433004649935691</v>
      </c>
      <c r="L23" s="211">
        <f>Data!L311/Data!L308-1</f>
        <v>0.0120435255209419</v>
      </c>
      <c r="N23" s="394">
        <f>B23</f>
        <v>0.0868241787926227</v>
      </c>
      <c r="O23" s="72">
        <f>C23</f>
        <v>-0.0456949863068341</v>
      </c>
      <c r="P23" s="72">
        <f>D23</f>
        <v>-0.0153130588377735</v>
      </c>
      <c r="Q23" s="72">
        <f>E23</f>
        <v>-0.0182189161643512</v>
      </c>
      <c r="R23" s="72">
        <f>F23</f>
        <v>-0.0555532014218764</v>
      </c>
      <c r="S23" s="72">
        <f>(G23-Inputs!$B$39*G22)/(1-Inputs!$B$39)</f>
        <v>-0.069132211988512</v>
      </c>
      <c r="T23" s="72">
        <f>H23</f>
        <v>0.0948139756999997</v>
      </c>
      <c r="U23" s="72">
        <f>(I23-Inputs!$B$40*I22)/(1-Inputs!$B$40)</f>
        <v>0.0584099621702021</v>
      </c>
      <c r="V23" s="72">
        <f>J23</f>
        <v>0.0127635824596746</v>
      </c>
      <c r="W23" s="72">
        <f>K23</f>
        <v>0.0433004649935691</v>
      </c>
      <c r="X23" s="145">
        <f>L23</f>
        <v>0.0120435255209419</v>
      </c>
      <c r="Z23" s="395">
        <f>SUMPRODUCT($N23:$X23,Risk!$B$56:$L$56)-SUMPRODUCT(MMULT(Risk!$B$56:$L$56,Inputs!$D$5:$D$15))/4</f>
        <v>0.0297104039941498</v>
      </c>
      <c r="AA23" s="72">
        <f>SUMPRODUCT($N23:$X23,Risk!$B$57:$L$57)-SUMPRODUCT(MMULT(Risk!$B$57:$L$57,Inputs!$D$5:$D$15))/4</f>
        <v>0.0150998340553959</v>
      </c>
      <c r="AB23" s="72">
        <f>SUMPRODUCT($N23:$X23,Risk!$B$58:$L$58)-SUMPRODUCT(MMULT(Risk!$B$58:$L$58,Inputs!$D$5:$D$15))/4</f>
        <v>0.0140805986170228</v>
      </c>
      <c r="AC23" s="72">
        <f>SUMPRODUCT($N23:$X23,Risk!$B$63:$L$63)-SUMPRODUCT(MMULT(Risk!$B$63:$L$63,Inputs!$D$5:$D$15))/4</f>
        <v>0.00808138508501287</v>
      </c>
      <c r="AD23" s="263">
        <f>SUMPRODUCT($N23:$X23,Risk!$B$64:$L$64)-SUMPRODUCT(MMULT(Risk!$B$64:$L$64,Inputs!$D$5:$D$15))/4</f>
        <v>0.0168155543223999</v>
      </c>
      <c r="AF23" s="734">
        <f>O23-$X23</f>
        <v>-0.057738511827776</v>
      </c>
      <c r="AG23" s="433">
        <f>Q23-$X23</f>
        <v>-0.0302624416852931</v>
      </c>
      <c r="AH23" s="433">
        <f>S23-$X23</f>
        <v>-0.0811757375094539</v>
      </c>
      <c r="AI23" s="433">
        <f>U23-$X23</f>
        <v>0.0463664366492602</v>
      </c>
      <c r="AJ23" s="666">
        <f>T23-$X23</f>
        <v>0.0827704501790578</v>
      </c>
    </row>
    <row r="24">
      <c r="A24" s="660">
        <f>Data!A314</f>
        <v>40543.0</v>
      </c>
      <c r="B24" s="72">
        <f>Data!B314/Data!B311-1</f>
        <v>0.0531473955947333</v>
      </c>
      <c r="C24" s="72">
        <f>Data!C314/Data!C311-1</f>
        <v>0.024094983842754</v>
      </c>
      <c r="D24" s="72">
        <f>Data!D314/Data!D311-1</f>
        <v>-0.000951693320303981</v>
      </c>
      <c r="E24" s="72">
        <f>Data!E314/Data!E311-1</f>
        <v>0.00225759322686092</v>
      </c>
      <c r="F24" s="72">
        <f>Data!F314/Data!F311-1</f>
        <v>0.0712981923877096</v>
      </c>
      <c r="G24" s="72">
        <f>Data!G314/Data!G311-1</f>
        <v>0.00884225712713427</v>
      </c>
      <c r="H24" s="72">
        <f>Data!H314/Data!H311-1</f>
        <v>0.0686763097280003</v>
      </c>
      <c r="I24" s="72">
        <f>Data!I314/Data!I311-1</f>
        <v>-0.0114996098153125</v>
      </c>
      <c r="J24" s="72">
        <f>Data!J314/Data!J311-1</f>
        <v>-0.00192800507708046</v>
      </c>
      <c r="K24" s="72">
        <f>Data!K314/Data!K311-1</f>
        <v>-0.0047730433683143</v>
      </c>
      <c r="L24" s="211">
        <f>Data!L314/Data!L311-1</f>
        <v>0.0123800981495552</v>
      </c>
      <c r="N24" s="394">
        <f>B24</f>
        <v>0.0531473955947333</v>
      </c>
      <c r="O24" s="72">
        <f>C24</f>
        <v>0.024094983842754</v>
      </c>
      <c r="P24" s="72">
        <f>D24</f>
        <v>-0.000951693320303981</v>
      </c>
      <c r="Q24" s="72">
        <f>E24</f>
        <v>0.00225759322686092</v>
      </c>
      <c r="R24" s="72">
        <f>F24</f>
        <v>0.0712981923877096</v>
      </c>
      <c r="S24" s="72">
        <f>(G24-Inputs!$B$39*G23)/(1-Inputs!$B$39)</f>
        <v>0.0429080529922371</v>
      </c>
      <c r="T24" s="72">
        <f>H24</f>
        <v>0.0686763097280003</v>
      </c>
      <c r="U24" s="72">
        <f>(I24-Inputs!$B$40*I23)/(1-Inputs!$B$40)</f>
        <v>-0.0307940854916672</v>
      </c>
      <c r="V24" s="72">
        <f>J24</f>
        <v>-0.00192800507708046</v>
      </c>
      <c r="W24" s="72">
        <f>K24</f>
        <v>-0.0047730433683143</v>
      </c>
      <c r="X24" s="145">
        <f>L24</f>
        <v>0.0123800981495552</v>
      </c>
      <c r="Z24" s="395">
        <f>SUMPRODUCT($N24:$X24,Risk!$B$56:$L$56)-SUMPRODUCT(MMULT(Risk!$B$56:$L$56,Inputs!$D$5:$D$15))/4</f>
        <v>0.0262192769685718</v>
      </c>
      <c r="AA24" s="72">
        <f>SUMPRODUCT($N24:$X24,Risk!$B$57:$L$57)-SUMPRODUCT(MMULT(Risk!$B$57:$L$57,Inputs!$D$5:$D$15))/4</f>
        <v>0.0226384064348523</v>
      </c>
      <c r="AB24" s="72">
        <f>SUMPRODUCT($N24:$X24,Risk!$B$58:$L$58)-SUMPRODUCT(MMULT(Risk!$B$58:$L$58,Inputs!$D$5:$D$15))/4</f>
        <v>0.0222139339054366</v>
      </c>
      <c r="AC24" s="72">
        <f>SUMPRODUCT($N24:$X24,Risk!$B$63:$L$63)-SUMPRODUCT(MMULT(Risk!$B$63:$L$63,Inputs!$D$5:$D$15))/4</f>
        <v>0.0244738564266298</v>
      </c>
      <c r="AD24" s="263">
        <f>SUMPRODUCT($N24:$X24,Risk!$B$64:$L$64)-SUMPRODUCT(MMULT(Risk!$B$64:$L$64,Inputs!$D$5:$D$15))/4</f>
        <v>0.0185900042765364</v>
      </c>
      <c r="AF24" s="734">
        <f>O24-$X24</f>
        <v>0.0117148856931988</v>
      </c>
      <c r="AG24" s="433">
        <f>Q24-$X24</f>
        <v>-0.0101225049226943</v>
      </c>
      <c r="AH24" s="433">
        <f>S24-$X24</f>
        <v>0.0305279548426819</v>
      </c>
      <c r="AI24" s="433">
        <f>U24-$X24</f>
        <v>-0.0431741836412224</v>
      </c>
      <c r="AJ24" s="666">
        <f>T24-$X24</f>
        <v>0.0562962115784451</v>
      </c>
    </row>
    <row r="25">
      <c r="A25" s="660">
        <f>Data!A317</f>
        <v>40633.0</v>
      </c>
      <c r="B25" s="72">
        <f>Data!B317/Data!B314-1</f>
        <v>0.0292090075607123</v>
      </c>
      <c r="C25" s="72">
        <f>Data!C317/Data!C314-1</f>
        <v>0.0278498059810743</v>
      </c>
      <c r="D25" s="72">
        <f>Data!D317/Data!D314-1</f>
        <v>-0.00182634819916039</v>
      </c>
      <c r="E25" s="72">
        <f>Data!E317/Data!E314-1</f>
        <v>0.0393939406126111</v>
      </c>
      <c r="F25" s="72">
        <f>Data!F317/Data!F314-1</f>
        <v>0.105820840649724</v>
      </c>
      <c r="G25" s="72">
        <f>Data!G317/Data!G314-1</f>
        <v>-0.0057132728531043</v>
      </c>
      <c r="H25" s="72">
        <f>Data!H317/Data!H314-1</f>
        <v>0.0127119770879998</v>
      </c>
      <c r="I25" s="72">
        <f>Data!I317/Data!I314-1</f>
        <v>0.0149008256307357</v>
      </c>
      <c r="J25" s="72">
        <f>Data!J317/Data!J314-1</f>
        <v>0.0204022826603134</v>
      </c>
      <c r="K25" s="72">
        <f>Data!K317/Data!K314-1</f>
        <v>0.00956010798793083</v>
      </c>
      <c r="L25" s="211">
        <f>Data!L317/Data!L314-1</f>
        <v>0.0122315271491933</v>
      </c>
      <c r="N25" s="394">
        <f>B25</f>
        <v>0.0292090075607123</v>
      </c>
      <c r="O25" s="72">
        <f>C25</f>
        <v>0.0278498059810743</v>
      </c>
      <c r="P25" s="72">
        <f>D25</f>
        <v>-0.00182634819916039</v>
      </c>
      <c r="Q25" s="72">
        <f>E25</f>
        <v>0.0393939406126111</v>
      </c>
      <c r="R25" s="72">
        <f>F25</f>
        <v>0.105820840649724</v>
      </c>
      <c r="S25" s="72">
        <f>(G25-Inputs!$B$39*G24)/(1-Inputs!$B$39)</f>
        <v>-0.0327449713878331</v>
      </c>
      <c r="T25" s="72">
        <f>H25</f>
        <v>0.0127119770879998</v>
      </c>
      <c r="U25" s="72">
        <f>(I25-Inputs!$B$40*I24)/(1-Inputs!$B$40)</f>
        <v>0.0232378052452772</v>
      </c>
      <c r="V25" s="72">
        <f>J25</f>
        <v>0.0204022826603134</v>
      </c>
      <c r="W25" s="72">
        <f>K25</f>
        <v>0.00956010798793083</v>
      </c>
      <c r="X25" s="145">
        <f>L25</f>
        <v>0.0122315271491933</v>
      </c>
      <c r="Z25" s="395">
        <f>SUMPRODUCT($N25:$X25,Risk!$B$56:$L$56)-SUMPRODUCT(MMULT(Risk!$B$56:$L$56,Inputs!$D$5:$D$15))/4</f>
        <v>0.0255943162202859</v>
      </c>
      <c r="AA25" s="72">
        <f>SUMPRODUCT($N25:$X25,Risk!$B$57:$L$57)-SUMPRODUCT(MMULT(Risk!$B$57:$L$57,Inputs!$D$5:$D$15))/4</f>
        <v>0.0216765297017371</v>
      </c>
      <c r="AB25" s="72">
        <f>SUMPRODUCT($N25:$X25,Risk!$B$58:$L$58)-SUMPRODUCT(MMULT(Risk!$B$58:$L$58,Inputs!$D$5:$D$15))/4</f>
        <v>0.0252347020846916</v>
      </c>
      <c r="AC25" s="72">
        <f>SUMPRODUCT($N25:$X25,Risk!$B$63:$L$63)-SUMPRODUCT(MMULT(Risk!$B$63:$L$63,Inputs!$D$5:$D$15))/4</f>
        <v>0.0238170090901001</v>
      </c>
      <c r="AD25" s="263">
        <f>SUMPRODUCT($N25:$X25,Risk!$B$64:$L$64)-SUMPRODUCT(MMULT(Risk!$B$64:$L$64,Inputs!$D$5:$D$15))/4</f>
        <v>0.0212538804634554</v>
      </c>
      <c r="AF25" s="734">
        <f>O25-$X25</f>
        <v>0.0156182788318811</v>
      </c>
      <c r="AG25" s="433">
        <f>Q25-$X25</f>
        <v>0.0271624134634179</v>
      </c>
      <c r="AH25" s="433">
        <f>S25-$X25</f>
        <v>-0.0449764985370264</v>
      </c>
      <c r="AI25" s="433">
        <f>U25-$X25</f>
        <v>0.0110062780960839</v>
      </c>
      <c r="AJ25" s="666">
        <f>T25-$X25</f>
        <v>0.000480449938806471</v>
      </c>
    </row>
    <row r="26">
      <c r="A26" s="660">
        <f>Data!A320</f>
        <v>40724.0</v>
      </c>
      <c r="B26" s="72">
        <f>Data!B320/Data!B317-1</f>
        <v>-0.0477840929775504</v>
      </c>
      <c r="C26" s="72">
        <f>Data!C320/Data!C317-1</f>
        <v>-0.0382184392445918</v>
      </c>
      <c r="D26" s="72">
        <f>Data!D320/Data!D317-1</f>
        <v>-0.0589388262408711</v>
      </c>
      <c r="E26" s="72">
        <f>Data!E320/Data!E317-1</f>
        <v>-0.00195884690930659</v>
      </c>
      <c r="F26" s="72">
        <f>Data!F320/Data!F317-1</f>
        <v>-0.110728165254063</v>
      </c>
      <c r="G26" s="72">
        <f>Data!G320/Data!G317-1</f>
        <v>-0.0038357613154586</v>
      </c>
      <c r="H26" s="72">
        <f>Data!H320/Data!H317-1</f>
        <v>0.0439642865720005</v>
      </c>
      <c r="I26" s="72">
        <f>Data!I320/Data!I317-1</f>
        <v>0.0304984766967007</v>
      </c>
      <c r="J26" s="72">
        <f>Data!J320/Data!J317-1</f>
        <v>0.0233025545884942</v>
      </c>
      <c r="K26" s="72">
        <f>Data!K320/Data!K317-1</f>
        <v>0.0287076071226322</v>
      </c>
      <c r="L26" s="211">
        <f>Data!L320/Data!L317-1</f>
        <v>0.012283029544498</v>
      </c>
      <c r="N26" s="394">
        <f>B26</f>
        <v>-0.0477840929775504</v>
      </c>
      <c r="O26" s="72">
        <f>C26</f>
        <v>-0.0382184392445918</v>
      </c>
      <c r="P26" s="72">
        <f>D26</f>
        <v>-0.0589388262408711</v>
      </c>
      <c r="Q26" s="72">
        <f>E26</f>
        <v>-0.00195884690930659</v>
      </c>
      <c r="R26" s="72">
        <f>F26</f>
        <v>-0.110728165254063</v>
      </c>
      <c r="S26" s="72">
        <f>(G26-Inputs!$B$39*G25)/(1-Inputs!$B$39)</f>
        <v>-0.000348954174116575</v>
      </c>
      <c r="T26" s="72">
        <f>H26</f>
        <v>0.0439642865720005</v>
      </c>
      <c r="U26" s="72">
        <f>(I26-Inputs!$B$40*I25)/(1-Inputs!$B$40)</f>
        <v>0.0354240507175318</v>
      </c>
      <c r="V26" s="72">
        <f>J26</f>
        <v>0.0233025545884942</v>
      </c>
      <c r="W26" s="72">
        <f>K26</f>
        <v>0.0287076071226322</v>
      </c>
      <c r="X26" s="145">
        <f>L26</f>
        <v>0.012283029544498</v>
      </c>
      <c r="Z26" s="395">
        <f>SUMPRODUCT($N26:$X26,Risk!$B$56:$L$56)-SUMPRODUCT(MMULT(Risk!$B$56:$L$56,Inputs!$D$5:$D$15))/4</f>
        <v>-0.0205814059046696</v>
      </c>
      <c r="AA26" s="72">
        <f>SUMPRODUCT($N26:$X26,Risk!$B$57:$L$57)-SUMPRODUCT(MMULT(Risk!$B$57:$L$57,Inputs!$D$5:$D$15))/4</f>
        <v>-0.0169304083168547</v>
      </c>
      <c r="AB26" s="72">
        <f>SUMPRODUCT($N26:$X26,Risk!$B$58:$L$58)-SUMPRODUCT(MMULT(Risk!$B$58:$L$58,Inputs!$D$5:$D$15))/4</f>
        <v>-0.0241689148895004</v>
      </c>
      <c r="AC26" s="72">
        <f>SUMPRODUCT($N26:$X26,Risk!$B$63:$L$63)-SUMPRODUCT(MMULT(Risk!$B$63:$L$63,Inputs!$D$5:$D$15))/4</f>
        <v>-0.0256844759946087</v>
      </c>
      <c r="AD26" s="263">
        <f>SUMPRODUCT($N26:$X26,Risk!$B$64:$L$64)-SUMPRODUCT(MMULT(Risk!$B$64:$L$64,Inputs!$D$5:$D$15))/4</f>
        <v>-0.0138445374346809</v>
      </c>
      <c r="AF26" s="734">
        <f>O26-$X26</f>
        <v>-0.0505014687890898</v>
      </c>
      <c r="AG26" s="433">
        <f>Q26-$X26</f>
        <v>-0.0142418764538046</v>
      </c>
      <c r="AH26" s="433">
        <f>S26-$X26</f>
        <v>-0.0126319837186146</v>
      </c>
      <c r="AI26" s="433">
        <f>U26-$X26</f>
        <v>0.0231410211730337</v>
      </c>
      <c r="AJ26" s="666">
        <f>T26-$X26</f>
        <v>0.0316812570275025</v>
      </c>
    </row>
    <row r="27">
      <c r="A27" s="660">
        <f>Data!A323</f>
        <v>40816.0</v>
      </c>
      <c r="B27" s="72">
        <f>Data!B323/Data!B320-1</f>
        <v>-0.112769516371983</v>
      </c>
      <c r="C27" s="72">
        <f>Data!C323/Data!C320-1</f>
        <v>-0.0604356373679119</v>
      </c>
      <c r="D27" s="72">
        <f>Data!D323/Data!D320-1</f>
        <v>-0.0627840691847104</v>
      </c>
      <c r="E27" s="72">
        <f>Data!E323/Data!E320-1</f>
        <v>-0.049077779387829</v>
      </c>
      <c r="F27" s="72">
        <f>Data!F323/Data!F320-1</f>
        <v>-0.0272157756141956</v>
      </c>
      <c r="G27" s="72">
        <f>Data!G323/Data!G320-1</f>
        <v>-0.0147001867543269</v>
      </c>
      <c r="H27" s="72">
        <f>Data!H323/Data!H320-1</f>
        <v>-0.012336610868</v>
      </c>
      <c r="I27" s="72">
        <f>Data!I323/Data!I320-1</f>
        <v>0.00529433349059061</v>
      </c>
      <c r="J27" s="72">
        <f>Data!J323/Data!J320-1</f>
        <v>0.0463161951745938</v>
      </c>
      <c r="K27" s="72">
        <f>Data!K323/Data!K320-1</f>
        <v>0.0428307108888786</v>
      </c>
      <c r="L27" s="211">
        <f>Data!L323/Data!L320-1</f>
        <v>0.0123625409090096</v>
      </c>
      <c r="N27" s="394">
        <f>B27</f>
        <v>-0.112769516371983</v>
      </c>
      <c r="O27" s="72">
        <f>C27</f>
        <v>-0.0604356373679119</v>
      </c>
      <c r="P27" s="72">
        <f>D27</f>
        <v>-0.0627840691847104</v>
      </c>
      <c r="Q27" s="72">
        <f>E27</f>
        <v>-0.049077779387829</v>
      </c>
      <c r="R27" s="72">
        <f>F27</f>
        <v>-0.0272157756141956</v>
      </c>
      <c r="S27" s="72">
        <f>(G27-Inputs!$B$39*G26)/(1-Inputs!$B$39)</f>
        <v>-0.0348769768550824</v>
      </c>
      <c r="T27" s="72">
        <f>H27</f>
        <v>-0.012336610868</v>
      </c>
      <c r="U27" s="72">
        <f>(I27-Inputs!$B$40*I26)/(1-Inputs!$B$40)</f>
        <v>-0.00266486962712837</v>
      </c>
      <c r="V27" s="72">
        <f>J27</f>
        <v>0.0463161951745938</v>
      </c>
      <c r="W27" s="72">
        <f>K27</f>
        <v>0.0428307108888786</v>
      </c>
      <c r="X27" s="145">
        <f>L27</f>
        <v>0.0123625409090096</v>
      </c>
      <c r="Z27" s="395">
        <f>SUMPRODUCT($N27:$X27,Risk!$B$56:$L$56)-SUMPRODUCT(MMULT(Risk!$B$56:$L$56,Inputs!$D$5:$D$15))/4</f>
        <v>-0.0511434479502285</v>
      </c>
      <c r="AA27" s="72">
        <f>SUMPRODUCT($N27:$X27,Risk!$B$57:$L$57)-SUMPRODUCT(MMULT(Risk!$B$57:$L$57,Inputs!$D$5:$D$15))/4</f>
        <v>-0.0400325857143858</v>
      </c>
      <c r="AB27" s="72">
        <f>SUMPRODUCT($N27:$X27,Risk!$B$58:$L$58)-SUMPRODUCT(MMULT(Risk!$B$58:$L$58,Inputs!$D$5:$D$15))/4</f>
        <v>-0.0458827363827122</v>
      </c>
      <c r="AC27" s="72">
        <f>SUMPRODUCT($N27:$X27,Risk!$B$63:$L$63)-SUMPRODUCT(MMULT(Risk!$B$63:$L$63,Inputs!$D$5:$D$15))/4</f>
        <v>-0.0493130519525171</v>
      </c>
      <c r="AD27" s="263">
        <f>SUMPRODUCT($N27:$X27,Risk!$B$64:$L$64)-SUMPRODUCT(MMULT(Risk!$B$64:$L$64,Inputs!$D$5:$D$15))/4</f>
        <v>-0.0299340485379399</v>
      </c>
      <c r="AF27" s="734">
        <f>O27-$X27</f>
        <v>-0.0727981782769215</v>
      </c>
      <c r="AG27" s="433">
        <f>Q27-$X27</f>
        <v>-0.0614403202968385</v>
      </c>
      <c r="AH27" s="433">
        <f>S27-$X27</f>
        <v>-0.047239517764092</v>
      </c>
      <c r="AI27" s="433">
        <f>U27-$X27</f>
        <v>-0.0150274105361379</v>
      </c>
      <c r="AJ27" s="666">
        <f>T27-$X27</f>
        <v>-0.0246991517770095</v>
      </c>
    </row>
    <row r="28">
      <c r="A28" s="660">
        <f>Data!A326</f>
        <v>40907.0</v>
      </c>
      <c r="B28" s="72">
        <f>Data!B326/Data!B323-1</f>
        <v>0.0186078659798046</v>
      </c>
      <c r="C28" s="72">
        <f>Data!C326/Data!C323-1</f>
        <v>0.0230648538255336</v>
      </c>
      <c r="D28" s="72">
        <f>Data!D326/Data!D323-1</f>
        <v>-0.00587049695200737</v>
      </c>
      <c r="E28" s="72">
        <f>Data!E326/Data!E323-1</f>
        <v>0.0339760377741851</v>
      </c>
      <c r="F28" s="72">
        <f>Data!F326/Data!F323-1</f>
        <v>0.0329063776393737</v>
      </c>
      <c r="G28" s="72">
        <f>Data!G326/Data!G323-1</f>
        <v>-0.00500871707409478</v>
      </c>
      <c r="H28" s="72">
        <f>Data!H326/Data!H323-1</f>
        <v>0.0582016628800002</v>
      </c>
      <c r="I28" s="72">
        <f>Data!I326/Data!I323-1</f>
        <v>0.0242048180206487</v>
      </c>
      <c r="J28" s="72">
        <f>Data!J326/Data!J323-1</f>
        <v>0.0194005242429198</v>
      </c>
      <c r="K28" s="72">
        <f>Data!K326/Data!K323-1</f>
        <v>0.0204111557523679</v>
      </c>
      <c r="L28" s="211">
        <f>Data!L326/Data!L323-1</f>
        <v>0.0122061347557278</v>
      </c>
      <c r="N28" s="394">
        <f>B28</f>
        <v>0.0186078659798046</v>
      </c>
      <c r="O28" s="72">
        <f>C28</f>
        <v>0.0230648538255336</v>
      </c>
      <c r="P28" s="72">
        <f>D28</f>
        <v>-0.00587049695200737</v>
      </c>
      <c r="Q28" s="72">
        <f>E28</f>
        <v>0.0339760377741851</v>
      </c>
      <c r="R28" s="72">
        <f>F28</f>
        <v>0.0329063776393737</v>
      </c>
      <c r="S28" s="72">
        <f>(G28-Inputs!$B$39*G27)/(1-Inputs!$B$39)</f>
        <v>0.0129897266177649</v>
      </c>
      <c r="T28" s="72">
        <f>H28</f>
        <v>0.0582016628800002</v>
      </c>
      <c r="U28" s="72">
        <f>(I28-Inputs!$B$40*I27)/(1-Inputs!$B$40)</f>
        <v>0.0301765499775091</v>
      </c>
      <c r="V28" s="72">
        <f>J28</f>
        <v>0.0194005242429198</v>
      </c>
      <c r="W28" s="72">
        <f>K28</f>
        <v>0.0204111557523679</v>
      </c>
      <c r="X28" s="145">
        <f>L28</f>
        <v>0.0122061347557278</v>
      </c>
      <c r="Z28" s="395">
        <f>SUMPRODUCT($N28:$X28,Risk!$B$56:$L$56)-SUMPRODUCT(MMULT(Risk!$B$56:$L$56,Inputs!$D$5:$D$15))/4</f>
        <v>0.0205711214639754</v>
      </c>
      <c r="AA28" s="72">
        <f>SUMPRODUCT($N28:$X28,Risk!$B$57:$L$57)-SUMPRODUCT(MMULT(Risk!$B$57:$L$57,Inputs!$D$5:$D$15))/4</f>
        <v>0.020831183987554</v>
      </c>
      <c r="AB28" s="72">
        <f>SUMPRODUCT($N28:$X28,Risk!$B$58:$L$58)-SUMPRODUCT(MMULT(Risk!$B$58:$L$58,Inputs!$D$5:$D$15))/4</f>
        <v>0.0197544771975872</v>
      </c>
      <c r="AC28" s="72">
        <f>SUMPRODUCT($N28:$X28,Risk!$B$63:$L$63)-SUMPRODUCT(MMULT(Risk!$B$63:$L$63,Inputs!$D$5:$D$15))/4</f>
        <v>0.0194608071538089</v>
      </c>
      <c r="AD28" s="263">
        <f>SUMPRODUCT($N28:$X28,Risk!$B$64:$L$64)-SUMPRODUCT(MMULT(Risk!$B$64:$L$64,Inputs!$D$5:$D$15))/4</f>
        <v>0.019528638174171</v>
      </c>
      <c r="AF28" s="734">
        <f>O28-$X28</f>
        <v>0.0108587190698057</v>
      </c>
      <c r="AG28" s="433">
        <f>Q28-$X28</f>
        <v>0.0217699030184573</v>
      </c>
      <c r="AH28" s="433">
        <f>S28-$X28</f>
        <v>0.000783591862037088</v>
      </c>
      <c r="AI28" s="433">
        <f>U28-$X28</f>
        <v>0.0179704152217813</v>
      </c>
      <c r="AJ28" s="666">
        <f>T28-$X28</f>
        <v>0.0459955281242723</v>
      </c>
    </row>
    <row r="29">
      <c r="A29" s="660">
        <f>Data!A329</f>
        <v>40998.0</v>
      </c>
      <c r="B29" s="72">
        <f>Data!B329/Data!B326-1</f>
        <v>0.0899947900266693</v>
      </c>
      <c r="C29" s="72">
        <f>Data!C329/Data!C326-1</f>
        <v>0.101817298787646</v>
      </c>
      <c r="D29" s="72">
        <f>Data!D329/Data!D326-1</f>
        <v>0.0959441003685906</v>
      </c>
      <c r="E29" s="72">
        <f>Data!E329/Data!E326-1</f>
        <v>0.0951950465155864</v>
      </c>
      <c r="F29" s="72">
        <f>Data!F329/Data!F326-1</f>
        <v>0.0478392942314931</v>
      </c>
      <c r="G29" s="72">
        <f>Data!G329/Data!G326-1</f>
        <v>0.00905444859160465</v>
      </c>
      <c r="H29" s="72">
        <f>Data!H329/Data!H326-1</f>
        <v>0.01798379592</v>
      </c>
      <c r="I29" s="72">
        <f>Data!I329/Data!I326-1</f>
        <v>0.015700888902465</v>
      </c>
      <c r="J29" s="72">
        <f>Data!J329/Data!J326-1</f>
        <v>0.0078440725002169</v>
      </c>
      <c r="K29" s="72">
        <f>Data!K329/Data!K326-1</f>
        <v>0.0222733151314845</v>
      </c>
      <c r="L29" s="211">
        <f>Data!L329/Data!L326-1</f>
        <v>0.0111640943163753</v>
      </c>
      <c r="N29" s="394">
        <f>B29</f>
        <v>0.0899947900266693</v>
      </c>
      <c r="O29" s="72">
        <f>C29</f>
        <v>0.101817298787646</v>
      </c>
      <c r="P29" s="72">
        <f>D29</f>
        <v>0.0959441003685906</v>
      </c>
      <c r="Q29" s="72">
        <f>E29</f>
        <v>0.0951950465155864</v>
      </c>
      <c r="R29" s="72">
        <f>F29</f>
        <v>0.0478392942314931</v>
      </c>
      <c r="S29" s="72">
        <f>(G29-Inputs!$B$39*G28)/(1-Inputs!$B$39)</f>
        <v>0.035171756256475</v>
      </c>
      <c r="T29" s="72">
        <f>H29</f>
        <v>0.01798379592</v>
      </c>
      <c r="U29" s="72">
        <f>(I29-Inputs!$B$40*I28)/(1-Inputs!$B$40)</f>
        <v>0.013015437601986</v>
      </c>
      <c r="V29" s="72">
        <f>J29</f>
        <v>0.0078440725002169</v>
      </c>
      <c r="W29" s="72">
        <f>K29</f>
        <v>0.0222733151314845</v>
      </c>
      <c r="X29" s="145">
        <f>L29</f>
        <v>0.0111640943163753</v>
      </c>
      <c r="Z29" s="395">
        <f>SUMPRODUCT($N29:$X29,Risk!$B$56:$L$56)-SUMPRODUCT(MMULT(Risk!$B$56:$L$56,Inputs!$D$5:$D$15))/4</f>
        <v>0.0693408431074531</v>
      </c>
      <c r="AA29" s="72">
        <f>SUMPRODUCT($N29:$X29,Risk!$B$57:$L$57)-SUMPRODUCT(MMULT(Risk!$B$57:$L$57,Inputs!$D$5:$D$15))/4</f>
        <v>0.0631603338299491</v>
      </c>
      <c r="AB29" s="72">
        <f>SUMPRODUCT($N29:$X29,Risk!$B$58:$L$58)-SUMPRODUCT(MMULT(Risk!$B$58:$L$58,Inputs!$D$5:$D$15))/4</f>
        <v>0.0726185586347761</v>
      </c>
      <c r="AC29" s="72">
        <f>SUMPRODUCT($N29:$X29,Risk!$B$63:$L$63)-SUMPRODUCT(MMULT(Risk!$B$63:$L$63,Inputs!$D$5:$D$15))/4</f>
        <v>0.0716543255972771</v>
      </c>
      <c r="AD29" s="263">
        <f>SUMPRODUCT($N29:$X29,Risk!$B$64:$L$64)-SUMPRODUCT(MMULT(Risk!$B$64:$L$64,Inputs!$D$5:$D$15))/4</f>
        <v>0.0587767164530783</v>
      </c>
      <c r="AF29" s="734">
        <f>O29-$X29</f>
        <v>0.0906532044712702</v>
      </c>
      <c r="AG29" s="433">
        <f>Q29-$X29</f>
        <v>0.0840309521992111</v>
      </c>
      <c r="AH29" s="433">
        <f>S29-$X29</f>
        <v>0.0240076619400997</v>
      </c>
      <c r="AI29" s="433">
        <f>U29-$X29</f>
        <v>0.00185134328561064</v>
      </c>
      <c r="AJ29" s="666">
        <f>T29-$X29</f>
        <v>0.00681970160362466</v>
      </c>
    </row>
    <row r="30">
      <c r="A30" s="660">
        <f>Data!A332</f>
        <v>41089.0</v>
      </c>
      <c r="B30" s="72">
        <f>Data!B332/Data!B329-1</f>
        <v>-0.056353412457915</v>
      </c>
      <c r="C30" s="72">
        <f>Data!C332/Data!C329-1</f>
        <v>-0.0302820794507146</v>
      </c>
      <c r="D30" s="72">
        <f>Data!D332/Data!D329-1</f>
        <v>-0.0412418854747008</v>
      </c>
      <c r="E30" s="72">
        <f>Data!E332/Data!E329-1</f>
        <v>0.0501744949017047</v>
      </c>
      <c r="F30" s="72">
        <f>Data!F332/Data!F329-1</f>
        <v>-0.114529032448803</v>
      </c>
      <c r="G30" s="72">
        <f>Data!G332/Data!G329-1</f>
        <v>0.0070122500481884</v>
      </c>
      <c r="H30" s="72">
        <f>Data!H332/Data!H329-1</f>
        <v>0.0101043133280001</v>
      </c>
      <c r="I30" s="72">
        <f>Data!I332/Data!I329-1</f>
        <v>-0.00210519984361368</v>
      </c>
      <c r="J30" s="72">
        <f>Data!J332/Data!J329-1</f>
        <v>0.0456913724191044</v>
      </c>
      <c r="K30" s="72">
        <f>Data!K332/Data!K329-1</f>
        <v>0.0257660950238965</v>
      </c>
      <c r="L30" s="211">
        <f>Data!L332/Data!L329-1</f>
        <v>0.0104668004305248</v>
      </c>
      <c r="N30" s="394">
        <f>B30</f>
        <v>-0.056353412457915</v>
      </c>
      <c r="O30" s="72">
        <f>C30</f>
        <v>-0.0302820794507146</v>
      </c>
      <c r="P30" s="72">
        <f>D30</f>
        <v>-0.0412418854747008</v>
      </c>
      <c r="Q30" s="72">
        <f>E30</f>
        <v>0.0501744949017047</v>
      </c>
      <c r="R30" s="72">
        <f>F30</f>
        <v>-0.114529032448803</v>
      </c>
      <c r="S30" s="72">
        <f>(G30-Inputs!$B$39*G29)/(1-Inputs!$B$39)</f>
        <v>0.00321959561041536</v>
      </c>
      <c r="T30" s="72">
        <f>H30</f>
        <v>0.0101043133280001</v>
      </c>
      <c r="U30" s="72">
        <f>(I30-Inputs!$B$40*I29)/(1-Inputs!$B$40)</f>
        <v>-0.00772817523711222</v>
      </c>
      <c r="V30" s="72">
        <f>J30</f>
        <v>0.0456913724191044</v>
      </c>
      <c r="W30" s="72">
        <f>K30</f>
        <v>0.0257660950238965</v>
      </c>
      <c r="X30" s="145">
        <f>L30</f>
        <v>0.0104668004305248</v>
      </c>
      <c r="Z30" s="395">
        <f>SUMPRODUCT($N30:$X30,Risk!$B$56:$L$56)-SUMPRODUCT(MMULT(Risk!$B$56:$L$56,Inputs!$D$5:$D$15))/4</f>
        <v>-0.0142126618882244</v>
      </c>
      <c r="AA30" s="72">
        <f>SUMPRODUCT($N30:$X30,Risk!$B$57:$L$57)-SUMPRODUCT(MMULT(Risk!$B$57:$L$57,Inputs!$D$5:$D$15))/4</f>
        <v>-0.0124393442252816</v>
      </c>
      <c r="AB30" s="72">
        <f>SUMPRODUCT($N30:$X30,Risk!$B$58:$L$58)-SUMPRODUCT(MMULT(Risk!$B$58:$L$58,Inputs!$D$5:$D$15))/4</f>
        <v>-0.0164133235379161</v>
      </c>
      <c r="AC30" s="72">
        <f>SUMPRODUCT($N30:$X30,Risk!$B$63:$L$63)-SUMPRODUCT(MMULT(Risk!$B$63:$L$63,Inputs!$D$5:$D$15))/4</f>
        <v>-0.0176411383538926</v>
      </c>
      <c r="AD30" s="263">
        <f>SUMPRODUCT($N30:$X30,Risk!$B$64:$L$64)-SUMPRODUCT(MMULT(Risk!$B$64:$L$64,Inputs!$D$5:$D$15))/4</f>
        <v>-0.00626009072971971</v>
      </c>
      <c r="AF30" s="734">
        <f>O30-$X30</f>
        <v>-0.0407488798812394</v>
      </c>
      <c r="AG30" s="433">
        <f>Q30-$X30</f>
        <v>0.0397076944711798</v>
      </c>
      <c r="AH30" s="433">
        <f>S30-$X30</f>
        <v>-0.00724720482010948</v>
      </c>
      <c r="AI30" s="433">
        <f>U30-$X30</f>
        <v>-0.0181949756676371</v>
      </c>
      <c r="AJ30" s="666">
        <f>T30-$X30</f>
        <v>-0.000362487102524733</v>
      </c>
    </row>
    <row r="31">
      <c r="A31" s="660">
        <f>Data!A335</f>
        <v>41180.0</v>
      </c>
      <c r="B31" s="72">
        <f>Data!B335/Data!B332-1</f>
        <v>0.0820121860142113</v>
      </c>
      <c r="C31" s="72">
        <f>Data!C335/Data!C332-1</f>
        <v>0.0421623085251697</v>
      </c>
      <c r="D31" s="72">
        <f>Data!D335/Data!D332-1</f>
        <v>0.045324508949989</v>
      </c>
      <c r="E31" s="72">
        <f>Data!E335/Data!E332-1</f>
        <v>0.0128146611721089</v>
      </c>
      <c r="F31" s="72">
        <f>Data!F335/Data!F332-1</f>
        <v>0.099424395929596</v>
      </c>
      <c r="G31" s="72">
        <f>Data!G335/Data!G332-1</f>
        <v>0.00100156678670649</v>
      </c>
      <c r="H31" s="72">
        <f>Data!H335/Data!H332-1</f>
        <v>-0.0280121487040002</v>
      </c>
      <c r="I31" s="72">
        <f>Data!I335/Data!I332-1</f>
        <v>0.0318053504515636</v>
      </c>
      <c r="J31" s="72">
        <f>Data!J335/Data!J332-1</f>
        <v>0.0198423637483254</v>
      </c>
      <c r="K31" s="72">
        <f>Data!K335/Data!K332-1</f>
        <v>0.0285996190371782</v>
      </c>
      <c r="L31" s="211">
        <f>Data!L335/Data!L332-1</f>
        <v>0.0090762406847551</v>
      </c>
      <c r="N31" s="394">
        <f>B31</f>
        <v>0.0820121860142113</v>
      </c>
      <c r="O31" s="72">
        <f>C31</f>
        <v>0.0421623085251697</v>
      </c>
      <c r="P31" s="72">
        <f>D31</f>
        <v>0.045324508949989</v>
      </c>
      <c r="Q31" s="72">
        <f>E31</f>
        <v>0.0128146611721089</v>
      </c>
      <c r="R31" s="72">
        <f>F31</f>
        <v>0.099424395929596</v>
      </c>
      <c r="S31" s="72">
        <f>(G31-Inputs!$B$39*G30)/(1-Inputs!$B$39)</f>
        <v>-0.0101611306989028</v>
      </c>
      <c r="T31" s="72">
        <f>H31</f>
        <v>-0.0280121487040002</v>
      </c>
      <c r="U31" s="72">
        <f>(I31-Inputs!$B$40*I30)/(1-Inputs!$B$40)</f>
        <v>0.0425139452816196</v>
      </c>
      <c r="V31" s="72">
        <f>J31</f>
        <v>0.0198423637483254</v>
      </c>
      <c r="W31" s="72">
        <f>K31</f>
        <v>0.0285996190371782</v>
      </c>
      <c r="X31" s="145">
        <f>L31</f>
        <v>0.0090762406847551</v>
      </c>
      <c r="Z31" s="395">
        <f>SUMPRODUCT($N31:$X31,Risk!$B$56:$L$56)-SUMPRODUCT(MMULT(Risk!$B$56:$L$56,Inputs!$D$5:$D$15))/4</f>
        <v>0.0481384631610853</v>
      </c>
      <c r="AA31" s="72">
        <f>SUMPRODUCT($N31:$X31,Risk!$B$57:$L$57)-SUMPRODUCT(MMULT(Risk!$B$57:$L$57,Inputs!$D$5:$D$15))/4</f>
        <v>0.040145423620514</v>
      </c>
      <c r="AB31" s="72">
        <f>SUMPRODUCT($N31:$X31,Risk!$B$58:$L$58)-SUMPRODUCT(MMULT(Risk!$B$58:$L$58,Inputs!$D$5:$D$15))/4</f>
        <v>0.0467173383523431</v>
      </c>
      <c r="AC31" s="72">
        <f>SUMPRODUCT($N31:$X31,Risk!$B$63:$L$63)-SUMPRODUCT(MMULT(Risk!$B$63:$L$63,Inputs!$D$5:$D$15))/4</f>
        <v>0.044750282959367</v>
      </c>
      <c r="AD31" s="263">
        <f>SUMPRODUCT($N31:$X31,Risk!$B$64:$L$64)-SUMPRODUCT(MMULT(Risk!$B$64:$L$64,Inputs!$D$5:$D$15))/4</f>
        <v>0.040467411835756</v>
      </c>
      <c r="AF31" s="734">
        <f>O31-$X31</f>
        <v>0.0330860678404146</v>
      </c>
      <c r="AG31" s="433">
        <f>Q31-$X31</f>
        <v>0.00373842048735384</v>
      </c>
      <c r="AH31" s="433">
        <f>S31-$X31</f>
        <v>-0.0192373713836579</v>
      </c>
      <c r="AI31" s="433">
        <f>U31-$X31</f>
        <v>0.0334377045968645</v>
      </c>
      <c r="AJ31" s="666">
        <f>T31-$X31</f>
        <v>-0.0370883893887553</v>
      </c>
    </row>
    <row r="32">
      <c r="A32" s="660">
        <f>Data!A338</f>
        <v>41274.0</v>
      </c>
      <c r="B32" s="72">
        <f>Data!B338/Data!B335-1</f>
        <v>0.0678240194500455</v>
      </c>
      <c r="C32" s="72">
        <f>Data!C338/Data!C335-1</f>
        <v>0.0324118407994898</v>
      </c>
      <c r="D32" s="72">
        <f>Data!D338/Data!D335-1</f>
        <v>0.0553552908796975</v>
      </c>
      <c r="E32" s="72">
        <f>Data!E338/Data!E335-1</f>
        <v>0.0482090795491184</v>
      </c>
      <c r="F32" s="72">
        <f>Data!F338/Data!F335-1</f>
        <v>-0.0312162796970557</v>
      </c>
      <c r="G32" s="72">
        <f>Data!G338/Data!G335-1</f>
        <v>0.0250221332984517</v>
      </c>
      <c r="H32" s="72">
        <f>Data!H338/Data!H335-1</f>
        <v>-0.0128245717480001</v>
      </c>
      <c r="I32" s="72">
        <f>Data!I338/Data!I335-1</f>
        <v>0.0125013387337038</v>
      </c>
      <c r="J32" s="72">
        <f>Data!J338/Data!J335-1</f>
        <v>0.00207768805094055</v>
      </c>
      <c r="K32" s="72">
        <f>Data!K338/Data!K335-1</f>
        <v>0.0166933120170529</v>
      </c>
      <c r="L32" s="211">
        <f>Data!L338/Data!L335-1</f>
        <v>0.00840686571559979</v>
      </c>
      <c r="N32" s="394">
        <f>B32</f>
        <v>0.0678240194500455</v>
      </c>
      <c r="O32" s="72">
        <f>C32</f>
        <v>0.0324118407994898</v>
      </c>
      <c r="P32" s="72">
        <f>D32</f>
        <v>0.0553552908796975</v>
      </c>
      <c r="Q32" s="72">
        <f>E32</f>
        <v>0.0482090795491184</v>
      </c>
      <c r="R32" s="72">
        <f>F32</f>
        <v>-0.0312162796970557</v>
      </c>
      <c r="S32" s="72">
        <f>(G32-Inputs!$B$39*G31)/(1-Inputs!$B$39)</f>
        <v>0.0696317568202643</v>
      </c>
      <c r="T32" s="72">
        <f>H32</f>
        <v>-0.0128245717480001</v>
      </c>
      <c r="U32" s="72">
        <f>(I32-Inputs!$B$40*I31)/(1-Inputs!$B$40)</f>
        <v>0.00640533503332708</v>
      </c>
      <c r="V32" s="72">
        <f>J32</f>
        <v>0.00207768805094055</v>
      </c>
      <c r="W32" s="72">
        <f>K32</f>
        <v>0.0166933120170529</v>
      </c>
      <c r="X32" s="145">
        <f>L32</f>
        <v>0.00840686571559979</v>
      </c>
      <c r="Z32" s="395">
        <f>SUMPRODUCT($N32:$X32,Risk!$B$56:$L$56)-SUMPRODUCT(MMULT(Risk!$B$56:$L$56,Inputs!$D$5:$D$15))/4</f>
        <v>0.0403884826639253</v>
      </c>
      <c r="AA32" s="72">
        <f>SUMPRODUCT($N32:$X32,Risk!$B$57:$L$57)-SUMPRODUCT(MMULT(Risk!$B$57:$L$57,Inputs!$D$5:$D$15))/4</f>
        <v>0.0339691727153255</v>
      </c>
      <c r="AB32" s="72">
        <f>SUMPRODUCT($N32:$X32,Risk!$B$58:$L$58)-SUMPRODUCT(MMULT(Risk!$B$58:$L$58,Inputs!$D$5:$D$15))/4</f>
        <v>0.0369874984273192</v>
      </c>
      <c r="AC32" s="72">
        <f>SUMPRODUCT($N32:$X32,Risk!$B$63:$L$63)-SUMPRODUCT(MMULT(Risk!$B$63:$L$63,Inputs!$D$5:$D$15))/4</f>
        <v>0.0382743945470771</v>
      </c>
      <c r="AD32" s="263">
        <f>SUMPRODUCT($N32:$X32,Risk!$B$64:$L$64)-SUMPRODUCT(MMULT(Risk!$B$64:$L$64,Inputs!$D$5:$D$15))/4</f>
        <v>0.033922741465705</v>
      </c>
      <c r="AF32" s="734">
        <f>O32-$X32</f>
        <v>0.02400497508389</v>
      </c>
      <c r="AG32" s="433">
        <f>Q32-$X32</f>
        <v>0.0398022138335186</v>
      </c>
      <c r="AH32" s="433">
        <f>S32-$X32</f>
        <v>0.0612248911046645</v>
      </c>
      <c r="AI32" s="433">
        <f>U32-$X32</f>
        <v>-0.00200153068227271</v>
      </c>
      <c r="AJ32" s="666">
        <f>T32-$X32</f>
        <v>-0.0212314374635999</v>
      </c>
    </row>
    <row r="33">
      <c r="A33" s="660">
        <f>Data!A341</f>
        <v>41362.0</v>
      </c>
      <c r="B33" s="72">
        <f>Data!B341/Data!B338-1</f>
        <v>0.0804431716770802</v>
      </c>
      <c r="C33" s="72">
        <f>Data!C341/Data!C338-1</f>
        <v>0.0947320441585455</v>
      </c>
      <c r="D33" s="72">
        <f>Data!D341/Data!D338-1</f>
        <v>-0.0085563358809696</v>
      </c>
      <c r="E33" s="72">
        <f>Data!E341/Data!E338-1</f>
        <v>0.0867071093057683</v>
      </c>
      <c r="F33" s="72">
        <f>Data!F341/Data!F338-1</f>
        <v>0.00131131755166924</v>
      </c>
      <c r="G33" s="72">
        <f>Data!G341/Data!G338-1</f>
        <v>0.00985726828474398</v>
      </c>
      <c r="H33" s="72">
        <f>Data!H341/Data!H338-1</f>
        <v>0.0444879524100004</v>
      </c>
      <c r="I33" s="72">
        <f>Data!I341/Data!I338-1</f>
        <v>0.0255017164616849</v>
      </c>
      <c r="J33" s="72">
        <f>Data!J341/Data!J338-1</f>
        <v>0.00163454828493204</v>
      </c>
      <c r="K33" s="72">
        <f>Data!K341/Data!K338-1</f>
        <v>0.0126977055023394</v>
      </c>
      <c r="L33" s="211">
        <f>Data!L341/Data!L338-1</f>
        <v>0.00741147583354884</v>
      </c>
      <c r="N33" s="394">
        <f>B33</f>
        <v>0.0804431716770802</v>
      </c>
      <c r="O33" s="72">
        <f>C33</f>
        <v>0.0947320441585455</v>
      </c>
      <c r="P33" s="72">
        <f>D33</f>
        <v>-0.0085563358809696</v>
      </c>
      <c r="Q33" s="72">
        <f>E33</f>
        <v>0.0867071093057683</v>
      </c>
      <c r="R33" s="72">
        <f>F33</f>
        <v>0.00131131755166924</v>
      </c>
      <c r="S33" s="72">
        <f>(G33-Inputs!$B$39*G32)/(1-Inputs!$B$39)</f>
        <v>-0.0183060524549989</v>
      </c>
      <c r="T33" s="72">
        <f>H33</f>
        <v>0.0444879524100004</v>
      </c>
      <c r="U33" s="72">
        <f>(I33-Inputs!$B$40*I32)/(1-Inputs!$B$40)</f>
        <v>0.0296070989020999</v>
      </c>
      <c r="V33" s="72">
        <f>J33</f>
        <v>0.00163454828493204</v>
      </c>
      <c r="W33" s="72">
        <f>K33</f>
        <v>0.0126977055023394</v>
      </c>
      <c r="X33" s="145">
        <f>L33</f>
        <v>0.00741147583354884</v>
      </c>
      <c r="Z33" s="395">
        <f>SUMPRODUCT($N33:$X33,Risk!$B$56:$L$56)-SUMPRODUCT(MMULT(Risk!$B$56:$L$56,Inputs!$D$5:$D$15))/4</f>
        <v>0.0612941904243934</v>
      </c>
      <c r="AA33" s="72">
        <f>SUMPRODUCT($N33:$X33,Risk!$B$57:$L$57)-SUMPRODUCT(MMULT(Risk!$B$57:$L$57,Inputs!$D$5:$D$15))/4</f>
        <v>0.0509959950000964</v>
      </c>
      <c r="AB33" s="72">
        <f>SUMPRODUCT($N33:$X33,Risk!$B$58:$L$58)-SUMPRODUCT(MMULT(Risk!$B$58:$L$58,Inputs!$D$5:$D$15))/4</f>
        <v>0.0570784320294028</v>
      </c>
      <c r="AC33" s="72">
        <f>SUMPRODUCT($N33:$X33,Risk!$B$63:$L$63)-SUMPRODUCT(MMULT(Risk!$B$63:$L$63,Inputs!$D$5:$D$15))/4</f>
        <v>0.0547044882217622</v>
      </c>
      <c r="AD33" s="263">
        <f>SUMPRODUCT($N33:$X33,Risk!$B$64:$L$64)-SUMPRODUCT(MMULT(Risk!$B$64:$L$64,Inputs!$D$5:$D$15))/4</f>
        <v>0.0424044014663251</v>
      </c>
      <c r="AF33" s="734">
        <f>O33-$X33</f>
        <v>0.0873205683249967</v>
      </c>
      <c r="AG33" s="433">
        <f>Q33-$X33</f>
        <v>0.0792956334722195</v>
      </c>
      <c r="AH33" s="433">
        <f>S33-$X33</f>
        <v>-0.0257175282885478</v>
      </c>
      <c r="AI33" s="433">
        <f>U33-$X33</f>
        <v>0.0221956230685511</v>
      </c>
      <c r="AJ33" s="666">
        <f>T33-$X33</f>
        <v>0.0370764765764515</v>
      </c>
    </row>
    <row r="34">
      <c r="A34" s="660">
        <f>Data!A344</f>
        <v>41453.0</v>
      </c>
      <c r="B34" s="72">
        <f>Data!B344/Data!B341-1</f>
        <v>-0.0333404062317927</v>
      </c>
      <c r="C34" s="72">
        <f>Data!C344/Data!C341-1</f>
        <v>0.161090104278777</v>
      </c>
      <c r="D34" s="72">
        <f>Data!D344/Data!D341-1</f>
        <v>0.090093300274285</v>
      </c>
      <c r="E34" s="72">
        <f>Data!E344/Data!E341-1</f>
        <v>0.114766417233656</v>
      </c>
      <c r="F34" s="72">
        <f>Data!F344/Data!F341-1</f>
        <v>0.0714160043900063</v>
      </c>
      <c r="G34" s="72">
        <f>Data!G344/Data!G341-1</f>
        <v>0.0282934485298825</v>
      </c>
      <c r="H34" s="72">
        <f>Data!H344/Data!H341-1</f>
        <v>-0.0152250716620002</v>
      </c>
      <c r="I34" s="72">
        <f>Data!I344/Data!I341-1</f>
        <v>0.0613999718692859</v>
      </c>
      <c r="J34" s="72">
        <f>Data!J344/Data!J341-1</f>
        <v>0.00404754695342002</v>
      </c>
      <c r="K34" s="72">
        <f>Data!K344/Data!K341-1</f>
        <v>-0.0124090991433972</v>
      </c>
      <c r="L34" s="211">
        <f>Data!L344/Data!L341-1</f>
        <v>0.0075006253728187</v>
      </c>
      <c r="N34" s="394">
        <f>B34</f>
        <v>-0.0333404062317927</v>
      </c>
      <c r="O34" s="72">
        <f>C34</f>
        <v>0.161090104278777</v>
      </c>
      <c r="P34" s="72">
        <f>D34</f>
        <v>0.090093300274285</v>
      </c>
      <c r="Q34" s="72">
        <f>E34</f>
        <v>0.114766417233656</v>
      </c>
      <c r="R34" s="72">
        <f>F34</f>
        <v>0.0714160043900063</v>
      </c>
      <c r="S34" s="72">
        <f>(G34-Inputs!$B$39*G33)/(1-Inputs!$B$39)</f>
        <v>0.0625320689851397</v>
      </c>
      <c r="T34" s="72">
        <f>H34</f>
        <v>-0.0152250716620002</v>
      </c>
      <c r="U34" s="72">
        <f>(I34-Inputs!$B$40*I33)/(1-Inputs!$B$40)</f>
        <v>0.0727362630506336</v>
      </c>
      <c r="V34" s="72">
        <f>J34</f>
        <v>0.00404754695342002</v>
      </c>
      <c r="W34" s="72">
        <f>K34</f>
        <v>-0.0124090991433972</v>
      </c>
      <c r="X34" s="145">
        <f>L34</f>
        <v>0.0075006253728187</v>
      </c>
      <c r="Z34" s="395">
        <f>SUMPRODUCT($N34:$X34,Risk!$B$56:$L$56)-SUMPRODUCT(MMULT(Risk!$B$56:$L$56,Inputs!$D$5:$D$15))/4</f>
        <v>0.0302179479740425</v>
      </c>
      <c r="AA34" s="72">
        <f>SUMPRODUCT($N34:$X34,Risk!$B$57:$L$57)-SUMPRODUCT(MMULT(Risk!$B$57:$L$57,Inputs!$D$5:$D$15))/4</f>
        <v>0.0459249053911487</v>
      </c>
      <c r="AB34" s="72">
        <f>SUMPRODUCT($N34:$X34,Risk!$B$58:$L$58)-SUMPRODUCT(MMULT(Risk!$B$58:$L$58,Inputs!$D$5:$D$15))/4</f>
        <v>0.052266014789503</v>
      </c>
      <c r="AC34" s="72">
        <f>SUMPRODUCT($N34:$X34,Risk!$B$63:$L$63)-SUMPRODUCT(MMULT(Risk!$B$63:$L$63,Inputs!$D$5:$D$15))/4</f>
        <v>0.0556251743723093</v>
      </c>
      <c r="AD34" s="263">
        <f>SUMPRODUCT($N34:$X34,Risk!$B$64:$L$64)-SUMPRODUCT(MMULT(Risk!$B$64:$L$64,Inputs!$D$5:$D$15))/4</f>
        <v>0.0354640718504468</v>
      </c>
      <c r="AF34" s="734">
        <f>O34-$X34</f>
        <v>0.153589478905959</v>
      </c>
      <c r="AG34" s="433">
        <f>Q34-$X34</f>
        <v>0.107265791860837</v>
      </c>
      <c r="AH34" s="433">
        <f>S34-$X34</f>
        <v>0.055031443612321</v>
      </c>
      <c r="AI34" s="433">
        <f>U34-$X34</f>
        <v>0.0652356376778149</v>
      </c>
      <c r="AJ34" s="666">
        <f>T34-$X34</f>
        <v>-0.0227256970348189</v>
      </c>
    </row>
    <row r="35">
      <c r="A35" s="660">
        <f>Data!A347</f>
        <v>41547.0</v>
      </c>
      <c r="B35" s="72">
        <f>Data!B347/Data!B344-1</f>
        <v>0.107773306464281</v>
      </c>
      <c r="C35" s="72">
        <f>Data!C347/Data!C344-1</f>
        <v>0.0427331620760669</v>
      </c>
      <c r="D35" s="72">
        <f>Data!D347/Data!D344-1</f>
        <v>0.0353642232907854</v>
      </c>
      <c r="E35" s="72">
        <f>Data!E347/Data!E344-1</f>
        <v>-0.0300212147862319</v>
      </c>
      <c r="F35" s="72">
        <f>Data!F347/Data!F344-1</f>
        <v>0.0256924642984351</v>
      </c>
      <c r="G35" s="72">
        <f>Data!G347/Data!G344-1</f>
        <v>0.027671227638695</v>
      </c>
      <c r="H35" s="72">
        <f>Data!H347/Data!H344-1</f>
        <v>0.030195262029</v>
      </c>
      <c r="I35" s="72">
        <f>Data!I347/Data!I344-1</f>
        <v>0.0269981359271332</v>
      </c>
      <c r="J35" s="72">
        <f>Data!J347/Data!J344-1</f>
        <v>0.0103549644448415</v>
      </c>
      <c r="K35" s="72">
        <f>Data!K347/Data!K344-1</f>
        <v>0.014438635797859</v>
      </c>
      <c r="L35" s="211">
        <f>Data!L347/Data!L344-1</f>
        <v>0.00697240323816928</v>
      </c>
      <c r="N35" s="394">
        <f>B35</f>
        <v>0.107773306464281</v>
      </c>
      <c r="O35" s="72">
        <f>C35</f>
        <v>0.0427331620760669</v>
      </c>
      <c r="P35" s="72">
        <f>D35</f>
        <v>0.0353642232907854</v>
      </c>
      <c r="Q35" s="72">
        <f>E35</f>
        <v>-0.0300212147862319</v>
      </c>
      <c r="R35" s="72">
        <f>F35</f>
        <v>0.0256924642984351</v>
      </c>
      <c r="S35" s="72">
        <f>(G35-Inputs!$B$39*G34)/(1-Inputs!$B$39)</f>
        <v>0.0265156745550611</v>
      </c>
      <c r="T35" s="72">
        <f>H35</f>
        <v>0.030195262029</v>
      </c>
      <c r="U35" s="72">
        <f>(I35-Inputs!$B$40*I34)/(1-Inputs!$B$40)</f>
        <v>0.0161343982611902</v>
      </c>
      <c r="V35" s="72">
        <f>J35</f>
        <v>0.0103549644448415</v>
      </c>
      <c r="W35" s="72">
        <f>K35</f>
        <v>0.014438635797859</v>
      </c>
      <c r="X35" s="145">
        <f>L35</f>
        <v>0.00697240323816928</v>
      </c>
      <c r="Z35" s="395">
        <f>SUMPRODUCT($N35:$X35,Risk!$B$56:$L$56)-SUMPRODUCT(MMULT(Risk!$B$56:$L$56,Inputs!$D$5:$D$15))/4</f>
        <v>0.0515702372795294</v>
      </c>
      <c r="AA35" s="72">
        <f>SUMPRODUCT($N35:$X35,Risk!$B$57:$L$57)-SUMPRODUCT(MMULT(Risk!$B$57:$L$57,Inputs!$D$5:$D$15))/4</f>
        <v>0.0417903670576285</v>
      </c>
      <c r="AB35" s="72">
        <f>SUMPRODUCT($N35:$X35,Risk!$B$58:$L$58)-SUMPRODUCT(MMULT(Risk!$B$58:$L$58,Inputs!$D$5:$D$15))/4</f>
        <v>0.0447418250936875</v>
      </c>
      <c r="AC35" s="72">
        <f>SUMPRODUCT($N35:$X35,Risk!$B$63:$L$63)-SUMPRODUCT(MMULT(Risk!$B$63:$L$63,Inputs!$D$5:$D$15))/4</f>
        <v>0.044961152455614</v>
      </c>
      <c r="AD35" s="263">
        <f>SUMPRODUCT($N35:$X35,Risk!$B$64:$L$64)-SUMPRODUCT(MMULT(Risk!$B$64:$L$64,Inputs!$D$5:$D$15))/4</f>
        <v>0.0370178077759411</v>
      </c>
      <c r="AF35" s="734">
        <f>O35-$X35</f>
        <v>0.0357607588378976</v>
      </c>
      <c r="AG35" s="433">
        <f>Q35-$X35</f>
        <v>-0.0369936180244012</v>
      </c>
      <c r="AH35" s="433">
        <f>S35-$X35</f>
        <v>0.0195432713168919</v>
      </c>
      <c r="AI35" s="433">
        <f>U35-$X35</f>
        <v>0.00916199502302094</v>
      </c>
      <c r="AJ35" s="666">
        <f>T35-$X35</f>
        <v>0.0232228587908307</v>
      </c>
    </row>
    <row r="36">
      <c r="A36" s="660">
        <f>Data!A350</f>
        <v>41639.0</v>
      </c>
      <c r="B36" s="72">
        <f>Data!B350/Data!B347-1</f>
        <v>0.0342061994025775</v>
      </c>
      <c r="C36" s="72">
        <f>Data!C350/Data!C347-1</f>
        <v>0.134487588568324</v>
      </c>
      <c r="D36" s="72">
        <f>Data!D350/Data!D347-1</f>
        <v>0.0763822198871829</v>
      </c>
      <c r="E36" s="72">
        <f>Data!E350/Data!E347-1</f>
        <v>0.0464895084754335</v>
      </c>
      <c r="F36" s="72">
        <f>Data!F350/Data!F347-1</f>
        <v>0.0417456000429601</v>
      </c>
      <c r="G36" s="72">
        <f>Data!G350/Data!G347-1</f>
        <v>0.0428241094203139</v>
      </c>
      <c r="H36" s="72">
        <f>Data!H350/Data!H347-1</f>
        <v>0.0262867305680004</v>
      </c>
      <c r="I36" s="72">
        <f>Data!I350/Data!I347-1</f>
        <v>0.0981943930700482</v>
      </c>
      <c r="J36" s="72">
        <f>Data!J350/Data!J347-1</f>
        <v>0.00369539290954757</v>
      </c>
      <c r="K36" s="72">
        <f>Data!K350/Data!K347-1</f>
        <v>0.00799483371004239</v>
      </c>
      <c r="L36" s="211">
        <f>Data!L350/Data!L347-1</f>
        <v>0.00647271697321128</v>
      </c>
      <c r="N36" s="394">
        <f>B36</f>
        <v>0.0342061994025775</v>
      </c>
      <c r="O36" s="72">
        <f>C36</f>
        <v>0.134487588568324</v>
      </c>
      <c r="P36" s="72">
        <f>D36</f>
        <v>0.0763822198871829</v>
      </c>
      <c r="Q36" s="72">
        <f>E36</f>
        <v>0.0464895084754335</v>
      </c>
      <c r="R36" s="72">
        <f>F36</f>
        <v>0.0417456000429601</v>
      </c>
      <c r="S36" s="72">
        <f>(G36-Inputs!$B$39*G35)/(1-Inputs!$B$39)</f>
        <v>0.0709651755861775</v>
      </c>
      <c r="T36" s="72">
        <f>H36</f>
        <v>0.0262867305680004</v>
      </c>
      <c r="U36" s="72">
        <f>(I36-Inputs!$B$40*I35)/(1-Inputs!$B$40)</f>
        <v>0.120677421641495</v>
      </c>
      <c r="V36" s="72">
        <f>J36</f>
        <v>0.00369539290954757</v>
      </c>
      <c r="W36" s="72">
        <f>K36</f>
        <v>0.00799483371004239</v>
      </c>
      <c r="X36" s="145">
        <f>L36</f>
        <v>0.00647271697321128</v>
      </c>
      <c r="Z36" s="395">
        <f>SUMPRODUCT($N36:$X36,Risk!$B$56:$L$56)-SUMPRODUCT(MMULT(Risk!$B$56:$L$56,Inputs!$D$5:$D$15))/4</f>
        <v>0.0465959341435995</v>
      </c>
      <c r="AA36" s="72">
        <f>SUMPRODUCT($N36:$X36,Risk!$B$57:$L$57)-SUMPRODUCT(MMULT(Risk!$B$57:$L$57,Inputs!$D$5:$D$15))/4</f>
        <v>0.0559123668680287</v>
      </c>
      <c r="AB36" s="72">
        <f>SUMPRODUCT($N36:$X36,Risk!$B$58:$L$58)-SUMPRODUCT(MMULT(Risk!$B$58:$L$58,Inputs!$D$5:$D$15))/4</f>
        <v>0.0583404733631096</v>
      </c>
      <c r="AC36" s="72">
        <f>SUMPRODUCT($N36:$X36,Risk!$B$63:$L$63)-SUMPRODUCT(MMULT(Risk!$B$63:$L$63,Inputs!$D$5:$D$15))/4</f>
        <v>0.0612425515044213</v>
      </c>
      <c r="AD36" s="263">
        <f>SUMPRODUCT($N36:$X36,Risk!$B$64:$L$64)-SUMPRODUCT(MMULT(Risk!$B$64:$L$64,Inputs!$D$5:$D$15))/4</f>
        <v>0.0442027598940679</v>
      </c>
      <c r="AF36" s="734">
        <f>O36-$X36</f>
        <v>0.128014871595113</v>
      </c>
      <c r="AG36" s="433">
        <f>Q36-$X36</f>
        <v>0.0400167915022223</v>
      </c>
      <c r="AH36" s="433">
        <f>S36-$X36</f>
        <v>0.0644924586129663</v>
      </c>
      <c r="AI36" s="433">
        <f>U36-$X36</f>
        <v>0.114204704668284</v>
      </c>
      <c r="AJ36" s="666">
        <f>T36-$X36</f>
        <v>0.0198140135947891</v>
      </c>
    </row>
    <row r="37">
      <c r="A37" s="660">
        <f>Data!A353</f>
        <v>41729.0</v>
      </c>
      <c r="B37" s="72">
        <f>Data!B353/Data!B350-1</f>
        <v>0.0220275750182419</v>
      </c>
      <c r="C37" s="72">
        <f>Data!C353/Data!C350-1</f>
        <v>-0.0236086802449951</v>
      </c>
      <c r="D37" s="72">
        <f>Data!D353/Data!D350-1</f>
        <v>-0.0392446107308339</v>
      </c>
      <c r="E37" s="72">
        <f>Data!E353/Data!E350-1</f>
        <v>0.031150993166605</v>
      </c>
      <c r="F37" s="72">
        <f>Data!F353/Data!F350-1</f>
        <v>-0.00634639011349125</v>
      </c>
      <c r="G37" s="72">
        <f>Data!G353/Data!G350-1</f>
        <v>0.0172519964756308</v>
      </c>
      <c r="H37" s="72">
        <f>Data!H353/Data!H350-1</f>
        <v>0.0188060234</v>
      </c>
      <c r="I37" s="72">
        <f>Data!I353/Data!I350-1</f>
        <v>0.0335020052638173</v>
      </c>
      <c r="J37" s="72">
        <f>Data!J353/Data!J350-1</f>
        <v>0.0145179266721673</v>
      </c>
      <c r="K37" s="72">
        <f>Data!K353/Data!K350-1</f>
        <v>0.0267156988365538</v>
      </c>
      <c r="L37" s="211">
        <f>Data!L353/Data!L350-1</f>
        <v>0.0064298340278679</v>
      </c>
      <c r="N37" s="394">
        <f>B37</f>
        <v>0.0220275750182419</v>
      </c>
      <c r="O37" s="72">
        <f>C37</f>
        <v>-0.0236086802449951</v>
      </c>
      <c r="P37" s="72">
        <f>D37</f>
        <v>-0.0392446107308339</v>
      </c>
      <c r="Q37" s="72">
        <f>E37</f>
        <v>0.031150993166605</v>
      </c>
      <c r="R37" s="72">
        <f>F37</f>
        <v>-0.00634639011349125</v>
      </c>
      <c r="S37" s="72">
        <f>(G37-Inputs!$B$39*G36)/(1-Inputs!$B$39)</f>
        <v>-0.0302390704216378</v>
      </c>
      <c r="T37" s="72">
        <f>H37</f>
        <v>0.0188060234</v>
      </c>
      <c r="U37" s="72">
        <f>(I37-Inputs!$B$40*I36)/(1-Inputs!$B$40)</f>
        <v>0.0130728301671128</v>
      </c>
      <c r="V37" s="72">
        <f>J37</f>
        <v>0.0145179266721673</v>
      </c>
      <c r="W37" s="72">
        <f>K37</f>
        <v>0.0267156988365538</v>
      </c>
      <c r="X37" s="145">
        <f>L37</f>
        <v>0.0064298340278679</v>
      </c>
      <c r="Z37" s="395">
        <f>SUMPRODUCT($N37:$X37,Risk!$B$56:$L$56)-SUMPRODUCT(MMULT(Risk!$B$56:$L$56,Inputs!$D$5:$D$15))/4</f>
        <v>0.0116894265646584</v>
      </c>
      <c r="AA37" s="72">
        <f>SUMPRODUCT($N37:$X37,Risk!$B$57:$L$57)-SUMPRODUCT(MMULT(Risk!$B$57:$L$57,Inputs!$D$5:$D$15))/4</f>
        <v>0.00448065760612105</v>
      </c>
      <c r="AB37" s="72">
        <f>SUMPRODUCT($N37:$X37,Risk!$B$58:$L$58)-SUMPRODUCT(MMULT(Risk!$B$58:$L$58,Inputs!$D$5:$D$15))/4</f>
        <v>0.00433465606055366</v>
      </c>
      <c r="AC37" s="72">
        <f>SUMPRODUCT($N37:$X37,Risk!$B$63:$L$63)-SUMPRODUCT(MMULT(Risk!$B$63:$L$63,Inputs!$D$5:$D$15))/4</f>
        <v>0.00135760769922923</v>
      </c>
      <c r="AD37" s="263">
        <f>SUMPRODUCT($N37:$X37,Risk!$B$64:$L$64)-SUMPRODUCT(MMULT(Risk!$B$64:$L$64,Inputs!$D$5:$D$15))/4</f>
        <v>0.00818299871961782</v>
      </c>
      <c r="AF37" s="734">
        <f>O37-$X37</f>
        <v>-0.030038514272863</v>
      </c>
      <c r="AG37" s="433">
        <f>Q37-$X37</f>
        <v>0.0247211591387371</v>
      </c>
      <c r="AH37" s="433">
        <f>S37-$X37</f>
        <v>-0.0366689044495057</v>
      </c>
      <c r="AI37" s="433">
        <f>U37-$X37</f>
        <v>0.00664299613924492</v>
      </c>
      <c r="AJ37" s="666">
        <f>T37-$X37</f>
        <v>0.0123761893721321</v>
      </c>
    </row>
    <row r="38">
      <c r="A38" s="660">
        <f>Data!A356</f>
        <v>41820.0</v>
      </c>
      <c r="B38" s="72">
        <f>Data!B356/Data!B353-1</f>
        <v>0.00470133009186458</v>
      </c>
      <c r="C38" s="72">
        <f>Data!C356/Data!C353-1</f>
        <v>0.0273023985357233</v>
      </c>
      <c r="D38" s="72">
        <f>Data!D356/Data!D353-1</f>
        <v>0.0334998673644682</v>
      </c>
      <c r="E38" s="72">
        <f>Data!E356/Data!E353-1</f>
        <v>0.0582502654793888</v>
      </c>
      <c r="F38" s="72">
        <f>Data!F356/Data!F353-1</f>
        <v>0.00844266426561946</v>
      </c>
      <c r="G38" s="72">
        <f>Data!G356/Data!G353-1</f>
        <v>0.0223219727653723</v>
      </c>
      <c r="H38" s="72">
        <f>Data!H356/Data!H353-1</f>
        <v>0.00552591173499994</v>
      </c>
      <c r="I38" s="72">
        <f>Data!I356/Data!I353-1</f>
        <v>0.0500981499306508</v>
      </c>
      <c r="J38" s="72">
        <f>Data!J356/Data!J353-1</f>
        <v>0.0311495609540982</v>
      </c>
      <c r="K38" s="72">
        <f>Data!K356/Data!K353-1</f>
        <v>0.0264074180384128</v>
      </c>
      <c r="L38" s="211">
        <f>Data!L356/Data!L353-1</f>
        <v>0.00667960728752481</v>
      </c>
      <c r="N38" s="394">
        <f>B38</f>
        <v>0.00470133009186458</v>
      </c>
      <c r="O38" s="72">
        <f>C38</f>
        <v>0.0273023985357233</v>
      </c>
      <c r="P38" s="72">
        <f>D38</f>
        <v>0.0334998673644682</v>
      </c>
      <c r="Q38" s="72">
        <f>E38</f>
        <v>0.0582502654793888</v>
      </c>
      <c r="R38" s="72">
        <f>F38</f>
        <v>0.00844266426561946</v>
      </c>
      <c r="S38" s="72">
        <f>(G38-Inputs!$B$39*G37)/(1-Inputs!$B$39)</f>
        <v>0.0317376430177493</v>
      </c>
      <c r="T38" s="72">
        <f>H38</f>
        <v>0.00552591173499994</v>
      </c>
      <c r="U38" s="72">
        <f>(I38-Inputs!$B$40*I37)/(1-Inputs!$B$40)</f>
        <v>0.0553390377201771</v>
      </c>
      <c r="V38" s="72">
        <f>J38</f>
        <v>0.0311495609540982</v>
      </c>
      <c r="W38" s="72">
        <f>K38</f>
        <v>0.0264074180384128</v>
      </c>
      <c r="X38" s="145">
        <f>L38</f>
        <v>0.00667960728752481</v>
      </c>
      <c r="Z38" s="395">
        <f>SUMPRODUCT($N38:$X38,Risk!$B$56:$L$56)-SUMPRODUCT(MMULT(Risk!$B$56:$L$56,Inputs!$D$5:$D$15))/4</f>
        <v>0.0201386383881439</v>
      </c>
      <c r="AA38" s="72">
        <f>SUMPRODUCT($N38:$X38,Risk!$B$57:$L$57)-SUMPRODUCT(MMULT(Risk!$B$57:$L$57,Inputs!$D$5:$D$15))/4</f>
        <v>0.0230132494323111</v>
      </c>
      <c r="AB38" s="72">
        <f>SUMPRODUCT($N38:$X38,Risk!$B$58:$L$58)-SUMPRODUCT(MMULT(Risk!$B$58:$L$58,Inputs!$D$5:$D$15))/4</f>
        <v>0.0233547641280494</v>
      </c>
      <c r="AC38" s="72">
        <f>SUMPRODUCT($N38:$X38,Risk!$B$63:$L$63)-SUMPRODUCT(MMULT(Risk!$B$63:$L$63,Inputs!$D$5:$D$15))/4</f>
        <v>0.0236060560307757</v>
      </c>
      <c r="AD38" s="263">
        <f>SUMPRODUCT($N38:$X38,Risk!$B$64:$L$64)-SUMPRODUCT(MMULT(Risk!$B$64:$L$64,Inputs!$D$5:$D$15))/4</f>
        <v>0.024656047088259</v>
      </c>
      <c r="AF38" s="734">
        <f>O38-$X38</f>
        <v>0.0206227912481984</v>
      </c>
      <c r="AG38" s="433">
        <f>Q38-$X38</f>
        <v>0.051570658191864</v>
      </c>
      <c r="AH38" s="433">
        <f>S38-$X38</f>
        <v>0.0250580357302245</v>
      </c>
      <c r="AI38" s="433">
        <f>U38-$X38</f>
        <v>0.0486594304326523</v>
      </c>
      <c r="AJ38" s="666">
        <f>T38-$X38</f>
        <v>-0.00115369555252487</v>
      </c>
    </row>
    <row r="39">
      <c r="A39" s="660">
        <f>Data!A359</f>
        <v>41912.0</v>
      </c>
      <c r="B39" s="72">
        <f>Data!B359/Data!B356-1</f>
        <v>-0.00290577873543429</v>
      </c>
      <c r="C39" s="72">
        <f>Data!C359/Data!C356-1</f>
        <v>0.0886764588940392</v>
      </c>
      <c r="D39" s="72">
        <f>Data!D359/Data!D356-1</f>
        <v>0.0861590638671796</v>
      </c>
      <c r="E39" s="72">
        <f>Data!E359/Data!E356-1</f>
        <v>0.062555750836232</v>
      </c>
      <c r="F39" s="72">
        <f>Data!F359/Data!F356-1</f>
        <v>-0.0557843158917241</v>
      </c>
      <c r="G39" s="72">
        <f>Data!G359/Data!G356-1</f>
        <v>0.0150639478992616</v>
      </c>
      <c r="H39" s="72">
        <f>Data!H359/Data!H356-1</f>
        <v>0.0277381644140002</v>
      </c>
      <c r="I39" s="72">
        <f>Data!I359/Data!I356-1</f>
        <v>0.0665025874948577</v>
      </c>
      <c r="J39" s="72">
        <f>Data!J359/Data!J356-1</f>
        <v>0.00970936068406991</v>
      </c>
      <c r="K39" s="72">
        <f>Data!K359/Data!K356-1</f>
        <v>0.017763997811417</v>
      </c>
      <c r="L39" s="211">
        <f>Data!L359/Data!L356-1</f>
        <v>0.00650260525813273</v>
      </c>
      <c r="N39" s="394">
        <f>B39</f>
        <v>-0.00290577873543429</v>
      </c>
      <c r="O39" s="72">
        <f>C39</f>
        <v>0.0886764588940392</v>
      </c>
      <c r="P39" s="72">
        <f>D39</f>
        <v>0.0861590638671796</v>
      </c>
      <c r="Q39" s="72">
        <f>E39</f>
        <v>0.062555750836232</v>
      </c>
      <c r="R39" s="72">
        <f>F39</f>
        <v>-0.0557843158917241</v>
      </c>
      <c r="S39" s="72">
        <f>(G39-Inputs!$B$39*G38)/(1-Inputs!$B$39)</f>
        <v>0.00158475886219882</v>
      </c>
      <c r="T39" s="72">
        <f>H39</f>
        <v>0.0277381644140002</v>
      </c>
      <c r="U39" s="72">
        <f>(I39-Inputs!$B$40*I38)/(1-Inputs!$B$40)</f>
        <v>0.0716829361993441</v>
      </c>
      <c r="V39" s="72">
        <f>J39</f>
        <v>0.00970936068406991</v>
      </c>
      <c r="W39" s="72">
        <f>K39</f>
        <v>0.017763997811417</v>
      </c>
      <c r="X39" s="145">
        <f>L39</f>
        <v>0.00650260525813273</v>
      </c>
      <c r="Z39" s="395">
        <f>SUMPRODUCT($N39:$X39,Risk!$B$56:$L$56)-SUMPRODUCT(MMULT(Risk!$B$56:$L$56,Inputs!$D$5:$D$15))/4</f>
        <v>0.0258812616638505</v>
      </c>
      <c r="AA39" s="72">
        <f>SUMPRODUCT($N39:$X39,Risk!$B$57:$L$57)-SUMPRODUCT(MMULT(Risk!$B$57:$L$57,Inputs!$D$5:$D$15))/4</f>
        <v>0.0321291929817079</v>
      </c>
      <c r="AB39" s="72">
        <f>SUMPRODUCT($N39:$X39,Risk!$B$58:$L$58)-SUMPRODUCT(MMULT(Risk!$B$58:$L$58,Inputs!$D$5:$D$15))/4</f>
        <v>0.0370496449004354</v>
      </c>
      <c r="AC39" s="72">
        <f>SUMPRODUCT($N39:$X39,Risk!$B$63:$L$63)-SUMPRODUCT(MMULT(Risk!$B$63:$L$63,Inputs!$D$5:$D$15))/4</f>
        <v>0.034973059901412</v>
      </c>
      <c r="AD39" s="263">
        <f>SUMPRODUCT($N39:$X39,Risk!$B$64:$L$64)-SUMPRODUCT(MMULT(Risk!$B$64:$L$64,Inputs!$D$5:$D$15))/4</f>
        <v>0.0267172401380269</v>
      </c>
      <c r="AF39" s="734">
        <f>O39-$X39</f>
        <v>0.0821738536359065</v>
      </c>
      <c r="AG39" s="433">
        <f>Q39-$X39</f>
        <v>0.0560531455780993</v>
      </c>
      <c r="AH39" s="433">
        <f>S39-$X39</f>
        <v>-0.00491784639593391</v>
      </c>
      <c r="AI39" s="433">
        <f>U39-$X39</f>
        <v>0.0651803309412114</v>
      </c>
      <c r="AJ39" s="666">
        <f>T39-$X39</f>
        <v>0.0212355591558675</v>
      </c>
    </row>
    <row r="40">
      <c r="A40" s="660">
        <f>Data!A362</f>
        <v>42004.0</v>
      </c>
      <c r="B40" s="72">
        <f>Data!B362/Data!B359-1</f>
        <v>0.0257575468253721</v>
      </c>
      <c r="C40" s="72">
        <f>Data!C362/Data!C359-1</f>
        <v>0.105279031932845</v>
      </c>
      <c r="D40" s="72">
        <f>Data!D362/Data!D359-1</f>
        <v>0.0701349838042291</v>
      </c>
      <c r="E40" s="72">
        <f>Data!E362/Data!E359-1</f>
        <v>0.199223700295426</v>
      </c>
      <c r="F40" s="72">
        <f>Data!F362/Data!F359-1</f>
        <v>-0.226543285858777</v>
      </c>
      <c r="G40" s="72">
        <f>Data!G362/Data!G359-1</f>
        <v>0.0234351914374153</v>
      </c>
      <c r="H40" s="72">
        <f>Data!H362/Data!H359-1</f>
        <v>0.0234745912300001</v>
      </c>
      <c r="I40" s="72">
        <f>Data!I362/Data!I359-1</f>
        <v>0.0573004432714106</v>
      </c>
      <c r="J40" s="72">
        <f>Data!J362/Data!J359-1</f>
        <v>0.0395926375782489</v>
      </c>
      <c r="K40" s="72">
        <f>Data!K362/Data!K359-1</f>
        <v>0.0290540701980744</v>
      </c>
      <c r="L40" s="211">
        <f>Data!L362/Data!L359-1</f>
        <v>0.00704456134731224</v>
      </c>
      <c r="N40" s="394">
        <f>B40</f>
        <v>0.0257575468253721</v>
      </c>
      <c r="O40" s="72">
        <f>C40</f>
        <v>0.105279031932845</v>
      </c>
      <c r="P40" s="72">
        <f>D40</f>
        <v>0.0701349838042291</v>
      </c>
      <c r="Q40" s="72">
        <f>E40</f>
        <v>0.199223700295426</v>
      </c>
      <c r="R40" s="72">
        <f>F40</f>
        <v>-0.226543285858777</v>
      </c>
      <c r="S40" s="72">
        <f>(G40-Inputs!$B$39*G39)/(1-Inputs!$B$39)</f>
        <v>0.0389817865797009</v>
      </c>
      <c r="T40" s="72">
        <f>H40</f>
        <v>0.0234745912300001</v>
      </c>
      <c r="U40" s="72">
        <f>(I40-Inputs!$B$40*I39)/(1-Inputs!$B$40)</f>
        <v>0.054394502990322</v>
      </c>
      <c r="V40" s="72">
        <f>J40</f>
        <v>0.0395926375782489</v>
      </c>
      <c r="W40" s="72">
        <f>K40</f>
        <v>0.0290540701980744</v>
      </c>
      <c r="X40" s="145">
        <f>L40</f>
        <v>0.00704456134731224</v>
      </c>
      <c r="Z40" s="395">
        <f>SUMPRODUCT($N40:$X40,Risk!$B$56:$L$56)-SUMPRODUCT(MMULT(Risk!$B$56:$L$56,Inputs!$D$5:$D$15))/4</f>
        <v>0.0597575356931555</v>
      </c>
      <c r="AA40" s="72">
        <f>SUMPRODUCT($N40:$X40,Risk!$B$57:$L$57)-SUMPRODUCT(MMULT(Risk!$B$57:$L$57,Inputs!$D$5:$D$15))/4</f>
        <v>0.055615613166614</v>
      </c>
      <c r="AB40" s="72">
        <f>SUMPRODUCT($N40:$X40,Risk!$B$58:$L$58)-SUMPRODUCT(MMULT(Risk!$B$58:$L$58,Inputs!$D$5:$D$15))/4</f>
        <v>0.0611876781672219</v>
      </c>
      <c r="AC40" s="72">
        <f>SUMPRODUCT($N40:$X40,Risk!$B$63:$L$63)-SUMPRODUCT(MMULT(Risk!$B$63:$L$63,Inputs!$D$5:$D$15))/4</f>
        <v>0.0595246237829609</v>
      </c>
      <c r="AD40" s="263">
        <f>SUMPRODUCT($N40:$X40,Risk!$B$64:$L$64)-SUMPRODUCT(MMULT(Risk!$B$64:$L$64,Inputs!$D$5:$D$15))/4</f>
        <v>0.0514332740474392</v>
      </c>
      <c r="AF40" s="734">
        <f>O40-$X40</f>
        <v>0.0982344705855325</v>
      </c>
      <c r="AG40" s="433">
        <f>Q40-$X40</f>
        <v>0.192179138948113</v>
      </c>
      <c r="AH40" s="433">
        <f>S40-$X40</f>
        <v>0.0319372252323887</v>
      </c>
      <c r="AI40" s="433">
        <f>U40-$X40</f>
        <v>0.0473499416430098</v>
      </c>
      <c r="AJ40" s="666">
        <f>T40-$X40</f>
        <v>0.0164300298826878</v>
      </c>
    </row>
    <row r="41">
      <c r="A41" s="660">
        <f>Data!A365</f>
        <v>42094.0</v>
      </c>
      <c r="B41" s="72">
        <f>Data!B365/Data!B362-1</f>
        <v>0.102060023594362</v>
      </c>
      <c r="C41" s="72">
        <f>Data!C365/Data!C362-1</f>
        <v>0.12481702340106</v>
      </c>
      <c r="D41" s="72">
        <f>Data!D365/Data!D362-1</f>
        <v>0.124170467231689</v>
      </c>
      <c r="E41" s="72">
        <f>Data!E365/Data!E362-1</f>
        <v>0.134368605766942</v>
      </c>
      <c r="F41" s="72">
        <f>Data!F365/Data!F362-1</f>
        <v>-0.0168249310677546</v>
      </c>
      <c r="G41" s="72">
        <f>Data!G365/Data!G362-1</f>
        <v>0.0188535539669354</v>
      </c>
      <c r="H41" s="72">
        <f>Data!H365/Data!H362-1</f>
        <v>0.00958915745600009</v>
      </c>
      <c r="I41" s="72">
        <f>Data!I365/Data!I362-1</f>
        <v>0.0686991141379487</v>
      </c>
      <c r="J41" s="72">
        <f>Data!J365/Data!J362-1</f>
        <v>0.0266876131656175</v>
      </c>
      <c r="K41" s="72">
        <f>Data!K365/Data!K362-1</f>
        <v>0.0255984582878634</v>
      </c>
      <c r="L41" s="211">
        <f>Data!L365/Data!L362-1</f>
        <v>0.00667231052301909</v>
      </c>
      <c r="N41" s="394">
        <f>B41</f>
        <v>0.102060023594362</v>
      </c>
      <c r="O41" s="72">
        <f>C41</f>
        <v>0.12481702340106</v>
      </c>
      <c r="P41" s="72">
        <f>D41</f>
        <v>0.124170467231689</v>
      </c>
      <c r="Q41" s="72">
        <f>E41</f>
        <v>0.134368605766942</v>
      </c>
      <c r="R41" s="72">
        <f>F41</f>
        <v>-0.0168249310677546</v>
      </c>
      <c r="S41" s="72">
        <f>(G41-Inputs!$B$39*G40)/(1-Inputs!$B$39)</f>
        <v>0.0103447986646156</v>
      </c>
      <c r="T41" s="72">
        <f>H41</f>
        <v>0.00958915745600009</v>
      </c>
      <c r="U41" s="72">
        <f>(I41-Inputs!$B$40*I40)/(1-Inputs!$B$40)</f>
        <v>0.0722986944115923</v>
      </c>
      <c r="V41" s="72">
        <f>J41</f>
        <v>0.0266876131656175</v>
      </c>
      <c r="W41" s="72">
        <f>K41</f>
        <v>0.0255984582878634</v>
      </c>
      <c r="X41" s="145">
        <f>L41</f>
        <v>0.00667231052301909</v>
      </c>
      <c r="Z41" s="395">
        <f>SUMPRODUCT($N41:$X41,Risk!$B$56:$L$56)-SUMPRODUCT(MMULT(Risk!$B$56:$L$56,Inputs!$D$5:$D$15))/4</f>
        <v>0.0854623550691339</v>
      </c>
      <c r="AA41" s="72">
        <f>SUMPRODUCT($N41:$X41,Risk!$B$57:$L$57)-SUMPRODUCT(MMULT(Risk!$B$57:$L$57,Inputs!$D$5:$D$15))/4</f>
        <v>0.0771466503739268</v>
      </c>
      <c r="AB41" s="72">
        <f>SUMPRODUCT($N41:$X41,Risk!$B$58:$L$58)-SUMPRODUCT(MMULT(Risk!$B$58:$L$58,Inputs!$D$5:$D$15))/4</f>
        <v>0.0886542952525822</v>
      </c>
      <c r="AC41" s="72">
        <f>SUMPRODUCT($N41:$X41,Risk!$B$63:$L$63)-SUMPRODUCT(MMULT(Risk!$B$63:$L$63,Inputs!$D$5:$D$15))/4</f>
        <v>0.0865329163835598</v>
      </c>
      <c r="AD41" s="263">
        <f>SUMPRODUCT($N41:$X41,Risk!$B$64:$L$64)-SUMPRODUCT(MMULT(Risk!$B$64:$L$64,Inputs!$D$5:$D$15))/4</f>
        <v>0.0711769833288748</v>
      </c>
      <c r="AF41" s="734">
        <f>O41-$X41</f>
        <v>0.118144712878041</v>
      </c>
      <c r="AG41" s="433">
        <f>Q41-$X41</f>
        <v>0.127696295243922</v>
      </c>
      <c r="AH41" s="433">
        <f>S41-$X41</f>
        <v>0.00367248814159653</v>
      </c>
      <c r="AI41" s="433">
        <f>U41-$X41</f>
        <v>0.0656263838885732</v>
      </c>
      <c r="AJ41" s="666">
        <f>T41-$X41</f>
        <v>0.002916846932981</v>
      </c>
    </row>
    <row r="42">
      <c r="A42" s="660">
        <f>Data!A368</f>
        <v>42185.0</v>
      </c>
      <c r="B42" s="72">
        <f>Data!B368/Data!B365-1</f>
        <v>-0.0624980700412784</v>
      </c>
      <c r="C42" s="72">
        <f>Data!C368/Data!C365-1</f>
        <v>-0.0111401225932907</v>
      </c>
      <c r="D42" s="72">
        <f>Data!D368/Data!D365-1</f>
        <v>0.00209211261157138</v>
      </c>
      <c r="E42" s="72">
        <f>Data!E368/Data!E365-1</f>
        <v>-0.0862949098303942</v>
      </c>
      <c r="F42" s="72">
        <f>Data!F368/Data!F365-1</f>
        <v>0.0807106134431381</v>
      </c>
      <c r="G42" s="72">
        <f>Data!G368/Data!G365-1</f>
        <v>0.0498231635366562</v>
      </c>
      <c r="H42" s="72">
        <f>Data!H368/Data!H365-1</f>
        <v>0.0220066447010003</v>
      </c>
      <c r="I42" s="72">
        <f>Data!I368/Data!I365-1</f>
        <v>0.0212020483334829</v>
      </c>
      <c r="J42" s="72">
        <f>Data!J368/Data!J365-1</f>
        <v>-0.0198791285490526</v>
      </c>
      <c r="K42" s="72">
        <f>Data!K368/Data!K365-1</f>
        <v>-0.0167415641307179</v>
      </c>
      <c r="L42" s="211">
        <f>Data!L368/Data!L365-1</f>
        <v>0.0055695851795321</v>
      </c>
      <c r="N42" s="394">
        <f>B42</f>
        <v>-0.0624980700412784</v>
      </c>
      <c r="O42" s="72">
        <f>C42</f>
        <v>-0.0111401225932907</v>
      </c>
      <c r="P42" s="72">
        <f>D42</f>
        <v>0.00209211261157138</v>
      </c>
      <c r="Q42" s="72">
        <f>E42</f>
        <v>-0.0862949098303942</v>
      </c>
      <c r="R42" s="72">
        <f>F42</f>
        <v>0.0807106134431381</v>
      </c>
      <c r="S42" s="72">
        <f>(G42-Inputs!$B$39*G41)/(1-Inputs!$B$39)</f>
        <v>0.107338152737566</v>
      </c>
      <c r="T42" s="72">
        <f>H42</f>
        <v>0.0220066447010003</v>
      </c>
      <c r="U42" s="72">
        <f>(I42-Inputs!$B$40*I41)/(1-Inputs!$B$40)</f>
        <v>0.00620297492154638</v>
      </c>
      <c r="V42" s="72">
        <f>J42</f>
        <v>-0.0198791285490526</v>
      </c>
      <c r="W42" s="72">
        <f>K42</f>
        <v>-0.0167415641307179</v>
      </c>
      <c r="X42" s="145">
        <f>L42</f>
        <v>0.0055695851795321</v>
      </c>
      <c r="Z42" s="395">
        <f>SUMPRODUCT($N42:$X42,Risk!$B$56:$L$56)-SUMPRODUCT(MMULT(Risk!$B$56:$L$56,Inputs!$D$5:$D$15))/4</f>
        <v>-0.040068066968457</v>
      </c>
      <c r="AA42" s="72">
        <f>SUMPRODUCT($N42:$X42,Risk!$B$57:$L$57)-SUMPRODUCT(MMULT(Risk!$B$57:$L$57,Inputs!$D$5:$D$15))/4</f>
        <v>-0.0217511812439327</v>
      </c>
      <c r="AB42" s="72">
        <f>SUMPRODUCT($N42:$X42,Risk!$B$58:$L$58)-SUMPRODUCT(MMULT(Risk!$B$58:$L$58,Inputs!$D$5:$D$15))/4</f>
        <v>-0.0303567718663603</v>
      </c>
      <c r="AC42" s="72">
        <f>SUMPRODUCT($N42:$X42,Risk!$B$63:$L$63)-SUMPRODUCT(MMULT(Risk!$B$63:$L$63,Inputs!$D$5:$D$15))/4</f>
        <v>-0.0237055262663388</v>
      </c>
      <c r="AD42" s="263">
        <f>SUMPRODUCT($N42:$X42,Risk!$B$64:$L$64)-SUMPRODUCT(MMULT(Risk!$B$64:$L$64,Inputs!$D$5:$D$15))/4</f>
        <v>-0.0232886646755263</v>
      </c>
      <c r="AF42" s="734">
        <f>O42-$X42</f>
        <v>-0.0167097077728228</v>
      </c>
      <c r="AG42" s="433">
        <f>Q42-$X42</f>
        <v>-0.0918644950099263</v>
      </c>
      <c r="AH42" s="433">
        <f>S42-$X42</f>
        <v>0.101768567558034</v>
      </c>
      <c r="AI42" s="433">
        <f>U42-$X42</f>
        <v>0.000633389742014279</v>
      </c>
      <c r="AJ42" s="666">
        <f>T42-$X42</f>
        <v>0.0164370595214682</v>
      </c>
    </row>
    <row r="43">
      <c r="A43" s="660">
        <f>Data!A371</f>
        <v>42277.0</v>
      </c>
      <c r="B43" s="72">
        <f>Data!B371/Data!B368-1</f>
        <v>-0.0578991585937974</v>
      </c>
      <c r="C43" s="72">
        <f>Data!C371/Data!C368-1</f>
        <v>0.0112178487066039</v>
      </c>
      <c r="D43" s="72">
        <f>Data!D371/Data!D368-1</f>
        <v>-0.0365369607870261</v>
      </c>
      <c r="E43" s="72">
        <f>Data!E371/Data!E368-1</f>
        <v>0.106332903735341</v>
      </c>
      <c r="F43" s="72">
        <f>Data!F371/Data!F368-1</f>
        <v>-0.116703638426894</v>
      </c>
      <c r="G43" s="72">
        <f>Data!G371/Data!G368-1</f>
        <v>0.0234054562947461</v>
      </c>
      <c r="H43" s="72">
        <f>Data!H371/Data!H368-1</f>
        <v>0.00686007967599966</v>
      </c>
      <c r="I43" s="72">
        <f>Data!I371/Data!I368-1</f>
        <v>0.0350019061024605</v>
      </c>
      <c r="J43" s="72">
        <f>Data!J371/Data!J368-1</f>
        <v>0.0220018910480073</v>
      </c>
      <c r="K43" s="72">
        <f>Data!K371/Data!K368-1</f>
        <v>0.0187304291766439</v>
      </c>
      <c r="L43" s="211">
        <f>Data!L371/Data!L368-1</f>
        <v>0.00538404365244838</v>
      </c>
      <c r="N43" s="394">
        <f>B43</f>
        <v>-0.0578991585937974</v>
      </c>
      <c r="O43" s="72">
        <f>C43</f>
        <v>0.0112178487066039</v>
      </c>
      <c r="P43" s="72">
        <f>D43</f>
        <v>-0.0365369607870261</v>
      </c>
      <c r="Q43" s="72">
        <f>E43</f>
        <v>0.106332903735341</v>
      </c>
      <c r="R43" s="72">
        <f>F43</f>
        <v>-0.116703638426894</v>
      </c>
      <c r="S43" s="72">
        <f>(G43-Inputs!$B$39*G42)/(1-Inputs!$B$39)</f>
        <v>-0.0256560000116583</v>
      </c>
      <c r="T43" s="72">
        <f>H43</f>
        <v>0.00686007967599966</v>
      </c>
      <c r="U43" s="72">
        <f>(I43-Inputs!$B$40*I42)/(1-Inputs!$B$40)</f>
        <v>0.0393597559242428</v>
      </c>
      <c r="V43" s="72">
        <f>J43</f>
        <v>0.0220018910480073</v>
      </c>
      <c r="W43" s="72">
        <f>K43</f>
        <v>0.0187304291766439</v>
      </c>
      <c r="X43" s="145">
        <f>L43</f>
        <v>0.00538404365244838</v>
      </c>
      <c r="Z43" s="395">
        <f>SUMPRODUCT($N43:$X43,Risk!$B$56:$L$56)-SUMPRODUCT(MMULT(Risk!$B$56:$L$56,Inputs!$D$5:$D$15))/4</f>
        <v>-0.00538720227566003</v>
      </c>
      <c r="AA43" s="72">
        <f>SUMPRODUCT($N43:$X43,Risk!$B$57:$L$57)-SUMPRODUCT(MMULT(Risk!$B$57:$L$57,Inputs!$D$5:$D$15))/4</f>
        <v>-0.00320845595638949</v>
      </c>
      <c r="AB43" s="72">
        <f>SUMPRODUCT($N43:$X43,Risk!$B$58:$L$58)-SUMPRODUCT(MMULT(Risk!$B$58:$L$58,Inputs!$D$5:$D$15))/4</f>
        <v>-0.00397731450281024</v>
      </c>
      <c r="AC43" s="72">
        <f>SUMPRODUCT($N43:$X43,Risk!$B$63:$L$63)-SUMPRODUCT(MMULT(Risk!$B$63:$L$63,Inputs!$D$5:$D$15))/4</f>
        <v>-0.00666554007209493</v>
      </c>
      <c r="AD43" s="263">
        <f>SUMPRODUCT($N43:$X43,Risk!$B$64:$L$64)-SUMPRODUCT(MMULT(Risk!$B$64:$L$64,Inputs!$D$5:$D$15))/4</f>
        <v>-0.00134337856889571</v>
      </c>
      <c r="AF43" s="734">
        <f>O43-$X43</f>
        <v>0.00583380505415554</v>
      </c>
      <c r="AG43" s="433">
        <f>Q43-$X43</f>
        <v>0.100948860082893</v>
      </c>
      <c r="AH43" s="433">
        <f>S43-$X43</f>
        <v>-0.0310400436641067</v>
      </c>
      <c r="AI43" s="433">
        <f>U43-$X43</f>
        <v>0.0339757122717945</v>
      </c>
      <c r="AJ43" s="666">
        <f>T43-$X43</f>
        <v>0.00147603602355129</v>
      </c>
    </row>
    <row r="44">
      <c r="A44" s="660">
        <f>Data!A374</f>
        <v>42369.0</v>
      </c>
      <c r="B44" s="72">
        <f>Data!B374/Data!B371-1</f>
        <v>0.0662163282146164</v>
      </c>
      <c r="C44" s="72">
        <f>Data!C374/Data!C371-1</f>
        <v>0.0264889050569013</v>
      </c>
      <c r="D44" s="72">
        <f>Data!D374/Data!D371-1</f>
        <v>-0.0196688001288002</v>
      </c>
      <c r="E44" s="72">
        <f>Data!E374/Data!E371-1</f>
        <v>0.0180263769174616</v>
      </c>
      <c r="F44" s="72">
        <f>Data!F374/Data!F371-1</f>
        <v>-0.195300415022643</v>
      </c>
      <c r="G44" s="72">
        <f>Data!G374/Data!G371-1</f>
        <v>0.00453871742396395</v>
      </c>
      <c r="H44" s="72">
        <f>Data!H374/Data!H371-1</f>
        <v>0.0340498918750003</v>
      </c>
      <c r="I44" s="72">
        <f>Data!I374/Data!I371-1</f>
        <v>0.0543992565434939</v>
      </c>
      <c r="J44" s="72">
        <f>Data!J374/Data!J371-1</f>
        <v>-0.00248420571833385</v>
      </c>
      <c r="K44" s="72">
        <f>Data!K374/Data!K371-1</f>
        <v>0.00598930964730893</v>
      </c>
      <c r="L44" s="211">
        <f>Data!L374/Data!L371-1</f>
        <v>0.00548383219136905</v>
      </c>
      <c r="N44" s="394">
        <f>B44</f>
        <v>0.0662163282146164</v>
      </c>
      <c r="O44" s="72">
        <f>C44</f>
        <v>0.0264889050569013</v>
      </c>
      <c r="P44" s="72">
        <f>D44</f>
        <v>-0.0196688001288002</v>
      </c>
      <c r="Q44" s="72">
        <f>E44</f>
        <v>0.0180263769174616</v>
      </c>
      <c r="R44" s="72">
        <f>F44</f>
        <v>-0.195300415022643</v>
      </c>
      <c r="S44" s="72">
        <f>(G44-Inputs!$B$39*G43)/(1-Inputs!$B$39)</f>
        <v>-0.0304995119074886</v>
      </c>
      <c r="T44" s="72">
        <f>H44</f>
        <v>0.0340498918750003</v>
      </c>
      <c r="U44" s="72">
        <f>(I44-Inputs!$B$40*I43)/(1-Inputs!$B$40)</f>
        <v>0.060524735630136</v>
      </c>
      <c r="V44" s="72">
        <f>J44</f>
        <v>-0.00248420571833385</v>
      </c>
      <c r="W44" s="72">
        <f>K44</f>
        <v>0.00598930964730893</v>
      </c>
      <c r="X44" s="145">
        <f>L44</f>
        <v>0.00548383219136905</v>
      </c>
      <c r="Z44" s="395">
        <f>SUMPRODUCT($N44:$X44,Risk!$B$56:$L$56)-SUMPRODUCT(MMULT(Risk!$B$56:$L$56,Inputs!$D$5:$D$15))/4</f>
        <v>0.0337973321564035</v>
      </c>
      <c r="AA44" s="72">
        <f>SUMPRODUCT($N44:$X44,Risk!$B$57:$L$57)-SUMPRODUCT(MMULT(Risk!$B$57:$L$57,Inputs!$D$5:$D$15))/4</f>
        <v>0.0206200068033738</v>
      </c>
      <c r="AB44" s="72">
        <f>SUMPRODUCT($N44:$X44,Risk!$B$58:$L$58)-SUMPRODUCT(MMULT(Risk!$B$58:$L$58,Inputs!$D$5:$D$15))/4</f>
        <v>0.0212470675307389</v>
      </c>
      <c r="AC44" s="72">
        <f>SUMPRODUCT($N44:$X44,Risk!$B$63:$L$63)-SUMPRODUCT(MMULT(Risk!$B$63:$L$63,Inputs!$D$5:$D$15))/4</f>
        <v>0.018482982878228</v>
      </c>
      <c r="AD44" s="263">
        <f>SUMPRODUCT($N44:$X44,Risk!$B$64:$L$64)-SUMPRODUCT(MMULT(Risk!$B$64:$L$64,Inputs!$D$5:$D$15))/4</f>
        <v>0.0136617455060939</v>
      </c>
      <c r="AF44" s="734">
        <f>O44-$X44</f>
        <v>0.0210050728655322</v>
      </c>
      <c r="AG44" s="433">
        <f>Q44-$X44</f>
        <v>0.0125425447260925</v>
      </c>
      <c r="AH44" s="433">
        <f>S44-$X44</f>
        <v>-0.0359833440988577</v>
      </c>
      <c r="AI44" s="433">
        <f>U44-$X44</f>
        <v>0.055040903438767</v>
      </c>
      <c r="AJ44" s="666">
        <f>T44-$X44</f>
        <v>0.0285660596836312</v>
      </c>
    </row>
    <row r="45">
      <c r="A45" s="660">
        <f>Data!A377</f>
        <v>42460.0</v>
      </c>
      <c r="B45" s="72">
        <f>Data!B377/Data!B374-1</f>
        <v>-0.0235297900199257</v>
      </c>
      <c r="C45" s="72">
        <f>Data!C377/Data!C374-1</f>
        <v>-0.0712994362564986</v>
      </c>
      <c r="D45" s="72">
        <f>Data!D377/Data!D374-1</f>
        <v>-0.0279621762827622</v>
      </c>
      <c r="E45" s="72">
        <f>Data!E377/Data!E374-1</f>
        <v>-0.000960029232397686</v>
      </c>
      <c r="F45" s="72">
        <f>Data!F377/Data!F374-1</f>
        <v>-0.0778158062145695</v>
      </c>
      <c r="G45" s="72">
        <f>Data!G377/Data!G374-1</f>
        <v>0.00146386242380059</v>
      </c>
      <c r="H45" s="72">
        <f>Data!H377/Data!H374-1</f>
        <v>0.00507406089999996</v>
      </c>
      <c r="I45" s="72">
        <f>Data!I377/Data!I374-1</f>
        <v>-0.0246032471126924</v>
      </c>
      <c r="J45" s="72">
        <f>Data!J377/Data!J374-1</f>
        <v>0.0204781461139998</v>
      </c>
      <c r="K45" s="72">
        <f>Data!K377/Data!K374-1</f>
        <v>0.0371148380719157</v>
      </c>
      <c r="L45" s="211">
        <f>Data!L377/Data!L374-1</f>
        <v>0.00581120720000006</v>
      </c>
      <c r="N45" s="394">
        <f>B45</f>
        <v>-0.0235297900199257</v>
      </c>
      <c r="O45" s="72">
        <f>C45</f>
        <v>-0.0712994362564986</v>
      </c>
      <c r="P45" s="72">
        <f>D45</f>
        <v>-0.0279621762827622</v>
      </c>
      <c r="Q45" s="72">
        <f>E45</f>
        <v>-0.000960029232397686</v>
      </c>
      <c r="R45" s="72">
        <f>F45</f>
        <v>-0.0778158062145695</v>
      </c>
      <c r="S45" s="72">
        <f>(G45-Inputs!$B$39*G44)/(1-Inputs!$B$39)</f>
        <v>-0.00424658257650279</v>
      </c>
      <c r="T45" s="72">
        <f>H45</f>
        <v>0.00507406089999996</v>
      </c>
      <c r="U45" s="72">
        <f>(I45-Inputs!$B$40*I44)/(1-Inputs!$B$40)</f>
        <v>-0.0495514061620143</v>
      </c>
      <c r="V45" s="72">
        <f>J45</f>
        <v>0.0204781461139998</v>
      </c>
      <c r="W45" s="72">
        <f>K45</f>
        <v>0.0371148380719157</v>
      </c>
      <c r="X45" s="145">
        <f>L45</f>
        <v>0.00581120720000006</v>
      </c>
      <c r="Z45" s="395">
        <f>SUMPRODUCT($N45:$X45,Risk!$B$56:$L$56)-SUMPRODUCT(MMULT(Risk!$B$56:$L$56,Inputs!$D$5:$D$15))/4</f>
        <v>-0.0176001127156565</v>
      </c>
      <c r="AA45" s="72">
        <f>SUMPRODUCT($N45:$X45,Risk!$B$57:$L$57)-SUMPRODUCT(MMULT(Risk!$B$57:$L$57,Inputs!$D$5:$D$15))/4</f>
        <v>-0.0207244362923981</v>
      </c>
      <c r="AB45" s="72">
        <f>SUMPRODUCT($N45:$X45,Risk!$B$58:$L$58)-SUMPRODUCT(MMULT(Risk!$B$58:$L$58,Inputs!$D$5:$D$15))/4</f>
        <v>-0.0231710683701549</v>
      </c>
      <c r="AC45" s="72">
        <f>SUMPRODUCT($N45:$X45,Risk!$B$63:$L$63)-SUMPRODUCT(MMULT(Risk!$B$63:$L$63,Inputs!$D$5:$D$15))/4</f>
        <v>-0.0263034233636002</v>
      </c>
      <c r="AD45" s="263">
        <f>SUMPRODUCT($N45:$X45,Risk!$B$64:$L$64)-SUMPRODUCT(MMULT(Risk!$B$64:$L$64,Inputs!$D$5:$D$15))/4</f>
        <v>-0.0104238198521295</v>
      </c>
      <c r="AF45" s="734">
        <f>O45-$X45</f>
        <v>-0.0771106434564987</v>
      </c>
      <c r="AG45" s="433">
        <f>Q45-$X45</f>
        <v>-0.00677123643239774</v>
      </c>
      <c r="AH45" s="433">
        <f>S45-$X45</f>
        <v>-0.0100577897765028</v>
      </c>
      <c r="AI45" s="433">
        <f>U45-$X45</f>
        <v>-0.0553626133620144</v>
      </c>
      <c r="AJ45" s="666">
        <f>T45-$X45</f>
        <v>-0.000737146300000102</v>
      </c>
    </row>
    <row r="46">
      <c r="A46" s="660">
        <f>Data!A380</f>
        <v>42551.0</v>
      </c>
      <c r="B46" s="72">
        <f>Data!B380/Data!B377-1</f>
        <v>0.0400009297662824</v>
      </c>
      <c r="C46" s="72">
        <f>Data!C380/Data!C377-1</f>
        <v>0.0484956655939322</v>
      </c>
      <c r="D46" s="72">
        <f>Data!D380/Data!D377-1</f>
        <v>0.0417020305982361</v>
      </c>
      <c r="E46" s="72">
        <f>Data!E380/Data!E377-1</f>
        <v>0.0821947662826126</v>
      </c>
      <c r="F46" s="72">
        <f>Data!F380/Data!F377-1</f>
        <v>0.164034801061255</v>
      </c>
      <c r="G46" s="72">
        <f>Data!G380/Data!G377-1</f>
        <v>0.0229986274912022</v>
      </c>
      <c r="H46" s="72">
        <f>Data!H380/Data!H377-1</f>
        <v>-0.0259755562510003</v>
      </c>
      <c r="I46" s="72">
        <f>Data!I380/Data!I377-1</f>
        <v>0.0447009559491998</v>
      </c>
      <c r="J46" s="72">
        <f>Data!J380/Data!J377-1</f>
        <v>0.0287353557079999</v>
      </c>
      <c r="K46" s="72">
        <f>Data!K380/Data!K377-1</f>
        <v>0.0286942864879503</v>
      </c>
      <c r="L46" s="211">
        <f>Data!L380/Data!L377-1</f>
        <v>0.00551004608000039</v>
      </c>
      <c r="N46" s="394">
        <f>B46</f>
        <v>0.0400009297662824</v>
      </c>
      <c r="O46" s="72">
        <f>C46</f>
        <v>0.0484956655939322</v>
      </c>
      <c r="P46" s="72">
        <f>D46</f>
        <v>0.0417020305982361</v>
      </c>
      <c r="Q46" s="72">
        <f>E46</f>
        <v>0.0821947662826126</v>
      </c>
      <c r="R46" s="72">
        <f>F46</f>
        <v>0.164034801061255</v>
      </c>
      <c r="S46" s="72">
        <f>(G46-Inputs!$B$39*G45)/(1-Inputs!$B$39)</f>
        <v>0.0629917626163766</v>
      </c>
      <c r="T46" s="72">
        <f>H46</f>
        <v>-0.0259755562510003</v>
      </c>
      <c r="U46" s="72">
        <f>(I46-Inputs!$B$40*I45)/(1-Inputs!$B$40)</f>
        <v>0.0665864937582183</v>
      </c>
      <c r="V46" s="72">
        <f>J46</f>
        <v>0.0287353557079999</v>
      </c>
      <c r="W46" s="72">
        <f>K46</f>
        <v>0.0286942864879503</v>
      </c>
      <c r="X46" s="145">
        <f>L46</f>
        <v>0.00551004608000039</v>
      </c>
      <c r="Z46" s="395">
        <f>SUMPRODUCT($N46:$X46,Risk!$B$56:$L$56)-SUMPRODUCT(MMULT(Risk!$B$56:$L$56,Inputs!$D$5:$D$15))/4</f>
        <v>0.0406305311543967</v>
      </c>
      <c r="AA46" s="72">
        <f>SUMPRODUCT($N46:$X46,Risk!$B$57:$L$57)-SUMPRODUCT(MMULT(Risk!$B$57:$L$57,Inputs!$D$5:$D$15))/4</f>
        <v>0.0427921217142993</v>
      </c>
      <c r="AB46" s="72">
        <f>SUMPRODUCT($N46:$X46,Risk!$B$58:$L$58)-SUMPRODUCT(MMULT(Risk!$B$58:$L$58,Inputs!$D$5:$D$15))/4</f>
        <v>0.0453380192443706</v>
      </c>
      <c r="AC46" s="72">
        <f>SUMPRODUCT($N46:$X46,Risk!$B$63:$L$63)-SUMPRODUCT(MMULT(Risk!$B$63:$L$63,Inputs!$D$5:$D$15))/4</f>
        <v>0.0476850850158562</v>
      </c>
      <c r="AD46" s="263">
        <f>SUMPRODUCT($N46:$X46,Risk!$B$64:$L$64)-SUMPRODUCT(MMULT(Risk!$B$64:$L$64,Inputs!$D$5:$D$15))/4</f>
        <v>0.0450944093958328</v>
      </c>
      <c r="AF46" s="734">
        <f>O46-$X46</f>
        <v>0.0429856195139318</v>
      </c>
      <c r="AG46" s="433">
        <f>Q46-$X46</f>
        <v>0.0766847202026122</v>
      </c>
      <c r="AH46" s="433">
        <f>S46-$X46</f>
        <v>0.0574817165363762</v>
      </c>
      <c r="AI46" s="433">
        <f>U46-$X46</f>
        <v>0.0610764476782179</v>
      </c>
      <c r="AJ46" s="666">
        <f>T46-$X46</f>
        <v>-0.0314856023310007</v>
      </c>
    </row>
    <row r="47">
      <c r="A47" s="660">
        <f>Data!A383</f>
        <v>42643.0</v>
      </c>
      <c r="B47" s="72">
        <f>Data!B383/Data!B380-1</f>
        <v>0.0529561679693058</v>
      </c>
      <c r="C47" s="72">
        <f>Data!C383/Data!C380-1</f>
        <v>0.020583524338202</v>
      </c>
      <c r="D47" s="72">
        <f>Data!D383/Data!D380-1</f>
        <v>0.0480602819215423</v>
      </c>
      <c r="E47" s="72">
        <f>Data!E383/Data!E380-1</f>
        <v>-0.0292019127121925</v>
      </c>
      <c r="F47" s="72">
        <f>Data!F383/Data!F380-1</f>
        <v>-0.0674012886318324</v>
      </c>
      <c r="G47" s="72">
        <f>Data!G383/Data!G380-1</f>
        <v>0.0180827738608009</v>
      </c>
      <c r="H47" s="72">
        <f>Data!H383/Data!H380-1</f>
        <v>0.00189989114800015</v>
      </c>
      <c r="I47" s="72">
        <f>Data!I383/Data!I380-1</f>
        <v>0.0286011138770517</v>
      </c>
      <c r="J47" s="72">
        <f>Data!J383/Data!J380-1</f>
        <v>0.00940549162400006</v>
      </c>
      <c r="K47" s="72">
        <f>Data!K383/Data!K380-1</f>
        <v>0.00827698469689686</v>
      </c>
      <c r="L47" s="211">
        <f>Data!L383/Data!L380-1</f>
        <v>0.00480765404600025</v>
      </c>
      <c r="N47" s="394">
        <f>B47</f>
        <v>0.0529561679693058</v>
      </c>
      <c r="O47" s="72">
        <f>C47</f>
        <v>0.020583524338202</v>
      </c>
      <c r="P47" s="72">
        <f>D47</f>
        <v>0.0480602819215423</v>
      </c>
      <c r="Q47" s="72">
        <f>E47</f>
        <v>-0.0292019127121925</v>
      </c>
      <c r="R47" s="72">
        <f>F47</f>
        <v>-0.0674012886318324</v>
      </c>
      <c r="S47" s="72">
        <f>(G47-Inputs!$B$39*G46)/(1-Inputs!$B$39)</f>
        <v>0.00895333140434145</v>
      </c>
      <c r="T47" s="72">
        <f>H47</f>
        <v>0.00189989114800015</v>
      </c>
      <c r="U47" s="72">
        <f>(I47-Inputs!$B$40*I46)/(1-Inputs!$B$40)</f>
        <v>0.0235169532226891</v>
      </c>
      <c r="V47" s="72">
        <f>J47</f>
        <v>0.00940549162400006</v>
      </c>
      <c r="W47" s="72">
        <f>K47</f>
        <v>0.00827698469689686</v>
      </c>
      <c r="X47" s="145">
        <f>L47</f>
        <v>0.00480765404600025</v>
      </c>
      <c r="Z47" s="395">
        <f>SUMPRODUCT($N47:$X47,Risk!$B$56:$L$56)-SUMPRODUCT(MMULT(Risk!$B$56:$L$56,Inputs!$D$5:$D$15))/4</f>
        <v>0.0245084990867152</v>
      </c>
      <c r="AA47" s="72">
        <f>SUMPRODUCT($N47:$X47,Risk!$B$57:$L$57)-SUMPRODUCT(MMULT(Risk!$B$57:$L$57,Inputs!$D$5:$D$15))/4</f>
        <v>0.0189653752953875</v>
      </c>
      <c r="AB47" s="72">
        <f>SUMPRODUCT($N47:$X47,Risk!$B$58:$L$58)-SUMPRODUCT(MMULT(Risk!$B$58:$L$58,Inputs!$D$5:$D$15))/4</f>
        <v>0.0212543961539481</v>
      </c>
      <c r="AC47" s="72">
        <f>SUMPRODUCT($N47:$X47,Risk!$B$63:$L$63)-SUMPRODUCT(MMULT(Risk!$B$63:$L$63,Inputs!$D$5:$D$15))/4</f>
        <v>0.0206101649047285</v>
      </c>
      <c r="AD47" s="263">
        <f>SUMPRODUCT($N47:$X47,Risk!$B$64:$L$64)-SUMPRODUCT(MMULT(Risk!$B$64:$L$64,Inputs!$D$5:$D$15))/4</f>
        <v>0.0166160526125921</v>
      </c>
      <c r="AF47" s="734">
        <f>O47-$X47</f>
        <v>0.0157758702922017</v>
      </c>
      <c r="AG47" s="433">
        <f>Q47-$X47</f>
        <v>-0.0340095667581928</v>
      </c>
      <c r="AH47" s="433">
        <f>S47-$X47</f>
        <v>0.0041456773583412</v>
      </c>
      <c r="AI47" s="433">
        <f>U47-$X47</f>
        <v>0.0187092991766889</v>
      </c>
      <c r="AJ47" s="666">
        <f>T47-$X47</f>
        <v>-0.0029077628980001</v>
      </c>
    </row>
    <row r="48">
      <c r="A48" s="660">
        <f>Data!A386</f>
        <v>42734.0</v>
      </c>
      <c r="B48" s="72">
        <f>Data!B386/Data!B383-1</f>
        <v>0.0441020846173044</v>
      </c>
      <c r="C48" s="72">
        <f>Data!C386/Data!C383-1</f>
        <v>0.108597816435341</v>
      </c>
      <c r="D48" s="72">
        <f>Data!D386/Data!D383-1</f>
        <v>0.0424709458578247</v>
      </c>
      <c r="E48" s="72">
        <f>Data!E386/Data!E383-1</f>
        <v>0.0312505163486905</v>
      </c>
      <c r="F48" s="72">
        <f>Data!F386/Data!F383-1</f>
        <v>0.117726541682238</v>
      </c>
      <c r="G48" s="72">
        <f>Data!G386/Data!G383-1</f>
        <v>0.0446059625941451</v>
      </c>
      <c r="H48" s="72">
        <f>Data!H386/Data!H383-1</f>
        <v>0.0275848012700002</v>
      </c>
      <c r="I48" s="72">
        <f>Data!I386/Data!I383-1</f>
        <v>0.0290979382764791</v>
      </c>
      <c r="J48" s="72">
        <f>Data!J386/Data!J383-1</f>
        <v>-0.028669753344</v>
      </c>
      <c r="K48" s="72">
        <f>Data!K386/Data!K383-1</f>
        <v>-0.0216864399965331</v>
      </c>
      <c r="L48" s="211">
        <f>Data!L386/Data!L383-1</f>
        <v>0.0044064531500001</v>
      </c>
      <c r="N48" s="394">
        <f>B48</f>
        <v>0.0441020846173044</v>
      </c>
      <c r="O48" s="72">
        <f>C48</f>
        <v>0.108597816435341</v>
      </c>
      <c r="P48" s="72">
        <f>D48</f>
        <v>0.0424709458578247</v>
      </c>
      <c r="Q48" s="72">
        <f>E48</f>
        <v>0.0312505163486905</v>
      </c>
      <c r="R48" s="72">
        <f>F48</f>
        <v>0.117726541682238</v>
      </c>
      <c r="S48" s="72">
        <f>(G48-Inputs!$B$39*G47)/(1-Inputs!$B$39)</f>
        <v>0.0938633130989271</v>
      </c>
      <c r="T48" s="72">
        <f>H48</f>
        <v>0.0275848012700002</v>
      </c>
      <c r="U48" s="72">
        <f>(I48-Inputs!$B$40*I47)/(1-Inputs!$B$40)</f>
        <v>0.0292548301920878</v>
      </c>
      <c r="V48" s="72">
        <f>J48</f>
        <v>-0.028669753344</v>
      </c>
      <c r="W48" s="72">
        <f>K48</f>
        <v>-0.0216864399965331</v>
      </c>
      <c r="X48" s="145">
        <f>L48</f>
        <v>0.0044064531500001</v>
      </c>
      <c r="Z48" s="395">
        <f>SUMPRODUCT($N48:$X48,Risk!$B$56:$L$56)-SUMPRODUCT(MMULT(Risk!$B$56:$L$56,Inputs!$D$5:$D$15))/4</f>
        <v>0.0364785222880364</v>
      </c>
      <c r="AA48" s="72">
        <f>SUMPRODUCT($N48:$X48,Risk!$B$57:$L$57)-SUMPRODUCT(MMULT(Risk!$B$57:$L$57,Inputs!$D$5:$D$15))/4</f>
        <v>0.0421914667781262</v>
      </c>
      <c r="AB48" s="72">
        <f>SUMPRODUCT($N48:$X48,Risk!$B$58:$L$58)-SUMPRODUCT(MMULT(Risk!$B$58:$L$58,Inputs!$D$5:$D$15))/4</f>
        <v>0.044329538045969</v>
      </c>
      <c r="AC48" s="72">
        <f>SUMPRODUCT($N48:$X48,Risk!$B$63:$L$63)-SUMPRODUCT(MMULT(Risk!$B$63:$L$63,Inputs!$D$5:$D$15))/4</f>
        <v>0.0497629843536732</v>
      </c>
      <c r="AD48" s="263">
        <f>SUMPRODUCT($N48:$X48,Risk!$B$64:$L$64)-SUMPRODUCT(MMULT(Risk!$B$64:$L$64,Inputs!$D$5:$D$15))/4</f>
        <v>0.0307377311224717</v>
      </c>
      <c r="AF48" s="734">
        <f>O48-$X48</f>
        <v>0.104191363285341</v>
      </c>
      <c r="AG48" s="433">
        <f>Q48-$X48</f>
        <v>0.0268440631986904</v>
      </c>
      <c r="AH48" s="433">
        <f>S48-$X48</f>
        <v>0.089456859948927</v>
      </c>
      <c r="AI48" s="433">
        <f>U48-$X48</f>
        <v>0.0248483770420877</v>
      </c>
      <c r="AJ48" s="666">
        <f>T48-$X48</f>
        <v>0.0231783481200001</v>
      </c>
    </row>
    <row r="49">
      <c r="A49" s="660">
        <f>Data!A389</f>
        <v>42825.0</v>
      </c>
      <c r="B49" s="72">
        <f>Data!B389/Data!B386-1</f>
        <v>0.0450483542612707</v>
      </c>
      <c r="C49" s="72">
        <f>Data!C389/Data!C386-1</f>
        <v>0.00216322390132362</v>
      </c>
      <c r="D49" s="72">
        <f>Data!D389/Data!D386-1</f>
        <v>0.0232766611885593</v>
      </c>
      <c r="E49" s="72">
        <f>Data!E389/Data!E386-1</f>
        <v>-0.0449833992857401</v>
      </c>
      <c r="F49" s="72">
        <f>Data!F389/Data!F386-1</f>
        <v>-0.0987506774540965</v>
      </c>
      <c r="G49" s="72">
        <f>Data!G389/Data!G386-1</f>
        <v>0.0251141595584345</v>
      </c>
      <c r="H49" s="72">
        <f>Data!H389/Data!H386-1</f>
        <v>0.0251418498339997</v>
      </c>
      <c r="I49" s="72">
        <f>Data!I389/Data!I386-1</f>
        <v>0.0179018066226222</v>
      </c>
      <c r="J49" s="72">
        <f>Data!J389/Data!J386-1</f>
        <v>0.0122447356279998</v>
      </c>
      <c r="K49" s="72">
        <f>Data!K389/Data!K386-1</f>
        <v>0.0068080218949742</v>
      </c>
      <c r="L49" s="211">
        <f>Data!L389/Data!L386-1</f>
        <v>0.00440643312000022</v>
      </c>
      <c r="N49" s="394">
        <f>B49</f>
        <v>0.0450483542612707</v>
      </c>
      <c r="O49" s="72">
        <f>C49</f>
        <v>0.00216322390132362</v>
      </c>
      <c r="P49" s="72">
        <f>D49</f>
        <v>0.0232766611885593</v>
      </c>
      <c r="Q49" s="72">
        <f>E49</f>
        <v>-0.0449833992857401</v>
      </c>
      <c r="R49" s="72">
        <f>F49</f>
        <v>-0.0987506774540965</v>
      </c>
      <c r="S49" s="72">
        <f>(G49-Inputs!$B$39*G48)/(1-Inputs!$B$39)</f>
        <v>-0.0110849032221707</v>
      </c>
      <c r="T49" s="72">
        <f>H49</f>
        <v>0.0251418498339997</v>
      </c>
      <c r="U49" s="72">
        <f>(I49-Inputs!$B$40*I48)/(1-Inputs!$B$40)</f>
        <v>0.0143661861003516</v>
      </c>
      <c r="V49" s="72">
        <f>J49</f>
        <v>0.0122447356279998</v>
      </c>
      <c r="W49" s="72">
        <f>K49</f>
        <v>0.0068080218949742</v>
      </c>
      <c r="X49" s="145">
        <f>L49</f>
        <v>0.00440643312000022</v>
      </c>
      <c r="Z49" s="395">
        <f>SUMPRODUCT($N49:$X49,Risk!$B$56:$L$56)-SUMPRODUCT(MMULT(Risk!$B$56:$L$56,Inputs!$D$5:$D$15))/4</f>
        <v>0.0163634489703969</v>
      </c>
      <c r="AA49" s="72">
        <f>SUMPRODUCT($N49:$X49,Risk!$B$57:$L$57)-SUMPRODUCT(MMULT(Risk!$B$57:$L$57,Inputs!$D$5:$D$15))/4</f>
        <v>0.00973704494509753</v>
      </c>
      <c r="AB49" s="72">
        <f>SUMPRODUCT($N49:$X49,Risk!$B$58:$L$58)-SUMPRODUCT(MMULT(Risk!$B$58:$L$58,Inputs!$D$5:$D$15))/4</f>
        <v>0.0102946692091449</v>
      </c>
      <c r="AC49" s="72">
        <f>SUMPRODUCT($N49:$X49,Risk!$B$63:$L$63)-SUMPRODUCT(MMULT(Risk!$B$63:$L$63,Inputs!$D$5:$D$15))/4</f>
        <v>0.00887743160543624</v>
      </c>
      <c r="AD49" s="263">
        <f>SUMPRODUCT($N49:$X49,Risk!$B$64:$L$64)-SUMPRODUCT(MMULT(Risk!$B$64:$L$64,Inputs!$D$5:$D$15))/4</f>
        <v>0.00739278585968532</v>
      </c>
      <c r="AF49" s="734">
        <f>O49-$X49</f>
        <v>-0.0022432092186766</v>
      </c>
      <c r="AG49" s="433">
        <f>Q49-$X49</f>
        <v>-0.0493898324057404</v>
      </c>
      <c r="AH49" s="433">
        <f>S49-$X49</f>
        <v>-0.0154913363421709</v>
      </c>
      <c r="AI49" s="433">
        <f>U49-$X49</f>
        <v>0.00995975298035138</v>
      </c>
      <c r="AJ49" s="666">
        <f>T49-$X49</f>
        <v>0.0207354167139995</v>
      </c>
    </row>
    <row r="50">
      <c r="A50" s="660">
        <f>Data!A392</f>
        <v>42916.0</v>
      </c>
      <c r="B50" s="72">
        <f>Data!B392/Data!B389-1</f>
        <v>-0.0154305948514705</v>
      </c>
      <c r="C50" s="72">
        <f>Data!C392/Data!C389-1</f>
        <v>0.0229796173504131</v>
      </c>
      <c r="D50" s="72">
        <f>Data!D392/Data!D389-1</f>
        <v>0.060934524482253</v>
      </c>
      <c r="E50" s="72">
        <f>Data!E392/Data!E389-1</f>
        <v>0.0067023364193799</v>
      </c>
      <c r="F50" s="72">
        <f>Data!F392/Data!F389-1</f>
        <v>-0.0598011531876377</v>
      </c>
      <c r="G50" s="72">
        <f>Data!G392/Data!G389-1</f>
        <v>0.0225435953727799</v>
      </c>
      <c r="H50" s="72">
        <f>Data!H392/Data!H389-1</f>
        <v>0.00800367762600018</v>
      </c>
      <c r="I50" s="72">
        <f>Data!I392/Data!I389-1</f>
        <v>0.0355997826714765</v>
      </c>
      <c r="J50" s="72">
        <f>Data!J392/Data!J389-1</f>
        <v>0.010216089025</v>
      </c>
      <c r="K50" s="72">
        <f>Data!K392/Data!K389-1</f>
        <v>0.0116792159573544</v>
      </c>
      <c r="L50" s="211">
        <f>Data!L392/Data!L389-1</f>
        <v>0.00440645315000032</v>
      </c>
      <c r="N50" s="394">
        <f>B50</f>
        <v>-0.0154305948514705</v>
      </c>
      <c r="O50" s="72">
        <f>C50</f>
        <v>0.0229796173504131</v>
      </c>
      <c r="P50" s="72">
        <f>D50</f>
        <v>0.060934524482253</v>
      </c>
      <c r="Q50" s="72">
        <f>E50</f>
        <v>0.0067023364193799</v>
      </c>
      <c r="R50" s="72">
        <f>F50</f>
        <v>-0.0598011531876377</v>
      </c>
      <c r="S50" s="72">
        <f>(G50-Inputs!$B$39*G49)/(1-Inputs!$B$39)</f>
        <v>0.0177696904565643</v>
      </c>
      <c r="T50" s="72">
        <f>H50</f>
        <v>0.00800367762600018</v>
      </c>
      <c r="U50" s="72">
        <f>(I50-Inputs!$B$40*I49)/(1-Inputs!$B$40)</f>
        <v>0.0411886172132199</v>
      </c>
      <c r="V50" s="72">
        <f>J50</f>
        <v>0.010216089025</v>
      </c>
      <c r="W50" s="72">
        <f>K50</f>
        <v>0.0116792159573544</v>
      </c>
      <c r="X50" s="145">
        <f>L50</f>
        <v>0.00440645315000032</v>
      </c>
      <c r="Z50" s="395">
        <f>SUMPRODUCT($N50:$X50,Risk!$B$56:$L$56)-SUMPRODUCT(MMULT(Risk!$B$56:$L$56,Inputs!$D$5:$D$15))/4</f>
        <v>0.00158912152227081</v>
      </c>
      <c r="AA50" s="72">
        <f>SUMPRODUCT($N50:$X50,Risk!$B$57:$L$57)-SUMPRODUCT(MMULT(Risk!$B$57:$L$57,Inputs!$D$5:$D$15))/4</f>
        <v>0.00712504885261677</v>
      </c>
      <c r="AB50" s="72">
        <f>SUMPRODUCT($N50:$X50,Risk!$B$58:$L$58)-SUMPRODUCT(MMULT(Risk!$B$58:$L$58,Inputs!$D$5:$D$15))/4</f>
        <v>0.00788989652832492</v>
      </c>
      <c r="AC50" s="72">
        <f>SUMPRODUCT($N50:$X50,Risk!$B$63:$L$63)-SUMPRODUCT(MMULT(Risk!$B$63:$L$63,Inputs!$D$5:$D$15))/4</f>
        <v>0.00744077251730036</v>
      </c>
      <c r="AD50" s="263">
        <f>SUMPRODUCT($N50:$X50,Risk!$B$64:$L$64)-SUMPRODUCT(MMULT(Risk!$B$64:$L$64,Inputs!$D$5:$D$15))/4</f>
        <v>0.00666999125292451</v>
      </c>
      <c r="AF50" s="734">
        <f>O50-$X50</f>
        <v>0.0185731642004128</v>
      </c>
      <c r="AG50" s="433">
        <f>Q50-$X50</f>
        <v>0.00229588326937957</v>
      </c>
      <c r="AH50" s="433">
        <f>S50-$X50</f>
        <v>0.0133632373065639</v>
      </c>
      <c r="AI50" s="433">
        <f>U50-$X50</f>
        <v>0.0367821640632196</v>
      </c>
      <c r="AJ50" s="666">
        <f>T50-$X50</f>
        <v>0.00359722447599986</v>
      </c>
    </row>
    <row r="51">
      <c r="A51" s="660">
        <f>Data!A395</f>
        <v>43007.0</v>
      </c>
      <c r="B51" s="72">
        <f>Data!B395/Data!B392-1</f>
        <v>0.0102488985136597</v>
      </c>
      <c r="C51" s="72">
        <f>Data!C395/Data!C392-1</f>
        <v>0.0172864025770445</v>
      </c>
      <c r="D51" s="72">
        <f>Data!D395/Data!D392-1</f>
        <v>0.0530548163777498</v>
      </c>
      <c r="E51" s="72">
        <f>Data!E395/Data!E392-1</f>
        <v>-0.0146353060493927</v>
      </c>
      <c r="F51" s="72">
        <f>Data!F395/Data!F392-1</f>
        <v>0.0481421779200988</v>
      </c>
      <c r="G51" s="72">
        <f>Data!G395/Data!G392-1</f>
        <v>0.00094563675663939</v>
      </c>
      <c r="H51" s="72">
        <f>Data!H395/Data!H392-1</f>
        <v>0.0261079795999999</v>
      </c>
      <c r="I51" s="72">
        <f>Data!I395/Data!I392-1</f>
        <v>0.0254003365284632</v>
      </c>
      <c r="J51" s="72">
        <f>Data!J395/Data!J392-1</f>
        <v>-0.000680582213603342</v>
      </c>
      <c r="K51" s="72">
        <f>Data!K395/Data!K392-1</f>
        <v>0.0088699789358957</v>
      </c>
      <c r="L51" s="211">
        <f>Data!L395/Data!L392-1</f>
        <v>0.00434320265397203</v>
      </c>
      <c r="N51" s="394">
        <f>B51</f>
        <v>0.0102488985136597</v>
      </c>
      <c r="O51" s="72">
        <f>C51</f>
        <v>0.0172864025770445</v>
      </c>
      <c r="P51" s="72">
        <f>D51</f>
        <v>0.0530548163777498</v>
      </c>
      <c r="Q51" s="72">
        <f>E51</f>
        <v>-0.0146353060493927</v>
      </c>
      <c r="R51" s="72">
        <f>F51</f>
        <v>0.0481421779200988</v>
      </c>
      <c r="S51" s="72">
        <f>(G51-Inputs!$B$39*G50)/(1-Inputs!$B$39)</f>
        <v>-0.0391648578161931</v>
      </c>
      <c r="T51" s="72">
        <f>H51</f>
        <v>0.0261079795999999</v>
      </c>
      <c r="U51" s="72">
        <f>(I51-Inputs!$B$40*I50)/(1-Inputs!$B$40)</f>
        <v>0.0221794587990906</v>
      </c>
      <c r="V51" s="72">
        <f>J51</f>
        <v>-0.000680582213603342</v>
      </c>
      <c r="W51" s="72">
        <f>K51</f>
        <v>0.0088699789358957</v>
      </c>
      <c r="X51" s="145">
        <f>L51</f>
        <v>0.00434320265397203</v>
      </c>
      <c r="Z51" s="395">
        <f>SUMPRODUCT($N51:$X51,Risk!$B$56:$L$56)-SUMPRODUCT(MMULT(Risk!$B$56:$L$56,Inputs!$D$5:$D$15))/4</f>
        <v>0.00672484448454272</v>
      </c>
      <c r="AA51" s="72">
        <f>SUMPRODUCT($N51:$X51,Risk!$B$57:$L$57)-SUMPRODUCT(MMULT(Risk!$B$57:$L$57,Inputs!$D$5:$D$15))/4</f>
        <v>0.00789707038700888</v>
      </c>
      <c r="AB51" s="72">
        <f>SUMPRODUCT($N51:$X51,Risk!$B$58:$L$58)-SUMPRODUCT(MMULT(Risk!$B$58:$L$58,Inputs!$D$5:$D$15))/4</f>
        <v>0.0119158859716723</v>
      </c>
      <c r="AC51" s="72">
        <f>SUMPRODUCT($N51:$X51,Risk!$B$63:$L$63)-SUMPRODUCT(MMULT(Risk!$B$63:$L$63,Inputs!$D$5:$D$15))/4</f>
        <v>0.00910506402710656</v>
      </c>
      <c r="AD51" s="263">
        <f>SUMPRODUCT($N51:$X51,Risk!$B$64:$L$64)-SUMPRODUCT(MMULT(Risk!$B$64:$L$64,Inputs!$D$5:$D$15))/4</f>
        <v>0.00728753393958756</v>
      </c>
      <c r="AF51" s="734">
        <f>O51-$X51</f>
        <v>0.0129431999230725</v>
      </c>
      <c r="AG51" s="433">
        <f>Q51-$X51</f>
        <v>-0.0189785087033647</v>
      </c>
      <c r="AH51" s="433">
        <f>S51-$X51</f>
        <v>-0.0435080604701651</v>
      </c>
      <c r="AI51" s="433">
        <f>U51-$X51</f>
        <v>0.0178362561451185</v>
      </c>
      <c r="AJ51" s="666">
        <f>T51-$X51</f>
        <v>0.0217647769460279</v>
      </c>
    </row>
    <row r="52">
      <c r="A52" s="660">
        <f>Data!A398</f>
        <v>43098.0</v>
      </c>
      <c r="B52" s="72">
        <f>Data!B398/Data!B395-1</f>
        <v>0.0820059136800571</v>
      </c>
      <c r="C52" s="72">
        <f>Data!C398/Data!C395-1</f>
        <v>0.0575268812330891</v>
      </c>
      <c r="D52" s="72">
        <f>Data!D398/Data!D395-1</f>
        <v>0.0608078379700536</v>
      </c>
      <c r="E52" s="72">
        <f>Data!E398/Data!E395-1</f>
        <v>0.0334709050568727</v>
      </c>
      <c r="F52" s="72">
        <f>Data!F398/Data!F395-1</f>
        <v>0.10248383581282</v>
      </c>
      <c r="G52" s="72">
        <f>Data!G398/Data!G395-1</f>
        <v>0.012605091321656</v>
      </c>
      <c r="H52" s="72">
        <f>Data!H398/Data!H395-1</f>
        <v>0.0165901019200001</v>
      </c>
      <c r="I52" s="72">
        <f>Data!I398/Data!I395-1</f>
        <v>0.0617987886386475</v>
      </c>
      <c r="J52" s="72">
        <f>Data!J398/Data!J395-1</f>
        <v>0.0144324430175975</v>
      </c>
      <c r="K52" s="72">
        <f>Data!K398/Data!K395-1</f>
        <v>0.00895300064194848</v>
      </c>
      <c r="L52" s="211">
        <f>Data!L398/Data!L395-1</f>
        <v>0.00423940216217433</v>
      </c>
      <c r="N52" s="394">
        <f>B52</f>
        <v>0.0820059136800571</v>
      </c>
      <c r="O52" s="72">
        <f>C52</f>
        <v>0.0575268812330891</v>
      </c>
      <c r="P52" s="72">
        <f>D52</f>
        <v>0.0608078379700536</v>
      </c>
      <c r="Q52" s="72">
        <f>E52</f>
        <v>0.0334709050568727</v>
      </c>
      <c r="R52" s="72">
        <f>F52</f>
        <v>0.10248383581282</v>
      </c>
      <c r="S52" s="72">
        <f>(G52-Inputs!$B$39*G51)/(1-Inputs!$B$39)</f>
        <v>0.0342583640852583</v>
      </c>
      <c r="T52" s="72">
        <f>H52</f>
        <v>0.0165901019200001</v>
      </c>
      <c r="U52" s="72">
        <f>(I52-Inputs!$B$40*I51)/(1-Inputs!$B$40)</f>
        <v>0.0732930366734426</v>
      </c>
      <c r="V52" s="72">
        <f>J52</f>
        <v>0.0144324430175975</v>
      </c>
      <c r="W52" s="72">
        <f>K52</f>
        <v>0.00895300064194848</v>
      </c>
      <c r="X52" s="145">
        <f>L52</f>
        <v>0.00423940216217433</v>
      </c>
      <c r="Z52" s="395">
        <f>SUMPRODUCT($N52:$X52,Risk!$B$56:$L$56)-SUMPRODUCT(MMULT(Risk!$B$56:$L$56,Inputs!$D$5:$D$15))/4</f>
        <v>0.0505526968796756</v>
      </c>
      <c r="AA52" s="72">
        <f>SUMPRODUCT($N52:$X52,Risk!$B$57:$L$57)-SUMPRODUCT(MMULT(Risk!$B$57:$L$57,Inputs!$D$5:$D$15))/4</f>
        <v>0.0472217716453041</v>
      </c>
      <c r="AB52" s="72">
        <f>SUMPRODUCT($N52:$X52,Risk!$B$58:$L$58)-SUMPRODUCT(MMULT(Risk!$B$58:$L$58,Inputs!$D$5:$D$15))/4</f>
        <v>0.0506299867915851</v>
      </c>
      <c r="AC52" s="72">
        <f>SUMPRODUCT($N52:$X52,Risk!$B$63:$L$63)-SUMPRODUCT(MMULT(Risk!$B$63:$L$63,Inputs!$D$5:$D$15))/4</f>
        <v>0.0523749988175548</v>
      </c>
      <c r="AD52" s="263">
        <f>SUMPRODUCT($N52:$X52,Risk!$B$64:$L$64)-SUMPRODUCT(MMULT(Risk!$B$64:$L$64,Inputs!$D$5:$D$15))/4</f>
        <v>0.0431997849005542</v>
      </c>
      <c r="AF52" s="734">
        <f>O52-$X52</f>
        <v>0.0532874790709148</v>
      </c>
      <c r="AG52" s="433">
        <f>Q52-$X52</f>
        <v>0.0292315028946983</v>
      </c>
      <c r="AH52" s="433">
        <f>S52-$X52</f>
        <v>0.0300189619230839</v>
      </c>
      <c r="AI52" s="433">
        <f>U52-$X52</f>
        <v>0.0690536345112682</v>
      </c>
      <c r="AJ52" s="666">
        <f>T52-$X52</f>
        <v>0.0123506997578258</v>
      </c>
    </row>
    <row r="53">
      <c r="A53" s="660">
        <f>Data!A401</f>
        <v>43189.0</v>
      </c>
      <c r="B53" s="72">
        <f>Data!B401/Data!B398-1</f>
        <v>-0.0369346484220838</v>
      </c>
      <c r="C53" s="72">
        <f>Data!C401/Data!C398-1</f>
        <v>-0.00155223942374449</v>
      </c>
      <c r="D53" s="72">
        <f>Data!D401/Data!D398-1</f>
        <v>0.0274686059026033</v>
      </c>
      <c r="E53" s="72">
        <f>Data!E401/Data!E398-1</f>
        <v>-0.044626775893282</v>
      </c>
      <c r="F53" s="72">
        <f>Data!F401/Data!F398-1</f>
        <v>0.0419642606763191</v>
      </c>
      <c r="G53" s="72">
        <f>Data!G401/Data!G398-1</f>
        <v>-0.00379523204967625</v>
      </c>
      <c r="H53" s="72">
        <f>Data!H401/Data!H398-1</f>
        <v>0.0194022523750002</v>
      </c>
      <c r="I53" s="72">
        <f>Data!I401/Data!I398-1</f>
        <v>0.043402951122842</v>
      </c>
      <c r="J53" s="72">
        <f>Data!J401/Data!J398-1</f>
        <v>0.00630088433560427</v>
      </c>
      <c r="K53" s="72">
        <f>Data!K401/Data!K398-1</f>
        <v>-0.000862749700662691</v>
      </c>
      <c r="L53" s="211">
        <f>Data!L401/Data!L398-1</f>
        <v>0.00870609537181832</v>
      </c>
      <c r="N53" s="394">
        <f>B53</f>
        <v>-0.0369346484220838</v>
      </c>
      <c r="O53" s="72">
        <f>C53</f>
        <v>-0.00155223942374449</v>
      </c>
      <c r="P53" s="72">
        <f>D53</f>
        <v>0.0274686059026033</v>
      </c>
      <c r="Q53" s="72">
        <f>E53</f>
        <v>-0.044626775893282</v>
      </c>
      <c r="R53" s="72">
        <f>F53</f>
        <v>0.0419642606763191</v>
      </c>
      <c r="S53" s="72">
        <f>(G53-Inputs!$B$39*G52)/(1-Inputs!$B$39)</f>
        <v>-0.034252975453579</v>
      </c>
      <c r="T53" s="72">
        <f>H53</f>
        <v>0.0194022523750002</v>
      </c>
      <c r="U53" s="72">
        <f>(I53-Inputs!$B$40*I52)/(1-Inputs!$B$40)</f>
        <v>0.0375937392757455</v>
      </c>
      <c r="V53" s="72">
        <f>J53</f>
        <v>0.00630088433560427</v>
      </c>
      <c r="W53" s="72">
        <f>K53</f>
        <v>-0.000862749700662691</v>
      </c>
      <c r="X53" s="145">
        <f>L53</f>
        <v>0.00870609537181832</v>
      </c>
      <c r="Z53" s="395">
        <f>SUMPRODUCT($N53:$X53,Risk!$B$56:$L$56)-SUMPRODUCT(MMULT(Risk!$B$56:$L$56,Inputs!$D$5:$D$15))/4</f>
        <v>-0.0183414454925957</v>
      </c>
      <c r="AA53" s="72">
        <f>SUMPRODUCT($N53:$X53,Risk!$B$57:$L$57)-SUMPRODUCT(MMULT(Risk!$B$57:$L$57,Inputs!$D$5:$D$15))/4</f>
        <v>-0.0108660953112352</v>
      </c>
      <c r="AB53" s="72">
        <f>SUMPRODUCT($N53:$X53,Risk!$B$58:$L$58)-SUMPRODUCT(MMULT(Risk!$B$58:$L$58,Inputs!$D$5:$D$15))/4</f>
        <v>-0.0110588601386882</v>
      </c>
      <c r="AC53" s="72">
        <f>SUMPRODUCT($N53:$X53,Risk!$B$63:$L$63)-SUMPRODUCT(MMULT(Risk!$B$63:$L$63,Inputs!$D$5:$D$15))/4</f>
        <v>-0.0122293219647104</v>
      </c>
      <c r="AD53" s="263">
        <f>SUMPRODUCT($N53:$X53,Risk!$B$64:$L$64)-SUMPRODUCT(MMULT(Risk!$B$64:$L$64,Inputs!$D$5:$D$15))/4</f>
        <v>-0.0111523233741169</v>
      </c>
      <c r="AF53" s="734">
        <f>O53-$X53</f>
        <v>-0.0102583347955628</v>
      </c>
      <c r="AG53" s="433">
        <f>Q53-$X53</f>
        <v>-0.0533328712651003</v>
      </c>
      <c r="AH53" s="433">
        <f>S53-$X53</f>
        <v>-0.0429590708253973</v>
      </c>
      <c r="AI53" s="433">
        <f>U53-$X53</f>
        <v>0.0288876439039272</v>
      </c>
      <c r="AJ53" s="666">
        <f>T53-$X53</f>
        <v>0.0106961570031818</v>
      </c>
    </row>
    <row r="54">
      <c r="A54" s="660">
        <f>Data!A404</f>
        <v>43280.0</v>
      </c>
      <c r="B54" s="72">
        <f>Data!B404/Data!B401-1</f>
        <v>0.0803492158197352</v>
      </c>
      <c r="C54" s="72">
        <f>Data!C404/Data!C401-1</f>
        <v>0.0773756744482494</v>
      </c>
      <c r="D54" s="72">
        <f>Data!D404/Data!D401-1</f>
        <v>0.00282598423868419</v>
      </c>
      <c r="E54" s="72">
        <f>Data!E404/Data!E401-1</f>
        <v>0.124737251685749</v>
      </c>
      <c r="F54" s="72">
        <f>Data!F404/Data!F401-1</f>
        <v>0.121249752516419</v>
      </c>
      <c r="G54" s="72">
        <f>Data!G404/Data!G401-1</f>
        <v>-0.00384157358079007</v>
      </c>
      <c r="H54" s="72">
        <f>Data!H404/Data!H401-1</f>
        <v>0.0227489704999997</v>
      </c>
      <c r="I54" s="72">
        <f>Data!I404/Data!I401-1</f>
        <v>0.0345993983798694</v>
      </c>
      <c r="J54" s="72">
        <f>Data!J404/Data!J401-1</f>
        <v>0.00819205407999979</v>
      </c>
      <c r="K54" s="72">
        <f>Data!K404/Data!K401-1</f>
        <v>0.00149720497694417</v>
      </c>
      <c r="L54" s="211">
        <f>Data!L404/Data!L401-1</f>
        <v>0.00480767407999982</v>
      </c>
      <c r="N54" s="394">
        <f>B54</f>
        <v>0.0803492158197352</v>
      </c>
      <c r="O54" s="72">
        <f>C54</f>
        <v>0.0773756744482494</v>
      </c>
      <c r="P54" s="72">
        <f>D54</f>
        <v>0.00282598423868419</v>
      </c>
      <c r="Q54" s="72">
        <f>E54</f>
        <v>0.124737251685749</v>
      </c>
      <c r="R54" s="72">
        <f>F54</f>
        <v>0.121249752516419</v>
      </c>
      <c r="S54" s="72">
        <f>(G54-Inputs!$B$39*G53)/(1-Inputs!$B$39)</f>
        <v>-0.00392763642428717</v>
      </c>
      <c r="T54" s="72">
        <f>H54</f>
        <v>0.0227489704999997</v>
      </c>
      <c r="U54" s="72">
        <f>(I54-Inputs!$B$40*I53)/(1-Inputs!$B$40)</f>
        <v>0.0318193290926149</v>
      </c>
      <c r="V54" s="72">
        <f>J54</f>
        <v>0.00819205407999979</v>
      </c>
      <c r="W54" s="72">
        <f>K54</f>
        <v>0.00149720497694417</v>
      </c>
      <c r="X54" s="145">
        <f>L54</f>
        <v>0.00480767407999982</v>
      </c>
      <c r="Z54" s="395">
        <f>SUMPRODUCT($N54:$X54,Risk!$B$56:$L$56)-SUMPRODUCT(MMULT(Risk!$B$56:$L$56,Inputs!$D$5:$D$15))/4</f>
        <v>0.0614936680818743</v>
      </c>
      <c r="AA54" s="72">
        <f>SUMPRODUCT($N54:$X54,Risk!$B$57:$L$57)-SUMPRODUCT(MMULT(Risk!$B$57:$L$57,Inputs!$D$5:$D$15))/4</f>
        <v>0.0519503255256329</v>
      </c>
      <c r="AB54" s="72">
        <f>SUMPRODUCT($N54:$X54,Risk!$B$58:$L$58)-SUMPRODUCT(MMULT(Risk!$B$58:$L$58,Inputs!$D$5:$D$15))/4</f>
        <v>0.0584899629786278</v>
      </c>
      <c r="AC54" s="72">
        <f>SUMPRODUCT($N54:$X54,Risk!$B$63:$L$63)-SUMPRODUCT(MMULT(Risk!$B$63:$L$63,Inputs!$D$5:$D$15))/4</f>
        <v>0.0585301948989293</v>
      </c>
      <c r="AD54" s="263">
        <f>SUMPRODUCT($N54:$X54,Risk!$B$64:$L$64)-SUMPRODUCT(MMULT(Risk!$B$64:$L$64,Inputs!$D$5:$D$15))/4</f>
        <v>0.0470043721245778</v>
      </c>
      <c r="AF54" s="734">
        <f>O54-$X54</f>
        <v>0.0725680003682496</v>
      </c>
      <c r="AG54" s="433">
        <f>Q54-$X54</f>
        <v>0.119929577605749</v>
      </c>
      <c r="AH54" s="433">
        <f>S54-$X54</f>
        <v>-0.008735310504287</v>
      </c>
      <c r="AI54" s="433">
        <f>U54-$X54</f>
        <v>0.027011655012615</v>
      </c>
      <c r="AJ54" s="666">
        <f>T54-$X54</f>
        <v>0.0179412964199999</v>
      </c>
    </row>
    <row r="55">
      <c r="A55" s="660">
        <f>Data!A407</f>
        <v>43371.0</v>
      </c>
      <c r="B55" s="72">
        <f>Data!B407/Data!B404-1</f>
        <v>0.0186469530123363</v>
      </c>
      <c r="C55" s="72">
        <f>Data!C407/Data!C404-1</f>
        <v>0.0763467703797254</v>
      </c>
      <c r="D55" s="72">
        <f>Data!D407/Data!D404-1</f>
        <v>0.0222867340689645</v>
      </c>
      <c r="E55" s="72">
        <f>Data!E407/Data!E404-1</f>
        <v>0.0279742382721202</v>
      </c>
      <c r="F55" s="72">
        <f>Data!F407/Data!F404-1</f>
        <v>0.0348243669521195</v>
      </c>
      <c r="G55" s="72">
        <f>Data!G407/Data!G404-1</f>
        <v>-0.0121553718237837</v>
      </c>
      <c r="H55" s="72">
        <f>Data!H407/Data!H404-1</f>
        <v>0.000393866000000021</v>
      </c>
      <c r="I55" s="72">
        <f>Data!I407/Data!I404-1</f>
        <v>0.0336996867296426</v>
      </c>
      <c r="J55" s="72">
        <f>Data!J407/Data!J404-1</f>
        <v>0.00547216556800012</v>
      </c>
      <c r="K55" s="72">
        <f>Data!K407/Data!K404-1</f>
        <v>-0.000702726950967625</v>
      </c>
      <c r="L55" s="211">
        <f>Data!L407/Data!L404-1</f>
        <v>0.00520899516800011</v>
      </c>
      <c r="N55" s="394">
        <f>B55</f>
        <v>0.0186469530123363</v>
      </c>
      <c r="O55" s="72">
        <f>C55</f>
        <v>0.0763467703797254</v>
      </c>
      <c r="P55" s="72">
        <f>D55</f>
        <v>0.0222867340689645</v>
      </c>
      <c r="Q55" s="72">
        <f>E55</f>
        <v>0.0279742382721202</v>
      </c>
      <c r="R55" s="72">
        <f>F55</f>
        <v>0.0348243669521195</v>
      </c>
      <c r="S55" s="72">
        <f>(G55-Inputs!$B$39*G54)/(1-Inputs!$B$39)</f>
        <v>-0.0275952828464861</v>
      </c>
      <c r="T55" s="72">
        <f>H55</f>
        <v>0.000393866000000021</v>
      </c>
      <c r="U55" s="72">
        <f>(I55-Inputs!$B$40*I54)/(1-Inputs!$B$40)</f>
        <v>0.03341556726115</v>
      </c>
      <c r="V55" s="72">
        <f>J55</f>
        <v>0.00547216556800012</v>
      </c>
      <c r="W55" s="72">
        <f>K55</f>
        <v>-0.000702726950967625</v>
      </c>
      <c r="X55" s="145">
        <f>L55</f>
        <v>0.00520899516800011</v>
      </c>
      <c r="Z55" s="395">
        <f>SUMPRODUCT($N55:$X55,Risk!$B$56:$L$56)-SUMPRODUCT(MMULT(Risk!$B$56:$L$56,Inputs!$D$5:$D$15))/4</f>
        <v>0.0263747954489742</v>
      </c>
      <c r="AA55" s="72">
        <f>SUMPRODUCT($N55:$X55,Risk!$B$57:$L$57)-SUMPRODUCT(MMULT(Risk!$B$57:$L$57,Inputs!$D$5:$D$15))/4</f>
        <v>0.0259428411098417</v>
      </c>
      <c r="AB55" s="72">
        <f>SUMPRODUCT($N55:$X55,Risk!$B$58:$L$58)-SUMPRODUCT(MMULT(Risk!$B$58:$L$58,Inputs!$D$5:$D$15))/4</f>
        <v>0.0315165174795203</v>
      </c>
      <c r="AC55" s="72">
        <f>SUMPRODUCT($N55:$X55,Risk!$B$63:$L$63)-SUMPRODUCT(MMULT(Risk!$B$63:$L$63,Inputs!$D$5:$D$15))/4</f>
        <v>0.0300423326334108</v>
      </c>
      <c r="AD55" s="263">
        <f>SUMPRODUCT($N55:$X55,Risk!$B$64:$L$64)-SUMPRODUCT(MMULT(Risk!$B$64:$L$64,Inputs!$D$5:$D$15))/4</f>
        <v>0.019861188822037</v>
      </c>
      <c r="AF55" s="734">
        <f>O55-$X55</f>
        <v>0.0711377752117253</v>
      </c>
      <c r="AG55" s="433">
        <f>Q55-$X55</f>
        <v>0.0227652431041201</v>
      </c>
      <c r="AH55" s="433">
        <f>S55-$X55</f>
        <v>-0.0328042780144862</v>
      </c>
      <c r="AI55" s="433">
        <f>U55-$X55</f>
        <v>0.0282065720931499</v>
      </c>
      <c r="AJ55" s="666">
        <f>T55-$X55</f>
        <v>-0.00481512916800009</v>
      </c>
    </row>
    <row r="56">
      <c r="A56" s="660">
        <f>Data!A410</f>
        <v>43465.0</v>
      </c>
      <c r="B56" s="72">
        <f>Data!B410/Data!B407-1</f>
        <v>-0.0898001136556039</v>
      </c>
      <c r="C56" s="72">
        <f>Data!C410/Data!C407-1</f>
        <v>-0.106274367873368</v>
      </c>
      <c r="D56" s="72">
        <f>Data!D410/Data!D407-1</f>
        <v>-0.0477698601400652</v>
      </c>
      <c r="E56" s="72">
        <f>Data!E410/Data!E407-1</f>
        <v>-0.0267908453661815</v>
      </c>
      <c r="F56" s="72">
        <f>Data!F410/Data!F407-1</f>
        <v>-0.20800694361372</v>
      </c>
      <c r="G56" s="72">
        <f>Data!G410/Data!G407-1</f>
        <v>-0.0207808230073732</v>
      </c>
      <c r="H56" s="72">
        <f>Data!H410/Data!H407-1</f>
        <v>0.00508252100899997</v>
      </c>
      <c r="I56" s="72">
        <f>Data!I410/Data!I407-1</f>
        <v>-0.000902558676039944</v>
      </c>
      <c r="J56" s="72">
        <f>Data!J410/Data!J407-1</f>
        <v>0.0223196927999998</v>
      </c>
      <c r="K56" s="72">
        <f>Data!K410/Data!K407-1</f>
        <v>0.016567395456347</v>
      </c>
      <c r="L56" s="211">
        <f>Data!L410/Data!L407-1</f>
        <v>0.0047073538250002</v>
      </c>
      <c r="N56" s="394">
        <f>B56</f>
        <v>-0.0898001136556039</v>
      </c>
      <c r="O56" s="72">
        <f>C56</f>
        <v>-0.106274367873368</v>
      </c>
      <c r="P56" s="72">
        <f>D56</f>
        <v>-0.0477698601400652</v>
      </c>
      <c r="Q56" s="72">
        <f>E56</f>
        <v>-0.0267908453661815</v>
      </c>
      <c r="R56" s="72">
        <f>F56</f>
        <v>-0.20800694361372</v>
      </c>
      <c r="S56" s="72">
        <f>(G56-Inputs!$B$39*G55)/(1-Inputs!$B$39)</f>
        <v>-0.0367995180626108</v>
      </c>
      <c r="T56" s="72">
        <f>H56</f>
        <v>0.00508252100899997</v>
      </c>
      <c r="U56" s="72">
        <f>(I56-Inputs!$B$40*I55)/(1-Inputs!$B$40)</f>
        <v>-0.0118295835409923</v>
      </c>
      <c r="V56" s="72">
        <f>J56</f>
        <v>0.0223196927999998</v>
      </c>
      <c r="W56" s="72">
        <f>K56</f>
        <v>0.016567395456347</v>
      </c>
      <c r="X56" s="145">
        <f>L56</f>
        <v>0.0047073538250002</v>
      </c>
      <c r="Z56" s="395">
        <f>SUMPRODUCT($N56:$X56,Risk!$B$56:$L$56)-SUMPRODUCT(MMULT(Risk!$B$56:$L$56,Inputs!$D$5:$D$15))/4</f>
        <v>-0.0551311432492755</v>
      </c>
      <c r="AA56" s="72">
        <f>SUMPRODUCT($N56:$X56,Risk!$B$57:$L$57)-SUMPRODUCT(MMULT(Risk!$B$57:$L$57,Inputs!$D$5:$D$15))/4</f>
        <v>-0.0532234672277604</v>
      </c>
      <c r="AB56" s="72">
        <f>SUMPRODUCT($N56:$X56,Risk!$B$58:$L$58)-SUMPRODUCT(MMULT(Risk!$B$58:$L$58,Inputs!$D$5:$D$15))/4</f>
        <v>-0.0602708175875859</v>
      </c>
      <c r="AC56" s="72">
        <f>SUMPRODUCT($N56:$X56,Risk!$B$63:$L$63)-SUMPRODUCT(MMULT(Risk!$B$63:$L$63,Inputs!$D$5:$D$15))/4</f>
        <v>-0.063364188896296</v>
      </c>
      <c r="AD56" s="263">
        <f>SUMPRODUCT($N56:$X56,Risk!$B$64:$L$64)-SUMPRODUCT(MMULT(Risk!$B$64:$L$64,Inputs!$D$5:$D$15))/4</f>
        <v>-0.043529369133347</v>
      </c>
      <c r="AF56" s="734">
        <f>O56-$X56</f>
        <v>-0.110981721698368</v>
      </c>
      <c r="AG56" s="433">
        <f>Q56-$X56</f>
        <v>-0.0314981991911817</v>
      </c>
      <c r="AH56" s="433">
        <f>S56-$X56</f>
        <v>-0.041506871887611</v>
      </c>
      <c r="AI56" s="433">
        <f>U56-$X56</f>
        <v>-0.0165369373659925</v>
      </c>
      <c r="AJ56" s="666">
        <f>T56-$X56</f>
        <v>0.000375167183999769</v>
      </c>
    </row>
    <row r="57">
      <c r="A57" s="660">
        <f>Data!A413</f>
        <v>43553.0</v>
      </c>
      <c r="B57" s="72">
        <f>Data!B413/Data!B410-1</f>
        <v>0.110633177351001</v>
      </c>
      <c r="C57" s="72">
        <f>Data!C413/Data!C410-1</f>
        <v>0.117652665921422</v>
      </c>
      <c r="D57" s="72">
        <f>Data!D413/Data!D410-1</f>
        <v>0.0888256424935794</v>
      </c>
      <c r="E57" s="72">
        <f>Data!E413/Data!E410-1</f>
        <v>0.133037779846122</v>
      </c>
      <c r="F57" s="72">
        <f>Data!F413/Data!F410-1</f>
        <v>0.139379675021625</v>
      </c>
      <c r="G57" s="72">
        <f>Data!G413/Data!G410-1</f>
        <v>-0.0270907117382538</v>
      </c>
      <c r="H57" s="72">
        <f>Data!H413/Data!H410-1</f>
        <v>0.00500106645800025</v>
      </c>
      <c r="I57" s="72">
        <f>Data!I413/Data!I410-1</f>
        <v>0.0197028989739696</v>
      </c>
      <c r="J57" s="72">
        <f>Data!J413/Data!J410-1</f>
        <v>0.0343488149119999</v>
      </c>
      <c r="K57" s="72">
        <f>Data!K413/Data!K410-1</f>
        <v>0.0279246376107023</v>
      </c>
      <c r="L57" s="211">
        <f>Data!L413/Data!L410-1</f>
        <v>0.00520901520200012</v>
      </c>
      <c r="N57" s="394">
        <f>B57</f>
        <v>0.110633177351001</v>
      </c>
      <c r="O57" s="72">
        <f>C57</f>
        <v>0.117652665921422</v>
      </c>
      <c r="P57" s="72">
        <f>D57</f>
        <v>0.0888256424935794</v>
      </c>
      <c r="Q57" s="72">
        <f>E57</f>
        <v>0.133037779846122</v>
      </c>
      <c r="R57" s="72">
        <f>F57</f>
        <v>0.139379675021625</v>
      </c>
      <c r="S57" s="72">
        <f>(G57-Inputs!$B$39*G56)/(1-Inputs!$B$39)</f>
        <v>-0.0388090765241751</v>
      </c>
      <c r="T57" s="72">
        <f>H57</f>
        <v>0.00500106645800025</v>
      </c>
      <c r="U57" s="72">
        <f>(I57-Inputs!$B$40*I56)/(1-Inputs!$B$40)</f>
        <v>0.0262098856002884</v>
      </c>
      <c r="V57" s="72">
        <f>J57</f>
        <v>0.0343488149119999</v>
      </c>
      <c r="W57" s="72">
        <f>K57</f>
        <v>0.0279246376107023</v>
      </c>
      <c r="X57" s="145">
        <f>L57</f>
        <v>0.00520901520200012</v>
      </c>
      <c r="Z57" s="395">
        <f>SUMPRODUCT($N57:$X57,Risk!$B$56:$L$56)-SUMPRODUCT(MMULT(Risk!$B$56:$L$56,Inputs!$D$5:$D$15))/4</f>
        <v>0.088558506419093</v>
      </c>
      <c r="AA57" s="72">
        <f>SUMPRODUCT($N57:$X57,Risk!$B$57:$L$57)-SUMPRODUCT(MMULT(Risk!$B$57:$L$57,Inputs!$D$5:$D$15))/4</f>
        <v>0.076847630939817</v>
      </c>
      <c r="AB57" s="72">
        <f>SUMPRODUCT($N57:$X57,Risk!$B$58:$L$58)-SUMPRODUCT(MMULT(Risk!$B$58:$L$58,Inputs!$D$5:$D$15))/4</f>
        <v>0.0915135293910351</v>
      </c>
      <c r="AC57" s="72">
        <f>SUMPRODUCT($N57:$X57,Risk!$B$63:$L$63)-SUMPRODUCT(MMULT(Risk!$B$63:$L$63,Inputs!$D$5:$D$15))/4</f>
        <v>0.0876658680469316</v>
      </c>
      <c r="AD57" s="263">
        <f>SUMPRODUCT($N57:$X57,Risk!$B$64:$L$64)-SUMPRODUCT(MMULT(Risk!$B$64:$L$64,Inputs!$D$5:$D$15))/4</f>
        <v>0.0736029002206942</v>
      </c>
      <c r="AF57" s="734">
        <f>O57-$X57</f>
        <v>0.112443650719422</v>
      </c>
      <c r="AG57" s="433">
        <f>Q57-$X57</f>
        <v>0.127828764644122</v>
      </c>
      <c r="AH57" s="433">
        <f>S57-$X57</f>
        <v>-0.0440180917261752</v>
      </c>
      <c r="AI57" s="433">
        <f>U57-$X57</f>
        <v>0.0210008703982883</v>
      </c>
      <c r="AJ57" s="666">
        <f>T57-$X57</f>
        <v>-0.000207948743999875</v>
      </c>
    </row>
    <row r="58">
      <c r="A58" s="660">
        <f>Data!A416</f>
        <v>43644.0</v>
      </c>
      <c r="B58" s="72">
        <f>Data!B416/Data!B413-1</f>
        <v>0.0783090248426377</v>
      </c>
      <c r="C58" s="72">
        <f>Data!C416/Data!C413-1</f>
        <v>0.0509320572866969</v>
      </c>
      <c r="D58" s="72">
        <f>Data!D416/Data!D413-1</f>
        <v>0.0155963827204149</v>
      </c>
      <c r="E58" s="72">
        <f>Data!E416/Data!E413-1</f>
        <v>0.02579164852367</v>
      </c>
      <c r="F58" s="72">
        <f>Data!F416/Data!F413-1</f>
        <v>-0.00207740095463604</v>
      </c>
      <c r="G58" s="72">
        <f>Data!G416/Data!G413-1</f>
        <v>-0.0043858185747061</v>
      </c>
      <c r="H58" s="72">
        <f>Data!H416/Data!H413-1</f>
        <v>-0.00149583919999996</v>
      </c>
      <c r="I58" s="72">
        <f>Data!I416/Data!I413-1</f>
        <v>0.0422988066825776</v>
      </c>
      <c r="J58" s="72">
        <f>Data!J416/Data!J413-1</f>
        <v>0.0304540150399999</v>
      </c>
      <c r="K58" s="72">
        <f>Data!K416/Data!K413-1</f>
        <v>0.0268477801414315</v>
      </c>
      <c r="L58" s="211">
        <f>Data!L416/Data!L413-1</f>
        <v>0.00440643312</v>
      </c>
      <c r="N58" s="394">
        <f>B58</f>
        <v>0.0783090248426377</v>
      </c>
      <c r="O58" s="72">
        <f>C58</f>
        <v>0.0509320572866969</v>
      </c>
      <c r="P58" s="72">
        <f>D58</f>
        <v>0.0155963827204149</v>
      </c>
      <c r="Q58" s="72">
        <f>E58</f>
        <v>0.02579164852367</v>
      </c>
      <c r="R58" s="72">
        <f>F58</f>
        <v>-0.00207740095463604</v>
      </c>
      <c r="S58" s="72">
        <f>(G58-Inputs!$B$39*G57)/(1-Inputs!$B$39)</f>
        <v>0.0377804115861683</v>
      </c>
      <c r="T58" s="72">
        <f>H58</f>
        <v>-0.00149583919999996</v>
      </c>
      <c r="U58" s="72">
        <f>(I58-Inputs!$B$40*I57)/(1-Inputs!$B$40)</f>
        <v>0.0494343564852959</v>
      </c>
      <c r="V58" s="72">
        <f>J58</f>
        <v>0.0304540150399999</v>
      </c>
      <c r="W58" s="72">
        <f>K58</f>
        <v>0.0268477801414315</v>
      </c>
      <c r="X58" s="145">
        <f>L58</f>
        <v>0.00440643312</v>
      </c>
      <c r="Z58" s="395">
        <f>SUMPRODUCT($N58:$X58,Risk!$B$56:$L$56)-SUMPRODUCT(MMULT(Risk!$B$56:$L$56,Inputs!$D$5:$D$15))/4</f>
        <v>0.050833561232476</v>
      </c>
      <c r="AA58" s="72">
        <f>SUMPRODUCT($N58:$X58,Risk!$B$57:$L$57)-SUMPRODUCT(MMULT(Risk!$B$57:$L$57,Inputs!$D$5:$D$15))/4</f>
        <v>0.0438638958312681</v>
      </c>
      <c r="AB58" s="72">
        <f>SUMPRODUCT($N58:$X58,Risk!$B$58:$L$58)-SUMPRODUCT(MMULT(Risk!$B$58:$L$58,Inputs!$D$5:$D$15))/4</f>
        <v>0.0457550935748541</v>
      </c>
      <c r="AC58" s="72">
        <f>SUMPRODUCT($N58:$X58,Risk!$B$63:$L$63)-SUMPRODUCT(MMULT(Risk!$B$63:$L$63,Inputs!$D$5:$D$15))/4</f>
        <v>0.0462403674225321</v>
      </c>
      <c r="AD58" s="263">
        <f>SUMPRODUCT($N58:$X58,Risk!$B$64:$L$64)-SUMPRODUCT(MMULT(Risk!$B$64:$L$64,Inputs!$D$5:$D$15))/4</f>
        <v>0.0412901491030338</v>
      </c>
      <c r="AF58" s="734">
        <f>O58-$X58</f>
        <v>0.0465256241666969</v>
      </c>
      <c r="AG58" s="433">
        <f>Q58-$X58</f>
        <v>0.02138521540367</v>
      </c>
      <c r="AH58" s="433">
        <f>S58-$X58</f>
        <v>0.0333739784661683</v>
      </c>
      <c r="AI58" s="433">
        <f>U58-$X58</f>
        <v>0.0450279233652959</v>
      </c>
      <c r="AJ58" s="666">
        <f>T58-$X58</f>
        <v>-0.00590227231999996</v>
      </c>
    </row>
    <row r="59">
      <c r="A59" s="660">
        <f>Data!A419</f>
        <v>43738.0</v>
      </c>
      <c r="B59" s="72">
        <f>Data!B419/Data!B416-1</f>
        <v>0.0282090848497505</v>
      </c>
      <c r="C59" s="72">
        <f>Data!C419/Data!C416-1</f>
        <v>0.0577158005227516</v>
      </c>
      <c r="D59" s="72">
        <f>Data!D419/Data!D416-1</f>
        <v>0.0204079747534909</v>
      </c>
      <c r="E59" s="72">
        <f>Data!E419/Data!E416-1</f>
        <v>0.112893484474328</v>
      </c>
      <c r="F59" s="72">
        <f>Data!F419/Data!F416-1</f>
        <v>-0.00296667234510428</v>
      </c>
      <c r="G59" s="72">
        <f>Data!G419/Data!G416-1</f>
        <v>0.0275546652213543</v>
      </c>
      <c r="H59" s="72">
        <f>Data!H419/Data!H416-1</f>
        <v>0.0309071954480002</v>
      </c>
      <c r="I59" s="72">
        <f>Data!I419/Data!I416-1</f>
        <v>0.012899703977256</v>
      </c>
      <c r="J59" s="72">
        <f>Data!J419/Data!J416-1</f>
        <v>0.0197222070950001</v>
      </c>
      <c r="K59" s="72">
        <f>Data!K419/Data!K416-1</f>
        <v>0.0233621678157281</v>
      </c>
      <c r="L59" s="211">
        <f>Data!L419/Data!L416-1</f>
        <v>0.00280256076800023</v>
      </c>
      <c r="N59" s="394">
        <f>B59</f>
        <v>0.0282090848497505</v>
      </c>
      <c r="O59" s="72">
        <f>C59</f>
        <v>0.0577158005227516</v>
      </c>
      <c r="P59" s="72">
        <f>D59</f>
        <v>0.0204079747534909</v>
      </c>
      <c r="Q59" s="72">
        <f>E59</f>
        <v>0.112893484474328</v>
      </c>
      <c r="R59" s="72">
        <f>F59</f>
        <v>-0.00296667234510428</v>
      </c>
      <c r="S59" s="72">
        <f>(G59-Inputs!$B$39*G58)/(1-Inputs!$B$39)</f>
        <v>0.0868727065568951</v>
      </c>
      <c r="T59" s="72">
        <f>H59</f>
        <v>0.0309071954480002</v>
      </c>
      <c r="U59" s="72">
        <f>(I59-Inputs!$B$40*I58)/(1-Inputs!$B$40)</f>
        <v>0.0036157768071545</v>
      </c>
      <c r="V59" s="72">
        <f>J59</f>
        <v>0.0197222070950001</v>
      </c>
      <c r="W59" s="72">
        <f>K59</f>
        <v>0.0233621678157281</v>
      </c>
      <c r="X59" s="145">
        <f>L59</f>
        <v>0.00280256076800023</v>
      </c>
      <c r="Z59" s="395">
        <f>SUMPRODUCT($N59:$X59,Risk!$B$56:$L$56)-SUMPRODUCT(MMULT(Risk!$B$56:$L$56,Inputs!$D$5:$D$15))/4</f>
        <v>0.0388596262351516</v>
      </c>
      <c r="AA59" s="72">
        <f>SUMPRODUCT($N59:$X59,Risk!$B$57:$L$57)-SUMPRODUCT(MMULT(Risk!$B$57:$L$57,Inputs!$D$5:$D$15))/4</f>
        <v>0.0393088618183731</v>
      </c>
      <c r="AB59" s="72">
        <f>SUMPRODUCT($N59:$X59,Risk!$B$58:$L$58)-SUMPRODUCT(MMULT(Risk!$B$58:$L$58,Inputs!$D$5:$D$15))/4</f>
        <v>0.040014574478055</v>
      </c>
      <c r="AC59" s="72">
        <f>SUMPRODUCT($N59:$X59,Risk!$B$63:$L$63)-SUMPRODUCT(MMULT(Risk!$B$63:$L$63,Inputs!$D$5:$D$15))/4</f>
        <v>0.0421891710466585</v>
      </c>
      <c r="AD59" s="263">
        <f>SUMPRODUCT($N59:$X59,Risk!$B$64:$L$64)-SUMPRODUCT(MMULT(Risk!$B$64:$L$64,Inputs!$D$5:$D$15))/4</f>
        <v>0.0384436550304312</v>
      </c>
      <c r="AF59" s="734">
        <f>O59-$X59</f>
        <v>0.0549132397547514</v>
      </c>
      <c r="AG59" s="433">
        <f>Q59-$X59</f>
        <v>0.110090923706328</v>
      </c>
      <c r="AH59" s="433">
        <f>S59-$X59</f>
        <v>0.0840701457888948</v>
      </c>
      <c r="AI59" s="433">
        <f>U59-$X59</f>
        <v>0.000813216039154274</v>
      </c>
      <c r="AJ59" s="666">
        <f>T59-$X59</f>
        <v>0.02810463468</v>
      </c>
    </row>
    <row r="60">
      <c r="A60" s="660">
        <f>Data!A422</f>
        <v>43830.0</v>
      </c>
      <c r="B60" s="72">
        <f>Data!B422/Data!B419-1</f>
        <v>0.00745378362067695</v>
      </c>
      <c r="C60" s="72">
        <f>Data!C422/Data!C419-1</f>
        <v>0.0323574967776432</v>
      </c>
      <c r="D60" s="72">
        <f>Data!D422/Data!D419-1</f>
        <v>0.0518060231387845</v>
      </c>
      <c r="E60" s="72">
        <f>Data!E422/Data!E419-1</f>
        <v>-0.039424247432951</v>
      </c>
      <c r="F60" s="72">
        <f>Data!F422/Data!F419-1</f>
        <v>0.0391494274978586</v>
      </c>
      <c r="G60" s="72">
        <f>Data!G422/Data!G419-1</f>
        <v>0.042219542750912</v>
      </c>
      <c r="H60" s="72">
        <f>Data!H422/Data!H419-1</f>
        <v>0.0147626777870002</v>
      </c>
      <c r="I60" s="72">
        <f>Data!I422/Data!I419-1</f>
        <v>0.0220998072144478</v>
      </c>
      <c r="J60" s="72">
        <f>Data!J422/Data!J419-1</f>
        <v>-0.013193641048</v>
      </c>
      <c r="K60" s="72">
        <f>Data!K422/Data!K419-1</f>
        <v>-0.00763055296661419</v>
      </c>
      <c r="L60" s="211">
        <f>Data!L422/Data!L419-1</f>
        <v>0.00230176044799957</v>
      </c>
      <c r="N60" s="394">
        <f>B60</f>
        <v>0.00745378362067695</v>
      </c>
      <c r="O60" s="72">
        <f>C60</f>
        <v>0.0323574967776432</v>
      </c>
      <c r="P60" s="72">
        <f>D60</f>
        <v>0.0518060231387845</v>
      </c>
      <c r="Q60" s="72">
        <f>E60</f>
        <v>-0.039424247432951</v>
      </c>
      <c r="R60" s="72">
        <f>F60</f>
        <v>0.0391494274978586</v>
      </c>
      <c r="S60" s="72">
        <f>(G60-Inputs!$B$39*G59)/(1-Inputs!$B$39)</f>
        <v>0.0694543153058049</v>
      </c>
      <c r="T60" s="72">
        <f>H60</f>
        <v>0.0147626777870002</v>
      </c>
      <c r="U60" s="72">
        <f>(I60-Inputs!$B$40*I59)/(1-Inputs!$B$40)</f>
        <v>0.025005102973561</v>
      </c>
      <c r="V60" s="72">
        <f>J60</f>
        <v>-0.013193641048</v>
      </c>
      <c r="W60" s="72">
        <f>K60</f>
        <v>-0.00763055296661419</v>
      </c>
      <c r="X60" s="145">
        <f>L60</f>
        <v>0.00230176044799957</v>
      </c>
      <c r="Z60" s="395">
        <f>SUMPRODUCT($N60:$X60,Risk!$B$56:$L$56)-SUMPRODUCT(MMULT(Risk!$B$56:$L$56,Inputs!$D$5:$D$15))/4</f>
        <v>0.00280222089733515</v>
      </c>
      <c r="AA60" s="72">
        <f>SUMPRODUCT($N60:$X60,Risk!$B$57:$L$57)-SUMPRODUCT(MMULT(Risk!$B$57:$L$57,Inputs!$D$5:$D$15))/4</f>
        <v>0.0104100484841172</v>
      </c>
      <c r="AB60" s="72">
        <f>SUMPRODUCT($N60:$X60,Risk!$B$58:$L$58)-SUMPRODUCT(MMULT(Risk!$B$58:$L$58,Inputs!$D$5:$D$15))/4</f>
        <v>0.00923356109554444</v>
      </c>
      <c r="AC60" s="72">
        <f>SUMPRODUCT($N60:$X60,Risk!$B$63:$L$63)-SUMPRODUCT(MMULT(Risk!$B$63:$L$63,Inputs!$D$5:$D$15))/4</f>
        <v>0.0127664785611829</v>
      </c>
      <c r="AD60" s="263">
        <f>SUMPRODUCT($N60:$X60,Risk!$B$64:$L$64)-SUMPRODUCT(MMULT(Risk!$B$64:$L$64,Inputs!$D$5:$D$15))/4</f>
        <v>0.00634912997921382</v>
      </c>
      <c r="AF60" s="734">
        <f>O60-$X60</f>
        <v>0.0300557363296436</v>
      </c>
      <c r="AG60" s="433">
        <f>Q60-$X60</f>
        <v>-0.0417260078809506</v>
      </c>
      <c r="AH60" s="433">
        <f>S60-$X60</f>
        <v>0.0671525548578053</v>
      </c>
      <c r="AI60" s="433">
        <f>U60-$X60</f>
        <v>0.0227033425255614</v>
      </c>
      <c r="AJ60" s="666">
        <f>T60-$X60</f>
        <v>0.0124609173390007</v>
      </c>
    </row>
    <row r="61">
      <c r="A61" s="660">
        <f>Data!A425</f>
        <v>43921.0</v>
      </c>
      <c r="B61" s="72">
        <f>Data!B425/Data!B422-1</f>
        <v>-0.239230212301625</v>
      </c>
      <c r="C61" s="72">
        <f>Data!C425/Data!C422-1</f>
        <v>-0.080905967371256</v>
      </c>
      <c r="D61" s="72">
        <f>Data!D425/Data!D422-1</f>
        <v>-0.0699476340769155</v>
      </c>
      <c r="E61" s="72">
        <f>Data!E425/Data!E422-1</f>
        <v>-0.166469215550117</v>
      </c>
      <c r="F61" s="72">
        <f>Data!F425/Data!F422-1</f>
        <v>-0.337819932505234</v>
      </c>
      <c r="G61" s="72">
        <f>Data!G425/Data!G422-1</f>
        <v>0.0190755403801093</v>
      </c>
      <c r="H61" s="72">
        <f>Data!H425/Data!H422-1</f>
        <v>0.126781897097003</v>
      </c>
      <c r="I61" s="72">
        <f>Data!I425/Data!I422-1</f>
        <v>-0.0646004890598516</v>
      </c>
      <c r="J61" s="72">
        <f>Data!J425/Data!J422-1</f>
        <v>0.0331097282475634</v>
      </c>
      <c r="K61" s="72">
        <f>Data!K425/Data!K422-1</f>
        <v>0.0305928292031425</v>
      </c>
      <c r="L61" s="211">
        <f>Data!L425/Data!L422-1</f>
        <v>0.00256127340506218</v>
      </c>
      <c r="N61" s="394">
        <f>B61</f>
        <v>-0.239230212301625</v>
      </c>
      <c r="O61" s="72">
        <f>C61</f>
        <v>-0.080905967371256</v>
      </c>
      <c r="P61" s="72">
        <f>D61</f>
        <v>-0.0699476340769155</v>
      </c>
      <c r="Q61" s="72">
        <f>E61</f>
        <v>-0.166469215550117</v>
      </c>
      <c r="R61" s="72">
        <f>F61</f>
        <v>-0.337819932505234</v>
      </c>
      <c r="S61" s="72">
        <f>(G61-Inputs!$B$39*G60)/(1-Inputs!$B$39)</f>
        <v>-0.0239061783085243</v>
      </c>
      <c r="T61" s="72">
        <f>H61</f>
        <v>0.126781897097003</v>
      </c>
      <c r="U61" s="72">
        <f>(I61-Inputs!$B$40*I60)/(1-Inputs!$B$40)</f>
        <v>-0.0919795299885777</v>
      </c>
      <c r="V61" s="72">
        <f>J61</f>
        <v>0.0331097282475634</v>
      </c>
      <c r="W61" s="72">
        <f>K61</f>
        <v>0.0305928292031425</v>
      </c>
      <c r="X61" s="145">
        <f>L61</f>
        <v>0.00256127340506218</v>
      </c>
      <c r="Z61" s="395">
        <f>SUMPRODUCT($N61:$X61,Risk!$B$56:$L$56)-SUMPRODUCT(MMULT(Risk!$B$56:$L$56,Inputs!$D$5:$D$15))/4</f>
        <v>-0.121207025238173</v>
      </c>
      <c r="AA61" s="72">
        <f>SUMPRODUCT($N61:$X61,Risk!$B$57:$L$57)-SUMPRODUCT(MMULT(Risk!$B$57:$L$57,Inputs!$D$5:$D$15))/4</f>
        <v>-0.0926514845384451</v>
      </c>
      <c r="AB61" s="72">
        <f>SUMPRODUCT($N61:$X61,Risk!$B$58:$L$58)-SUMPRODUCT(MMULT(Risk!$B$58:$L$58,Inputs!$D$5:$D$15))/4</f>
        <v>-0.107815131833963</v>
      </c>
      <c r="AC61" s="72">
        <f>SUMPRODUCT($N61:$X61,Risk!$B$63:$L$63)-SUMPRODUCT(MMULT(Risk!$B$63:$L$63,Inputs!$D$5:$D$15))/4</f>
        <v>-0.11238969699659</v>
      </c>
      <c r="AD61" s="263">
        <f>SUMPRODUCT($N61:$X61,Risk!$B$64:$L$64)-SUMPRODUCT(MMULT(Risk!$B$64:$L$64,Inputs!$D$5:$D$15))/4</f>
        <v>-0.0881994423558023</v>
      </c>
      <c r="AF61" s="734">
        <f>O61-$X61</f>
        <v>-0.0834672407763182</v>
      </c>
      <c r="AG61" s="433">
        <f>Q61-$X61</f>
        <v>-0.169030488955179</v>
      </c>
      <c r="AH61" s="433">
        <f>S61-$X61</f>
        <v>-0.0264674517135865</v>
      </c>
      <c r="AI61" s="433">
        <f>U61-$X61</f>
        <v>-0.0945408033936399</v>
      </c>
      <c r="AJ61" s="666">
        <f>T61-$X61</f>
        <v>0.124220623691941</v>
      </c>
    </row>
    <row r="62">
      <c r="A62" s="660">
        <f>Data!A428</f>
        <v>44012.0</v>
      </c>
      <c r="B62" s="72">
        <f>Data!B428/Data!B425-1</f>
        <v>0.177506312126078</v>
      </c>
      <c r="C62" s="72">
        <f>Data!C428/Data!C425-1</f>
        <v>0.05471575844115</v>
      </c>
      <c r="D62" s="72">
        <f>Data!D428/Data!D425-1</f>
        <v>0.0387114816582064</v>
      </c>
      <c r="E62" s="72">
        <f>Data!E428/Data!E425-1</f>
        <v>-0.017967678153743</v>
      </c>
      <c r="F62" s="72">
        <f>Data!F428/Data!F425-1</f>
        <v>-0.0179705150047066</v>
      </c>
      <c r="G62" s="72">
        <f>Data!G428/Data!G425-1</f>
        <v>-0.0148856976573047</v>
      </c>
      <c r="H62" s="72">
        <f>Data!H428/Data!H425-1</f>
        <v>-0.102084637742633</v>
      </c>
      <c r="I62" s="72">
        <f>Data!I428/Data!I425-1</f>
        <v>0.0360007263702673</v>
      </c>
      <c r="J62" s="72">
        <f>Data!J428/Data!J425-1</f>
        <v>0.00485068207216899</v>
      </c>
      <c r="K62" s="72">
        <f>Data!K428/Data!K425-1</f>
        <v>0.0101411268729652</v>
      </c>
      <c r="L62" s="211">
        <f>Data!L428/Data!L425-1</f>
        <v>0.00065100999101908</v>
      </c>
      <c r="N62" s="394">
        <f>B62</f>
        <v>0.177506312126078</v>
      </c>
      <c r="O62" s="72">
        <f>C62</f>
        <v>0.05471575844115</v>
      </c>
      <c r="P62" s="72">
        <f>D62</f>
        <v>0.0387114816582064</v>
      </c>
      <c r="Q62" s="72">
        <f>E62</f>
        <v>-0.017967678153743</v>
      </c>
      <c r="R62" s="72">
        <f>F62</f>
        <v>-0.0179705150047066</v>
      </c>
      <c r="S62" s="72">
        <f>(G62-Inputs!$B$39*G61)/(1-Inputs!$B$39)</f>
        <v>-0.0779565682982165</v>
      </c>
      <c r="T62" s="72">
        <f>H62</f>
        <v>-0.102084637742633</v>
      </c>
      <c r="U62" s="72">
        <f>(I62-Inputs!$B$40*I61)/(1-Inputs!$B$40)</f>
        <v>0.0677695312429364</v>
      </c>
      <c r="V62" s="72">
        <f>J62</f>
        <v>0.00485068207216899</v>
      </c>
      <c r="W62" s="72">
        <f>K62</f>
        <v>0.0101411268729652</v>
      </c>
      <c r="X62" s="145">
        <f>L62</f>
        <v>0.00065100999101908</v>
      </c>
      <c r="Z62" s="395">
        <f>SUMPRODUCT($N62:$X62,Risk!$B$56:$L$56)-SUMPRODUCT(MMULT(Risk!$B$56:$L$56,Inputs!$D$5:$D$15))/4</f>
        <v>0.081453371883321</v>
      </c>
      <c r="AA62" s="72">
        <f>SUMPRODUCT($N62:$X62,Risk!$B$57:$L$57)-SUMPRODUCT(MMULT(Risk!$B$57:$L$57,Inputs!$D$5:$D$15))/4</f>
        <v>0.0530944248722443</v>
      </c>
      <c r="AB62" s="72">
        <f>SUMPRODUCT($N62:$X62,Risk!$B$58:$L$58)-SUMPRODUCT(MMULT(Risk!$B$58:$L$58,Inputs!$D$5:$D$15))/4</f>
        <v>0.0660415764729941</v>
      </c>
      <c r="AC62" s="72">
        <f>SUMPRODUCT($N62:$X62,Risk!$B$63:$L$63)-SUMPRODUCT(MMULT(Risk!$B$63:$L$63,Inputs!$D$5:$D$15))/4</f>
        <v>0.061424265637466</v>
      </c>
      <c r="AD62" s="263">
        <f>SUMPRODUCT($N62:$X62,Risk!$B$64:$L$64)-SUMPRODUCT(MMULT(Risk!$B$64:$L$64,Inputs!$D$5:$D$15))/4</f>
        <v>0.0484694898012037</v>
      </c>
      <c r="AF62" s="734">
        <f>O62-$X62</f>
        <v>0.0540647484501309</v>
      </c>
      <c r="AG62" s="433">
        <f>Q62-$X62</f>
        <v>-0.0186186881447621</v>
      </c>
      <c r="AH62" s="433">
        <f>S62-$X62</f>
        <v>-0.0786075782892356</v>
      </c>
      <c r="AI62" s="433">
        <f>U62-$X62</f>
        <v>0.0671185212519174</v>
      </c>
      <c r="AJ62" s="666">
        <f>T62-$X62</f>
        <v>-0.102735647733652</v>
      </c>
    </row>
    <row r="63">
      <c r="A63" s="660">
        <f>Data!A431</f>
        <v>44104.0</v>
      </c>
      <c r="B63" s="72">
        <f>Data!B431/Data!B428-1</f>
        <v>0.0110099318404198</v>
      </c>
      <c r="C63" s="72">
        <f>Data!C431/Data!C428-1</f>
        <v>0.0260349492467</v>
      </c>
      <c r="D63" s="72">
        <f>Data!D431/Data!D428-1</f>
        <v>0.0449885325354171</v>
      </c>
      <c r="E63" s="72">
        <f>Data!E431/Data!E428-1</f>
        <v>-0.0239492138099406</v>
      </c>
      <c r="F63" s="72">
        <f>Data!F431/Data!F428-1</f>
        <v>0.00482163034188354</v>
      </c>
      <c r="G63" s="72">
        <f>Data!G431/Data!G428-1</f>
        <v>0.0107038445351582</v>
      </c>
      <c r="H63" s="72">
        <f>Data!H431/Data!H428-1</f>
        <v>0.0773373783601221</v>
      </c>
      <c r="I63" s="72">
        <f>Data!I431/Data!I428-1</f>
        <v>0.0563970727859657</v>
      </c>
      <c r="J63" s="72">
        <f>Data!J431/Data!J428-1</f>
        <v>0.0112619107653236</v>
      </c>
      <c r="K63" s="72">
        <f>Data!K431/Data!K428-1</f>
        <v>0.00463591843037126</v>
      </c>
      <c r="L63" s="211">
        <f>Data!L431/Data!L428-1</f>
        <v>0.000253287185089324</v>
      </c>
      <c r="N63" s="394">
        <f>B63</f>
        <v>0.0110099318404198</v>
      </c>
      <c r="O63" s="72">
        <f>C63</f>
        <v>0.0260349492467</v>
      </c>
      <c r="P63" s="72">
        <f>D63</f>
        <v>0.0449885325354171</v>
      </c>
      <c r="Q63" s="72">
        <f>E63</f>
        <v>-0.0239492138099406</v>
      </c>
      <c r="R63" s="72">
        <f>F63</f>
        <v>0.00482163034188354</v>
      </c>
      <c r="S63" s="72">
        <f>(G63-Inputs!$B$39*G62)/(1-Inputs!$B$39)</f>
        <v>0.0582272800354464</v>
      </c>
      <c r="T63" s="72">
        <f>H63</f>
        <v>0.0773373783601221</v>
      </c>
      <c r="U63" s="72">
        <f>(I63-Inputs!$B$40*I62)/(1-Inputs!$B$40)</f>
        <v>0.06283802428566</v>
      </c>
      <c r="V63" s="72">
        <f>J63</f>
        <v>0.0112619107653236</v>
      </c>
      <c r="W63" s="72">
        <f>K63</f>
        <v>0.00463591843037126</v>
      </c>
      <c r="X63" s="145">
        <f>L63</f>
        <v>0.000253287185089324</v>
      </c>
      <c r="Z63" s="395">
        <f>SUMPRODUCT($N63:$X63,Risk!$B$56:$L$56)-SUMPRODUCT(MMULT(Risk!$B$56:$L$56,Inputs!$D$5:$D$15))/4</f>
        <v>0.00901393139669833</v>
      </c>
      <c r="AA63" s="72">
        <f>SUMPRODUCT($N63:$X63,Risk!$B$57:$L$57)-SUMPRODUCT(MMULT(Risk!$B$57:$L$57,Inputs!$D$5:$D$15))/4</f>
        <v>0.0171363576267019</v>
      </c>
      <c r="AB63" s="72">
        <f>SUMPRODUCT($N63:$X63,Risk!$B$58:$L$58)-SUMPRODUCT(MMULT(Risk!$B$58:$L$58,Inputs!$D$5:$D$15))/4</f>
        <v>0.0129640404283518</v>
      </c>
      <c r="AC63" s="72">
        <f>SUMPRODUCT($N63:$X63,Risk!$B$63:$L$63)-SUMPRODUCT(MMULT(Risk!$B$63:$L$63,Inputs!$D$5:$D$15))/4</f>
        <v>0.0158735947204616</v>
      </c>
      <c r="AD63" s="263">
        <f>SUMPRODUCT($N63:$X63,Risk!$B$64:$L$64)-SUMPRODUCT(MMULT(Risk!$B$64:$L$64,Inputs!$D$5:$D$15))/4</f>
        <v>0.0124862902348635</v>
      </c>
      <c r="AF63" s="734">
        <f>O63-$X63</f>
        <v>0.0257816620616107</v>
      </c>
      <c r="AG63" s="433">
        <f>Q63-$X63</f>
        <v>-0.02420250099503</v>
      </c>
      <c r="AH63" s="433">
        <f>S63-$X63</f>
        <v>0.0579739928503571</v>
      </c>
      <c r="AI63" s="433">
        <f>U63-$X63</f>
        <v>0.0625847371005707</v>
      </c>
      <c r="AJ63" s="666">
        <f>T63-$X63</f>
        <v>0.0770840911750328</v>
      </c>
    </row>
    <row r="64">
      <c r="A64" s="660">
        <f>Data!A434</f>
        <v>44196.0</v>
      </c>
      <c r="B64" s="72">
        <f>Data!B434/Data!B431-1</f>
        <v>0.14428963820357</v>
      </c>
      <c r="C64" s="72">
        <f>Data!C434/Data!C431-1</f>
        <v>0.0446845625091319</v>
      </c>
      <c r="D64" s="72">
        <f>Data!D434/Data!D431-1</f>
        <v>0.0783398272669518</v>
      </c>
      <c r="E64" s="72">
        <f>Data!E434/Data!E431-1</f>
        <v>0.0314815255966929</v>
      </c>
      <c r="F64" s="72">
        <f>Data!F434/Data!F431-1</f>
        <v>0.0634070489049965</v>
      </c>
      <c r="G64" s="72">
        <f>Data!G434/Data!G431-1</f>
        <v>0.0335837814015074</v>
      </c>
      <c r="H64" s="72">
        <f>Data!H434/Data!H431-1</f>
        <v>0.0101407892720915</v>
      </c>
      <c r="I64" s="72">
        <f>Data!I434/Data!I431-1</f>
        <v>0.0502855286081689</v>
      </c>
      <c r="J64" s="72">
        <f>Data!J434/Data!J431-1</f>
        <v>-0.000886858371405452</v>
      </c>
      <c r="K64" s="72">
        <f>Data!K434/Data!K431-1</f>
        <v>-0.000281170896345717</v>
      </c>
      <c r="L64" s="211">
        <f>Data!L434/Data!L431-1</f>
        <v>0.000204057661879808</v>
      </c>
      <c r="N64" s="394">
        <f>B64</f>
        <v>0.14428963820357</v>
      </c>
      <c r="O64" s="72">
        <f>C64</f>
        <v>0.0446845625091319</v>
      </c>
      <c r="P64" s="72">
        <f>D64</f>
        <v>0.0783398272669518</v>
      </c>
      <c r="Q64" s="72">
        <f>E64</f>
        <v>0.0314815255966929</v>
      </c>
      <c r="R64" s="72">
        <f>F64</f>
        <v>0.0634070489049965</v>
      </c>
      <c r="S64" s="72">
        <f>(G64-Inputs!$B$39*G63)/(1-Inputs!$B$39)</f>
        <v>0.0760750927247275</v>
      </c>
      <c r="T64" s="72">
        <f>H64</f>
        <v>0.0101407892720915</v>
      </c>
      <c r="U64" s="72">
        <f>(I64-Inputs!$B$40*I63)/(1-Inputs!$B$40)</f>
        <v>0.0483555672888647</v>
      </c>
      <c r="V64" s="72">
        <f>J64</f>
        <v>-0.000886858371405452</v>
      </c>
      <c r="W64" s="72">
        <f>K64</f>
        <v>-0.000281170896345717</v>
      </c>
      <c r="X64" s="145">
        <f>L64</f>
        <v>0.000204057661879808</v>
      </c>
      <c r="Z64" s="395">
        <f>SUMPRODUCT($N64:$X64,Risk!$B$56:$L$56)-SUMPRODUCT(MMULT(Risk!$B$56:$L$56,Inputs!$D$5:$D$15))/4</f>
        <v>0.0693796819518369</v>
      </c>
      <c r="AA64" s="72">
        <f>SUMPRODUCT($N64:$X64,Risk!$B$57:$L$57)-SUMPRODUCT(MMULT(Risk!$B$57:$L$57,Inputs!$D$5:$D$15))/4</f>
        <v>0.0571834252332879</v>
      </c>
      <c r="AB64" s="72">
        <f>SUMPRODUCT($N64:$X64,Risk!$B$58:$L$58)-SUMPRODUCT(MMULT(Risk!$B$58:$L$58,Inputs!$D$5:$D$15))/4</f>
        <v>0.0610431527551697</v>
      </c>
      <c r="AC64" s="72">
        <f>SUMPRODUCT($N64:$X64,Risk!$B$63:$L$63)-SUMPRODUCT(MMULT(Risk!$B$63:$L$63,Inputs!$D$5:$D$15))/4</f>
        <v>0.064713649909321</v>
      </c>
      <c r="AD64" s="263">
        <f>SUMPRODUCT($N64:$X64,Risk!$B$64:$L$64)-SUMPRODUCT(MMULT(Risk!$B$64:$L$64,Inputs!$D$5:$D$15))/4</f>
        <v>0.0527704672801205</v>
      </c>
      <c r="AF64" s="734">
        <f>O64-$X64</f>
        <v>0.0444805048472521</v>
      </c>
      <c r="AG64" s="433">
        <f>Q64-$X64</f>
        <v>0.0312774679348131</v>
      </c>
      <c r="AH64" s="433">
        <f>S64-$X64</f>
        <v>0.0758710350628477</v>
      </c>
      <c r="AI64" s="433">
        <f>U64-$X64</f>
        <v>0.0481515096269849</v>
      </c>
      <c r="AJ64" s="666">
        <f>T64-$X64</f>
        <v>0.00993673161021169</v>
      </c>
    </row>
    <row r="65">
      <c r="A65" s="660">
        <f>Data!A437</f>
        <v>44286.0</v>
      </c>
      <c r="B65" s="72">
        <f>Data!B437/Data!B434-1</f>
        <v>0.0360662297441892</v>
      </c>
      <c r="C65" s="72">
        <f>Data!C437/Data!C434-1</f>
        <v>0.0765680613296167</v>
      </c>
      <c r="D65" s="72">
        <f>Data!D437/Data!D434-1</f>
        <v>0.0538798329634997</v>
      </c>
      <c r="E65" s="72">
        <f>Data!E437/Data!E434-1</f>
        <v>0.0889463051036081</v>
      </c>
      <c r="F65" s="72">
        <f>Data!F437/Data!F434-1</f>
        <v>0.150408219979329</v>
      </c>
      <c r="G65" s="72">
        <f>Data!G437/Data!G434-1</f>
        <v>0.056961217928194</v>
      </c>
      <c r="H65" s="72">
        <f>Data!H437/Data!H434-1</f>
        <v>0.0534552393446914</v>
      </c>
      <c r="I65" s="72">
        <f>Data!I437/Data!I434-1</f>
        <v>0.0250004114075073</v>
      </c>
      <c r="J65" s="72">
        <f>Data!J437/Data!J434-1</f>
        <v>-0.0349340840962006</v>
      </c>
      <c r="K65" s="72">
        <f>Data!K437/Data!K434-1</f>
        <v>-0.029900371805716</v>
      </c>
      <c r="L65" s="211">
        <f>Data!L437/Data!L434-1</f>
        <v>3.26223462292496e-05</v>
      </c>
      <c r="N65" s="394">
        <f>B65</f>
        <v>0.0360662297441892</v>
      </c>
      <c r="O65" s="72">
        <f>C65</f>
        <v>0.0765680613296167</v>
      </c>
      <c r="P65" s="72">
        <f>D65</f>
        <v>0.0538798329634997</v>
      </c>
      <c r="Q65" s="72">
        <f>E65</f>
        <v>0.0889463051036081</v>
      </c>
      <c r="R65" s="72">
        <f>F65</f>
        <v>0.150408219979329</v>
      </c>
      <c r="S65" s="72">
        <f>(G65-Inputs!$B$39*G64)/(1-Inputs!$B$39)</f>
        <v>0.10037645719204</v>
      </c>
      <c r="T65" s="72">
        <f>H65</f>
        <v>0.0534552393446914</v>
      </c>
      <c r="U65" s="72">
        <f>(I65-Inputs!$B$40*I64)/(1-Inputs!$B$40)</f>
        <v>0.0170156375546668</v>
      </c>
      <c r="V65" s="72">
        <f>J65</f>
        <v>-0.0349340840962006</v>
      </c>
      <c r="W65" s="72">
        <f>K65</f>
        <v>-0.029900371805716</v>
      </c>
      <c r="X65" s="145">
        <f>L65</f>
        <v>3.26223462292496e-05</v>
      </c>
      <c r="Z65" s="395">
        <f>SUMPRODUCT($N65:$X65,Risk!$B$56:$L$56)-SUMPRODUCT(MMULT(Risk!$B$56:$L$56,Inputs!$D$5:$D$15))/4</f>
        <v>0.0307248758793085</v>
      </c>
      <c r="AA65" s="72">
        <f>SUMPRODUCT($N65:$X65,Risk!$B$57:$L$57)-SUMPRODUCT(MMULT(Risk!$B$57:$L$57,Inputs!$D$5:$D$15))/4</f>
        <v>0.0363528080657722</v>
      </c>
      <c r="AB65" s="72">
        <f>SUMPRODUCT($N65:$X65,Risk!$B$58:$L$58)-SUMPRODUCT(MMULT(Risk!$B$58:$L$58,Inputs!$D$5:$D$15))/4</f>
        <v>0.0378613822396714</v>
      </c>
      <c r="AC65" s="72">
        <f>SUMPRODUCT($N65:$X65,Risk!$B$63:$L$63)-SUMPRODUCT(MMULT(Risk!$B$63:$L$63,Inputs!$D$5:$D$15))/4</f>
        <v>0.044132836852584</v>
      </c>
      <c r="AD65" s="263">
        <f>SUMPRODUCT($N65:$X65,Risk!$B$64:$L$64)-SUMPRODUCT(MMULT(Risk!$B$64:$L$64,Inputs!$D$5:$D$15))/4</f>
        <v>0.0284319035944858</v>
      </c>
      <c r="AF65" s="734">
        <f>O65-$X65</f>
        <v>0.0765354389833874</v>
      </c>
      <c r="AG65" s="433">
        <f>Q65-$X65</f>
        <v>0.0889136827573789</v>
      </c>
      <c r="AH65" s="433">
        <f>S65-$X65</f>
        <v>0.100343834845811</v>
      </c>
      <c r="AI65" s="433">
        <f>U65-$X65</f>
        <v>0.0169830152084375</v>
      </c>
      <c r="AJ65" s="666">
        <f>T65-$X65</f>
        <v>0.0534226169984622</v>
      </c>
    </row>
    <row r="66">
      <c r="A66" s="660">
        <f>Data!A440</f>
        <v>44377.0</v>
      </c>
      <c r="B66" s="72">
        <f>Data!B440/Data!B437-1</f>
        <v>0.0865991636549914</v>
      </c>
      <c r="C66" s="72">
        <f>Data!C440/Data!C437-1</f>
        <v>0.0928630391329548</v>
      </c>
      <c r="D66" s="72">
        <f>Data!D440/Data!D437-1</f>
        <v>0.0541252421340728</v>
      </c>
      <c r="E66" s="72">
        <f>Data!E440/Data!E437-1</f>
        <v>0.120538899448752</v>
      </c>
      <c r="F66" s="72">
        <f>Data!F440/Data!F437-1</f>
        <v>0.174034332847772</v>
      </c>
      <c r="G66" s="72">
        <f>Data!G440/Data!G437-1</f>
        <v>0.0702076967454446</v>
      </c>
      <c r="H66" s="72">
        <f>Data!H440/Data!H437-1</f>
        <v>0.0694049813790794</v>
      </c>
      <c r="I66" s="72">
        <f>Data!I440/Data!I437-1</f>
        <v>0.0755994104633131</v>
      </c>
      <c r="J66" s="72">
        <f>Data!J440/Data!J437-1</f>
        <v>0.017469262564791</v>
      </c>
      <c r="K66" s="72">
        <f>Data!K440/Data!K437-1</f>
        <v>0.00481230159905333</v>
      </c>
      <c r="L66" s="211">
        <f>Data!L440/Data!L437-1</f>
        <v>9.47718395007957e-05</v>
      </c>
      <c r="N66" s="394">
        <f>B66</f>
        <v>0.0865991636549914</v>
      </c>
      <c r="O66" s="72">
        <f>C66</f>
        <v>0.0928630391329548</v>
      </c>
      <c r="P66" s="72">
        <f>D66</f>
        <v>0.0541252421340728</v>
      </c>
      <c r="Q66" s="72">
        <f>E66</f>
        <v>0.120538899448752</v>
      </c>
      <c r="R66" s="72">
        <f>F66</f>
        <v>0.174034332847772</v>
      </c>
      <c r="S66" s="72">
        <f>(G66-Inputs!$B$39*G65)/(1-Inputs!$B$39)</f>
        <v>0.0948083002631957</v>
      </c>
      <c r="T66" s="72">
        <f>H66</f>
        <v>0.0694049813790794</v>
      </c>
      <c r="U66" s="72">
        <f>(I66-Inputs!$B$40*I65)/(1-Inputs!$B$40)</f>
        <v>0.0915780417440939</v>
      </c>
      <c r="V66" s="72">
        <f>J66</f>
        <v>0.017469262564791</v>
      </c>
      <c r="W66" s="72">
        <f>K66</f>
        <v>0.00481230159905333</v>
      </c>
      <c r="X66" s="145">
        <f>L66</f>
        <v>9.47718395007957e-05</v>
      </c>
      <c r="Z66" s="395">
        <f>SUMPRODUCT($N66:$X66,Risk!$B$56:$L$56)-SUMPRODUCT(MMULT(Risk!$B$56:$L$56,Inputs!$D$5:$D$15))/4</f>
        <v>0.0679981707748707</v>
      </c>
      <c r="AA66" s="72">
        <f>SUMPRODUCT($N66:$X66,Risk!$B$57:$L$57)-SUMPRODUCT(MMULT(Risk!$B$57:$L$57,Inputs!$D$5:$D$15))/4</f>
        <v>0.0691818859850539</v>
      </c>
      <c r="AB66" s="72">
        <f>SUMPRODUCT($N66:$X66,Risk!$B$58:$L$58)-SUMPRODUCT(MMULT(Risk!$B$58:$L$58,Inputs!$D$5:$D$15))/4</f>
        <v>0.0703397531226161</v>
      </c>
      <c r="AC66" s="72">
        <f>SUMPRODUCT($N66:$X66,Risk!$B$63:$L$63)-SUMPRODUCT(MMULT(Risk!$B$63:$L$63,Inputs!$D$5:$D$15))/4</f>
        <v>0.0757735417084988</v>
      </c>
      <c r="AD66" s="263">
        <f>SUMPRODUCT($N66:$X66,Risk!$B$64:$L$64)-SUMPRODUCT(MMULT(Risk!$B$64:$L$64,Inputs!$D$5:$D$15))/4</f>
        <v>0.0622370481467178</v>
      </c>
      <c r="AF66" s="734">
        <f>O66-$X66</f>
        <v>0.092768267293454</v>
      </c>
      <c r="AG66" s="433">
        <f>Q66-$X66</f>
        <v>0.120444127609252</v>
      </c>
      <c r="AH66" s="433">
        <f>S66-$X66</f>
        <v>0.0947135284236949</v>
      </c>
      <c r="AI66" s="433">
        <f>U66-$X66</f>
        <v>0.0914832699045931</v>
      </c>
      <c r="AJ66" s="666">
        <f>T66-$X66</f>
        <v>0.0693102095395786</v>
      </c>
    </row>
    <row r="67">
      <c r="A67" s="660">
        <f>Data!A443</f>
        <v>44469.0</v>
      </c>
      <c r="B67" s="72">
        <f>Data!B443/Data!B440-1</f>
        <v>0.0204757253967369</v>
      </c>
      <c r="C67" s="72">
        <f>Data!C443/Data!C440-1</f>
        <v>0.046421429300948</v>
      </c>
      <c r="D67" s="72">
        <f>Data!D443/Data!D440-1</f>
        <v>-0.0289595969687927</v>
      </c>
      <c r="E67" s="72">
        <f>Data!E443/Data!E440-1</f>
        <v>0.0472760547832576</v>
      </c>
      <c r="F67" s="72">
        <f>Data!F443/Data!F440-1</f>
        <v>0.0936048924773789</v>
      </c>
      <c r="G67" s="72">
        <f>Data!G443/Data!G440-1</f>
        <v>0.0533901363354117</v>
      </c>
      <c r="H67" s="72">
        <f>Data!H443/Data!H440-1</f>
        <v>0.0221889911478688</v>
      </c>
      <c r="I67" s="72">
        <f>Data!I443/Data!I440-1</f>
        <v>0.12</v>
      </c>
      <c r="J67" s="72">
        <f>Data!J443/Data!J440-1</f>
        <v>0.00247941531332674</v>
      </c>
      <c r="K67" s="72">
        <f>Data!K443/Data!K440-1</f>
        <v>0.00221033282306626</v>
      </c>
      <c r="L67" s="211">
        <f>Data!L443/Data!L440-1</f>
        <v>4.99319855706837e-05</v>
      </c>
      <c r="N67" s="394">
        <f>B67</f>
        <v>0.0204757253967369</v>
      </c>
      <c r="O67" s="72">
        <f>C67</f>
        <v>0.046421429300948</v>
      </c>
      <c r="P67" s="72">
        <f>D67</f>
        <v>-0.0289595969687927</v>
      </c>
      <c r="Q67" s="72">
        <f>E67</f>
        <v>0.0472760547832576</v>
      </c>
      <c r="R67" s="72">
        <f>F67</f>
        <v>0.0936048924773789</v>
      </c>
      <c r="S67" s="72">
        <f>(G67-Inputs!$B$39*G66)/(1-Inputs!$B$39)</f>
        <v>0.0221575241453506</v>
      </c>
      <c r="T67" s="72">
        <f>H67</f>
        <v>0.0221889911478688</v>
      </c>
      <c r="U67" s="72">
        <f>(I67-Inputs!$B$40*I66)/(1-Inputs!$B$40)</f>
        <v>0.134021238801059</v>
      </c>
      <c r="V67" s="72">
        <f>J67</f>
        <v>0.00247941531332674</v>
      </c>
      <c r="W67" s="72">
        <f>K67</f>
        <v>0.00221033282306626</v>
      </c>
      <c r="X67" s="145">
        <f>L67</f>
        <v>4.99319855706837e-05</v>
      </c>
      <c r="Z67" s="395">
        <f>SUMPRODUCT($N67:$X67,Risk!$B$56:$L$56)-SUMPRODUCT(MMULT(Risk!$B$56:$L$56,Inputs!$D$5:$D$15))/4</f>
        <v>0.0224744156590444</v>
      </c>
      <c r="AA67" s="72">
        <f>SUMPRODUCT($N67:$X67,Risk!$B$57:$L$57)-SUMPRODUCT(MMULT(Risk!$B$57:$L$57,Inputs!$D$5:$D$15))/4</f>
        <v>0.0261136439764291</v>
      </c>
      <c r="AB67" s="72">
        <f>SUMPRODUCT($N67:$X67,Risk!$B$58:$L$58)-SUMPRODUCT(MMULT(Risk!$B$58:$L$58,Inputs!$D$5:$D$15))/4</f>
        <v>0.0232452061766485</v>
      </c>
      <c r="AC67" s="72">
        <f>SUMPRODUCT($N67:$X67,Risk!$B$63:$L$63)-SUMPRODUCT(MMULT(Risk!$B$63:$L$63,Inputs!$D$5:$D$15))/4</f>
        <v>0.0257640918833064</v>
      </c>
      <c r="AD67" s="263">
        <f>SUMPRODUCT($N67:$X67,Risk!$B$64:$L$64)-SUMPRODUCT(MMULT(Risk!$B$64:$L$64,Inputs!$D$5:$D$15))/4</f>
        <v>0.0201940466948193</v>
      </c>
      <c r="AF67" s="734">
        <f>O67-$X67</f>
        <v>0.0463714973153773</v>
      </c>
      <c r="AG67" s="433">
        <f>Q67-$X67</f>
        <v>0.0472261227976869</v>
      </c>
      <c r="AH67" s="433">
        <f>S67-$X67</f>
        <v>0.0221075921597799</v>
      </c>
      <c r="AI67" s="433">
        <f>U67-$X67</f>
        <v>0.133971306815488</v>
      </c>
      <c r="AJ67" s="666">
        <f>T67-$X67</f>
        <v>0.0221390591622981</v>
      </c>
    </row>
    <row r="68">
      <c r="A68" s="660">
        <f>Data!A446</f>
        <v>44561.0</v>
      </c>
      <c r="B68" s="72">
        <f>Data!B446/Data!B443-1</f>
        <v>0.0248435622962686</v>
      </c>
      <c r="C68" s="72">
        <f>Data!C446/Data!C443-1</f>
        <v>0.0750762292494713</v>
      </c>
      <c r="D68" s="72">
        <f>Data!D446/Data!D443-1</f>
        <v>-0.0147987356413597</v>
      </c>
      <c r="E68" s="72">
        <f>Data!E446/Data!E443-1</f>
        <v>0.121829752613716</v>
      </c>
      <c r="F68" s="72">
        <f>Data!F446/Data!F443-1</f>
        <v>0.00852387148607536</v>
      </c>
      <c r="G68" s="72">
        <f>Data!G446/Data!G443-1</f>
        <v>0.0504086975053737</v>
      </c>
      <c r="H68" s="72">
        <f>Data!H446/Data!H443-1</f>
        <v>-0.0218606221904664</v>
      </c>
      <c r="I68" s="72">
        <f>Data!I446/Data!I443-1</f>
        <v>0.0896362201870073</v>
      </c>
      <c r="J68" s="72">
        <f>Data!J446/Data!J443-1</f>
        <v>-0.015078950132955</v>
      </c>
      <c r="K68" s="72">
        <f>Data!K446/Data!K443-1</f>
        <v>-0.000895813640458321</v>
      </c>
      <c r="L68" s="211">
        <f>Data!L446/Data!L443-1</f>
        <v>9.07673758299143e-05</v>
      </c>
      <c r="N68" s="394">
        <f>B68</f>
        <v>0.0248435622962686</v>
      </c>
      <c r="O68" s="72">
        <f>C68</f>
        <v>0.0750762292494713</v>
      </c>
      <c r="P68" s="72">
        <f>D68</f>
        <v>-0.0147987356413597</v>
      </c>
      <c r="Q68" s="72">
        <f>E68</f>
        <v>0.121829752613716</v>
      </c>
      <c r="R68" s="72">
        <f>F68</f>
        <v>0.00852387148607536</v>
      </c>
      <c r="S68" s="72">
        <f>(G68-Inputs!$B$39*G67)/(1-Inputs!$B$39)</f>
        <v>0.0448717396781603</v>
      </c>
      <c r="T68" s="72">
        <f>H68</f>
        <v>-0.0218606221904664</v>
      </c>
      <c r="U68" s="72">
        <f>(I68-Inputs!$B$40*I67)/(1-Inputs!$B$40)</f>
        <v>0.0800476581407991</v>
      </c>
      <c r="V68" s="72">
        <f>J68</f>
        <v>-0.015078950132955</v>
      </c>
      <c r="W68" s="72">
        <f>K68</f>
        <v>-0.000895813640458321</v>
      </c>
      <c r="X68" s="145">
        <f>L68</f>
        <v>9.07673758299143e-05</v>
      </c>
      <c r="Z68" s="395">
        <f>SUMPRODUCT($N68:$X68,Risk!$B$56:$L$56)-SUMPRODUCT(MMULT(Risk!$B$56:$L$56,Inputs!$D$5:$D$15))/4</f>
        <v>0.0345284921349014</v>
      </c>
      <c r="AA68" s="72">
        <f>SUMPRODUCT($N68:$X68,Risk!$B$57:$L$57)-SUMPRODUCT(MMULT(Risk!$B$57:$L$57,Inputs!$D$5:$D$15))/4</f>
        <v>0.0334211122020099</v>
      </c>
      <c r="AB68" s="72">
        <f>SUMPRODUCT($N68:$X68,Risk!$B$58:$L$58)-SUMPRODUCT(MMULT(Risk!$B$58:$L$58,Inputs!$D$5:$D$15))/4</f>
        <v>0.0352686782513978</v>
      </c>
      <c r="AC68" s="72">
        <f>SUMPRODUCT($N68:$X68,Risk!$B$63:$L$63)-SUMPRODUCT(MMULT(Risk!$B$63:$L$63,Inputs!$D$5:$D$15))/4</f>
        <v>0.0372606979036556</v>
      </c>
      <c r="AD68" s="263">
        <f>SUMPRODUCT($N68:$X68,Risk!$B$64:$L$64)-SUMPRODUCT(MMULT(Risk!$B$64:$L$64,Inputs!$D$5:$D$15))/4</f>
        <v>0.0277225718558258</v>
      </c>
      <c r="AF68" s="734">
        <f>O68-$X68</f>
        <v>0.0749854618736414</v>
      </c>
      <c r="AG68" s="433">
        <f>Q68-$X68</f>
        <v>0.121738985237886</v>
      </c>
      <c r="AH68" s="433">
        <f>S68-$X68</f>
        <v>0.0447809723023304</v>
      </c>
      <c r="AI68" s="433">
        <f>U68-$X68</f>
        <v>0.0799568907649692</v>
      </c>
      <c r="AJ68" s="666">
        <f>T68-$X68</f>
        <v>-0.0219513895662963</v>
      </c>
    </row>
    <row r="69">
      <c r="A69" s="660">
        <f>Data!A449</f>
        <v>44651.0</v>
      </c>
      <c r="B69" s="72">
        <f>Data!B449/Data!B446-1</f>
        <v>0.0161987791074862</v>
      </c>
      <c r="C69" s="72">
        <f>Data!C449/Data!C446-1</f>
        <v>-0.0750675959569966</v>
      </c>
      <c r="D69" s="72">
        <f>Data!D449/Data!D446-1</f>
        <v>-0.0904568056064581</v>
      </c>
      <c r="E69" s="72">
        <f>Data!E449/Data!E446-1</f>
        <v>-0.0635546397254285</v>
      </c>
      <c r="F69" s="72">
        <f>Data!F449/Data!F446-1</f>
        <v>0.288889236555183</v>
      </c>
      <c r="G69" s="72">
        <f>Data!G449/Data!G446-1</f>
        <v>0.0305633576875415</v>
      </c>
      <c r="H69" s="72">
        <f>Data!H449/Data!H446-1</f>
        <v>-0.062604473740842</v>
      </c>
      <c r="I69" s="72">
        <f>Data!I449/Data!I446-1</f>
        <v>0.0385995638746095</v>
      </c>
      <c r="J69" s="72">
        <f>Data!J449/Data!J446-1</f>
        <v>-0.0642879910627036</v>
      </c>
      <c r="K69" s="72">
        <f>Data!K449/Data!K446-1</f>
        <v>-0.0498948864004852</v>
      </c>
      <c r="L69" s="211">
        <f>Data!L449/Data!L446-1</f>
        <v>0.000151122653847757</v>
      </c>
      <c r="N69" s="394">
        <f>B69</f>
        <v>0.0161987791074862</v>
      </c>
      <c r="O69" s="72">
        <f>C69</f>
        <v>-0.0750675959569966</v>
      </c>
      <c r="P69" s="72">
        <f>D69</f>
        <v>-0.0904568056064581</v>
      </c>
      <c r="Q69" s="72">
        <f>E69</f>
        <v>-0.0635546397254285</v>
      </c>
      <c r="R69" s="72">
        <f>F69</f>
        <v>0.288889236555183</v>
      </c>
      <c r="S69" s="72">
        <f>(G69-Inputs!$B$39*G68)/(1-Inputs!$B$39)</f>
        <v>-0.00629227340271835</v>
      </c>
      <c r="T69" s="72">
        <f>H69</f>
        <v>-0.062604473740842</v>
      </c>
      <c r="U69" s="72">
        <f>(I69-Inputs!$B$40*I68)/(1-Inputs!$B$40)</f>
        <v>0.0224827250391154</v>
      </c>
      <c r="V69" s="72">
        <f>J69</f>
        <v>-0.0642879910627036</v>
      </c>
      <c r="W69" s="72">
        <f>K69</f>
        <v>-0.0498948864004852</v>
      </c>
      <c r="X69" s="145">
        <f>L69</f>
        <v>0.000151122653847757</v>
      </c>
      <c r="Z69" s="395">
        <f>SUMPRODUCT($N69:$X69,Risk!$B$56:$L$56)-SUMPRODUCT(MMULT(Risk!$B$56:$L$56,Inputs!$D$5:$D$15))/4</f>
        <v>-0.0287936825066227</v>
      </c>
      <c r="AA69" s="72">
        <f>SUMPRODUCT($N69:$X69,Risk!$B$57:$L$57)-SUMPRODUCT(MMULT(Risk!$B$57:$L$57,Inputs!$D$5:$D$15))/4</f>
        <v>-0.0321987611750819</v>
      </c>
      <c r="AB69" s="72">
        <f>SUMPRODUCT($N69:$X69,Risk!$B$58:$L$58)-SUMPRODUCT(MMULT(Risk!$B$58:$L$58,Inputs!$D$5:$D$15))/4</f>
        <v>-0.0355243831128445</v>
      </c>
      <c r="AC69" s="72">
        <f>SUMPRODUCT($N69:$X69,Risk!$B$63:$L$63)-SUMPRODUCT(MMULT(Risk!$B$63:$L$63,Inputs!$D$5:$D$15))/4</f>
        <v>-0.0308265809199622</v>
      </c>
      <c r="AD69" s="263">
        <f>SUMPRODUCT($N69:$X69,Risk!$B$64:$L$64)-SUMPRODUCT(MMULT(Risk!$B$64:$L$64,Inputs!$D$5:$D$15))/4</f>
        <v>-0.0304220205753229</v>
      </c>
      <c r="AF69" s="734">
        <f>O69-$X69</f>
        <v>-0.0752187186108444</v>
      </c>
      <c r="AG69" s="433">
        <f>Q69-$X69</f>
        <v>-0.0637057623792763</v>
      </c>
      <c r="AH69" s="433">
        <f>S69-$X69</f>
        <v>-0.0064433960565661</v>
      </c>
      <c r="AI69" s="433">
        <f>U69-$X69</f>
        <v>0.0223316023852677</v>
      </c>
      <c r="AJ69" s="666">
        <f>T69-$X69</f>
        <v>-0.0627555963946898</v>
      </c>
    </row>
    <row r="70">
      <c r="A70" s="660">
        <f>Data!A452</f>
        <v>44742.0</v>
      </c>
      <c r="B70" s="72">
        <f>Data!B452/Data!B449-1</f>
        <v>-0.1290868877573</v>
      </c>
      <c r="C70" s="72">
        <f>Data!C452/Data!C449-1</f>
        <v>-0.0629876412208305</v>
      </c>
      <c r="D70" s="72">
        <f>Data!D452/Data!D449-1</f>
        <v>0.00521737305064263</v>
      </c>
      <c r="E70" s="72">
        <f>Data!E452/Data!E449-1</f>
        <v>-0.0725758229283101</v>
      </c>
      <c r="F70" s="72">
        <f>Data!F452/Data!F449-1</f>
        <v>0.113971297539365</v>
      </c>
      <c r="G70" s="72">
        <f>Data!G452/Data!G449-1</f>
        <v>0.00607754048611686</v>
      </c>
      <c r="H70" s="72">
        <f>Data!H452/Data!H449-1</f>
        <v>0.0573537400691531</v>
      </c>
      <c r="I70" s="72">
        <f>Data!I452/Data!I449-1</f>
        <v>-0.105393533853702</v>
      </c>
      <c r="J70" s="72">
        <f>Data!J452/Data!J449-1</f>
        <v>-0.0446285614886794</v>
      </c>
      <c r="K70" s="72">
        <f>Data!K452/Data!K449-1</f>
        <v>-0.04684509961877</v>
      </c>
      <c r="L70" s="211">
        <f>Data!L452/Data!L449-1</f>
        <v>0.000671128845361579</v>
      </c>
      <c r="N70" s="394">
        <f>B70</f>
        <v>-0.1290868877573</v>
      </c>
      <c r="O70" s="72">
        <f>C70</f>
        <v>-0.0629876412208305</v>
      </c>
      <c r="P70" s="72">
        <f>D70</f>
        <v>0.00521737305064263</v>
      </c>
      <c r="Q70" s="72">
        <f>E70</f>
        <v>-0.0725758229283101</v>
      </c>
      <c r="R70" s="72">
        <f>F70</f>
        <v>0.113971297539365</v>
      </c>
      <c r="S70" s="72">
        <f>(G70-Inputs!$B$39*G69)/(1-Inputs!$B$39)</f>
        <v>-0.0393961200308146</v>
      </c>
      <c r="T70" s="72">
        <f>H70</f>
        <v>0.0573537400691531</v>
      </c>
      <c r="U70" s="72">
        <f>(I70-Inputs!$B$40*I69)/(1-Inputs!$B$40)</f>
        <v>-0.150865038399485</v>
      </c>
      <c r="V70" s="72">
        <f>J70</f>
        <v>-0.0446285614886794</v>
      </c>
      <c r="W70" s="72">
        <f>K70</f>
        <v>-0.04684509961877</v>
      </c>
      <c r="X70" s="145">
        <f>L70</f>
        <v>0.000671128845361579</v>
      </c>
      <c r="Z70" s="395">
        <f>SUMPRODUCT($N70:$X70,Risk!$B$56:$L$56)-SUMPRODUCT(MMULT(Risk!$B$56:$L$56,Inputs!$D$5:$D$15))/4</f>
        <v>-0.0821647788135453</v>
      </c>
      <c r="AA70" s="72">
        <f>SUMPRODUCT($N70:$X70,Risk!$B$57:$L$57)-SUMPRODUCT(MMULT(Risk!$B$57:$L$57,Inputs!$D$5:$D$15))/4</f>
        <v>-0.0670340869475691</v>
      </c>
      <c r="AB70" s="72">
        <f>SUMPRODUCT($N70:$X70,Risk!$B$58:$L$58)-SUMPRODUCT(MMULT(Risk!$B$58:$L$58,Inputs!$D$5:$D$15))/4</f>
        <v>-0.067791471630075</v>
      </c>
      <c r="AC70" s="72">
        <f>SUMPRODUCT($N70:$X70,Risk!$B$63:$L$63)-SUMPRODUCT(MMULT(Risk!$B$63:$L$63,Inputs!$D$5:$D$15))/4</f>
        <v>-0.0679618321058278</v>
      </c>
      <c r="AD70" s="263">
        <f>SUMPRODUCT($N70:$X70,Risk!$B$64:$L$64)-SUMPRODUCT(MMULT(Risk!$B$64:$L$64,Inputs!$D$5:$D$15))/4</f>
        <v>-0.0632113142922799</v>
      </c>
      <c r="AF70" s="734">
        <f>O70-$X70</f>
        <v>-0.063658770066192</v>
      </c>
      <c r="AG70" s="433">
        <f>Q70-$X70</f>
        <v>-0.0732469517736717</v>
      </c>
      <c r="AH70" s="433">
        <f>S70-$X70</f>
        <v>-0.0400672488761762</v>
      </c>
      <c r="AI70" s="433">
        <f>U70-$X70</f>
        <v>-0.151536167244847</v>
      </c>
      <c r="AJ70" s="666">
        <f>T70-$X70</f>
        <v>0.0566826112237915</v>
      </c>
    </row>
    <row r="71">
      <c r="A71" s="660">
        <f>Data!A455</f>
        <v>44834.0</v>
      </c>
      <c r="B71" s="72">
        <f>Data!B455/Data!B452-1</f>
        <v>0.00803508408854636</v>
      </c>
      <c r="C71" s="72">
        <f>Data!C455/Data!C452-1</f>
        <v>0.0234472585481282</v>
      </c>
      <c r="D71" s="72">
        <f>Data!D455/Data!D452-1</f>
        <v>-0.016270753482816</v>
      </c>
      <c r="E71" s="72">
        <f>Data!E455/Data!E452-1</f>
        <v>-0.0295258101127616</v>
      </c>
      <c r="F71" s="72">
        <f>Data!F455/Data!F452-1</f>
        <v>-0.0407313653740398</v>
      </c>
      <c r="G71" s="72">
        <f>Data!G455/Data!G452-1</f>
        <v>-0.0316899729467108</v>
      </c>
      <c r="H71" s="72">
        <f>Data!H455/Data!H452-1</f>
        <v>-0.00780831942776006</v>
      </c>
      <c r="I71" s="72">
        <f>Data!I455/Data!I452-1</f>
        <v>-0.00233674319891275</v>
      </c>
      <c r="J71" s="72">
        <f>Data!J455/Data!J452-1</f>
        <v>-0.00693259786552958</v>
      </c>
      <c r="K71" s="72">
        <f>Data!K455/Data!K452-1</f>
        <v>-0.0348707726216083</v>
      </c>
      <c r="L71" s="211">
        <f>Data!L455/Data!L452-1</f>
        <v>0.00423135829516497</v>
      </c>
      <c r="N71" s="394">
        <f>B71</f>
        <v>0.00803508408854636</v>
      </c>
      <c r="O71" s="72">
        <f>C71</f>
        <v>0.0234472585481282</v>
      </c>
      <c r="P71" s="72">
        <f>D71</f>
        <v>-0.016270753482816</v>
      </c>
      <c r="Q71" s="72">
        <f>E71</f>
        <v>-0.0295258101127616</v>
      </c>
      <c r="R71" s="72">
        <f>F71</f>
        <v>-0.0407313653740398</v>
      </c>
      <c r="S71" s="72">
        <f>(G71-Inputs!$B$39*G70)/(1-Inputs!$B$39)</f>
        <v>-0.101829640750534</v>
      </c>
      <c r="T71" s="72">
        <f>H71</f>
        <v>-0.00780831942776006</v>
      </c>
      <c r="U71" s="72">
        <f>(I71-Inputs!$B$40*I70)/(1-Inputs!$B$40)</f>
        <v>0.0302075064815471</v>
      </c>
      <c r="V71" s="72">
        <f>J71</f>
        <v>-0.00693259786552958</v>
      </c>
      <c r="W71" s="72">
        <f>K71</f>
        <v>-0.0348707726216083</v>
      </c>
      <c r="X71" s="145">
        <f>L71</f>
        <v>0.00423135829516497</v>
      </c>
      <c r="Z71" s="395">
        <f>SUMPRODUCT($N71:$X71,Risk!$B$56:$L$56)-SUMPRODUCT(MMULT(Risk!$B$56:$L$56,Inputs!$D$5:$D$15))/4</f>
        <v>0.00113754792487148</v>
      </c>
      <c r="AA71" s="72">
        <f>SUMPRODUCT($N71:$X71,Risk!$B$57:$L$57)-SUMPRODUCT(MMULT(Risk!$B$57:$L$57,Inputs!$D$5:$D$15))/4</f>
        <v>-0.0056773579127804</v>
      </c>
      <c r="AB71" s="72">
        <f>SUMPRODUCT($N71:$X71,Risk!$B$58:$L$58)-SUMPRODUCT(MMULT(Risk!$B$58:$L$58,Inputs!$D$5:$D$15))/4</f>
        <v>-0.00148023869646202</v>
      </c>
      <c r="AC71" s="72">
        <f>SUMPRODUCT($N71:$X71,Risk!$B$63:$L$63)-SUMPRODUCT(MMULT(Risk!$B$63:$L$63,Inputs!$D$5:$D$15))/4</f>
        <v>-0.00408745847430008</v>
      </c>
      <c r="AD71" s="263">
        <f>SUMPRODUCT($N71:$X71,Risk!$B$64:$L$64)-SUMPRODUCT(MMULT(Risk!$B$64:$L$64,Inputs!$D$5:$D$15))/4</f>
        <v>-0.0127476530309974</v>
      </c>
      <c r="AF71" s="734">
        <f>O71-$X71</f>
        <v>0.0192159002529633</v>
      </c>
      <c r="AG71" s="433">
        <f>Q71-$X71</f>
        <v>-0.0337571684079265</v>
      </c>
      <c r="AH71" s="433">
        <f>S71-$X71</f>
        <v>-0.106060999045699</v>
      </c>
      <c r="AI71" s="433">
        <f>U71-$X71</f>
        <v>0.0259761481863822</v>
      </c>
      <c r="AJ71" s="666">
        <f>T71-$X71</f>
        <v>-0.012039677722925</v>
      </c>
    </row>
    <row r="72">
      <c r="A72" s="660">
        <f>Data!A458</f>
        <v>44925.0</v>
      </c>
      <c r="B72" s="72">
        <f>Data!B458/Data!B455-1</f>
        <v>0.0877463746378788</v>
      </c>
      <c r="C72" s="72">
        <f>Data!C458/Data!C455-1</f>
        <v>0.0198776938017675</v>
      </c>
      <c r="D72" s="72">
        <f>Data!D458/Data!D455-1</f>
        <v>0.0112550121100323</v>
      </c>
      <c r="E72" s="72">
        <f>Data!E458/Data!E455-1</f>
        <v>-0.00369266546008051</v>
      </c>
      <c r="F72" s="72">
        <f>Data!F458/Data!F455-1</f>
        <v>-0.0193121397382686</v>
      </c>
      <c r="G72" s="72">
        <f>Data!G458/Data!G455-1</f>
        <v>-0.0229375831057133</v>
      </c>
      <c r="H72" s="72">
        <f>Data!H458/Data!H455-1</f>
        <v>0.041175070660282</v>
      </c>
      <c r="I72" s="72">
        <f>Data!I458/Data!I455-1</f>
        <v>0.0971875568739871</v>
      </c>
      <c r="J72" s="72">
        <f>Data!J458/Data!J455-1</f>
        <v>0.00159975331783047</v>
      </c>
      <c r="K72" s="72">
        <f>Data!K458/Data!K455-1</f>
        <v>8.19269024812108e-05</v>
      </c>
      <c r="L72" s="211">
        <f>Data!L458/Data!L455-1</f>
        <v>0.00746030291182942</v>
      </c>
      <c r="N72" s="394">
        <f>B72</f>
        <v>0.0877463746378788</v>
      </c>
      <c r="O72" s="72">
        <f>C72</f>
        <v>0.0198776938017675</v>
      </c>
      <c r="P72" s="72">
        <f>D72</f>
        <v>0.0112550121100323</v>
      </c>
      <c r="Q72" s="72">
        <f>E72</f>
        <v>-0.00369266546008051</v>
      </c>
      <c r="R72" s="72">
        <f>F72</f>
        <v>-0.0193121397382686</v>
      </c>
      <c r="S72" s="72">
        <f>(G72-Inputs!$B$39*G71)/(1-Inputs!$B$39)</f>
        <v>-0.0066831448295749</v>
      </c>
      <c r="T72" s="72">
        <f>H72</f>
        <v>0.041175070660282</v>
      </c>
      <c r="U72" s="72">
        <f>(I72-Inputs!$B$40*I71)/(1-Inputs!$B$40)</f>
        <v>0.128616283212798</v>
      </c>
      <c r="V72" s="72">
        <f>J72</f>
        <v>0.00159975331783047</v>
      </c>
      <c r="W72" s="72">
        <f>K72</f>
        <v>8.19269024812108e-05</v>
      </c>
      <c r="X72" s="145">
        <f>L72</f>
        <v>0.00746030291182942</v>
      </c>
      <c r="Z72" s="395">
        <f>SUMPRODUCT($N72:$X72,Risk!$B$56:$L$56)-SUMPRODUCT(MMULT(Risk!$B$56:$L$56,Inputs!$D$5:$D$15))/4</f>
        <v>0.0391935604231981</v>
      </c>
      <c r="AA72" s="72">
        <f>SUMPRODUCT($N72:$X72,Risk!$B$57:$L$57)-SUMPRODUCT(MMULT(Risk!$B$57:$L$57,Inputs!$D$5:$D$15))/4</f>
        <v>0.0307715310440616</v>
      </c>
      <c r="AB72" s="72">
        <f>SUMPRODUCT($N72:$X72,Risk!$B$58:$L$58)-SUMPRODUCT(MMULT(Risk!$B$58:$L$58,Inputs!$D$5:$D$15))/4</f>
        <v>0.0295547622894419</v>
      </c>
      <c r="AC72" s="72">
        <f>SUMPRODUCT($N72:$X72,Risk!$B$63:$L$63)-SUMPRODUCT(MMULT(Risk!$B$63:$L$63,Inputs!$D$5:$D$15))/4</f>
        <v>0.0301077068839276</v>
      </c>
      <c r="AD72" s="263">
        <f>SUMPRODUCT($N72:$X72,Risk!$B$64:$L$64)-SUMPRODUCT(MMULT(Risk!$B$64:$L$64,Inputs!$D$5:$D$15))/4</f>
        <v>0.0239462624239281</v>
      </c>
      <c r="AF72" s="734">
        <f>O72-$X72</f>
        <v>0.0124173908899381</v>
      </c>
      <c r="AG72" s="433">
        <f>Q72-$X72</f>
        <v>-0.0111529683719099</v>
      </c>
      <c r="AH72" s="433">
        <f>S72-$X72</f>
        <v>-0.0141434477414043</v>
      </c>
      <c r="AI72" s="433">
        <f>U72-$X72</f>
        <v>0.121155980300968</v>
      </c>
      <c r="AJ72" s="666">
        <f>T72-$X72</f>
        <v>0.0337147677484526</v>
      </c>
    </row>
    <row r="73">
      <c r="A73" s="660">
        <f>Data!A461</f>
        <v>45016.0</v>
      </c>
      <c r="B73" s="72">
        <f>Data!B461/Data!B458-1</f>
        <v>0.0361256257088538</v>
      </c>
      <c r="C73" s="72">
        <f>Data!C461/Data!C458-1</f>
        <v>0.0893109594130128</v>
      </c>
      <c r="D73" s="72">
        <f>Data!D461/Data!D458-1</f>
        <v>0.0514218499858146</v>
      </c>
      <c r="E73" s="72">
        <f>Data!E461/Data!E458-1</f>
        <v>0.0283280602576614</v>
      </c>
      <c r="F73" s="72">
        <f>Data!F461/Data!F458-1</f>
        <v>-0.0374953252779414</v>
      </c>
      <c r="G73" s="72">
        <f>Data!G461/Data!G458-1</f>
        <v>-0.00194191121779674</v>
      </c>
      <c r="H73" s="72">
        <f>Data!H461/Data!H458-1</f>
        <v>0.0475911804982105</v>
      </c>
      <c r="I73" s="72">
        <f>Data!I461/Data!I458-1</f>
        <v>0.0409255031743798</v>
      </c>
      <c r="J73" s="72">
        <f>Data!J461/Data!J458-1</f>
        <v>0.0502089497182454</v>
      </c>
      <c r="K73" s="72">
        <f>Data!K461/Data!K458-1</f>
        <v>0.0236803001574062</v>
      </c>
      <c r="L73" s="211">
        <f>Data!L461/Data!L458-1</f>
        <v>0.00789228849675339</v>
      </c>
      <c r="N73" s="394">
        <f>B73</f>
        <v>0.0361256257088538</v>
      </c>
      <c r="O73" s="72">
        <f>C73</f>
        <v>0.0893109594130128</v>
      </c>
      <c r="P73" s="72">
        <f>D73</f>
        <v>0.0514218499858146</v>
      </c>
      <c r="Q73" s="72">
        <f>E73</f>
        <v>0.0283280602576614</v>
      </c>
      <c r="R73" s="72">
        <f>F73</f>
        <v>-0.0374953252779414</v>
      </c>
      <c r="S73" s="72">
        <f>(G73-Inputs!$B$39*G72)/(1-Inputs!$B$39)</f>
        <v>0.0370500508597625</v>
      </c>
      <c r="T73" s="72">
        <f>H73</f>
        <v>0.0475911804982105</v>
      </c>
      <c r="U73" s="72">
        <f>(I73-Inputs!$B$40*I72)/(1-Inputs!$B$40)</f>
        <v>0.0231585388481881</v>
      </c>
      <c r="V73" s="72">
        <f>J73</f>
        <v>0.0502089497182454</v>
      </c>
      <c r="W73" s="72">
        <f>K73</f>
        <v>0.0236803001574062</v>
      </c>
      <c r="X73" s="145">
        <f>L73</f>
        <v>0.00789228849675339</v>
      </c>
      <c r="Z73" s="395">
        <f>SUMPRODUCT($N73:$X73,Risk!$B$56:$L$56)-SUMPRODUCT(MMULT(Risk!$B$56:$L$56,Inputs!$D$5:$D$15))/4</f>
        <v>0.0448434748570123</v>
      </c>
      <c r="AA73" s="72">
        <f>SUMPRODUCT($N73:$X73,Risk!$B$57:$L$57)-SUMPRODUCT(MMULT(Risk!$B$57:$L$57,Inputs!$D$5:$D$15))/4</f>
        <v>0.0462425986545402</v>
      </c>
      <c r="AB73" s="72">
        <f>SUMPRODUCT($N73:$X73,Risk!$B$58:$L$58)-SUMPRODUCT(MMULT(Risk!$B$58:$L$58,Inputs!$D$5:$D$15))/4</f>
        <v>0.0487081946283331</v>
      </c>
      <c r="AC73" s="72">
        <f>SUMPRODUCT($N73:$X73,Risk!$B$63:$L$63)-SUMPRODUCT(MMULT(Risk!$B$63:$L$63,Inputs!$D$5:$D$15))/4</f>
        <v>0.0489923216944046</v>
      </c>
      <c r="AD73" s="263">
        <f>SUMPRODUCT($N73:$X73,Risk!$B$64:$L$64)-SUMPRODUCT(MMULT(Risk!$B$64:$L$64,Inputs!$D$5:$D$15))/4</f>
        <v>0.0405781192761728</v>
      </c>
      <c r="AF73" s="734">
        <f>O73-$X73</f>
        <v>0.0814186709162594</v>
      </c>
      <c r="AG73" s="433">
        <f>Q73-$X73</f>
        <v>0.0204357717609081</v>
      </c>
      <c r="AH73" s="433">
        <f>S73-$X73</f>
        <v>0.0291577623630091</v>
      </c>
      <c r="AI73" s="433">
        <f>U73-$X73</f>
        <v>0.0152662503514347</v>
      </c>
      <c r="AJ73" s="666">
        <f>T73-$X73</f>
        <v>0.0396988920014572</v>
      </c>
    </row>
    <row r="74">
      <c r="A74" s="660">
        <f>Data!A464</f>
        <v>45107.0</v>
      </c>
      <c r="B74" s="72">
        <f>Data!B464/Data!B461-1</f>
        <v>0.0100564749647467</v>
      </c>
      <c r="C74" s="72">
        <f>Data!C464/Data!C461-1</f>
        <v>0.0798380377239343</v>
      </c>
      <c r="D74" s="72">
        <f>Data!D464/Data!D461-1</f>
        <v>0.0247726426623784</v>
      </c>
      <c r="E74" s="72">
        <f>Data!E464/Data!E461-1</f>
        <v>0.0229634643009198</v>
      </c>
      <c r="F74" s="72">
        <f>Data!F464/Data!F461-1</f>
        <v>-0.0212932100111595</v>
      </c>
      <c r="G74" s="72">
        <f>Data!G464/Data!G461-1</f>
        <v>0.030957922686802</v>
      </c>
      <c r="H74" s="72">
        <f>Data!H464/Data!H461-1</f>
        <v>0.00486460277723699</v>
      </c>
      <c r="I74" s="72">
        <f>Data!I464/Data!I461-1</f>
        <v>0.00932517833077351</v>
      </c>
      <c r="J74" s="72">
        <f>Data!J464/Data!J461-1</f>
        <v>-0.0311291573821902</v>
      </c>
      <c r="K74" s="72">
        <f>Data!K464/Data!K461-1</f>
        <v>-0.00545695097408239</v>
      </c>
      <c r="L74" s="211">
        <f>Data!L464/Data!L461-1</f>
        <v>0.0090423270297455</v>
      </c>
      <c r="N74" s="394">
        <f>B74</f>
        <v>0.0100564749647467</v>
      </c>
      <c r="O74" s="72">
        <f>C74</f>
        <v>0.0798380377239343</v>
      </c>
      <c r="P74" s="72">
        <f>D74</f>
        <v>0.0247726426623784</v>
      </c>
      <c r="Q74" s="72">
        <f>E74</f>
        <v>0.0229634643009198</v>
      </c>
      <c r="R74" s="72">
        <f>F74</f>
        <v>-0.0212932100111595</v>
      </c>
      <c r="S74" s="72">
        <f>(G74-Inputs!$B$39*G73)/(1-Inputs!$B$39)</f>
        <v>0.0920576142239139</v>
      </c>
      <c r="T74" s="72">
        <f>H74</f>
        <v>0.00486460277723699</v>
      </c>
      <c r="U74" s="72">
        <f>(I74-Inputs!$B$40*I73)/(1-Inputs!$B$40)</f>
        <v>-0.000653871619839008</v>
      </c>
      <c r="V74" s="72">
        <f>J74</f>
        <v>-0.0311291573821902</v>
      </c>
      <c r="W74" s="72">
        <f>K74</f>
        <v>-0.00545695097408239</v>
      </c>
      <c r="X74" s="145">
        <f>L74</f>
        <v>0.0090423270297455</v>
      </c>
      <c r="Z74" s="395">
        <f>SUMPRODUCT($N74:$X74,Risk!$B$56:$L$56)-SUMPRODUCT(MMULT(Risk!$B$56:$L$56,Inputs!$D$5:$D$15))/4</f>
        <v>0.0175335771676046</v>
      </c>
      <c r="AA74" s="72">
        <f>SUMPRODUCT($N74:$X74,Risk!$B$57:$L$57)-SUMPRODUCT(MMULT(Risk!$B$57:$L$57,Inputs!$D$5:$D$15))/4</f>
        <v>0.0227971311917978</v>
      </c>
      <c r="AB74" s="72">
        <f>SUMPRODUCT($N74:$X74,Risk!$B$58:$L$58)-SUMPRODUCT(MMULT(Risk!$B$58:$L$58,Inputs!$D$5:$D$15))/4</f>
        <v>0.0235735466620275</v>
      </c>
      <c r="AC74" s="72">
        <f>SUMPRODUCT($N74:$X74,Risk!$B$63:$L$63)-SUMPRODUCT(MMULT(Risk!$B$63:$L$63,Inputs!$D$5:$D$15))/4</f>
        <v>0.0267716104806061</v>
      </c>
      <c r="AD74" s="263">
        <f>SUMPRODUCT($N74:$X74,Risk!$B$64:$L$64)-SUMPRODUCT(MMULT(Risk!$B$64:$L$64,Inputs!$D$5:$D$15))/4</f>
        <v>0.0151818835882781</v>
      </c>
      <c r="AF74" s="734">
        <f>O74-$X74</f>
        <v>0.0707957106941888</v>
      </c>
      <c r="AG74" s="433">
        <f>Q74-$X74</f>
        <v>0.0139211372711743</v>
      </c>
      <c r="AH74" s="433">
        <f>S74-$X74</f>
        <v>0.0830152871941684</v>
      </c>
      <c r="AI74" s="433">
        <f>U74-$X74</f>
        <v>-0.00969619864958451</v>
      </c>
      <c r="AJ74" s="666">
        <f>T74-$X74</f>
        <v>-0.00417772425250851</v>
      </c>
    </row>
    <row r="75">
      <c r="A75" s="660">
        <f>Data!A467</f>
        <v>45198.0</v>
      </c>
      <c r="B75" s="72">
        <f>Data!B467/Data!B464-1</f>
        <v>-0.00659535969522573</v>
      </c>
      <c r="C75" s="72">
        <f>Data!C467/Data!C464-1</f>
        <v>0.0053134397583583</v>
      </c>
      <c r="D75" s="72">
        <f>Data!D467/Data!D464-1</f>
        <v>0.0180574425509663</v>
      </c>
      <c r="E75" s="72">
        <f>Data!E467/Data!E464-1</f>
        <v>-0.024995651757912</v>
      </c>
      <c r="F75" s="72">
        <f>Data!F467/Data!F464-1</f>
        <v>0.196204775558792</v>
      </c>
      <c r="G75" s="72">
        <f>Data!G467/Data!G464-1</f>
        <v>0.0303822614150213</v>
      </c>
      <c r="H75" s="72">
        <f>Data!H467/Data!H464-1</f>
        <v>0.0279155643661422</v>
      </c>
      <c r="I75" s="72">
        <f>Data!I467/Data!I464-1</f>
        <v>0.0857133972339457</v>
      </c>
      <c r="J75" s="72">
        <f>Data!J467/Data!J464-1</f>
        <v>-0.00368932779820597</v>
      </c>
      <c r="K75" s="72">
        <f>Data!K467/Data!K464-1</f>
        <v>-0.0267829943924297</v>
      </c>
      <c r="L75" s="211">
        <f>Data!L467/Data!L464-1</f>
        <v>0.0108016534690472</v>
      </c>
      <c r="N75" s="394">
        <f>B75</f>
        <v>-0.00659535969522573</v>
      </c>
      <c r="O75" s="72">
        <f>C75</f>
        <v>0.0053134397583583</v>
      </c>
      <c r="P75" s="72">
        <f>D75</f>
        <v>0.0180574425509663</v>
      </c>
      <c r="Q75" s="72">
        <f>E75</f>
        <v>-0.024995651757912</v>
      </c>
      <c r="R75" s="72">
        <f>F75</f>
        <v>0.196204775558792</v>
      </c>
      <c r="S75" s="72">
        <f>(G75-Inputs!$B$39*G74)/(1-Inputs!$B$39)</f>
        <v>0.0293131761960001</v>
      </c>
      <c r="T75" s="72">
        <f>H75</f>
        <v>0.0279155643661422</v>
      </c>
      <c r="U75" s="72">
        <f>(I75-Inputs!$B$40*I74)/(1-Inputs!$B$40)</f>
        <v>0.109835992677053</v>
      </c>
      <c r="V75" s="72">
        <f>J75</f>
        <v>-0.00368932779820597</v>
      </c>
      <c r="W75" s="72">
        <f>K75</f>
        <v>-0.0267829943924297</v>
      </c>
      <c r="X75" s="145">
        <f>L75</f>
        <v>0.0108016534690472</v>
      </c>
      <c r="Z75" s="395">
        <f>SUMPRODUCT($N75:$X75,Risk!$B$56:$L$56)-SUMPRODUCT(MMULT(Risk!$B$56:$L$56,Inputs!$D$5:$D$15))/4</f>
        <v>-0.0062949440805018</v>
      </c>
      <c r="AA75" s="72">
        <f>SUMPRODUCT($N75:$X75,Risk!$B$57:$L$57)-SUMPRODUCT(MMULT(Risk!$B$57:$L$57,Inputs!$D$5:$D$15))/4</f>
        <v>0.00395712863310171</v>
      </c>
      <c r="AB75" s="72">
        <f>SUMPRODUCT($N75:$X75,Risk!$B$58:$L$58)-SUMPRODUCT(MMULT(Risk!$B$58:$L$58,Inputs!$D$5:$D$15))/4</f>
        <v>-0.000501415379910311</v>
      </c>
      <c r="AC75" s="72">
        <f>SUMPRODUCT($N75:$X75,Risk!$B$63:$L$63)-SUMPRODUCT(MMULT(Risk!$B$63:$L$63,Inputs!$D$5:$D$15))/4</f>
        <v>0.00486844174508714</v>
      </c>
      <c r="AD75" s="263">
        <f>SUMPRODUCT($N75:$X75,Risk!$B$64:$L$64)-SUMPRODUCT(MMULT(Risk!$B$64:$L$64,Inputs!$D$5:$D$15))/4</f>
        <v>4.92381275193468e-05</v>
      </c>
      <c r="AF75" s="734">
        <f>O75-$X75</f>
        <v>-0.00548821371068886</v>
      </c>
      <c r="AG75" s="433">
        <f>Q75-$X75</f>
        <v>-0.0357973052269591</v>
      </c>
      <c r="AH75" s="433">
        <f>S75-$X75</f>
        <v>0.0185115227269529</v>
      </c>
      <c r="AI75" s="433">
        <f>U75-$X75</f>
        <v>0.0990343392080055</v>
      </c>
      <c r="AJ75" s="666">
        <f>T75-$X75</f>
        <v>0.017113910897095</v>
      </c>
    </row>
    <row r="76">
      <c r="A76" s="660">
        <f>Data!A470</f>
        <v>45289.0</v>
      </c>
      <c r="B76" s="72">
        <f>Data!B470/Data!B467-1</f>
        <v>0.0866719400798788</v>
      </c>
      <c r="C76" s="72">
        <f>Data!C470/Data!C467-1</f>
        <v>0.0400157594817556</v>
      </c>
      <c r="D76" s="72">
        <f>Data!D470/Data!D467-1</f>
        <v>-0.000742409695885571</v>
      </c>
      <c r="E76" s="72">
        <f>Data!E470/Data!E467-1</f>
        <v>0.0816082890037717</v>
      </c>
      <c r="F76" s="72">
        <f>Data!F470/Data!F467-1</f>
        <v>-0.155660500504588</v>
      </c>
      <c r="G76" s="72">
        <f>Data!G470/Data!G467-1</f>
        <v>0.00299999999999967</v>
      </c>
      <c r="H76" s="72">
        <f>Data!H470/Data!H467-1</f>
        <v>-0.000210237146846981</v>
      </c>
      <c r="I76" s="72">
        <f>Data!I470/Data!I467-1</f>
        <v>0.117523827391003</v>
      </c>
      <c r="J76" s="72">
        <f>Data!J470/Data!J467-1</f>
        <v>0.0412998901551371</v>
      </c>
      <c r="K76" s="72">
        <f>Data!K470/Data!K467-1</f>
        <v>0.0553619144272215</v>
      </c>
      <c r="L76" s="211">
        <f>Data!L470/Data!L467-1</f>
        <v>0.0105662986765995</v>
      </c>
      <c r="N76" s="394">
        <f>B76</f>
        <v>0.0866719400798788</v>
      </c>
      <c r="O76" s="72">
        <f>C76</f>
        <v>0.0400157594817556</v>
      </c>
      <c r="P76" s="72">
        <f>D76</f>
        <v>-0.000742409695885571</v>
      </c>
      <c r="Q76" s="72">
        <f>E76</f>
        <v>0.0816082890037717</v>
      </c>
      <c r="R76" s="72">
        <f>F76</f>
        <v>-0.155660500504588</v>
      </c>
      <c r="S76" s="72">
        <f>(G76-Inputs!$B$39*G75)/(1-Inputs!$B$39)</f>
        <v>-0.0478527711993263</v>
      </c>
      <c r="T76" s="72">
        <f>H76</f>
        <v>-0.000210237146846981</v>
      </c>
      <c r="U76" s="72">
        <f>(I76-Inputs!$B$40*I75)/(1-Inputs!$B$40)</f>
        <v>0.127569226387969</v>
      </c>
      <c r="V76" s="72">
        <f>J76</f>
        <v>0.0412998901551371</v>
      </c>
      <c r="W76" s="72">
        <f>K76</f>
        <v>0.0553619144272215</v>
      </c>
      <c r="X76" s="145">
        <f>L76</f>
        <v>0.0105662986765995</v>
      </c>
      <c r="Z76" s="395">
        <f>SUMPRODUCT($N76:$X76,Risk!$B$56:$L$56)-SUMPRODUCT(MMULT(Risk!$B$56:$L$56,Inputs!$D$5:$D$15))/4</f>
        <v>0.0619163344134901</v>
      </c>
      <c r="AA76" s="72">
        <f>SUMPRODUCT($N76:$X76,Risk!$B$57:$L$57)-SUMPRODUCT(MMULT(Risk!$B$57:$L$57,Inputs!$D$5:$D$15))/4</f>
        <v>0.0466207805111656</v>
      </c>
      <c r="AB76" s="72">
        <f>SUMPRODUCT($N76:$X76,Risk!$B$58:$L$58)-SUMPRODUCT(MMULT(Risk!$B$58:$L$58,Inputs!$D$5:$D$15))/4</f>
        <v>0.0500932951638495</v>
      </c>
      <c r="AC76" s="72">
        <f>SUMPRODUCT($N76:$X76,Risk!$B$63:$L$63)-SUMPRODUCT(MMULT(Risk!$B$63:$L$63,Inputs!$D$5:$D$15))/4</f>
        <v>0.0443261921488084</v>
      </c>
      <c r="AD76" s="263">
        <f>SUMPRODUCT($N76:$X76,Risk!$B$64:$L$64)-SUMPRODUCT(MMULT(Risk!$B$64:$L$64,Inputs!$D$5:$D$15))/4</f>
        <v>0.0454147325971948</v>
      </c>
      <c r="AF76" s="734">
        <f>O76-$X76</f>
        <v>0.0294494608051561</v>
      </c>
      <c r="AG76" s="433">
        <f>Q76-$X76</f>
        <v>0.0710419903271722</v>
      </c>
      <c r="AH76" s="433">
        <f>S76-$X76</f>
        <v>-0.0584190698759258</v>
      </c>
      <c r="AI76" s="433">
        <f>U76-$X76</f>
        <v>0.117002927711369</v>
      </c>
      <c r="AJ76" s="666">
        <f>T76-$X76</f>
        <v>-0.0107765358234465</v>
      </c>
    </row>
    <row r="77">
      <c r="A77" s="660">
        <f>Data!A473</f>
        <v>45380.0</v>
      </c>
      <c r="B77" s="72">
        <f>Data!B473/Data!B470-1</f>
        <v>0.0545221245605119</v>
      </c>
      <c r="C77" s="72">
        <f>Data!C473/Data!C470-1</f>
        <v>0.152750374082242</v>
      </c>
      <c r="D77" s="72">
        <f>Data!D473/Data!D470-1</f>
        <v>0.0936477069721893</v>
      </c>
      <c r="E77" s="72">
        <f>Data!E473/Data!E470-1</f>
        <v>0.0475187294355022</v>
      </c>
      <c r="F77" s="72">
        <f>Data!F473/Data!F470-1</f>
        <v>0.154268037980056</v>
      </c>
      <c r="G77" s="72">
        <f>Data!G473/Data!G470-1</f>
        <v>0.00299999999999989</v>
      </c>
      <c r="H77" s="72">
        <f>Data!H473/Data!H470-1</f>
        <v>0.093557340233873</v>
      </c>
      <c r="I77" s="72">
        <f>Data!I473/Data!I470-1</f>
        <v>0.120678964779084</v>
      </c>
      <c r="J77" s="72">
        <f>Data!J473/Data!J470-1</f>
        <v>0.00982432862927718</v>
      </c>
      <c r="K77" s="72">
        <f>Data!K473/Data!K470-1</f>
        <v>-0.0087118083792227</v>
      </c>
      <c r="L77" s="211">
        <f>Data!L473/Data!L470-1</f>
        <v>0.0108543926058091</v>
      </c>
      <c r="N77" s="394">
        <f>B77</f>
        <v>0.0545221245605119</v>
      </c>
      <c r="O77" s="72">
        <f>C77</f>
        <v>0.152750374082242</v>
      </c>
      <c r="P77" s="72">
        <f>D77</f>
        <v>0.0936477069721893</v>
      </c>
      <c r="Q77" s="72">
        <f>E77</f>
        <v>0.0475187294355022</v>
      </c>
      <c r="R77" s="72">
        <f>F77</f>
        <v>0.154268037980056</v>
      </c>
      <c r="S77" s="72">
        <f>(G77-Inputs!$B$39*G76)/(1-Inputs!$B$39)</f>
        <v>0.0030000000000003</v>
      </c>
      <c r="T77" s="72">
        <f>H77</f>
        <v>0.093557340233873</v>
      </c>
      <c r="U77" s="72">
        <f>(I77-Inputs!$B$40*I76)/(1-Inputs!$B$40)</f>
        <v>0.121675323954267</v>
      </c>
      <c r="V77" s="72">
        <f>J77</f>
        <v>0.00982432862927718</v>
      </c>
      <c r="W77" s="72">
        <f>K77</f>
        <v>-0.0087118083792227</v>
      </c>
      <c r="X77" s="145">
        <f>L77</f>
        <v>0.0108543926058091</v>
      </c>
      <c r="Z77" s="395">
        <f>SUMPRODUCT($N77:$X77,Risk!$B$56:$L$56)-SUMPRODUCT(MMULT(Risk!$B$56:$L$56,Inputs!$D$5:$D$15))/4</f>
        <v>0.0583673096906637</v>
      </c>
      <c r="AA77" s="72">
        <f>SUMPRODUCT($N77:$X77,Risk!$B$57:$L$57)-SUMPRODUCT(MMULT(Risk!$B$57:$L$57,Inputs!$D$5:$D$15))/4</f>
        <v>0.0660164427393208</v>
      </c>
      <c r="AB77" s="72">
        <f>SUMPRODUCT($N77:$X77,Risk!$B$58:$L$58)-SUMPRODUCT(MMULT(Risk!$B$58:$L$58,Inputs!$D$5:$D$15))/4</f>
        <v>0.0716629321384638</v>
      </c>
      <c r="AC77" s="72">
        <f>SUMPRODUCT($N77:$X77,Risk!$B$63:$L$63)-SUMPRODUCT(MMULT(Risk!$B$63:$L$63,Inputs!$D$5:$D$15))/4</f>
        <v>0.0730809549133478</v>
      </c>
      <c r="AD77" s="263">
        <f>SUMPRODUCT($N77:$X77,Risk!$B$64:$L$64)-SUMPRODUCT(MMULT(Risk!$B$64:$L$64,Inputs!$D$5:$D$15))/4</f>
        <v>0.0503958099157572</v>
      </c>
      <c r="AF77" s="734">
        <f>O77-$X77</f>
        <v>0.141895981476433</v>
      </c>
      <c r="AG77" s="433">
        <f>Q77-$X77</f>
        <v>0.0366643368296931</v>
      </c>
      <c r="AH77" s="433">
        <f>S77-$X77</f>
        <v>-0.00785439260580881</v>
      </c>
      <c r="AI77" s="433">
        <f>U77-$X77</f>
        <v>0.110820931348458</v>
      </c>
      <c r="AJ77" s="666">
        <f>T77-$X77</f>
        <v>0.0827029476280639</v>
      </c>
    </row>
    <row r="78">
      <c r="A78" s="660">
        <f>Data!A476</f>
        <v>45471.0</v>
      </c>
      <c r="B78" s="72">
        <f>Data!B476/Data!B473-1</f>
        <v>-0.0116421606937935</v>
      </c>
      <c r="C78" s="72">
        <f>Data!C476/Data!C473-1</f>
        <v>0.00796109627177932</v>
      </c>
      <c r="D78" s="72">
        <f>Data!D476/Data!D473-1</f>
        <v>0.0388361365749144</v>
      </c>
      <c r="E78" s="72">
        <f>Data!E476/Data!E473-1</f>
        <v>-0.0315944777362853</v>
      </c>
      <c r="F78" s="72">
        <f>Data!F476/Data!F473-1</f>
        <v>-0.0167627476842275</v>
      </c>
      <c r="G78" s="72">
        <f>Data!G476/Data!G473-1</f>
        <v>0.00300000000000011</v>
      </c>
      <c r="H78" s="72">
        <f>Data!H476/Data!H473-1</f>
        <v>0.0113391528855507</v>
      </c>
      <c r="I78" s="72">
        <f>Data!I476/Data!I473-1</f>
        <v>-0.014554264488624</v>
      </c>
      <c r="J78" s="72">
        <f>Data!J476/Data!J473-1</f>
        <v>-0.00999315728742389</v>
      </c>
      <c r="K78" s="72">
        <f>Data!K476/Data!K473-1</f>
        <v>-0.0060137682521032</v>
      </c>
      <c r="L78" s="211">
        <f>Data!L476/Data!L473-1</f>
        <v>0.0108156816687313</v>
      </c>
      <c r="N78" s="394">
        <f>B78</f>
        <v>-0.0116421606937935</v>
      </c>
      <c r="O78" s="72">
        <f>C78</f>
        <v>0.00796109627177932</v>
      </c>
      <c r="P78" s="72">
        <f>D78</f>
        <v>0.0388361365749144</v>
      </c>
      <c r="Q78" s="72">
        <f>E78</f>
        <v>-0.0315944777362853</v>
      </c>
      <c r="R78" s="72">
        <f>F78</f>
        <v>-0.0167627476842275</v>
      </c>
      <c r="S78" s="72">
        <f>(G78-Inputs!$B$39*G77)/(1-Inputs!$B$39)</f>
        <v>0.00300000000000053</v>
      </c>
      <c r="T78" s="72">
        <f>H78</f>
        <v>0.0113391528855507</v>
      </c>
      <c r="U78" s="72">
        <f>(I78-Inputs!$B$40*I77)/(1-Inputs!$B$40)</f>
        <v>-0.0572594947836896</v>
      </c>
      <c r="V78" s="72">
        <f>J78</f>
        <v>-0.00999315728742389</v>
      </c>
      <c r="W78" s="72">
        <f>K78</f>
        <v>-0.0060137682521032</v>
      </c>
      <c r="X78" s="145">
        <f>L78</f>
        <v>0.0108156816687313</v>
      </c>
      <c r="Z78" s="395">
        <f>SUMPRODUCT($N78:$X78,Risk!$B$56:$L$56)-SUMPRODUCT(MMULT(Risk!$B$56:$L$56,Inputs!$D$5:$D$15))/4</f>
        <v>-0.00772707013326073</v>
      </c>
      <c r="AA78" s="72">
        <f>SUMPRODUCT($N78:$X78,Risk!$B$57:$L$57)-SUMPRODUCT(MMULT(Risk!$B$57:$L$57,Inputs!$D$5:$D$15))/4</f>
        <v>-0.00619035770105134</v>
      </c>
      <c r="AB78" s="72">
        <f>SUMPRODUCT($N78:$X78,Risk!$B$58:$L$58)-SUMPRODUCT(MMULT(Risk!$B$58:$L$58,Inputs!$D$5:$D$15))/4</f>
        <v>-0.00359575659234343</v>
      </c>
      <c r="AC78" s="72">
        <f>SUMPRODUCT($N78:$X78,Risk!$B$63:$L$63)-SUMPRODUCT(MMULT(Risk!$B$63:$L$63,Inputs!$D$5:$D$15))/4</f>
        <v>-0.00436328818072665</v>
      </c>
      <c r="AD78" s="263">
        <f>SUMPRODUCT($N78:$X78,Risk!$B$64:$L$64)-SUMPRODUCT(MMULT(Risk!$B$64:$L$64,Inputs!$D$5:$D$15))/4</f>
        <v>-0.00651594382652991</v>
      </c>
      <c r="AF78" s="734">
        <f>O78-$X78</f>
        <v>-0.00285458539695194</v>
      </c>
      <c r="AG78" s="433">
        <f>Q78-$X78</f>
        <v>-0.0424101594050166</v>
      </c>
      <c r="AH78" s="433">
        <f>S78-$X78</f>
        <v>-0.00781568166873073</v>
      </c>
      <c r="AI78" s="433">
        <f>U78-$X78</f>
        <v>-0.0680751764524209</v>
      </c>
      <c r="AJ78" s="666">
        <f>T78-$X78</f>
        <v>0.000523471216819393</v>
      </c>
    </row>
    <row r="79">
      <c r="A79" s="660">
        <f>Data!A479</f>
        <v>45565.0</v>
      </c>
      <c r="B79" s="72">
        <f>Data!B479/Data!B476-1</f>
        <v>0.078542776906491</v>
      </c>
      <c r="C79" s="72">
        <f>Data!C479/Data!C476-1</f>
        <v>0.00871604433784046</v>
      </c>
      <c r="D79" s="72">
        <f>Data!D479/Data!D476-1</f>
        <v>0.0278788687262743</v>
      </c>
      <c r="E79" s="72">
        <f>Data!E479/Data!E476-1</f>
        <v>0.102508743515389</v>
      </c>
      <c r="F79" s="72">
        <f>Data!F479/Data!F476-1</f>
        <v>-0.0879924374517517</v>
      </c>
      <c r="G79" s="72">
        <f>Data!G479/Data!G476-1</f>
        <v>0.00299999999999989</v>
      </c>
      <c r="H79" s="72">
        <f>Data!H479/Data!H476-1</f>
        <v>0.000944962019795881</v>
      </c>
      <c r="I79" s="72">
        <f>Data!I479/Data!I476-1</f>
        <v>0.113741106984652</v>
      </c>
      <c r="J79" s="72">
        <f>Data!J479/Data!J476-1</f>
        <v>0.0323769914607543</v>
      </c>
      <c r="K79" s="72">
        <f>Data!K479/Data!K476-1</f>
        <v>0.0382682889873245</v>
      </c>
      <c r="L79" s="211">
        <f>Data!L479/Data!L476-1</f>
        <v>0.0111464460957711</v>
      </c>
      <c r="N79" s="394">
        <f>B79</f>
        <v>0.078542776906491</v>
      </c>
      <c r="O79" s="72">
        <f>C79</f>
        <v>0.00871604433784046</v>
      </c>
      <c r="P79" s="72">
        <f>D79</f>
        <v>0.0278788687262743</v>
      </c>
      <c r="Q79" s="72">
        <f>E79</f>
        <v>0.102508743515389</v>
      </c>
      <c r="R79" s="72">
        <f>F79</f>
        <v>-0.0879924374517517</v>
      </c>
      <c r="S79" s="72">
        <f>(G79-Inputs!$B$39*G78)/(1-Inputs!$B$39)</f>
        <v>0.00299999999999948</v>
      </c>
      <c r="T79" s="72">
        <f>H79</f>
        <v>0.000944962019795881</v>
      </c>
      <c r="U79" s="72">
        <f>(I79-Inputs!$B$40*I78)/(1-Inputs!$B$40)</f>
        <v>0.154255434818319</v>
      </c>
      <c r="V79" s="72">
        <f>J79</f>
        <v>0.0323769914607543</v>
      </c>
      <c r="W79" s="72">
        <f>K79</f>
        <v>0.0382682889873245</v>
      </c>
      <c r="X79" s="145">
        <f>L79</f>
        <v>0.0111464460957711</v>
      </c>
      <c r="Z79" s="395">
        <f>SUMPRODUCT($N79:$X79,Risk!$B$56:$L$56)-SUMPRODUCT(MMULT(Risk!$B$56:$L$56,Inputs!$D$5:$D$15))/4</f>
        <v>0.0518294570465065</v>
      </c>
      <c r="AA79" s="72">
        <f>SUMPRODUCT($N79:$X79,Risk!$B$57:$L$57)-SUMPRODUCT(MMULT(Risk!$B$57:$L$57,Inputs!$D$5:$D$15))/4</f>
        <v>0.0410173701076627</v>
      </c>
      <c r="AB79" s="72">
        <f>SUMPRODUCT($N79:$X79,Risk!$B$58:$L$58)-SUMPRODUCT(MMULT(Risk!$B$58:$L$58,Inputs!$D$5:$D$15))/4</f>
        <v>0.0412589166022939</v>
      </c>
      <c r="AC79" s="72">
        <f>SUMPRODUCT($N79:$X79,Risk!$B$63:$L$63)-SUMPRODUCT(MMULT(Risk!$B$63:$L$63,Inputs!$D$5:$D$15))/4</f>
        <v>0.0397143704287843</v>
      </c>
      <c r="AD79" s="263">
        <f>SUMPRODUCT($N79:$X79,Risk!$B$64:$L$64)-SUMPRODUCT(MMULT(Risk!$B$64:$L$64,Inputs!$D$5:$D$15))/4</f>
        <v>0.0422208339318056</v>
      </c>
      <c r="AF79" s="734">
        <f>O79-$X79</f>
        <v>-0.00243040175793063</v>
      </c>
      <c r="AG79" s="433">
        <f>Q79-$X79</f>
        <v>0.0913622974196178</v>
      </c>
      <c r="AH79" s="433">
        <f>S79-$X79</f>
        <v>-0.00814644609577161</v>
      </c>
      <c r="AI79" s="433">
        <f>U79-$X79</f>
        <v>0.143108988722547</v>
      </c>
      <c r="AJ79" s="666">
        <f>T79-$X79</f>
        <v>-0.0102014840759752</v>
      </c>
    </row>
    <row r="80">
      <c r="A80" s="660">
        <f>Data!A482</f>
        <v>45657.0</v>
      </c>
      <c r="B80" s="72">
        <f>Data!B482/Data!B479-1</f>
        <v>-0.00860053566529029</v>
      </c>
      <c r="C80" s="72">
        <f>Data!C482/Data!C479-1</f>
        <v>0.143102427358669</v>
      </c>
      <c r="D80" s="72">
        <f>Data!D482/Data!D479-1</f>
        <v>0.0729996662478538</v>
      </c>
      <c r="E80" s="72">
        <f>Data!E482/Data!E479-1</f>
        <v>0.0450398422088472</v>
      </c>
      <c r="F80" s="72">
        <f>Data!F482/Data!F479-1</f>
        <v>0.163190652156699</v>
      </c>
      <c r="G80" s="72">
        <f>Data!G482/Data!G479-1</f>
        <v>0.00499999999999967</v>
      </c>
      <c r="H80" s="72">
        <f>Data!H482/Data!H479-1</f>
        <v>0.0335265852507229</v>
      </c>
      <c r="I80" s="72">
        <f>Data!I482/Data!I479-1</f>
        <v>0.0237836969185654</v>
      </c>
      <c r="J80" s="72">
        <f>Data!J482/Data!J479-1</f>
        <v>-0.00498033479431503</v>
      </c>
      <c r="K80" s="72">
        <f>Data!K482/Data!K479-1</f>
        <v>-0.0149294225641607</v>
      </c>
      <c r="L80" s="211">
        <f>Data!L482/Data!L479-1</f>
        <v>0.0111386042298256</v>
      </c>
      <c r="N80" s="394">
        <f>B80</f>
        <v>-0.00860053566529029</v>
      </c>
      <c r="O80" s="72">
        <f>C80</f>
        <v>0.143102427358669</v>
      </c>
      <c r="P80" s="72">
        <f>D80</f>
        <v>0.0729996662478538</v>
      </c>
      <c r="Q80" s="72">
        <f>E80</f>
        <v>0.0450398422088472</v>
      </c>
      <c r="R80" s="72">
        <f>F80</f>
        <v>0.163190652156699</v>
      </c>
      <c r="S80" s="72">
        <f>(G80-Inputs!$B$39*G79)/(1-Inputs!$B$39)</f>
        <v>0.00871428571428498</v>
      </c>
      <c r="T80" s="72">
        <f>H80</f>
        <v>0.0335265852507229</v>
      </c>
      <c r="U80" s="72">
        <f>(I80-Inputs!$B$40*I79)/(1-Inputs!$B$40)</f>
        <v>-0.00462390626019888</v>
      </c>
      <c r="V80" s="72">
        <f>J80</f>
        <v>-0.00498033479431503</v>
      </c>
      <c r="W80" s="72">
        <f>K80</f>
        <v>-0.0149294225641607</v>
      </c>
      <c r="X80" s="145">
        <f>L80</f>
        <v>0.0111386042298256</v>
      </c>
      <c r="Z80" s="395">
        <f>SUMPRODUCT($N80:$X80,Risk!$B$56:$L$56)-SUMPRODUCT(MMULT(Risk!$B$56:$L$56,Inputs!$D$5:$D$15))/4</f>
        <v>0.0282425536983102</v>
      </c>
      <c r="AA80" s="72">
        <f>SUMPRODUCT($N80:$X80,Risk!$B$57:$L$57)-SUMPRODUCT(MMULT(Risk!$B$57:$L$57,Inputs!$D$5:$D$15))/4</f>
        <v>0.0392535100640099</v>
      </c>
      <c r="AB80" s="72">
        <f>SUMPRODUCT($N80:$X80,Risk!$B$58:$L$58)-SUMPRODUCT(MMULT(Risk!$B$58:$L$58,Inputs!$D$5:$D$15))/4</f>
        <v>0.047731088712657</v>
      </c>
      <c r="AC80" s="72">
        <f>SUMPRODUCT($N80:$X80,Risk!$B$63:$L$63)-SUMPRODUCT(MMULT(Risk!$B$63:$L$63,Inputs!$D$5:$D$15))/4</f>
        <v>0.0484720346079177</v>
      </c>
      <c r="AD80" s="263">
        <f>SUMPRODUCT($N80:$X80,Risk!$B$64:$L$64)-SUMPRODUCT(MMULT(Risk!$B$64:$L$64,Inputs!$D$5:$D$15))/4</f>
        <v>0.0285799857933055</v>
      </c>
      <c r="AF80" s="734">
        <f>O80-$X80</f>
        <v>0.131963823128844</v>
      </c>
      <c r="AG80" s="433">
        <f>Q80-$X80</f>
        <v>0.0339012379790216</v>
      </c>
      <c r="AH80" s="433">
        <f>S80-$X80</f>
        <v>-0.00242431851554062</v>
      </c>
      <c r="AI80" s="433">
        <f>U80-$X80</f>
        <v>-0.0157625104900245</v>
      </c>
      <c r="AJ80" s="666">
        <f>T80-$X80</f>
        <v>0.0223879810208973</v>
      </c>
    </row>
    <row r="81">
      <c r="A81" s="660">
        <f>Data!A485</f>
        <v>45747.0</v>
      </c>
      <c r="B81" s="72">
        <f>Data!B485/Data!B482-1</f>
        <v>-0.032945125622998</v>
      </c>
      <c r="C81" s="72">
        <f>Data!C485/Data!C482-1</f>
        <v>-0.0319159375161169</v>
      </c>
      <c r="D81" s="72">
        <f>Data!D485/Data!D482-1</f>
        <v>0.0206995149067377</v>
      </c>
      <c r="E81" s="72">
        <f>Data!E485/Data!E482-1</f>
        <v>0.00384967347375054</v>
      </c>
      <c r="F81" s="72">
        <f>Data!F485/Data!F482-1</f>
        <v>0.0421440219126004</v>
      </c>
      <c r="G81" s="72">
        <f>Data!G485/Data!G482-1</f>
        <v>0.00499999999999967</v>
      </c>
      <c r="H81" s="72">
        <f>Data!H485/Data!H482-1</f>
        <v>0.023632467121828</v>
      </c>
      <c r="I81" s="72">
        <f>Data!I485/Data!I482-1</f>
        <v>-0.0620413609072715</v>
      </c>
      <c r="J81" s="72">
        <f>Data!J485/Data!J482-1</f>
        <v>0.0142398341684529</v>
      </c>
      <c r="K81" s="72">
        <f>Data!K485/Data!K482-1</f>
        <v>0.00577642389601873</v>
      </c>
      <c r="L81" s="211">
        <f>Data!L485/Data!L482-1</f>
        <v>0.0107292152228835</v>
      </c>
      <c r="N81" s="394">
        <f>B81</f>
        <v>-0.032945125622998</v>
      </c>
      <c r="O81" s="72">
        <f>C81</f>
        <v>-0.0319159375161169</v>
      </c>
      <c r="P81" s="72">
        <f>D81</f>
        <v>0.0206995149067377</v>
      </c>
      <c r="Q81" s="72">
        <f>E81</f>
        <v>0.00384967347375054</v>
      </c>
      <c r="R81" s="72">
        <f>F81</f>
        <v>0.0421440219126004</v>
      </c>
      <c r="S81" s="72">
        <f>(G81-Inputs!$B$39*G80)/(1-Inputs!$B$39)</f>
        <v>0.00499999999999967</v>
      </c>
      <c r="T81" s="72">
        <f>H81</f>
        <v>0.023632467121828</v>
      </c>
      <c r="U81" s="72">
        <f>(I81-Inputs!$B$40*I80)/(1-Inputs!$B$40)</f>
        <v>-0.0891440107470095</v>
      </c>
      <c r="V81" s="72">
        <f>J81</f>
        <v>0.0142398341684529</v>
      </c>
      <c r="W81" s="72">
        <f>K81</f>
        <v>0.00577642389601873</v>
      </c>
      <c r="X81" s="145">
        <f>L81</f>
        <v>0.0107292152228835</v>
      </c>
      <c r="Z81" s="395">
        <f>SUMPRODUCT($N81:$X81,Risk!$B$56:$L$56)-SUMPRODUCT(MMULT(Risk!$B$56:$L$56,Inputs!$D$5:$D$15))/4</f>
        <v>-0.0161071363024963</v>
      </c>
      <c r="AA81" s="72">
        <f>SUMPRODUCT($N81:$X81,Risk!$B$57:$L$57)-SUMPRODUCT(MMULT(Risk!$B$57:$L$57,Inputs!$D$5:$D$15))/4</f>
        <v>-0.0137722498209244</v>
      </c>
      <c r="AB81" s="72">
        <f>SUMPRODUCT($N81:$X81,Risk!$B$58:$L$58)-SUMPRODUCT(MMULT(Risk!$B$58:$L$58,Inputs!$D$5:$D$15))/4</f>
        <v>-0.0128366632911302</v>
      </c>
      <c r="AC81" s="72">
        <f>SUMPRODUCT($N81:$X81,Risk!$B$63:$L$63)-SUMPRODUCT(MMULT(Risk!$B$63:$L$63,Inputs!$D$5:$D$15))/4</f>
        <v>-0.0135006080409218</v>
      </c>
      <c r="AD81" s="263">
        <f>SUMPRODUCT($N81:$X81,Risk!$B$64:$L$64)-SUMPRODUCT(MMULT(Risk!$B$64:$L$64,Inputs!$D$5:$D$15))/4</f>
        <v>-0.00727299903655342</v>
      </c>
      <c r="AF81" s="734">
        <f>O81-$X81</f>
        <v>-0.0426451527390004</v>
      </c>
      <c r="AG81" s="433">
        <f>Q81-$X81</f>
        <v>-0.00687954174913297</v>
      </c>
      <c r="AH81" s="433">
        <f>S81-$X81</f>
        <v>-0.00572921522288383</v>
      </c>
      <c r="AI81" s="433">
        <f>U81-$X81</f>
        <v>-0.099873225969893</v>
      </c>
      <c r="AJ81" s="666">
        <f>T81-$X81</f>
        <v>0.0129032518989445</v>
      </c>
    </row>
    <row r="82">
      <c r="A82" s="660">
        <f>Data!A488</f>
        <v>45838.0</v>
      </c>
      <c r="B82" s="72">
        <f>Data!B488/Data!B485-1</f>
        <v>0.0950342788855232</v>
      </c>
      <c r="C82" s="72">
        <f>Data!C488/Data!C485-1</f>
        <v>0.0428229597254026</v>
      </c>
      <c r="D82" s="72">
        <f>Data!D488/Data!D485-1</f>
        <v>0.0282135792792166</v>
      </c>
      <c r="E82" s="72">
        <f>Data!E488/Data!E485-1</f>
        <v>-0.0338228046650915</v>
      </c>
      <c r="F82" s="72">
        <f>Data!F488/Data!F485-1</f>
        <v>-0.0758713112741981</v>
      </c>
      <c r="G82" s="72">
        <f>Data!G488/Data!G485-1</f>
        <v>0.00600000000000023</v>
      </c>
      <c r="H82" s="72">
        <f>Data!H488/Data!H485-1</f>
        <v>0.0584858041007144</v>
      </c>
      <c r="I82" s="72">
        <f>Data!I488/Data!I485-1</f>
        <v>0.0684461551334616</v>
      </c>
      <c r="J82" s="72">
        <f>Data!J488/Data!J485-1</f>
        <v>0.0261574086047649</v>
      </c>
      <c r="K82" s="72">
        <f>Data!K488/Data!K485-1</f>
        <v>0.0105519594162586</v>
      </c>
      <c r="L82" s="211">
        <f>Data!L488/Data!L485-1</f>
        <v>0.0101701979231768</v>
      </c>
      <c r="N82" s="394">
        <f>B82</f>
        <v>0.0950342788855232</v>
      </c>
      <c r="O82" s="72">
        <f>C82</f>
        <v>0.0428229597254026</v>
      </c>
      <c r="P82" s="72">
        <f>D82</f>
        <v>0.0282135792792166</v>
      </c>
      <c r="Q82" s="72">
        <f>E82</f>
        <v>-0.0338228046650915</v>
      </c>
      <c r="R82" s="72">
        <f>F82</f>
        <v>-0.0758713112741981</v>
      </c>
      <c r="S82" s="72">
        <f>(G82-Inputs!$B$39*G81)/(1-Inputs!$B$39)</f>
        <v>0.00785714285714412</v>
      </c>
      <c r="T82" s="72">
        <f>H82</f>
        <v>0.0584858041007144</v>
      </c>
      <c r="U82" s="72">
        <f>(I82-Inputs!$B$40*I81)/(1-Inputs!$B$40)</f>
        <v>0.109652739146325</v>
      </c>
      <c r="V82" s="72">
        <f>J82</f>
        <v>0.0261574086047649</v>
      </c>
      <c r="W82" s="72">
        <f>K82</f>
        <v>0.0105519594162586</v>
      </c>
      <c r="X82" s="145">
        <f>L82</f>
        <v>0.0101701979231768</v>
      </c>
      <c r="Z82" s="395">
        <f>SUMPRODUCT($N82:$X82,Risk!$B$56:$L$56)-SUMPRODUCT(MMULT(Risk!$B$56:$L$56,Inputs!$D$5:$D$15))/4</f>
        <v>0.0483957049314185</v>
      </c>
      <c r="AA82" s="72">
        <f>SUMPRODUCT($N82:$X82,Risk!$B$57:$L$57)-SUMPRODUCT(MMULT(Risk!$B$57:$L$57,Inputs!$D$5:$D$15))/4</f>
        <v>0.0407173370002328</v>
      </c>
      <c r="AB82" s="72">
        <f>SUMPRODUCT($N82:$X82,Risk!$B$58:$L$58)-SUMPRODUCT(MMULT(Risk!$B$58:$L$58,Inputs!$D$5:$D$15))/4</f>
        <v>0.0394499122500441</v>
      </c>
      <c r="AC82" s="72">
        <f>SUMPRODUCT($N82:$X82,Risk!$B$63:$L$63)-SUMPRODUCT(MMULT(Risk!$B$63:$L$63,Inputs!$D$5:$D$15))/4</f>
        <v>0.0398899812838355</v>
      </c>
      <c r="AD82" s="263">
        <f>SUMPRODUCT($N82:$X82,Risk!$B$64:$L$64)-SUMPRODUCT(MMULT(Risk!$B$64:$L$64,Inputs!$D$5:$D$15))/4</f>
        <v>0.0321490169293521</v>
      </c>
      <c r="AF82" s="734">
        <f>O82-$X82</f>
        <v>0.0326527618022259</v>
      </c>
      <c r="AG82" s="433">
        <f>Q82-$X82</f>
        <v>-0.0439930025882682</v>
      </c>
      <c r="AH82" s="433">
        <f>S82-$X82</f>
        <v>-0.00231305506603263</v>
      </c>
      <c r="AI82" s="433">
        <f>U82-$X82</f>
        <v>0.099482541223148</v>
      </c>
      <c r="AJ82" s="666">
        <f>T82-$X82</f>
        <v>0.0483156061775376</v>
      </c>
    </row>
    <row r="83">
      <c r="A83" s="660">
        <f>Data!A491</f>
        <v>45930.0</v>
      </c>
      <c r="B83" s="72">
        <f>Data!B491/Data!B488-1</f>
        <v>0.0525225764661177</v>
      </c>
      <c r="C83" s="72">
        <f>Data!C491/Data!C488-1</f>
        <v>0.0638541922847673</v>
      </c>
      <c r="D83" s="72">
        <f>Data!D491/Data!D488-1</f>
        <v>0.112336489442206</v>
      </c>
      <c r="E83" s="72">
        <f>Data!E491/Data!E488-1</f>
        <v>0.0351532838458961</v>
      </c>
      <c r="F83" s="72">
        <f>Data!F491/Data!F488-1</f>
        <v>0.0291183847427667</v>
      </c>
      <c r="G83" s="72">
        <f>Data!G491/Data!G488-1</f>
        <v>0.0206325856879306</v>
      </c>
      <c r="H83" s="72">
        <f>Data!H491/Data!H488-1</f>
        <v>0.0355216494954036</v>
      </c>
      <c r="I83" s="72">
        <f>Data!I491/Data!I488-1</f>
        <v>0.0172416133805779</v>
      </c>
      <c r="J83" s="72">
        <f>Data!J491/Data!J488-1</f>
        <v>0.00247450914292902</v>
      </c>
      <c r="K83" s="72">
        <f>Data!K491/Data!K488-1</f>
        <v>0.00748901753570763</v>
      </c>
      <c r="L83" s="211">
        <f>Data!L491/Data!L488-1</f>
        <v>0.00917868610159567</v>
      </c>
      <c r="N83" s="394">
        <f>B83</f>
        <v>0.0525225764661177</v>
      </c>
      <c r="O83" s="72">
        <f>C83</f>
        <v>0.0638541922847673</v>
      </c>
      <c r="P83" s="72">
        <f>D83</f>
        <v>0.112336489442206</v>
      </c>
      <c r="Q83" s="72">
        <f>E83</f>
        <v>0.0351532838458961</v>
      </c>
      <c r="R83" s="72">
        <f>F83</f>
        <v>0.0291183847427667</v>
      </c>
      <c r="S83" s="72">
        <f>(G83-Inputs!$B$39*G82)/(1-Inputs!$B$39)</f>
        <v>0.0478073876798013</v>
      </c>
      <c r="T83" s="72">
        <f>H83</f>
        <v>0.0355216494954036</v>
      </c>
      <c r="U83" s="72">
        <f>(I83-Inputs!$B$40*I82)/(1-Inputs!$B$40)</f>
        <v>0.00107175809019362</v>
      </c>
      <c r="V83" s="72">
        <f>J83</f>
        <v>0.00247450914292902</v>
      </c>
      <c r="W83" s="72">
        <f>K83</f>
        <v>0.00748901753570763</v>
      </c>
      <c r="X83" s="145">
        <f>L83</f>
        <v>0.00917868610159567</v>
      </c>
      <c r="Z83" s="395">
        <f>SUMPRODUCT($N83:$X83,Risk!$B$56:$L$56)-SUMPRODUCT(MMULT(Risk!$B$56:$L$56,Inputs!$D$5:$D$15))/4</f>
        <v>0.0386280032293978</v>
      </c>
      <c r="AA83" s="72">
        <f>SUMPRODUCT($N83:$X83,Risk!$B$57:$L$57)-SUMPRODUCT(MMULT(Risk!$B$57:$L$57,Inputs!$D$5:$D$15))/4</f>
        <v>0.0389575979157516</v>
      </c>
      <c r="AB83" s="72">
        <f>SUMPRODUCT($N83:$X83,Risk!$B$58:$L$58)-SUMPRODUCT(MMULT(Risk!$B$58:$L$58,Inputs!$D$5:$D$15))/4</f>
        <v>0.0446163656510882</v>
      </c>
      <c r="AC83" s="72">
        <f>SUMPRODUCT($N83:$X83,Risk!$B$63:$L$63)-SUMPRODUCT(MMULT(Risk!$B$63:$L$63,Inputs!$D$5:$D$15))/4</f>
        <v>0.0452826225824316</v>
      </c>
      <c r="AD83" s="263">
        <f>SUMPRODUCT($N83:$X83,Risk!$B$64:$L$64)-SUMPRODUCT(MMULT(Risk!$B$64:$L$64,Inputs!$D$5:$D$15))/4</f>
        <v>0.0357053019144206</v>
      </c>
      <c r="AF83" s="734">
        <f>O83-$X83</f>
        <v>0.0546755061831716</v>
      </c>
      <c r="AG83" s="433">
        <f>Q83-$X83</f>
        <v>0.0259745977443004</v>
      </c>
      <c r="AH83" s="433">
        <f>S83-$X83</f>
        <v>0.0386287015782056</v>
      </c>
      <c r="AI83" s="433">
        <f>U83-$X83</f>
        <v>-0.00810692801140204</v>
      </c>
      <c r="AJ83" s="666">
        <f>T83-$X83</f>
        <v>0.0263429633938079</v>
      </c>
    </row>
    <row r="84">
      <c r="A84" s="660">
        <f>Data!A494</f>
        <v>46022.0</v>
      </c>
      <c r="B84" s="72">
        <f>Data!B494/Data!B491-1</f>
        <v>-0.00803655801131387</v>
      </c>
      <c r="C84" s="72">
        <f>Data!C494/Data!C491-1</f>
        <v>0.0281892088103881</v>
      </c>
      <c r="D84" s="72">
        <f>Data!D494/Data!D491-1</f>
        <v>0.0502928591263325</v>
      </c>
      <c r="E84" s="72">
        <f>Data!E494/Data!E491-1</f>
        <v>-0.00882738310390618</v>
      </c>
      <c r="F84" s="72">
        <f>Data!F494/Data!F491-1</f>
        <v>0.00347007158877322</v>
      </c>
      <c r="G84" s="72">
        <f>Data!G494/Data!G491-1</f>
        <v>0.032437858508604</v>
      </c>
      <c r="H84" s="72">
        <f>Data!H494/Data!H491-1</f>
        <v>0.0150049489684467</v>
      </c>
      <c r="I84" s="72">
        <f>Data!I494/Data!I491-1</f>
        <v>-0.0147339481375702</v>
      </c>
      <c r="J84" s="72">
        <f>Data!J494/Data!J491-1</f>
        <v>-0.0100316221633849</v>
      </c>
      <c r="K84" s="72">
        <f>Data!K494/Data!K491-1</f>
        <v>0.00173078629488632</v>
      </c>
      <c r="L84" s="211">
        <f>Data!L494/Data!L491-1</f>
        <v>0.00904626886102578</v>
      </c>
      <c r="N84" s="394">
        <f>B84</f>
        <v>-0.00803655801131387</v>
      </c>
      <c r="O84" s="72">
        <f>C84</f>
        <v>0.0281892088103881</v>
      </c>
      <c r="P84" s="72">
        <f>D84</f>
        <v>0.0502928591263325</v>
      </c>
      <c r="Q84" s="72">
        <f>E84</f>
        <v>-0.00882738310390618</v>
      </c>
      <c r="R84" s="72">
        <f>F84</f>
        <v>0.00347007158877322</v>
      </c>
      <c r="S84" s="72">
        <f>(G84-Inputs!$B$39*G83)/(1-Inputs!$B$39)</f>
        <v>0.0543619366041405</v>
      </c>
      <c r="T84" s="72">
        <f>H84</f>
        <v>0.0150049489684467</v>
      </c>
      <c r="U84" s="72">
        <f>(I84-Inputs!$B$40*I83)/(1-Inputs!$B$40)</f>
        <v>-0.0248314938801433</v>
      </c>
      <c r="V84" s="72">
        <f>J84</f>
        <v>-0.0100316221633849</v>
      </c>
      <c r="W84" s="72">
        <f>K84</f>
        <v>0.00173078629488632</v>
      </c>
      <c r="X84" s="145">
        <f>L84</f>
        <v>0.00904626886102578</v>
      </c>
      <c r="Z84" s="395">
        <f>SUMPRODUCT($N84:$X84,Risk!$B$56:$L$56)-SUMPRODUCT(MMULT(Risk!$B$56:$L$56,Inputs!$D$5:$D$15))/4</f>
        <v>0.000527438646516428</v>
      </c>
      <c r="AA84" s="72">
        <f>SUMPRODUCT($N84:$X84,Risk!$B$57:$L$57)-SUMPRODUCT(MMULT(Risk!$B$57:$L$57,Inputs!$D$5:$D$15))/4</f>
        <v>0.00635218893820719</v>
      </c>
      <c r="AB84" s="72">
        <f>SUMPRODUCT($N84:$X84,Risk!$B$58:$L$58)-SUMPRODUCT(MMULT(Risk!$B$58:$L$58,Inputs!$D$5:$D$15))/4</f>
        <v>0.00723084951057267</v>
      </c>
      <c r="AC84" s="72">
        <f>SUMPRODUCT($N84:$X84,Risk!$B$63:$L$63)-SUMPRODUCT(MMULT(Risk!$B$63:$L$63,Inputs!$D$5:$D$15))/4</f>
        <v>0.00861892675154999</v>
      </c>
      <c r="AD84" s="263">
        <f>SUMPRODUCT($N84:$X84,Risk!$B$64:$L$64)-SUMPRODUCT(MMULT(Risk!$B$64:$L$64,Inputs!$D$5:$D$15))/4</f>
        <v>0.00506740968422299</v>
      </c>
      <c r="AF84" s="734">
        <f>O84-$X84</f>
        <v>0.0191429399493623</v>
      </c>
      <c r="AG84" s="433">
        <f>Q84-$X84</f>
        <v>-0.017873651964932</v>
      </c>
      <c r="AH84" s="433">
        <f>S84-$X84</f>
        <v>0.0453156677431147</v>
      </c>
      <c r="AI84" s="433">
        <f>U84-$X84</f>
        <v>-0.0338777627411691</v>
      </c>
      <c r="AJ84" s="666">
        <f>T84-$X84</f>
        <v>0.00595868010742096</v>
      </c>
    </row>
    <row r="85">
      <c r="A85" s="661">
        <f>Data!A497</f>
        <v>46112.0</v>
      </c>
      <c r="B85" s="214">
        <f>Data!B497/Data!B494-1</f>
        <v>-0.0265838575858418</v>
      </c>
      <c r="C85" s="214">
        <f>Data!C497/Data!C494-1</f>
        <v>-0.0560796054914735</v>
      </c>
      <c r="D85" s="214">
        <f>Data!D497/Data!D494-1</f>
        <v>-0.00507288996052235</v>
      </c>
      <c r="E85" s="214">
        <f>Data!E497/Data!E494-1</f>
        <v>-0.0147329968847675</v>
      </c>
      <c r="F85" s="214">
        <f>Data!F497/Data!F494-1</f>
        <v>0.363282417678756</v>
      </c>
      <c r="G85" s="214">
        <f>Data!G497/Data!G494-1</f>
        <v>0.0199999999999996</v>
      </c>
      <c r="H85" s="214">
        <f>Data!H497/Data!H494-1</f>
        <v>-0.0314674636430671</v>
      </c>
      <c r="I85" s="214">
        <f>Data!I497/Data!I494-1</f>
        <v>-0.166176769387064</v>
      </c>
      <c r="J85" s="214">
        <f>Data!J497/Data!J494-1</f>
        <v>-0.00471277864233333</v>
      </c>
      <c r="K85" s="214">
        <f>Data!K497/Data!K494-1</f>
        <v>-0.00661256657455012</v>
      </c>
      <c r="L85" s="215">
        <f>Data!L497/Data!L494-1</f>
        <v>0.00907076001697171</v>
      </c>
      <c r="N85" s="397">
        <f>B85</f>
        <v>-0.0265838575858418</v>
      </c>
      <c r="O85" s="398">
        <f>C85</f>
        <v>-0.0560796054914735</v>
      </c>
      <c r="P85" s="398">
        <f>D85</f>
        <v>-0.00507288996052235</v>
      </c>
      <c r="Q85" s="398">
        <f>E85</f>
        <v>-0.0147329968847675</v>
      </c>
      <c r="R85" s="398">
        <f>F85</f>
        <v>0.363282417678756</v>
      </c>
      <c r="S85" s="398">
        <f>(G85-Inputs!$B$39*G84)/(1-Inputs!$B$39)</f>
        <v>-0.00309888008740871</v>
      </c>
      <c r="T85" s="398">
        <f>H85</f>
        <v>-0.0314674636430671</v>
      </c>
      <c r="U85" s="398">
        <f>(I85-Inputs!$B$40*I84)/(1-Inputs!$B$40)</f>
        <v>-0.214000818202693</v>
      </c>
      <c r="V85" s="398">
        <f>J85</f>
        <v>-0.00471277864233333</v>
      </c>
      <c r="W85" s="398">
        <f>K85</f>
        <v>-0.00661256657455012</v>
      </c>
      <c r="X85" s="148">
        <f>L85</f>
        <v>0.00907076001697171</v>
      </c>
      <c r="Z85" s="399">
        <f>SUMPRODUCT($N85:$X85,Risk!$B$56:$L$56)-SUMPRODUCT(MMULT(Risk!$B$56:$L$56,Inputs!$D$5:$D$15))/4</f>
        <v>-0.0242037327422342</v>
      </c>
      <c r="AA85" s="296">
        <f>SUMPRODUCT($N85:$X85,Risk!$B$57:$L$57)-SUMPRODUCT(MMULT(Risk!$B$57:$L$57,Inputs!$D$5:$D$15))/4</f>
        <v>-0.0235019588339496</v>
      </c>
      <c r="AB85" s="296">
        <f>SUMPRODUCT($N85:$X85,Risk!$B$58:$L$58)-SUMPRODUCT(MMULT(Risk!$B$58:$L$58,Inputs!$D$5:$D$15))/4</f>
        <v>-0.0172482812512195</v>
      </c>
      <c r="AC85" s="296">
        <f>SUMPRODUCT($N85:$X85,Risk!$B$63:$L$63)-SUMPRODUCT(MMULT(Risk!$B$63:$L$63,Inputs!$D$5:$D$15))/4</f>
        <v>-0.0169512915424331</v>
      </c>
      <c r="AD85" s="384">
        <f>SUMPRODUCT($N85:$X85,Risk!$B$64:$L$64)-SUMPRODUCT(MMULT(Risk!$B$64:$L$64,Inputs!$D$5:$D$15))/4</f>
        <v>-0.0100766981459047</v>
      </c>
      <c r="AF85" s="735">
        <f>O85-$X85</f>
        <v>-0.0651503655084452</v>
      </c>
      <c r="AG85" s="645">
        <f>Q85-$X85</f>
        <v>-0.0238037569017392</v>
      </c>
      <c r="AH85" s="645">
        <f>S85-$X85</f>
        <v>-0.0121696401043804</v>
      </c>
      <c r="AI85" s="645">
        <f>U85-$X85</f>
        <v>-0.223071578219665</v>
      </c>
      <c r="AJ85" s="667">
        <f>T85-$X85</f>
        <v>-0.0405382236600388</v>
      </c>
    </row>
  </sheetData>
  <pageMargins left="0.75" right="0.75" top="1" bottom="1" header="0.5" footer="0.5"/>
  <pageSetup orientation="landscape" fitToHeight="0"/>
</worksheet>
</file>

<file path=xl/worksheets/sheet16.xml><?xml version="1.0" encoding="utf-8"?>
<worksheet xmlns="http://schemas.openxmlformats.org/spreadsheetml/2006/main">
  <sheetPr>
    <tabColor rgb="FF595959"/>
    <outlinePr summaryBelow="1" summaryRight="1"/>
    <pageSetUpPr fitToPage="1"/>
  </sheetPr>
  <dimension ref="A1:C661"/>
  <sheetViews>
    <sheetView showGridLines="0" workbookViewId="0">
      <selection activeCell="A1" sqref="A1"/>
    </sheetView>
  </sheetViews>
  <sheetFormatPr baseColWidth="10" defaultColWidth="8.83203125" defaultRowHeight="15"/>
  <cols>
    <col width="13" customWidth="1" min="1" max="1"/>
    <col width="14" customWidth="1" min="2" max="2"/>
    <col width="40" customWidth="1" min="3" max="3"/>
  </cols>
  <sheetData>
    <row r="1" ht="19" customHeight="1">
      <c r="A1" s="53" t="inlineStr">
        <is>
          <t>RBA 5Y yield</t>
        </is>
      </c>
    </row>
    <row r="3">
      <c r="A3" s="203" t="inlineStr">
        <is>
          <t>Australian 5-year government bond yield, monthly (RBA statistical table F2)</t>
        </is>
      </c>
      <c r="B3" s="204" t="n"/>
      <c r="C3" s="205" t="n"/>
    </row>
    <row r="4">
      <c r="A4" s="206" t="inlineStr">
        <is>
          <t>Date</t>
        </is>
      </c>
      <c r="B4" s="207" t="inlineStr">
        <is>
          <t>Yield</t>
        </is>
      </c>
      <c r="C4" s="208" t="inlineStr">
        <is>
          <t>Note</t>
        </is>
      </c>
    </row>
    <row r="5">
      <c r="A5" s="400" t="n">
        <v>26329</v>
      </c>
      <c r="B5" s="189" t="n">
        <v>0.0565</v>
      </c>
      <c r="C5" s="237" t="n"/>
    </row>
    <row r="6">
      <c r="A6" s="400" t="n">
        <v>26358</v>
      </c>
      <c r="B6" s="189" t="n">
        <v>0.0546</v>
      </c>
      <c r="C6" s="237" t="n"/>
    </row>
    <row r="7">
      <c r="A7" s="400" t="n">
        <v>26389</v>
      </c>
      <c r="B7" s="189" t="n">
        <v>0.0552</v>
      </c>
      <c r="C7" s="237" t="n"/>
    </row>
    <row r="8">
      <c r="A8" s="400" t="n">
        <v>26419</v>
      </c>
      <c r="B8" s="189" t="n">
        <v>0.054</v>
      </c>
      <c r="C8" s="237" t="n"/>
    </row>
    <row r="9">
      <c r="A9" s="400" t="n">
        <v>26450</v>
      </c>
      <c r="B9" s="189" t="n">
        <v>0.0543</v>
      </c>
      <c r="C9" s="237" t="n"/>
    </row>
    <row r="10">
      <c r="A10" s="400" t="n">
        <v>26480</v>
      </c>
      <c r="B10" s="189" t="n">
        <v>0.055</v>
      </c>
      <c r="C10" s="237" t="n"/>
    </row>
    <row r="11">
      <c r="A11" s="400" t="n">
        <v>26511</v>
      </c>
      <c r="B11" s="189" t="n">
        <v>0.0519</v>
      </c>
      <c r="C11" s="237" t="n"/>
    </row>
    <row r="12">
      <c r="A12" s="400" t="n">
        <v>26542</v>
      </c>
      <c r="B12" s="189" t="n">
        <v>0.0522</v>
      </c>
      <c r="C12" s="237" t="n"/>
    </row>
    <row r="13">
      <c r="A13" s="400" t="n">
        <v>26572</v>
      </c>
      <c r="B13" s="189" t="n">
        <v>0.052</v>
      </c>
      <c r="C13" s="237" t="n"/>
    </row>
    <row r="14">
      <c r="A14" s="400" t="n">
        <v>26603</v>
      </c>
      <c r="B14" s="189" t="n">
        <v>0.0527</v>
      </c>
      <c r="C14" s="237" t="n"/>
    </row>
    <row r="15">
      <c r="A15" s="400" t="n">
        <v>26633</v>
      </c>
      <c r="B15" s="189" t="n">
        <v>0.0527</v>
      </c>
      <c r="C15" s="237" t="n"/>
    </row>
    <row r="16">
      <c r="A16" s="400" t="n">
        <v>26664</v>
      </c>
      <c r="B16" s="189" t="n">
        <v>0.054</v>
      </c>
      <c r="C16" s="237" t="n"/>
    </row>
    <row r="17">
      <c r="A17" s="400" t="n">
        <v>26695</v>
      </c>
      <c r="B17" s="189" t="n">
        <v>0.0524</v>
      </c>
      <c r="C17" s="237" t="n"/>
    </row>
    <row r="18">
      <c r="A18" s="400" t="n">
        <v>26723</v>
      </c>
      <c r="B18" s="189" t="n">
        <v>0.0531</v>
      </c>
      <c r="C18" s="237" t="n"/>
    </row>
    <row r="19">
      <c r="A19" s="400" t="n">
        <v>26754</v>
      </c>
      <c r="B19" s="189" t="n">
        <v>0.054</v>
      </c>
      <c r="C19" s="237" t="n"/>
    </row>
    <row r="20">
      <c r="A20" s="400" t="n">
        <v>26784</v>
      </c>
      <c r="B20" s="189" t="n">
        <v>0.058</v>
      </c>
      <c r="C20" s="237" t="n"/>
    </row>
    <row r="21">
      <c r="A21" s="400" t="n">
        <v>26815</v>
      </c>
      <c r="B21" s="189" t="n">
        <v>0.0592</v>
      </c>
      <c r="C21" s="237" t="n"/>
    </row>
    <row r="22">
      <c r="A22" s="400" t="n">
        <v>26845</v>
      </c>
      <c r="B22" s="189" t="n">
        <v>0.06419999999999999</v>
      </c>
      <c r="C22" s="237" t="n"/>
    </row>
    <row r="23">
      <c r="A23" s="400" t="n">
        <v>26876</v>
      </c>
      <c r="B23" s="189" t="n">
        <v>0.0644</v>
      </c>
      <c r="C23" s="237" t="n"/>
    </row>
    <row r="24">
      <c r="A24" s="400" t="n">
        <v>26907</v>
      </c>
      <c r="B24" s="189" t="n">
        <v>0.06419999999999999</v>
      </c>
      <c r="C24" s="237" t="n"/>
    </row>
    <row r="25">
      <c r="A25" s="400" t="n">
        <v>26937</v>
      </c>
      <c r="B25" s="189" t="n">
        <v>0.0825</v>
      </c>
      <c r="C25" s="237" t="n"/>
    </row>
    <row r="26">
      <c r="A26" s="400" t="n">
        <v>26968</v>
      </c>
      <c r="B26" s="189" t="n">
        <v>0.0824</v>
      </c>
      <c r="C26" s="237" t="n"/>
    </row>
    <row r="27">
      <c r="A27" s="400" t="n">
        <v>26998</v>
      </c>
      <c r="B27" s="189" t="n">
        <v>0.0824</v>
      </c>
      <c r="C27" s="237" t="n"/>
    </row>
    <row r="28">
      <c r="A28" s="400" t="n">
        <v>27029</v>
      </c>
      <c r="B28" s="189" t="n">
        <v>0.0824</v>
      </c>
      <c r="C28" s="237" t="n"/>
    </row>
    <row r="29">
      <c r="A29" s="400" t="n">
        <v>27060</v>
      </c>
      <c r="B29" s="189" t="n">
        <v>0.0824</v>
      </c>
      <c r="C29" s="237" t="n"/>
    </row>
    <row r="30">
      <c r="A30" s="400" t="n">
        <v>27088</v>
      </c>
      <c r="B30" s="189" t="n">
        <v>0.0825</v>
      </c>
      <c r="C30" s="237" t="n"/>
    </row>
    <row r="31">
      <c r="A31" s="400" t="n">
        <v>27119</v>
      </c>
      <c r="B31" s="189" t="n">
        <v>0.0825</v>
      </c>
      <c r="C31" s="237" t="n"/>
    </row>
    <row r="32">
      <c r="A32" s="400" t="n">
        <v>27149</v>
      </c>
      <c r="B32" s="189" t="n">
        <v>0.0825</v>
      </c>
      <c r="C32" s="237" t="n"/>
    </row>
    <row r="33">
      <c r="A33" s="400" t="n">
        <v>27180</v>
      </c>
      <c r="B33" s="189" t="n">
        <v>0.08599999999999999</v>
      </c>
      <c r="C33" s="237" t="n"/>
    </row>
    <row r="34">
      <c r="A34" s="400" t="n">
        <v>27210</v>
      </c>
      <c r="B34" s="189" t="n">
        <v>0.0992</v>
      </c>
      <c r="C34" s="237" t="n"/>
    </row>
    <row r="35">
      <c r="A35" s="400" t="n">
        <v>27241</v>
      </c>
      <c r="B35" s="189" t="n">
        <v>0.09909999999999999</v>
      </c>
      <c r="C35" s="237" t="n"/>
    </row>
    <row r="36">
      <c r="A36" s="400" t="n">
        <v>27272</v>
      </c>
      <c r="B36" s="189" t="n">
        <v>0.0993</v>
      </c>
      <c r="C36" s="237" t="n"/>
    </row>
    <row r="37">
      <c r="A37" s="400" t="n">
        <v>27302</v>
      </c>
      <c r="B37" s="189" t="n">
        <v>0.0994</v>
      </c>
      <c r="C37" s="237" t="n"/>
    </row>
    <row r="38">
      <c r="A38" s="400" t="n">
        <v>27333</v>
      </c>
      <c r="B38" s="189" t="n">
        <v>0.095</v>
      </c>
      <c r="C38" s="237" t="n"/>
    </row>
    <row r="39">
      <c r="A39" s="400" t="n">
        <v>27363</v>
      </c>
      <c r="B39" s="189" t="n">
        <v>0.09429999999999999</v>
      </c>
      <c r="C39" s="237" t="n"/>
    </row>
    <row r="40">
      <c r="A40" s="400" t="n">
        <v>27394</v>
      </c>
      <c r="B40" s="189" t="n">
        <v>0.0915</v>
      </c>
      <c r="C40" s="237" t="n"/>
    </row>
    <row r="41">
      <c r="A41" s="400" t="n">
        <v>27425</v>
      </c>
      <c r="B41" s="189" t="n">
        <v>0.0893</v>
      </c>
      <c r="C41" s="237" t="n"/>
    </row>
    <row r="42">
      <c r="A42" s="400" t="n">
        <v>27453</v>
      </c>
      <c r="B42" s="189" t="n">
        <v>0.09</v>
      </c>
      <c r="C42" s="237" t="n"/>
    </row>
    <row r="43">
      <c r="A43" s="400" t="n">
        <v>27484</v>
      </c>
      <c r="B43" s="189" t="n">
        <v>0.09</v>
      </c>
      <c r="C43" s="237" t="n"/>
    </row>
    <row r="44">
      <c r="A44" s="400" t="n">
        <v>27514</v>
      </c>
      <c r="B44" s="189" t="n">
        <v>0.09030000000000001</v>
      </c>
      <c r="C44" s="237" t="n"/>
    </row>
    <row r="45">
      <c r="A45" s="400" t="n">
        <v>27545</v>
      </c>
      <c r="B45" s="189" t="n">
        <v>0.0902</v>
      </c>
      <c r="C45" s="237" t="n"/>
    </row>
    <row r="46">
      <c r="A46" s="400" t="n">
        <v>27575</v>
      </c>
      <c r="B46" s="189" t="n">
        <v>0.09030000000000001</v>
      </c>
      <c r="C46" s="237" t="n"/>
    </row>
    <row r="47">
      <c r="A47" s="400" t="n">
        <v>27606</v>
      </c>
      <c r="B47" s="189" t="n">
        <v>0.094</v>
      </c>
      <c r="C47" s="237" t="n"/>
    </row>
    <row r="48">
      <c r="A48" s="400" t="n">
        <v>27637</v>
      </c>
      <c r="B48" s="189" t="n">
        <v>0.0941</v>
      </c>
      <c r="C48" s="237" t="n"/>
    </row>
    <row r="49">
      <c r="A49" s="400" t="n">
        <v>27667</v>
      </c>
      <c r="B49" s="189" t="n">
        <v>0.0944</v>
      </c>
      <c r="C49" s="237" t="n"/>
    </row>
    <row r="50">
      <c r="A50" s="400" t="n">
        <v>27698</v>
      </c>
      <c r="B50" s="189" t="n">
        <v>0.094</v>
      </c>
      <c r="C50" s="237" t="n"/>
    </row>
    <row r="51">
      <c r="A51" s="400" t="n">
        <v>27728</v>
      </c>
      <c r="B51" s="189" t="n">
        <v>0.0941</v>
      </c>
      <c r="C51" s="237" t="n"/>
    </row>
    <row r="52">
      <c r="A52" s="400" t="n">
        <v>27759</v>
      </c>
      <c r="B52" s="189" t="n">
        <v>0.0939</v>
      </c>
      <c r="C52" s="237" t="n"/>
    </row>
    <row r="53">
      <c r="A53" s="400" t="n">
        <v>27790</v>
      </c>
      <c r="B53" s="189" t="n">
        <v>0.09420000000000001</v>
      </c>
      <c r="C53" s="237" t="n"/>
    </row>
    <row r="54">
      <c r="A54" s="400" t="n">
        <v>27819</v>
      </c>
      <c r="B54" s="189" t="n">
        <v>0.0939</v>
      </c>
      <c r="C54" s="237" t="n"/>
    </row>
    <row r="55">
      <c r="A55" s="400" t="n">
        <v>27850</v>
      </c>
      <c r="B55" s="189" t="n">
        <v>0.09429999999999999</v>
      </c>
      <c r="C55" s="237" t="n"/>
    </row>
    <row r="56">
      <c r="A56" s="400" t="n">
        <v>27880</v>
      </c>
      <c r="B56" s="189" t="n">
        <v>0.09420000000000001</v>
      </c>
      <c r="C56" s="237" t="n"/>
    </row>
    <row r="57">
      <c r="A57" s="400" t="n">
        <v>27911</v>
      </c>
      <c r="B57" s="189" t="n">
        <v>0.09420000000000001</v>
      </c>
      <c r="C57" s="237" t="n"/>
    </row>
    <row r="58">
      <c r="A58" s="400" t="n">
        <v>27941</v>
      </c>
      <c r="B58" s="189" t="n">
        <v>0.0941</v>
      </c>
      <c r="C58" s="237" t="n"/>
    </row>
    <row r="59">
      <c r="A59" s="400" t="n">
        <v>27972</v>
      </c>
      <c r="B59" s="189" t="n">
        <v>0.09420000000000001</v>
      </c>
      <c r="C59" s="237" t="n"/>
    </row>
    <row r="60">
      <c r="A60" s="400" t="n">
        <v>28003</v>
      </c>
      <c r="B60" s="189" t="n">
        <v>0.0941</v>
      </c>
      <c r="C60" s="237" t="n"/>
    </row>
    <row r="61">
      <c r="A61" s="400" t="n">
        <v>28033</v>
      </c>
      <c r="B61" s="189" t="n">
        <v>0.0941</v>
      </c>
      <c r="C61" s="237" t="n"/>
    </row>
    <row r="62">
      <c r="A62" s="400" t="n">
        <v>28064</v>
      </c>
      <c r="B62" s="189" t="n">
        <v>0.0941</v>
      </c>
      <c r="C62" s="237" t="n"/>
    </row>
    <row r="63">
      <c r="A63" s="400" t="n">
        <v>28094</v>
      </c>
      <c r="B63" s="189" t="n">
        <v>0.0974</v>
      </c>
      <c r="C63" s="237" t="n"/>
    </row>
    <row r="64">
      <c r="A64" s="400" t="n">
        <v>28125</v>
      </c>
      <c r="B64" s="189" t="n">
        <v>0.1021</v>
      </c>
      <c r="C64" s="237" t="n"/>
    </row>
    <row r="65">
      <c r="A65" s="400" t="n">
        <v>28156</v>
      </c>
      <c r="B65" s="189" t="n">
        <v>0.1022</v>
      </c>
      <c r="C65" s="237" t="n"/>
    </row>
    <row r="66">
      <c r="A66" s="400" t="n">
        <v>28184</v>
      </c>
      <c r="B66" s="189" t="n">
        <v>0.1021</v>
      </c>
      <c r="C66" s="237" t="n"/>
    </row>
    <row r="67">
      <c r="A67" s="400" t="n">
        <v>28215</v>
      </c>
      <c r="B67" s="189" t="n">
        <v>0.1021</v>
      </c>
      <c r="C67" s="237" t="n"/>
    </row>
    <row r="68">
      <c r="A68" s="400" t="n">
        <v>28245</v>
      </c>
      <c r="B68" s="189" t="n">
        <v>0.1022</v>
      </c>
      <c r="C68" s="237" t="n"/>
    </row>
    <row r="69">
      <c r="A69" s="400" t="n">
        <v>28276</v>
      </c>
      <c r="B69" s="189" t="n">
        <v>0.1022</v>
      </c>
      <c r="C69" s="237" t="n"/>
    </row>
    <row r="70">
      <c r="A70" s="400" t="n">
        <v>28306</v>
      </c>
      <c r="B70" s="189" t="n">
        <v>0.1021</v>
      </c>
      <c r="C70" s="237" t="n"/>
    </row>
    <row r="71">
      <c r="A71" s="400" t="n">
        <v>28337</v>
      </c>
      <c r="B71" s="189" t="n">
        <v>0.1021</v>
      </c>
      <c r="C71" s="237" t="n"/>
    </row>
    <row r="72">
      <c r="A72" s="400" t="n">
        <v>28368</v>
      </c>
      <c r="B72" s="189" t="n">
        <v>0.102</v>
      </c>
      <c r="C72" s="237" t="n"/>
    </row>
    <row r="73">
      <c r="A73" s="400" t="n">
        <v>28398</v>
      </c>
      <c r="B73" s="189" t="n">
        <v>0.1003</v>
      </c>
      <c r="C73" s="237" t="n"/>
    </row>
    <row r="74">
      <c r="A74" s="400" t="n">
        <v>28429</v>
      </c>
      <c r="B74" s="189" t="n">
        <v>0.0984</v>
      </c>
      <c r="C74" s="237" t="n"/>
    </row>
    <row r="75">
      <c r="A75" s="400" t="n">
        <v>28459</v>
      </c>
      <c r="B75" s="189" t="n">
        <v>0.09719999999999999</v>
      </c>
      <c r="C75" s="237" t="n"/>
    </row>
    <row r="76">
      <c r="A76" s="400" t="n">
        <v>28490</v>
      </c>
      <c r="B76" s="189" t="n">
        <v>0.095</v>
      </c>
      <c r="C76" s="237" t="n"/>
    </row>
    <row r="77">
      <c r="A77" s="400" t="n">
        <v>28521</v>
      </c>
      <c r="B77" s="189" t="n">
        <v>0.09320000000000001</v>
      </c>
      <c r="C77" s="237" t="n"/>
    </row>
    <row r="78">
      <c r="A78" s="400" t="n">
        <v>28549</v>
      </c>
      <c r="B78" s="189" t="n">
        <v>0.09089999999999999</v>
      </c>
      <c r="C78" s="237" t="n"/>
    </row>
    <row r="79">
      <c r="A79" s="400" t="n">
        <v>28580</v>
      </c>
      <c r="B79" s="189" t="n">
        <v>0.09080000000000001</v>
      </c>
      <c r="C79" s="237" t="n"/>
    </row>
    <row r="80">
      <c r="A80" s="400" t="n">
        <v>28610</v>
      </c>
      <c r="B80" s="189" t="n">
        <v>0.09089999999999999</v>
      </c>
      <c r="C80" s="237" t="n"/>
    </row>
    <row r="81">
      <c r="A81" s="400" t="n">
        <v>28641</v>
      </c>
      <c r="B81" s="189" t="n">
        <v>0.09089999999999999</v>
      </c>
      <c r="C81" s="237" t="n"/>
    </row>
    <row r="82">
      <c r="A82" s="400" t="n">
        <v>28671</v>
      </c>
      <c r="B82" s="189" t="n">
        <v>0.09089999999999999</v>
      </c>
      <c r="C82" s="237" t="n"/>
    </row>
    <row r="83">
      <c r="A83" s="400" t="n">
        <v>28702</v>
      </c>
      <c r="B83" s="189" t="n">
        <v>0.09089999999999999</v>
      </c>
      <c r="C83" s="237" t="n"/>
    </row>
    <row r="84">
      <c r="A84" s="400" t="n">
        <v>28733</v>
      </c>
      <c r="B84" s="189" t="n">
        <v>0.08989999999999999</v>
      </c>
      <c r="C84" s="237" t="n"/>
    </row>
    <row r="85">
      <c r="A85" s="400" t="n">
        <v>28763</v>
      </c>
      <c r="B85" s="189" t="n">
        <v>0.09</v>
      </c>
      <c r="C85" s="237" t="n"/>
    </row>
    <row r="86">
      <c r="A86" s="400" t="n">
        <v>28794</v>
      </c>
      <c r="B86" s="189" t="n">
        <v>0.0886</v>
      </c>
      <c r="C86" s="237" t="n"/>
    </row>
    <row r="87">
      <c r="A87" s="400" t="n">
        <v>28824</v>
      </c>
      <c r="B87" s="189" t="n">
        <v>0.08799999999999999</v>
      </c>
      <c r="C87" s="237" t="n"/>
    </row>
    <row r="88">
      <c r="A88" s="400" t="n">
        <v>28855</v>
      </c>
      <c r="B88" s="189" t="n">
        <v>0.08799999999999999</v>
      </c>
      <c r="C88" s="237" t="n"/>
    </row>
    <row r="89">
      <c r="A89" s="400" t="n">
        <v>28886</v>
      </c>
      <c r="B89" s="189" t="n">
        <v>0.0885</v>
      </c>
      <c r="C89" s="237" t="n"/>
    </row>
    <row r="90">
      <c r="A90" s="400" t="n">
        <v>28914</v>
      </c>
      <c r="B90" s="189" t="n">
        <v>0.08989999999999999</v>
      </c>
      <c r="C90" s="237" t="n"/>
    </row>
    <row r="91">
      <c r="A91" s="400" t="n">
        <v>28945</v>
      </c>
      <c r="B91" s="189" t="n">
        <v>0.09279999999999999</v>
      </c>
      <c r="C91" s="237" t="n"/>
    </row>
    <row r="92">
      <c r="A92" s="400" t="n">
        <v>28975</v>
      </c>
      <c r="B92" s="189" t="n">
        <v>0.0965</v>
      </c>
      <c r="C92" s="237" t="n"/>
    </row>
    <row r="93">
      <c r="A93" s="400" t="n">
        <v>29006</v>
      </c>
      <c r="B93" s="189" t="n">
        <v>0.097</v>
      </c>
      <c r="C93" s="237" t="n"/>
    </row>
    <row r="94">
      <c r="A94" s="400" t="n">
        <v>29036</v>
      </c>
      <c r="B94" s="189" t="n">
        <v>0.1</v>
      </c>
      <c r="C94" s="237" t="n"/>
    </row>
    <row r="95">
      <c r="A95" s="400" t="n">
        <v>29067</v>
      </c>
      <c r="B95" s="189" t="n">
        <v>0.1</v>
      </c>
      <c r="C95" s="237" t="n"/>
    </row>
    <row r="96">
      <c r="A96" s="400" t="n">
        <v>29098</v>
      </c>
      <c r="B96" s="189" t="n">
        <v>0.1</v>
      </c>
      <c r="C96" s="237" t="n"/>
    </row>
    <row r="97">
      <c r="A97" s="400" t="n">
        <v>29128</v>
      </c>
      <c r="B97" s="189" t="n">
        <v>0.1001</v>
      </c>
      <c r="C97" s="237" t="n"/>
    </row>
    <row r="98">
      <c r="A98" s="400" t="n">
        <v>29159</v>
      </c>
      <c r="B98" s="189" t="n">
        <v>0.1</v>
      </c>
      <c r="C98" s="237" t="n"/>
    </row>
    <row r="99">
      <c r="A99" s="400" t="n">
        <v>29189</v>
      </c>
      <c r="B99" s="189" t="n">
        <v>0.1</v>
      </c>
      <c r="C99" s="237" t="n"/>
    </row>
    <row r="100">
      <c r="A100" s="400" t="n">
        <v>29220</v>
      </c>
      <c r="B100" s="189" t="n">
        <v>0.1002</v>
      </c>
      <c r="C100" s="237" t="n"/>
    </row>
    <row r="101">
      <c r="A101" s="400" t="n">
        <v>29251</v>
      </c>
      <c r="B101" s="189" t="n">
        <v>0.1042</v>
      </c>
      <c r="C101" s="237" t="n"/>
    </row>
    <row r="102">
      <c r="A102" s="400" t="n">
        <v>29280</v>
      </c>
      <c r="B102" s="189" t="n">
        <v>0.109</v>
      </c>
      <c r="C102" s="237" t="n"/>
    </row>
    <row r="103">
      <c r="A103" s="400" t="n">
        <v>29311</v>
      </c>
      <c r="B103" s="189" t="n">
        <v>0.112</v>
      </c>
      <c r="C103" s="237" t="n"/>
    </row>
    <row r="104">
      <c r="A104" s="400" t="n">
        <v>29341</v>
      </c>
      <c r="B104" s="189" t="n">
        <v>0.1145</v>
      </c>
      <c r="C104" s="237" t="n"/>
    </row>
    <row r="105">
      <c r="A105" s="400" t="n">
        <v>29372</v>
      </c>
      <c r="B105" s="189" t="n">
        <v>0.118</v>
      </c>
      <c r="C105" s="237" t="n"/>
    </row>
    <row r="106">
      <c r="A106" s="400" t="n">
        <v>29402</v>
      </c>
      <c r="B106" s="189" t="n">
        <v>0.1178</v>
      </c>
      <c r="C106" s="237" t="n"/>
    </row>
    <row r="107">
      <c r="A107" s="400" t="n">
        <v>29433</v>
      </c>
      <c r="B107" s="189" t="n">
        <v>0.1178</v>
      </c>
      <c r="C107" s="237" t="n"/>
    </row>
    <row r="108">
      <c r="A108" s="400" t="n">
        <v>29464</v>
      </c>
      <c r="B108" s="189" t="n">
        <v>0.1178</v>
      </c>
      <c r="C108" s="237" t="n"/>
    </row>
    <row r="109">
      <c r="A109" s="400" t="n">
        <v>29494</v>
      </c>
      <c r="B109" s="189" t="n">
        <v>0.1179</v>
      </c>
      <c r="C109" s="237" t="n"/>
    </row>
    <row r="110">
      <c r="A110" s="400" t="n">
        <v>29525</v>
      </c>
      <c r="B110" s="189" t="n">
        <v>0.1188</v>
      </c>
      <c r="C110" s="237" t="n"/>
    </row>
    <row r="111">
      <c r="A111" s="400" t="n">
        <v>29555</v>
      </c>
      <c r="B111" s="189" t="n">
        <v>0.1242</v>
      </c>
      <c r="C111" s="237" t="n"/>
    </row>
    <row r="112">
      <c r="A112" s="400" t="n">
        <v>29586</v>
      </c>
      <c r="B112" s="189" t="n">
        <v>0.1272</v>
      </c>
      <c r="C112" s="237" t="n"/>
    </row>
    <row r="113">
      <c r="A113" s="400" t="n">
        <v>29617</v>
      </c>
      <c r="B113" s="189" t="n">
        <v>0.131</v>
      </c>
      <c r="C113" s="237" t="n"/>
    </row>
    <row r="114">
      <c r="A114" s="400" t="n">
        <v>29645</v>
      </c>
      <c r="B114" s="189" t="n">
        <v>0.131</v>
      </c>
      <c r="C114" s="237" t="n"/>
    </row>
    <row r="115">
      <c r="A115" s="400" t="n">
        <v>29676</v>
      </c>
      <c r="B115" s="189" t="n">
        <v>0.131</v>
      </c>
      <c r="C115" s="237" t="n"/>
    </row>
    <row r="116">
      <c r="A116" s="400" t="n">
        <v>29706</v>
      </c>
      <c r="B116" s="189" t="n">
        <v>0.131</v>
      </c>
      <c r="C116" s="237" t="n"/>
    </row>
    <row r="117">
      <c r="A117" s="400" t="n">
        <v>29737</v>
      </c>
      <c r="B117" s="189" t="n">
        <v>0.131</v>
      </c>
      <c r="C117" s="237" t="n"/>
    </row>
    <row r="118">
      <c r="A118" s="400" t="n">
        <v>29767</v>
      </c>
      <c r="B118" s="189" t="n">
        <v>0.131</v>
      </c>
      <c r="C118" s="237" t="n"/>
    </row>
    <row r="119">
      <c r="A119" s="400" t="n">
        <v>29798</v>
      </c>
      <c r="B119" s="189" t="n">
        <v>0.1375</v>
      </c>
      <c r="C119" s="237" t="n"/>
    </row>
    <row r="120">
      <c r="A120" s="400" t="n">
        <v>29829</v>
      </c>
      <c r="B120" s="189" t="n">
        <v>0.15</v>
      </c>
      <c r="C120" s="237" t="n"/>
    </row>
    <row r="121">
      <c r="A121" s="400" t="n">
        <v>29859</v>
      </c>
      <c r="B121" s="189" t="n">
        <v>0.15</v>
      </c>
      <c r="C121" s="237" t="n"/>
    </row>
    <row r="122">
      <c r="A122" s="400" t="n">
        <v>29890</v>
      </c>
      <c r="B122" s="189" t="n">
        <v>0.15</v>
      </c>
      <c r="C122" s="237" t="n"/>
    </row>
    <row r="123">
      <c r="A123" s="400" t="n">
        <v>29920</v>
      </c>
      <c r="B123" s="189" t="n">
        <v>0.15</v>
      </c>
      <c r="C123" s="237" t="n"/>
    </row>
    <row r="124">
      <c r="A124" s="400" t="n">
        <v>29951</v>
      </c>
      <c r="B124" s="189" t="n">
        <v>0.149</v>
      </c>
      <c r="C124" s="237" t="n"/>
    </row>
    <row r="125">
      <c r="A125" s="400" t="n">
        <v>29982</v>
      </c>
      <c r="B125" s="189" t="n">
        <v>0.15</v>
      </c>
      <c r="C125" s="237" t="n"/>
    </row>
    <row r="126">
      <c r="A126" s="400" t="n">
        <v>30010</v>
      </c>
      <c r="B126" s="189" t="n">
        <v>0.151</v>
      </c>
      <c r="C126" s="237" t="n"/>
    </row>
    <row r="127">
      <c r="A127" s="400" t="n">
        <v>30041</v>
      </c>
      <c r="B127" s="189" t="n">
        <v>0.152</v>
      </c>
      <c r="C127" s="237" t="n"/>
    </row>
    <row r="128">
      <c r="A128" s="400" t="n">
        <v>30071</v>
      </c>
      <c r="B128" s="189" t="n">
        <v>0.153</v>
      </c>
      <c r="C128" s="237" t="n"/>
    </row>
    <row r="129">
      <c r="A129" s="400" t="n">
        <v>30102</v>
      </c>
      <c r="B129" s="189" t="n">
        <v>0.164</v>
      </c>
      <c r="C129" s="237" t="n"/>
    </row>
    <row r="130">
      <c r="A130" s="400" t="n">
        <v>30132</v>
      </c>
      <c r="B130" s="189" t="n">
        <v>0.164</v>
      </c>
      <c r="C130" s="237" t="n"/>
    </row>
    <row r="131">
      <c r="A131" s="400" t="n">
        <v>30163</v>
      </c>
      <c r="B131" s="189" t="n">
        <v>0.164</v>
      </c>
      <c r="C131" s="237" t="n"/>
    </row>
    <row r="132">
      <c r="A132" s="400" t="n">
        <v>30194</v>
      </c>
      <c r="B132" s="189" t="n">
        <v>0.166</v>
      </c>
      <c r="C132" s="237" t="n"/>
    </row>
    <row r="133">
      <c r="A133" s="400" t="n">
        <v>30224</v>
      </c>
      <c r="B133" s="189" t="n">
        <v>0.152</v>
      </c>
      <c r="C133" s="237" t="n"/>
    </row>
    <row r="134">
      <c r="A134" s="400" t="n">
        <v>30255</v>
      </c>
      <c r="B134" s="189" t="n">
        <v>0.1455</v>
      </c>
      <c r="C134" s="237" t="n"/>
    </row>
    <row r="135">
      <c r="A135" s="400" t="n">
        <v>30285</v>
      </c>
      <c r="B135" s="189" t="n">
        <v>0.146</v>
      </c>
      <c r="C135" s="237" t="n"/>
    </row>
    <row r="136">
      <c r="A136" s="400" t="n">
        <v>30316</v>
      </c>
      <c r="B136" s="189" t="n">
        <v>0.14</v>
      </c>
      <c r="C136" s="237" t="n"/>
    </row>
    <row r="137">
      <c r="A137" s="400" t="n">
        <v>30347</v>
      </c>
      <c r="B137" s="189" t="n">
        <v>0.126</v>
      </c>
      <c r="C137" s="237" t="n"/>
    </row>
    <row r="138">
      <c r="A138" s="400" t="n">
        <v>30375</v>
      </c>
      <c r="B138" s="189" t="n">
        <v>0.134</v>
      </c>
      <c r="C138" s="237" t="n"/>
    </row>
    <row r="139">
      <c r="A139" s="400" t="n">
        <v>30406</v>
      </c>
      <c r="B139" s="189" t="n">
        <v>0.144</v>
      </c>
      <c r="C139" s="237" t="n"/>
    </row>
    <row r="140">
      <c r="A140" s="400" t="n">
        <v>30436</v>
      </c>
      <c r="B140" s="189" t="n">
        <v>0.135</v>
      </c>
      <c r="C140" s="237" t="n"/>
    </row>
    <row r="141">
      <c r="A141" s="400" t="n">
        <v>30467</v>
      </c>
      <c r="B141" s="189" t="n">
        <v>0.128</v>
      </c>
      <c r="C141" s="237" t="n"/>
    </row>
    <row r="142">
      <c r="A142" s="400" t="n">
        <v>30497</v>
      </c>
      <c r="B142" s="189" t="n">
        <v>0.143</v>
      </c>
      <c r="C142" s="237" t="n"/>
    </row>
    <row r="143">
      <c r="A143" s="400" t="n">
        <v>30528</v>
      </c>
      <c r="B143" s="189" t="n">
        <v>0.143</v>
      </c>
      <c r="C143" s="237" t="n"/>
    </row>
    <row r="144">
      <c r="A144" s="400" t="n">
        <v>30559</v>
      </c>
      <c r="B144" s="189" t="n">
        <v>0.144</v>
      </c>
      <c r="C144" s="237" t="n"/>
    </row>
    <row r="145">
      <c r="A145" s="400" t="n">
        <v>30589</v>
      </c>
      <c r="B145" s="189" t="n">
        <v>0.135</v>
      </c>
      <c r="C145" s="237" t="n"/>
    </row>
    <row r="146">
      <c r="A146" s="400" t="n">
        <v>30620</v>
      </c>
      <c r="B146" s="189" t="n">
        <v>0.1235</v>
      </c>
      <c r="C146" s="237" t="n"/>
    </row>
    <row r="147">
      <c r="A147" s="400" t="n">
        <v>30650</v>
      </c>
      <c r="B147" s="189" t="n">
        <v>0.119</v>
      </c>
      <c r="C147" s="237" t="n"/>
    </row>
    <row r="148">
      <c r="A148" s="400" t="n">
        <v>30681</v>
      </c>
      <c r="B148" s="189" t="n">
        <v>0.128</v>
      </c>
      <c r="C148" s="237" t="n"/>
    </row>
    <row r="149">
      <c r="A149" s="400" t="n">
        <v>30712</v>
      </c>
      <c r="B149" s="189" t="n">
        <v>0.129</v>
      </c>
      <c r="C149" s="237" t="n"/>
    </row>
    <row r="150">
      <c r="A150" s="400" t="n">
        <v>30741</v>
      </c>
      <c r="B150" s="189" t="n">
        <v>0.1315</v>
      </c>
      <c r="C150" s="237" t="n"/>
    </row>
    <row r="151">
      <c r="A151" s="400" t="n">
        <v>30772</v>
      </c>
      <c r="B151" s="189" t="n">
        <v>0.1325</v>
      </c>
      <c r="C151" s="237" t="n"/>
    </row>
    <row r="152">
      <c r="A152" s="400" t="n">
        <v>30802</v>
      </c>
      <c r="B152" s="189" t="n">
        <v>0.13</v>
      </c>
      <c r="C152" s="237" t="n"/>
    </row>
    <row r="153">
      <c r="A153" s="400" t="n">
        <v>30833</v>
      </c>
      <c r="B153" s="189" t="n">
        <v>0.132</v>
      </c>
      <c r="C153" s="237" t="n"/>
    </row>
    <row r="154">
      <c r="A154" s="400" t="n">
        <v>30863</v>
      </c>
      <c r="B154" s="189" t="n">
        <v>0.1295</v>
      </c>
      <c r="C154" s="237" t="n"/>
    </row>
    <row r="155">
      <c r="A155" s="400" t="n">
        <v>30894</v>
      </c>
      <c r="B155" s="189" t="n">
        <v>0.1275</v>
      </c>
      <c r="C155" s="237" t="n"/>
    </row>
    <row r="156">
      <c r="A156" s="400" t="n">
        <v>30925</v>
      </c>
      <c r="B156" s="189" t="n">
        <v>0.1215</v>
      </c>
      <c r="C156" s="237" t="n"/>
    </row>
    <row r="157">
      <c r="A157" s="400" t="n">
        <v>30955</v>
      </c>
      <c r="B157" s="189" t="n">
        <v>0.126</v>
      </c>
      <c r="C157" s="237" t="n"/>
    </row>
    <row r="158">
      <c r="A158" s="400" t="n">
        <v>30986</v>
      </c>
      <c r="B158" s="189" t="n">
        <v>0.1285</v>
      </c>
      <c r="C158" s="237" t="n"/>
    </row>
    <row r="159">
      <c r="A159" s="400" t="n">
        <v>31016</v>
      </c>
      <c r="B159" s="189" t="n">
        <v>0.13</v>
      </c>
      <c r="C159" s="237" t="n"/>
    </row>
    <row r="160">
      <c r="A160" s="400" t="n">
        <v>31047</v>
      </c>
      <c r="B160" s="189" t="n">
        <v>0.131</v>
      </c>
      <c r="C160" s="237" t="n"/>
    </row>
    <row r="161">
      <c r="A161" s="400" t="n">
        <v>31078</v>
      </c>
      <c r="B161" s="189" t="n">
        <v>0.129</v>
      </c>
      <c r="C161" s="237" t="n"/>
    </row>
    <row r="162">
      <c r="A162" s="400" t="n">
        <v>31106</v>
      </c>
      <c r="B162" s="189" t="n">
        <v>0.134</v>
      </c>
      <c r="C162" s="237" t="n"/>
    </row>
    <row r="163">
      <c r="A163" s="400" t="n">
        <v>31137</v>
      </c>
      <c r="B163" s="189" t="n">
        <v>0.136</v>
      </c>
      <c r="C163" s="237" t="n"/>
    </row>
    <row r="164">
      <c r="A164" s="400" t="n">
        <v>31167</v>
      </c>
      <c r="B164" s="189" t="n">
        <v>0.138</v>
      </c>
      <c r="C164" s="237" t="n"/>
    </row>
    <row r="165">
      <c r="A165" s="400" t="n">
        <v>31198</v>
      </c>
      <c r="B165" s="189" t="n">
        <v>0.136</v>
      </c>
      <c r="C165" s="237" t="n"/>
    </row>
    <row r="166">
      <c r="A166" s="400" t="n">
        <v>31228</v>
      </c>
      <c r="B166" s="189" t="n">
        <v>0.1335</v>
      </c>
      <c r="C166" s="237" t="n"/>
    </row>
    <row r="167">
      <c r="A167" s="400" t="n">
        <v>31259</v>
      </c>
      <c r="B167" s="189" t="n">
        <v>0.133</v>
      </c>
      <c r="C167" s="237" t="n"/>
    </row>
    <row r="168">
      <c r="A168" s="400" t="n">
        <v>31290</v>
      </c>
      <c r="B168" s="189" t="n">
        <v>0.14</v>
      </c>
      <c r="C168" s="237" t="n"/>
    </row>
    <row r="169">
      <c r="A169" s="400" t="n">
        <v>31320</v>
      </c>
      <c r="B169" s="189" t="n">
        <v>0.139</v>
      </c>
      <c r="C169" s="237" t="n"/>
    </row>
    <row r="170">
      <c r="A170" s="400" t="n">
        <v>31351</v>
      </c>
      <c r="B170" s="189" t="n">
        <v>0.1475</v>
      </c>
      <c r="C170" s="237" t="n"/>
    </row>
    <row r="171">
      <c r="A171" s="400" t="n">
        <v>31381</v>
      </c>
      <c r="B171" s="189" t="n">
        <v>0.152</v>
      </c>
      <c r="C171" s="237" t="n"/>
    </row>
    <row r="172">
      <c r="A172" s="400" t="n">
        <v>31412</v>
      </c>
      <c r="B172" s="189" t="n">
        <v>0.152</v>
      </c>
      <c r="C172" s="237" t="n"/>
    </row>
    <row r="173">
      <c r="A173" s="400" t="n">
        <v>31443</v>
      </c>
      <c r="B173" s="189" t="n">
        <v>0.143</v>
      </c>
      <c r="C173" s="237" t="n"/>
    </row>
    <row r="174">
      <c r="A174" s="400" t="n">
        <v>31471</v>
      </c>
      <c r="B174" s="189" t="n">
        <v>0.139</v>
      </c>
      <c r="C174" s="237" t="n"/>
    </row>
    <row r="175">
      <c r="A175" s="400" t="n">
        <v>31502</v>
      </c>
      <c r="B175" s="189" t="n">
        <v>0.129</v>
      </c>
      <c r="C175" s="237" t="n"/>
    </row>
    <row r="176">
      <c r="A176" s="400" t="n">
        <v>31532</v>
      </c>
      <c r="B176" s="189" t="n">
        <v>0.124</v>
      </c>
      <c r="C176" s="237" t="n"/>
    </row>
    <row r="177">
      <c r="A177" s="400" t="n">
        <v>31563</v>
      </c>
      <c r="B177" s="189" t="n">
        <v>0.1265</v>
      </c>
      <c r="C177" s="237" t="n"/>
    </row>
    <row r="178">
      <c r="A178" s="400" t="n">
        <v>31593</v>
      </c>
      <c r="B178" s="189" t="n">
        <v>0.128</v>
      </c>
      <c r="C178" s="237" t="n"/>
    </row>
    <row r="179">
      <c r="A179" s="400" t="n">
        <v>31624</v>
      </c>
      <c r="B179" s="189" t="n">
        <v>0.1435</v>
      </c>
      <c r="C179" s="237" t="n"/>
    </row>
    <row r="180">
      <c r="A180" s="400" t="n">
        <v>31655</v>
      </c>
      <c r="B180" s="189" t="n">
        <v>0.1455</v>
      </c>
      <c r="C180" s="237" t="n"/>
    </row>
    <row r="181">
      <c r="A181" s="400" t="n">
        <v>31685</v>
      </c>
      <c r="B181" s="189" t="n">
        <v>0.144</v>
      </c>
      <c r="C181" s="237" t="n"/>
    </row>
    <row r="182">
      <c r="A182" s="400" t="n">
        <v>31716</v>
      </c>
      <c r="B182" s="189" t="n">
        <v>0.1385</v>
      </c>
      <c r="C182" s="237" t="n"/>
    </row>
    <row r="183">
      <c r="A183" s="400" t="n">
        <v>31746</v>
      </c>
      <c r="B183" s="189" t="n">
        <v>0.1395</v>
      </c>
      <c r="C183" s="237" t="n"/>
    </row>
    <row r="184">
      <c r="A184" s="400" t="n">
        <v>31777</v>
      </c>
      <c r="B184" s="189" t="n">
        <v>0.1385</v>
      </c>
      <c r="C184" s="237" t="n"/>
    </row>
    <row r="185">
      <c r="A185" s="400" t="n">
        <v>31808</v>
      </c>
      <c r="B185" s="189" t="n">
        <v>0.147</v>
      </c>
      <c r="C185" s="237" t="n"/>
    </row>
    <row r="186">
      <c r="A186" s="400" t="n">
        <v>31836</v>
      </c>
      <c r="B186" s="189" t="n">
        <v>0.1455</v>
      </c>
      <c r="C186" s="237" t="n"/>
    </row>
    <row r="187">
      <c r="A187" s="400" t="n">
        <v>31867</v>
      </c>
      <c r="B187" s="189" t="n">
        <v>0.1385</v>
      </c>
      <c r="C187" s="237" t="n"/>
    </row>
    <row r="188">
      <c r="A188" s="400" t="n">
        <v>31897</v>
      </c>
      <c r="B188" s="189" t="n">
        <v>0.135</v>
      </c>
      <c r="C188" s="237" t="n"/>
    </row>
    <row r="189">
      <c r="A189" s="400" t="n">
        <v>31928</v>
      </c>
      <c r="B189" s="189" t="n">
        <v>0.1345</v>
      </c>
      <c r="C189" s="237" t="n"/>
    </row>
    <row r="190">
      <c r="A190" s="400" t="n">
        <v>31958</v>
      </c>
      <c r="B190" s="189" t="n">
        <v>0.131</v>
      </c>
      <c r="C190" s="237" t="n"/>
    </row>
    <row r="191">
      <c r="A191" s="400" t="n">
        <v>31989</v>
      </c>
      <c r="B191" s="189" t="n">
        <v>0.13</v>
      </c>
      <c r="C191" s="237" t="n"/>
    </row>
    <row r="192">
      <c r="A192" s="400" t="n">
        <v>32020</v>
      </c>
      <c r="B192" s="189" t="n">
        <v>0.128</v>
      </c>
      <c r="C192" s="237" t="n"/>
    </row>
    <row r="193">
      <c r="A193" s="400" t="n">
        <v>32050</v>
      </c>
      <c r="B193" s="189" t="n">
        <v>0.1195</v>
      </c>
      <c r="C193" s="237" t="n"/>
    </row>
    <row r="194">
      <c r="A194" s="400" t="n">
        <v>32081</v>
      </c>
      <c r="B194" s="189" t="n">
        <v>0.134</v>
      </c>
      <c r="C194" s="237" t="n"/>
    </row>
    <row r="195">
      <c r="A195" s="400" t="n">
        <v>32111</v>
      </c>
      <c r="B195" s="189" t="n">
        <v>0.128</v>
      </c>
      <c r="C195" s="237" t="n"/>
    </row>
    <row r="196">
      <c r="A196" s="400" t="n">
        <v>32142</v>
      </c>
      <c r="B196" s="189" t="n">
        <v>0.1215</v>
      </c>
      <c r="C196" s="237" t="n"/>
    </row>
    <row r="197">
      <c r="A197" s="400" t="n">
        <v>32173</v>
      </c>
      <c r="B197" s="189" t="n">
        <v>0.119</v>
      </c>
      <c r="C197" s="237" t="n"/>
    </row>
    <row r="198">
      <c r="A198" s="400" t="n">
        <v>32202</v>
      </c>
      <c r="B198" s="189" t="n">
        <v>0.119</v>
      </c>
      <c r="C198" s="237" t="n"/>
    </row>
    <row r="199">
      <c r="A199" s="400" t="n">
        <v>32233</v>
      </c>
      <c r="B199" s="189" t="n">
        <v>0.115</v>
      </c>
      <c r="C199" s="237" t="n"/>
    </row>
    <row r="200">
      <c r="A200" s="400" t="n">
        <v>32263</v>
      </c>
      <c r="B200" s="189" t="n">
        <v>0.1125</v>
      </c>
      <c r="C200" s="237" t="n"/>
    </row>
    <row r="201">
      <c r="A201" s="400" t="n">
        <v>32294</v>
      </c>
      <c r="B201" s="189" t="n">
        <v>0.1245</v>
      </c>
      <c r="C201" s="237" t="n"/>
    </row>
    <row r="202">
      <c r="A202" s="400" t="n">
        <v>32324</v>
      </c>
      <c r="B202" s="189" t="n">
        <v>0.1195</v>
      </c>
      <c r="C202" s="237" t="n"/>
    </row>
    <row r="203">
      <c r="A203" s="400" t="n">
        <v>32355</v>
      </c>
      <c r="B203" s="189" t="n">
        <v>0.1205</v>
      </c>
      <c r="C203" s="237" t="n"/>
    </row>
    <row r="204">
      <c r="A204" s="400" t="n">
        <v>32386</v>
      </c>
      <c r="B204" s="189" t="n">
        <v>0.123</v>
      </c>
      <c r="C204" s="237" t="n"/>
    </row>
    <row r="205">
      <c r="A205" s="400" t="n">
        <v>32416</v>
      </c>
      <c r="B205" s="189" t="n">
        <v>0.126</v>
      </c>
      <c r="C205" s="237" t="n"/>
    </row>
    <row r="206">
      <c r="A206" s="400" t="n">
        <v>32447</v>
      </c>
      <c r="B206" s="189" t="n">
        <v>0.127</v>
      </c>
      <c r="C206" s="237" t="n"/>
    </row>
    <row r="207">
      <c r="A207" s="400" t="n">
        <v>32477</v>
      </c>
      <c r="B207" s="189" t="n">
        <v>0.1305</v>
      </c>
      <c r="C207" s="237" t="n"/>
    </row>
    <row r="208">
      <c r="A208" s="400" t="n">
        <v>32508</v>
      </c>
      <c r="B208" s="189" t="n">
        <v>0.135</v>
      </c>
      <c r="C208" s="237" t="n"/>
    </row>
    <row r="209">
      <c r="A209" s="400" t="n">
        <v>32539</v>
      </c>
      <c r="B209" s="189" t="n">
        <v>0.1405</v>
      </c>
      <c r="C209" s="237" t="n"/>
    </row>
    <row r="210">
      <c r="A210" s="400" t="n">
        <v>32567</v>
      </c>
      <c r="B210" s="189" t="n">
        <v>0.1435</v>
      </c>
      <c r="C210" s="237" t="n"/>
    </row>
    <row r="211">
      <c r="A211" s="400" t="n">
        <v>32598</v>
      </c>
      <c r="B211" s="189" t="n">
        <v>0.143</v>
      </c>
      <c r="C211" s="237" t="n"/>
    </row>
    <row r="212">
      <c r="A212" s="400" t="n">
        <v>32628</v>
      </c>
      <c r="B212" s="189" t="n">
        <v>0.1425</v>
      </c>
      <c r="C212" s="237" t="n"/>
    </row>
    <row r="213">
      <c r="A213" s="400" t="n">
        <v>32659</v>
      </c>
      <c r="B213" s="189" t="n">
        <v>0.1465</v>
      </c>
      <c r="C213" s="237" t="n"/>
    </row>
    <row r="214">
      <c r="A214" s="400" t="n">
        <v>32689</v>
      </c>
      <c r="B214" s="189" t="n">
        <v>0.142</v>
      </c>
      <c r="C214" s="237" t="n"/>
    </row>
    <row r="215">
      <c r="A215" s="400" t="n">
        <v>32720</v>
      </c>
      <c r="B215" s="189" t="n">
        <v>0.14</v>
      </c>
      <c r="C215" s="237" t="n"/>
    </row>
    <row r="216">
      <c r="A216" s="400" t="n">
        <v>32751</v>
      </c>
      <c r="B216" s="189" t="n">
        <v>0.137</v>
      </c>
      <c r="C216" s="237" t="n"/>
    </row>
    <row r="217">
      <c r="A217" s="400" t="n">
        <v>32781</v>
      </c>
      <c r="B217" s="189" t="n">
        <v>0.1455</v>
      </c>
      <c r="C217" s="237" t="n"/>
    </row>
    <row r="218">
      <c r="A218" s="400" t="n">
        <v>32812</v>
      </c>
      <c r="B218" s="189" t="n">
        <v>0.145</v>
      </c>
      <c r="C218" s="237" t="n"/>
    </row>
    <row r="219">
      <c r="A219" s="400" t="n">
        <v>32842</v>
      </c>
      <c r="B219" s="189" t="n">
        <v>0.1385</v>
      </c>
      <c r="C219" s="237" t="n"/>
    </row>
    <row r="220">
      <c r="A220" s="400" t="n">
        <v>32873</v>
      </c>
      <c r="B220" s="189" t="n">
        <v>0.1345</v>
      </c>
      <c r="C220" s="237" t="n"/>
    </row>
    <row r="221">
      <c r="A221" s="400" t="n">
        <v>32904</v>
      </c>
      <c r="B221" s="189" t="n">
        <v>0.1325</v>
      </c>
      <c r="C221" s="237" t="n"/>
    </row>
    <row r="222">
      <c r="A222" s="400" t="n">
        <v>32932</v>
      </c>
      <c r="B222" s="189" t="n">
        <v>0.138</v>
      </c>
      <c r="C222" s="237" t="n"/>
    </row>
    <row r="223">
      <c r="A223" s="400" t="n">
        <v>32963</v>
      </c>
      <c r="B223" s="189" t="n">
        <v>0.1387</v>
      </c>
      <c r="C223" s="237" t="n"/>
    </row>
    <row r="224">
      <c r="A224" s="400" t="n">
        <v>32993</v>
      </c>
      <c r="B224" s="189" t="n">
        <v>0.1424</v>
      </c>
      <c r="C224" s="237" t="n"/>
    </row>
    <row r="225">
      <c r="A225" s="400" t="n">
        <v>33024</v>
      </c>
      <c r="B225" s="189" t="n">
        <v>0.1402</v>
      </c>
      <c r="C225" s="237" t="n"/>
    </row>
    <row r="226">
      <c r="A226" s="400" t="n">
        <v>33054</v>
      </c>
      <c r="B226" s="189" t="n">
        <v>0.138</v>
      </c>
      <c r="C226" s="237" t="n"/>
    </row>
    <row r="227">
      <c r="A227" s="400" t="n">
        <v>33085</v>
      </c>
      <c r="B227" s="189" t="n">
        <v>0.1351</v>
      </c>
      <c r="C227" s="237" t="n"/>
    </row>
    <row r="228">
      <c r="A228" s="400" t="n">
        <v>33116</v>
      </c>
      <c r="B228" s="189" t="n">
        <v>0.1341</v>
      </c>
      <c r="C228" s="237" t="n"/>
    </row>
    <row r="229">
      <c r="A229" s="400" t="n">
        <v>33146</v>
      </c>
      <c r="B229" s="189" t="n">
        <v>0.1317</v>
      </c>
      <c r="C229" s="237" t="n"/>
    </row>
    <row r="230">
      <c r="A230" s="400" t="n">
        <v>33177</v>
      </c>
      <c r="B230" s="189" t="n">
        <v>0.1277</v>
      </c>
      <c r="C230" s="237" t="n"/>
    </row>
    <row r="231">
      <c r="A231" s="400" t="n">
        <v>33207</v>
      </c>
      <c r="B231" s="189" t="n">
        <v>0.1236</v>
      </c>
      <c r="C231" s="237" t="n"/>
    </row>
    <row r="232">
      <c r="A232" s="400" t="n">
        <v>33238</v>
      </c>
      <c r="B232" s="189" t="n">
        <v>0.1199</v>
      </c>
      <c r="C232" s="237" t="n"/>
    </row>
    <row r="233">
      <c r="A233" s="400" t="n">
        <v>33269</v>
      </c>
      <c r="B233" s="189" t="n">
        <v>0.116</v>
      </c>
      <c r="C233" s="237" t="n"/>
    </row>
    <row r="234">
      <c r="A234" s="400" t="n">
        <v>33297</v>
      </c>
      <c r="B234" s="189" t="n">
        <v>0.1132</v>
      </c>
      <c r="C234" s="237" t="n"/>
    </row>
    <row r="235">
      <c r="A235" s="400" t="n">
        <v>33328</v>
      </c>
      <c r="B235" s="189" t="n">
        <v>0.1131</v>
      </c>
      <c r="C235" s="237" t="n"/>
    </row>
    <row r="236">
      <c r="A236" s="400" t="n">
        <v>33358</v>
      </c>
      <c r="B236" s="189" t="n">
        <v>0.1089</v>
      </c>
      <c r="C236" s="237" t="n"/>
    </row>
    <row r="237">
      <c r="A237" s="400" t="n">
        <v>33389</v>
      </c>
      <c r="B237" s="189" t="n">
        <v>0.1059</v>
      </c>
      <c r="C237" s="237" t="n"/>
    </row>
    <row r="238">
      <c r="A238" s="400" t="n">
        <v>33419</v>
      </c>
      <c r="B238" s="189" t="n">
        <v>0.1107</v>
      </c>
      <c r="C238" s="237" t="n"/>
    </row>
    <row r="239">
      <c r="A239" s="400" t="n">
        <v>33450</v>
      </c>
      <c r="B239" s="189" t="n">
        <v>0.1085</v>
      </c>
      <c r="C239" s="237" t="n"/>
    </row>
    <row r="240">
      <c r="A240" s="400" t="n">
        <v>33481</v>
      </c>
      <c r="B240" s="189" t="n">
        <v>0.1064</v>
      </c>
      <c r="C240" s="237" t="n"/>
    </row>
    <row r="241">
      <c r="A241" s="400" t="n">
        <v>33511</v>
      </c>
      <c r="B241" s="189" t="n">
        <v>0.1003</v>
      </c>
      <c r="C241" s="237" t="n"/>
    </row>
    <row r="242">
      <c r="A242" s="400" t="n">
        <v>33542</v>
      </c>
      <c r="B242" s="189" t="n">
        <v>0.0896</v>
      </c>
      <c r="C242" s="237" t="n"/>
    </row>
    <row r="243">
      <c r="A243" s="400" t="n">
        <v>33572</v>
      </c>
      <c r="B243" s="189" t="n">
        <v>0.0898</v>
      </c>
      <c r="C243" s="237" t="n"/>
    </row>
    <row r="244">
      <c r="A244" s="400" t="n">
        <v>33603</v>
      </c>
      <c r="B244" s="189" t="n">
        <v>0.0822</v>
      </c>
      <c r="C244" s="237" t="n"/>
    </row>
    <row r="245">
      <c r="A245" s="400" t="n">
        <v>33634</v>
      </c>
      <c r="B245" s="189" t="n">
        <v>0.09420000000000001</v>
      </c>
      <c r="C245" s="237" t="n"/>
    </row>
    <row r="246">
      <c r="A246" s="400" t="n">
        <v>33663</v>
      </c>
      <c r="B246" s="189" t="n">
        <v>0.09420000000000001</v>
      </c>
      <c r="C246" s="237" t="n"/>
    </row>
    <row r="247">
      <c r="A247" s="400" t="n">
        <v>33694</v>
      </c>
      <c r="B247" s="189" t="n">
        <v>0.09420000000000001</v>
      </c>
      <c r="C247" s="237" t="n"/>
    </row>
    <row r="248">
      <c r="A248" s="400" t="n">
        <v>33724</v>
      </c>
      <c r="B248" s="189" t="n">
        <v>0.0868</v>
      </c>
      <c r="C248" s="237" t="n"/>
    </row>
    <row r="249">
      <c r="A249" s="400" t="n">
        <v>33755</v>
      </c>
      <c r="B249" s="189" t="n">
        <v>0.0837</v>
      </c>
      <c r="C249" s="237" t="n"/>
    </row>
    <row r="250">
      <c r="A250" s="400" t="n">
        <v>33785</v>
      </c>
      <c r="B250" s="189" t="n">
        <v>0.07829999999999999</v>
      </c>
      <c r="C250" s="237" t="n"/>
    </row>
    <row r="251">
      <c r="A251" s="400" t="n">
        <v>33816</v>
      </c>
      <c r="B251" s="189" t="n">
        <v>0.07049999999999999</v>
      </c>
      <c r="C251" s="237" t="n"/>
    </row>
    <row r="252">
      <c r="A252" s="400" t="n">
        <v>33847</v>
      </c>
      <c r="B252" s="189" t="n">
        <v>0.08409999999999999</v>
      </c>
      <c r="C252" s="237" t="n"/>
    </row>
    <row r="253">
      <c r="A253" s="400" t="n">
        <v>33877</v>
      </c>
      <c r="B253" s="189" t="n">
        <v>0.0832</v>
      </c>
      <c r="C253" s="237" t="n"/>
    </row>
    <row r="254">
      <c r="A254" s="400" t="n">
        <v>33908</v>
      </c>
      <c r="B254" s="189" t="n">
        <v>0.0829</v>
      </c>
      <c r="C254" s="237" t="n"/>
    </row>
    <row r="255">
      <c r="A255" s="400" t="n">
        <v>33938</v>
      </c>
      <c r="B255" s="189" t="n">
        <v>0.0848</v>
      </c>
      <c r="C255" s="237" t="n"/>
    </row>
    <row r="256">
      <c r="A256" s="400" t="n">
        <v>33969</v>
      </c>
      <c r="B256" s="189" t="n">
        <v>0.0824</v>
      </c>
      <c r="C256" s="237" t="n"/>
    </row>
    <row r="257">
      <c r="A257" s="400" t="n">
        <v>34000</v>
      </c>
      <c r="B257" s="189" t="n">
        <v>0.08</v>
      </c>
      <c r="C257" s="237" t="n"/>
    </row>
    <row r="258">
      <c r="A258" s="400" t="n">
        <v>34028</v>
      </c>
      <c r="B258" s="189" t="n">
        <v>0.0726</v>
      </c>
      <c r="C258" s="237" t="n"/>
    </row>
    <row r="259">
      <c r="A259" s="400" t="n">
        <v>34059</v>
      </c>
      <c r="B259" s="189" t="n">
        <v>0.07049999999999999</v>
      </c>
      <c r="C259" s="237" t="n"/>
    </row>
    <row r="260">
      <c r="A260" s="400" t="n">
        <v>34089</v>
      </c>
      <c r="B260" s="189" t="n">
        <v>0.0669</v>
      </c>
      <c r="C260" s="237" t="n"/>
    </row>
    <row r="261">
      <c r="A261" s="400" t="n">
        <v>34120</v>
      </c>
      <c r="B261" s="189" t="n">
        <v>0.0709</v>
      </c>
      <c r="C261" s="237" t="n"/>
    </row>
    <row r="262">
      <c r="A262" s="400" t="n">
        <v>34150</v>
      </c>
      <c r="B262" s="189" t="n">
        <v>0.0683</v>
      </c>
      <c r="C262" s="237" t="n"/>
    </row>
    <row r="263">
      <c r="A263" s="400" t="n">
        <v>34181</v>
      </c>
      <c r="B263" s="189" t="n">
        <v>0.0643</v>
      </c>
      <c r="C263" s="237" t="n"/>
    </row>
    <row r="264">
      <c r="A264" s="400" t="n">
        <v>34212</v>
      </c>
      <c r="B264" s="189" t="n">
        <v>0.0616</v>
      </c>
      <c r="C264" s="237" t="n"/>
    </row>
    <row r="265">
      <c r="A265" s="400" t="n">
        <v>34242</v>
      </c>
      <c r="B265" s="189" t="n">
        <v>0.0635</v>
      </c>
      <c r="C265" s="237" t="n"/>
    </row>
    <row r="266">
      <c r="A266" s="400" t="n">
        <v>34273</v>
      </c>
      <c r="B266" s="189" t="n">
        <v>0.0601</v>
      </c>
      <c r="C266" s="237" t="n"/>
    </row>
    <row r="267">
      <c r="A267" s="400" t="n">
        <v>34303</v>
      </c>
      <c r="B267" s="189" t="n">
        <v>0.0636</v>
      </c>
      <c r="C267" s="237" t="n"/>
    </row>
    <row r="268">
      <c r="A268" s="400" t="n">
        <v>34334</v>
      </c>
      <c r="B268" s="189" t="n">
        <v>0.0617</v>
      </c>
      <c r="C268" s="237" t="n"/>
    </row>
    <row r="269">
      <c r="A269" s="400" t="n">
        <v>34365</v>
      </c>
      <c r="B269" s="189" t="n">
        <v>0.0605</v>
      </c>
      <c r="C269" s="237" t="n"/>
    </row>
    <row r="270">
      <c r="A270" s="400" t="n">
        <v>34393</v>
      </c>
      <c r="B270" s="189" t="n">
        <v>0.0672</v>
      </c>
      <c r="C270" s="237" t="n"/>
    </row>
    <row r="271">
      <c r="A271" s="400" t="n">
        <v>34424</v>
      </c>
      <c r="B271" s="189" t="n">
        <v>0.0757</v>
      </c>
      <c r="C271" s="237" t="n"/>
    </row>
    <row r="272">
      <c r="A272" s="400" t="n">
        <v>34454</v>
      </c>
      <c r="B272" s="189" t="n">
        <v>0.0794</v>
      </c>
      <c r="C272" s="237" t="n"/>
    </row>
    <row r="273">
      <c r="A273" s="400" t="n">
        <v>34485</v>
      </c>
      <c r="B273" s="189" t="n">
        <v>0.0814</v>
      </c>
      <c r="C273" s="237" t="n"/>
    </row>
    <row r="274">
      <c r="A274" s="400" t="n">
        <v>34515</v>
      </c>
      <c r="B274" s="189" t="n">
        <v>0.09039999999999999</v>
      </c>
      <c r="C274" s="237" t="n"/>
    </row>
    <row r="275">
      <c r="A275" s="400" t="n">
        <v>34546</v>
      </c>
      <c r="B275" s="189" t="n">
        <v>0.0896</v>
      </c>
      <c r="C275" s="237" t="n"/>
    </row>
    <row r="276">
      <c r="A276" s="400" t="n">
        <v>34577</v>
      </c>
      <c r="B276" s="189" t="n">
        <v>0.0881</v>
      </c>
      <c r="C276" s="237" t="n"/>
    </row>
    <row r="277">
      <c r="A277" s="400" t="n">
        <v>34607</v>
      </c>
      <c r="B277" s="189" t="n">
        <v>0.0974</v>
      </c>
      <c r="C277" s="237" t="n"/>
    </row>
    <row r="278">
      <c r="A278" s="400" t="n">
        <v>34638</v>
      </c>
      <c r="B278" s="189" t="n">
        <v>0.1006</v>
      </c>
      <c r="C278" s="237" t="n"/>
    </row>
    <row r="279">
      <c r="A279" s="400" t="n">
        <v>34668</v>
      </c>
      <c r="B279" s="189" t="n">
        <v>0.1027</v>
      </c>
      <c r="C279" s="237" t="n"/>
    </row>
    <row r="280">
      <c r="A280" s="400" t="n">
        <v>34699</v>
      </c>
      <c r="B280" s="189" t="n">
        <v>0.1006</v>
      </c>
      <c r="C280" s="237" t="n"/>
    </row>
    <row r="281">
      <c r="A281" s="400" t="n">
        <v>34730</v>
      </c>
      <c r="B281" s="189" t="n">
        <v>0.10305</v>
      </c>
      <c r="C281" s="237" t="n"/>
    </row>
    <row r="282">
      <c r="A282" s="400" t="n">
        <v>34758</v>
      </c>
      <c r="B282" s="189" t="n">
        <v>0.099605</v>
      </c>
      <c r="C282" s="237" t="n"/>
    </row>
    <row r="283">
      <c r="A283" s="400" t="n">
        <v>34789</v>
      </c>
      <c r="B283" s="189" t="n">
        <v>0.09808799999999999</v>
      </c>
      <c r="C283" s="237" t="n"/>
    </row>
    <row r="284">
      <c r="A284" s="400" t="n">
        <v>34819</v>
      </c>
      <c r="B284" s="189" t="n">
        <v>0.09460499999999999</v>
      </c>
      <c r="C284" s="237" t="n"/>
    </row>
    <row r="285">
      <c r="A285" s="400" t="n">
        <v>34850</v>
      </c>
      <c r="B285" s="189" t="n">
        <v>0.08681700000000001</v>
      </c>
      <c r="C285" s="237" t="n"/>
    </row>
    <row r="286">
      <c r="A286" s="400" t="n">
        <v>34880</v>
      </c>
      <c r="B286" s="189" t="n">
        <v>0.08269</v>
      </c>
      <c r="C286" s="237" t="n"/>
    </row>
    <row r="287">
      <c r="A287" s="400" t="n">
        <v>34911</v>
      </c>
      <c r="B287" s="189" t="n">
        <v>0.084429</v>
      </c>
      <c r="C287" s="237" t="n"/>
    </row>
    <row r="288">
      <c r="A288" s="400" t="n">
        <v>34942</v>
      </c>
      <c r="B288" s="189" t="n">
        <v>0.085817</v>
      </c>
      <c r="C288" s="237" t="n"/>
    </row>
    <row r="289">
      <c r="A289" s="400" t="n">
        <v>34972</v>
      </c>
      <c r="B289" s="189" t="n">
        <v>0.08169</v>
      </c>
      <c r="C289" s="237" t="n"/>
    </row>
    <row r="290">
      <c r="A290" s="400" t="n">
        <v>35003</v>
      </c>
      <c r="B290" s="189" t="n">
        <v>0.08043599999999999</v>
      </c>
      <c r="C290" s="237" t="n"/>
    </row>
    <row r="291">
      <c r="A291" s="400" t="n">
        <v>35033</v>
      </c>
      <c r="B291" s="189" t="n">
        <v>0.080377</v>
      </c>
      <c r="C291" s="237" t="n"/>
    </row>
    <row r="292">
      <c r="A292" s="400" t="n">
        <v>35064</v>
      </c>
      <c r="B292" s="189" t="n">
        <v>0.078526</v>
      </c>
      <c r="C292" s="237" t="n"/>
    </row>
    <row r="293">
      <c r="A293" s="400" t="n">
        <v>35095</v>
      </c>
      <c r="B293" s="189" t="n">
        <v>0.07759000000000001</v>
      </c>
      <c r="C293" s="237" t="n"/>
    </row>
    <row r="294">
      <c r="A294" s="400" t="n">
        <v>35124</v>
      </c>
      <c r="B294" s="189" t="n">
        <v>0.07886700000000001</v>
      </c>
      <c r="C294" s="237" t="n"/>
    </row>
    <row r="295">
      <c r="A295" s="400" t="n">
        <v>35155</v>
      </c>
      <c r="B295" s="189" t="n">
        <v>0.08469500000000001</v>
      </c>
      <c r="C295" s="237" t="n"/>
    </row>
    <row r="296">
      <c r="A296" s="400" t="n">
        <v>35185</v>
      </c>
      <c r="B296" s="189" t="n">
        <v>0.08599999999999999</v>
      </c>
      <c r="C296" s="237" t="n"/>
    </row>
    <row r="297">
      <c r="A297" s="400" t="n">
        <v>35216</v>
      </c>
      <c r="B297" s="189" t="n">
        <v>0.085317</v>
      </c>
      <c r="C297" s="237" t="n"/>
    </row>
    <row r="298">
      <c r="A298" s="400" t="n">
        <v>35246</v>
      </c>
      <c r="B298" s="189" t="n">
        <v>0.08622100000000001</v>
      </c>
      <c r="C298" s="237" t="n"/>
    </row>
    <row r="299">
      <c r="A299" s="400" t="n">
        <v>35277</v>
      </c>
      <c r="B299" s="189" t="n">
        <v>0.083465</v>
      </c>
      <c r="C299" s="237" t="n"/>
    </row>
    <row r="300">
      <c r="A300" s="400" t="n">
        <v>35308</v>
      </c>
      <c r="B300" s="189" t="n">
        <v>0.07592699999999999</v>
      </c>
      <c r="C300" s="237" t="n"/>
    </row>
    <row r="301">
      <c r="A301" s="400" t="n">
        <v>35338</v>
      </c>
      <c r="B301" s="189" t="n">
        <v>0.075729</v>
      </c>
      <c r="C301" s="237" t="n"/>
    </row>
    <row r="302">
      <c r="A302" s="400" t="n">
        <v>35369</v>
      </c>
      <c r="B302" s="189" t="n">
        <v>0.071691</v>
      </c>
      <c r="C302" s="237" t="n"/>
    </row>
    <row r="303">
      <c r="A303" s="400" t="n">
        <v>35399</v>
      </c>
      <c r="B303" s="189" t="n">
        <v>0.068386</v>
      </c>
      <c r="C303" s="237" t="n"/>
    </row>
    <row r="304">
      <c r="A304" s="400" t="n">
        <v>35430</v>
      </c>
      <c r="B304" s="189" t="n">
        <v>0.06926499999999999</v>
      </c>
      <c r="C304" s="237" t="n"/>
    </row>
    <row r="305">
      <c r="A305" s="400" t="n">
        <v>35461</v>
      </c>
      <c r="B305" s="189" t="n">
        <v>0.069895</v>
      </c>
      <c r="C305" s="237" t="n"/>
    </row>
    <row r="306">
      <c r="A306" s="400" t="n">
        <v>35489</v>
      </c>
      <c r="B306" s="189" t="n">
        <v>0.07033499999999999</v>
      </c>
      <c r="C306" s="237" t="n"/>
    </row>
    <row r="307">
      <c r="A307" s="400" t="n">
        <v>35520</v>
      </c>
      <c r="B307" s="189" t="n">
        <v>0.074947</v>
      </c>
      <c r="C307" s="237" t="n"/>
    </row>
    <row r="308">
      <c r="A308" s="400" t="n">
        <v>35550</v>
      </c>
      <c r="B308" s="189" t="n">
        <v>0.074</v>
      </c>
      <c r="C308" s="237" t="n"/>
    </row>
    <row r="309">
      <c r="A309" s="400" t="n">
        <v>35581</v>
      </c>
      <c r="B309" s="189" t="n">
        <v>0.071659</v>
      </c>
      <c r="C309" s="237" t="n"/>
    </row>
    <row r="310">
      <c r="A310" s="400" t="n">
        <v>35611</v>
      </c>
      <c r="B310" s="189" t="n">
        <v>0.065405</v>
      </c>
      <c r="C310" s="237" t="n"/>
    </row>
    <row r="311">
      <c r="A311" s="400" t="n">
        <v>35642</v>
      </c>
      <c r="B311" s="189" t="n">
        <v>0.061517</v>
      </c>
      <c r="C311" s="237" t="n"/>
    </row>
    <row r="312">
      <c r="A312" s="400" t="n">
        <v>35673</v>
      </c>
      <c r="B312" s="189" t="n">
        <v>0.061076</v>
      </c>
      <c r="C312" s="237" t="n"/>
    </row>
    <row r="313">
      <c r="A313" s="400" t="n">
        <v>35703</v>
      </c>
      <c r="B313" s="189" t="n">
        <v>0.058209</v>
      </c>
      <c r="C313" s="237" t="n"/>
    </row>
    <row r="314">
      <c r="A314" s="400" t="n">
        <v>35734</v>
      </c>
      <c r="B314" s="189" t="n">
        <v>0.057757</v>
      </c>
      <c r="C314" s="237" t="n"/>
    </row>
    <row r="315">
      <c r="A315" s="400" t="n">
        <v>35764</v>
      </c>
      <c r="B315" s="189" t="n">
        <v>0.0572</v>
      </c>
      <c r="C315" s="237" t="n"/>
    </row>
    <row r="316">
      <c r="A316" s="400" t="n">
        <v>35795</v>
      </c>
      <c r="B316" s="189" t="n">
        <v>0.058257</v>
      </c>
      <c r="C316" s="237" t="n"/>
    </row>
    <row r="317">
      <c r="A317" s="400" t="n">
        <v>35826</v>
      </c>
      <c r="B317" s="189" t="n">
        <v>0.055055</v>
      </c>
      <c r="C317" s="237" t="n"/>
    </row>
    <row r="318">
      <c r="A318" s="400" t="n">
        <v>35854</v>
      </c>
      <c r="B318" s="189" t="n">
        <v>0.05533</v>
      </c>
      <c r="C318" s="237" t="n"/>
    </row>
    <row r="319">
      <c r="A319" s="400" t="n">
        <v>35885</v>
      </c>
      <c r="B319" s="189" t="n">
        <v>0.054877</v>
      </c>
      <c r="C319" s="237" t="n"/>
    </row>
    <row r="320">
      <c r="A320" s="400" t="n">
        <v>35915</v>
      </c>
      <c r="B320" s="189" t="n">
        <v>0.05315</v>
      </c>
      <c r="C320" s="237" t="n"/>
    </row>
    <row r="321">
      <c r="A321" s="400" t="n">
        <v>35946</v>
      </c>
      <c r="B321" s="189" t="n">
        <v>0.053119</v>
      </c>
      <c r="C321" s="237" t="n"/>
    </row>
    <row r="322">
      <c r="A322" s="400" t="n">
        <v>35976</v>
      </c>
      <c r="B322" s="189" t="n">
        <v>0.054067</v>
      </c>
      <c r="C322" s="237" t="n"/>
    </row>
    <row r="323">
      <c r="A323" s="400" t="n">
        <v>36007</v>
      </c>
      <c r="B323" s="189" t="n">
        <v>0.053461</v>
      </c>
      <c r="C323" s="237" t="n"/>
    </row>
    <row r="324">
      <c r="A324" s="400" t="n">
        <v>36038</v>
      </c>
      <c r="B324" s="189" t="n">
        <v>0.0548</v>
      </c>
      <c r="C324" s="237" t="n"/>
    </row>
    <row r="325">
      <c r="A325" s="400" t="n">
        <v>36068</v>
      </c>
      <c r="B325" s="189" t="n">
        <v>0.0513</v>
      </c>
      <c r="C325" s="237" t="n"/>
    </row>
    <row r="326">
      <c r="A326" s="400" t="n">
        <v>36099</v>
      </c>
      <c r="B326" s="189" t="n">
        <v>0.046282</v>
      </c>
      <c r="C326" s="237" t="n"/>
    </row>
    <row r="327">
      <c r="A327" s="400" t="n">
        <v>36129</v>
      </c>
      <c r="B327" s="189" t="n">
        <v>0.048267</v>
      </c>
      <c r="C327" s="237" t="n"/>
    </row>
    <row r="328">
      <c r="A328" s="400" t="n">
        <v>36160</v>
      </c>
      <c r="B328" s="189" t="n">
        <v>0.046105</v>
      </c>
      <c r="C328" s="237" t="n"/>
    </row>
    <row r="329">
      <c r="A329" s="400" t="n">
        <v>36191</v>
      </c>
      <c r="B329" s="189" t="n">
        <v>0.049147</v>
      </c>
      <c r="C329" s="237" t="n"/>
    </row>
    <row r="330">
      <c r="A330" s="400" t="n">
        <v>36219</v>
      </c>
      <c r="B330" s="189" t="n">
        <v>0.050595</v>
      </c>
      <c r="C330" s="237" t="n"/>
    </row>
    <row r="331">
      <c r="A331" s="400" t="n">
        <v>36250</v>
      </c>
      <c r="B331" s="189" t="n">
        <v>0.052409</v>
      </c>
      <c r="C331" s="237" t="n"/>
    </row>
    <row r="332">
      <c r="A332" s="400" t="n">
        <v>36280</v>
      </c>
      <c r="B332" s="189" t="n">
        <v>0.050425</v>
      </c>
      <c r="C332" s="237" t="n"/>
    </row>
    <row r="333">
      <c r="A333" s="400" t="n">
        <v>36311</v>
      </c>
      <c r="B333" s="189" t="n">
        <v>0.055757</v>
      </c>
      <c r="C333" s="237" t="n"/>
    </row>
    <row r="334">
      <c r="A334" s="400" t="n">
        <v>36341</v>
      </c>
      <c r="B334" s="189" t="n">
        <v>0.058357</v>
      </c>
      <c r="C334" s="237" t="n"/>
    </row>
    <row r="335">
      <c r="A335" s="400" t="n">
        <v>36372</v>
      </c>
      <c r="B335" s="189" t="n">
        <v>0.057632</v>
      </c>
      <c r="C335" s="237" t="n"/>
    </row>
    <row r="336">
      <c r="A336" s="400" t="n">
        <v>36403</v>
      </c>
      <c r="B336" s="189" t="n">
        <v>0.059409</v>
      </c>
      <c r="C336" s="237" t="n"/>
    </row>
    <row r="337">
      <c r="A337" s="400" t="n">
        <v>36433</v>
      </c>
      <c r="B337" s="189" t="n">
        <v>0.059982</v>
      </c>
      <c r="C337" s="237" t="n"/>
    </row>
    <row r="338">
      <c r="A338" s="400" t="n">
        <v>36464</v>
      </c>
      <c r="B338" s="189" t="n">
        <v>0.062857</v>
      </c>
      <c r="C338" s="237" t="n"/>
    </row>
    <row r="339">
      <c r="A339" s="400" t="n">
        <v>36494</v>
      </c>
      <c r="B339" s="189" t="n">
        <v>0.063114</v>
      </c>
      <c r="C339" s="237" t="n"/>
    </row>
    <row r="340">
      <c r="A340" s="400" t="n">
        <v>36525</v>
      </c>
      <c r="B340" s="189" t="n">
        <v>0.06488099999999999</v>
      </c>
      <c r="C340" s="237" t="n"/>
    </row>
    <row r="341">
      <c r="A341" s="400" t="n">
        <v>36556</v>
      </c>
      <c r="B341" s="189" t="n">
        <v>0.069942</v>
      </c>
      <c r="C341" s="237" t="n"/>
    </row>
    <row r="342">
      <c r="A342" s="400" t="n">
        <v>36585</v>
      </c>
      <c r="B342" s="189" t="n">
        <v>0.068995</v>
      </c>
      <c r="C342" s="237" t="n"/>
    </row>
    <row r="343">
      <c r="A343" s="400" t="n">
        <v>36616</v>
      </c>
      <c r="B343" s="189" t="n">
        <v>0.065648</v>
      </c>
      <c r="C343" s="237" t="n"/>
    </row>
    <row r="344">
      <c r="A344" s="400" t="n">
        <v>36646</v>
      </c>
      <c r="B344" s="189" t="n">
        <v>0.062971</v>
      </c>
      <c r="C344" s="237" t="n"/>
    </row>
    <row r="345">
      <c r="A345" s="400" t="n">
        <v>36677</v>
      </c>
      <c r="B345" s="189" t="n">
        <v>0.06447</v>
      </c>
      <c r="C345" s="237" t="n"/>
    </row>
    <row r="346">
      <c r="A346" s="400" t="n">
        <v>36707</v>
      </c>
      <c r="B346" s="189" t="n">
        <v>0.061029</v>
      </c>
      <c r="C346" s="237" t="n"/>
    </row>
    <row r="347">
      <c r="A347" s="400" t="n">
        <v>36738</v>
      </c>
      <c r="B347" s="189" t="n">
        <v>0.060652</v>
      </c>
      <c r="C347" s="237" t="n"/>
    </row>
    <row r="348">
      <c r="A348" s="400" t="n">
        <v>36769</v>
      </c>
      <c r="B348" s="189" t="n">
        <v>0.062761</v>
      </c>
      <c r="C348" s="237" t="n"/>
    </row>
    <row r="349">
      <c r="A349" s="400" t="n">
        <v>36799</v>
      </c>
      <c r="B349" s="189" t="n">
        <v>0.061783</v>
      </c>
      <c r="C349" s="237" t="n"/>
    </row>
    <row r="350">
      <c r="A350" s="400" t="n">
        <v>36830</v>
      </c>
      <c r="B350" s="189" t="n">
        <v>0.060598</v>
      </c>
      <c r="C350" s="237" t="n"/>
    </row>
    <row r="351">
      <c r="A351" s="400" t="n">
        <v>36860</v>
      </c>
      <c r="B351" s="189" t="n">
        <v>0.059339</v>
      </c>
      <c r="C351" s="237" t="n"/>
    </row>
    <row r="352">
      <c r="A352" s="400" t="n">
        <v>36891</v>
      </c>
      <c r="B352" s="189" t="n">
        <v>0.054371</v>
      </c>
      <c r="C352" s="237" t="n"/>
    </row>
    <row r="353">
      <c r="A353" s="400" t="n">
        <v>36922</v>
      </c>
      <c r="B353" s="189" t="n">
        <v>0.051517</v>
      </c>
      <c r="C353" s="237" t="n"/>
    </row>
    <row r="354">
      <c r="A354" s="400" t="n">
        <v>36950</v>
      </c>
      <c r="B354" s="189" t="n">
        <v>0.050548</v>
      </c>
      <c r="C354" s="237" t="n"/>
    </row>
    <row r="355">
      <c r="A355" s="400" t="n">
        <v>36981</v>
      </c>
      <c r="B355" s="189" t="n">
        <v>0.048016</v>
      </c>
      <c r="C355" s="237" t="n"/>
    </row>
    <row r="356">
      <c r="A356" s="400" t="n">
        <v>37011</v>
      </c>
      <c r="B356" s="189" t="n">
        <v>0.051614</v>
      </c>
      <c r="C356" s="237" t="n"/>
    </row>
    <row r="357">
      <c r="A357" s="400" t="n">
        <v>37042</v>
      </c>
      <c r="B357" s="189" t="n">
        <v>0.055048</v>
      </c>
      <c r="C357" s="237" t="n"/>
    </row>
    <row r="358">
      <c r="A358" s="400" t="n">
        <v>37072</v>
      </c>
      <c r="B358" s="189" t="n">
        <v>0.055855</v>
      </c>
      <c r="C358" s="237" t="n"/>
    </row>
    <row r="359">
      <c r="A359" s="400" t="n">
        <v>37103</v>
      </c>
      <c r="B359" s="189" t="n">
        <v>0.058393</v>
      </c>
      <c r="C359" s="237" t="n"/>
    </row>
    <row r="360">
      <c r="A360" s="400" t="n">
        <v>37134</v>
      </c>
      <c r="B360" s="189" t="n">
        <v>0.054904</v>
      </c>
      <c r="C360" s="237" t="n"/>
    </row>
    <row r="361">
      <c r="A361" s="400" t="n">
        <v>37164</v>
      </c>
      <c r="B361" s="189" t="n">
        <v>0.050785</v>
      </c>
      <c r="C361" s="237" t="n"/>
    </row>
    <row r="362">
      <c r="A362" s="400" t="n">
        <v>37195</v>
      </c>
      <c r="B362" s="189" t="n">
        <v>0.04815</v>
      </c>
      <c r="C362" s="237" t="n"/>
    </row>
    <row r="363">
      <c r="A363" s="400" t="n">
        <v>37225</v>
      </c>
      <c r="B363" s="189" t="n">
        <v>0.049334</v>
      </c>
      <c r="C363" s="237" t="n"/>
    </row>
    <row r="364">
      <c r="A364" s="400" t="n">
        <v>37256</v>
      </c>
      <c r="B364" s="189" t="n">
        <v>0.053279</v>
      </c>
      <c r="C364" s="237" t="n"/>
    </row>
    <row r="365">
      <c r="A365" s="400" t="n">
        <v>37287</v>
      </c>
      <c r="B365" s="189" t="n">
        <v>0.054119</v>
      </c>
      <c r="C365" s="237" t="n"/>
    </row>
    <row r="366">
      <c r="A366" s="400" t="n">
        <v>37315</v>
      </c>
      <c r="B366" s="189" t="n">
        <v>0.056317</v>
      </c>
      <c r="C366" s="237" t="n"/>
    </row>
    <row r="367">
      <c r="A367" s="400" t="n">
        <v>37346</v>
      </c>
      <c r="B367" s="189" t="n">
        <v>0.059975</v>
      </c>
      <c r="C367" s="237" t="n"/>
    </row>
    <row r="368">
      <c r="A368" s="400" t="n">
        <v>37376</v>
      </c>
      <c r="B368" s="189" t="n">
        <v>0.059635</v>
      </c>
      <c r="C368" s="237" t="n"/>
    </row>
    <row r="369">
      <c r="A369" s="400" t="n">
        <v>37407</v>
      </c>
      <c r="B369" s="189" t="n">
        <v>0.059628</v>
      </c>
      <c r="C369" s="237" t="n"/>
    </row>
    <row r="370">
      <c r="A370" s="400" t="n">
        <v>37437</v>
      </c>
      <c r="B370" s="189" t="n">
        <v>0.058332</v>
      </c>
      <c r="C370" s="237" t="n"/>
    </row>
    <row r="371">
      <c r="A371" s="400" t="n">
        <v>37468</v>
      </c>
      <c r="B371" s="189" t="n">
        <v>0.05617</v>
      </c>
      <c r="C371" s="237" t="n"/>
    </row>
    <row r="372">
      <c r="A372" s="400" t="n">
        <v>37499</v>
      </c>
      <c r="B372" s="189" t="n">
        <v>0.053905</v>
      </c>
      <c r="C372" s="237" t="n"/>
    </row>
    <row r="373">
      <c r="A373" s="400" t="n">
        <v>37529</v>
      </c>
      <c r="B373" s="189" t="n">
        <v>0.052279</v>
      </c>
      <c r="C373" s="237" t="n"/>
    </row>
    <row r="374">
      <c r="A374" s="400" t="n">
        <v>37560</v>
      </c>
      <c r="B374" s="189" t="n">
        <v>0.053161</v>
      </c>
      <c r="C374" s="237" t="n"/>
    </row>
    <row r="375">
      <c r="A375" s="400" t="n">
        <v>37590</v>
      </c>
      <c r="B375" s="189" t="n">
        <v>0.051095</v>
      </c>
      <c r="C375" s="237" t="n"/>
    </row>
    <row r="376">
      <c r="A376" s="400" t="n">
        <v>37621</v>
      </c>
      <c r="B376" s="189" t="n">
        <v>0.049967</v>
      </c>
      <c r="C376" s="237" t="n"/>
    </row>
    <row r="377">
      <c r="A377" s="400" t="n">
        <v>37652</v>
      </c>
      <c r="B377" s="189" t="n">
        <v>0.04906</v>
      </c>
      <c r="C377" s="237" t="n"/>
    </row>
    <row r="378">
      <c r="A378" s="400" t="n">
        <v>37680</v>
      </c>
      <c r="B378" s="189" t="n">
        <v>0.04742</v>
      </c>
      <c r="C378" s="237" t="n"/>
    </row>
    <row r="379">
      <c r="A379" s="400" t="n">
        <v>37711</v>
      </c>
      <c r="B379" s="189" t="n">
        <v>0.048424</v>
      </c>
      <c r="C379" s="237" t="n"/>
    </row>
    <row r="380">
      <c r="A380" s="400" t="n">
        <v>37741</v>
      </c>
      <c r="B380" s="189" t="n">
        <v>0.049576</v>
      </c>
      <c r="C380" s="237" t="n"/>
    </row>
    <row r="381">
      <c r="A381" s="400" t="n">
        <v>37772</v>
      </c>
      <c r="B381" s="189" t="n">
        <v>0.047439</v>
      </c>
      <c r="C381" s="237" t="n"/>
    </row>
    <row r="382">
      <c r="A382" s="400" t="n">
        <v>37802</v>
      </c>
      <c r="B382" s="189" t="n">
        <v>0.04493</v>
      </c>
      <c r="C382" s="237" t="n"/>
    </row>
    <row r="383">
      <c r="A383" s="400" t="n">
        <v>37833</v>
      </c>
      <c r="B383" s="189" t="n">
        <v>0.048943</v>
      </c>
      <c r="C383" s="237" t="n"/>
    </row>
    <row r="384">
      <c r="A384" s="400" t="n">
        <v>37864</v>
      </c>
      <c r="B384" s="189" t="n">
        <v>0.052224</v>
      </c>
      <c r="C384" s="237" t="n"/>
    </row>
    <row r="385">
      <c r="A385" s="400" t="n">
        <v>37894</v>
      </c>
      <c r="B385" s="189" t="n">
        <v>0.053141</v>
      </c>
      <c r="C385" s="237" t="n"/>
    </row>
    <row r="386">
      <c r="A386" s="400" t="n">
        <v>37925</v>
      </c>
      <c r="B386" s="189" t="n">
        <v>0.054739</v>
      </c>
      <c r="C386" s="237" t="n"/>
    </row>
    <row r="387">
      <c r="A387" s="400" t="n">
        <v>37955</v>
      </c>
      <c r="B387" s="189" t="n">
        <v>0.058275</v>
      </c>
      <c r="C387" s="237" t="n"/>
    </row>
    <row r="388">
      <c r="A388" s="400" t="n">
        <v>37986</v>
      </c>
      <c r="B388" s="189" t="n">
        <v>0.057055</v>
      </c>
      <c r="C388" s="237" t="n"/>
    </row>
    <row r="389">
      <c r="A389" s="400" t="n">
        <v>38017</v>
      </c>
      <c r="B389" s="189" t="n">
        <v>0.05634</v>
      </c>
      <c r="C389" s="237" t="n"/>
    </row>
    <row r="390">
      <c r="A390" s="400" t="n">
        <v>38046</v>
      </c>
      <c r="B390" s="189" t="n">
        <v>0.055593</v>
      </c>
      <c r="C390" s="237" t="n"/>
    </row>
    <row r="391">
      <c r="A391" s="400" t="n">
        <v>38077</v>
      </c>
      <c r="B391" s="189" t="n">
        <v>0.053048</v>
      </c>
      <c r="C391" s="237" t="n"/>
    </row>
    <row r="392">
      <c r="A392" s="400" t="n">
        <v>38107</v>
      </c>
      <c r="B392" s="189" t="n">
        <v>0.055842</v>
      </c>
      <c r="C392" s="237" t="n"/>
    </row>
    <row r="393">
      <c r="A393" s="400" t="n">
        <v>38138</v>
      </c>
      <c r="B393" s="189" t="n">
        <v>0.057102</v>
      </c>
      <c r="C393" s="237" t="n"/>
    </row>
    <row r="394">
      <c r="A394" s="400" t="n">
        <v>38168</v>
      </c>
      <c r="B394" s="189" t="n">
        <v>0.055624</v>
      </c>
      <c r="C394" s="237" t="n"/>
    </row>
    <row r="395">
      <c r="A395" s="400" t="n">
        <v>38199</v>
      </c>
      <c r="B395" s="189" t="n">
        <v>0.055598</v>
      </c>
      <c r="C395" s="237" t="n"/>
    </row>
    <row r="396">
      <c r="A396" s="400" t="n">
        <v>38230</v>
      </c>
      <c r="B396" s="189" t="n">
        <v>0.054641</v>
      </c>
      <c r="C396" s="237" t="n"/>
    </row>
    <row r="397">
      <c r="A397" s="400" t="n">
        <v>38260</v>
      </c>
      <c r="B397" s="189" t="n">
        <v>0.053091</v>
      </c>
      <c r="C397" s="237" t="n"/>
    </row>
    <row r="398">
      <c r="A398" s="400" t="n">
        <v>38291</v>
      </c>
      <c r="B398" s="189" t="n">
        <v>0.052702</v>
      </c>
      <c r="C398" s="237" t="n"/>
    </row>
    <row r="399">
      <c r="A399" s="400" t="n">
        <v>38321</v>
      </c>
      <c r="B399" s="189" t="n">
        <v>0.052739</v>
      </c>
      <c r="C399" s="237" t="n"/>
    </row>
    <row r="400">
      <c r="A400" s="400" t="n">
        <v>38352</v>
      </c>
      <c r="B400" s="189" t="n">
        <v>0.051</v>
      </c>
      <c r="C400" s="237" t="n"/>
    </row>
    <row r="401">
      <c r="A401" s="400" t="n">
        <v>38383</v>
      </c>
      <c r="B401" s="189" t="n">
        <v>0.052571</v>
      </c>
      <c r="C401" s="237" t="n"/>
    </row>
    <row r="402">
      <c r="A402" s="400" t="n">
        <v>38411</v>
      </c>
      <c r="B402" s="189" t="n">
        <v>0.0541</v>
      </c>
      <c r="C402" s="237" t="n"/>
    </row>
    <row r="403">
      <c r="A403" s="400" t="n">
        <v>38442</v>
      </c>
      <c r="B403" s="189" t="n">
        <v>0.056343</v>
      </c>
      <c r="C403" s="237" t="n"/>
    </row>
    <row r="404">
      <c r="A404" s="400" t="n">
        <v>38472</v>
      </c>
      <c r="B404" s="189" t="n">
        <v>0.054455</v>
      </c>
      <c r="C404" s="237" t="n"/>
    </row>
    <row r="405">
      <c r="A405" s="400" t="n">
        <v>38503</v>
      </c>
      <c r="B405" s="189" t="n">
        <v>0.052477</v>
      </c>
      <c r="C405" s="237" t="n"/>
    </row>
    <row r="406">
      <c r="A406" s="400" t="n">
        <v>38533</v>
      </c>
      <c r="B406" s="189" t="n">
        <v>0.051383</v>
      </c>
      <c r="C406" s="237" t="n"/>
    </row>
    <row r="407">
      <c r="A407" s="400" t="n">
        <v>38564</v>
      </c>
      <c r="B407" s="189" t="n">
        <v>0.051936</v>
      </c>
      <c r="C407" s="237" t="n"/>
    </row>
    <row r="408">
      <c r="A408" s="400" t="n">
        <v>38595</v>
      </c>
      <c r="B408" s="189" t="n">
        <v>0.051715</v>
      </c>
      <c r="C408" s="237" t="n"/>
    </row>
    <row r="409">
      <c r="A409" s="400" t="n">
        <v>38625</v>
      </c>
      <c r="B409" s="189" t="n">
        <v>0.05148</v>
      </c>
      <c r="C409" s="237" t="n"/>
    </row>
    <row r="410">
      <c r="A410" s="400" t="n">
        <v>38656</v>
      </c>
      <c r="B410" s="189" t="n">
        <v>0.053621</v>
      </c>
      <c r="C410" s="237" t="n"/>
    </row>
    <row r="411">
      <c r="A411" s="400" t="n">
        <v>38686</v>
      </c>
      <c r="B411" s="189" t="n">
        <v>0.053736</v>
      </c>
      <c r="C411" s="237" t="n"/>
    </row>
    <row r="412">
      <c r="A412" s="400" t="n">
        <v>38717</v>
      </c>
      <c r="B412" s="189" t="n">
        <v>0.053428</v>
      </c>
      <c r="C412" s="237" t="n"/>
    </row>
    <row r="413">
      <c r="A413" s="400" t="n">
        <v>38748</v>
      </c>
      <c r="B413" s="189" t="n">
        <v>0.051765</v>
      </c>
      <c r="C413" s="237" t="n"/>
    </row>
    <row r="414">
      <c r="A414" s="400" t="n">
        <v>38776</v>
      </c>
      <c r="B414" s="189" t="n">
        <v>0.052385</v>
      </c>
      <c r="C414" s="237" t="n"/>
    </row>
    <row r="415">
      <c r="A415" s="400" t="n">
        <v>38807</v>
      </c>
      <c r="B415" s="189" t="n">
        <v>0.052976</v>
      </c>
      <c r="C415" s="237" t="n"/>
    </row>
    <row r="416">
      <c r="A416" s="400" t="n">
        <v>38837</v>
      </c>
      <c r="B416" s="189" t="n">
        <v>0.0555</v>
      </c>
      <c r="C416" s="237" t="n"/>
    </row>
    <row r="417">
      <c r="A417" s="400" t="n">
        <v>38868</v>
      </c>
      <c r="B417" s="189" t="n">
        <v>0.057309</v>
      </c>
      <c r="C417" s="237" t="n"/>
    </row>
    <row r="418">
      <c r="A418" s="400" t="n">
        <v>38898</v>
      </c>
      <c r="B418" s="189" t="n">
        <v>0.057483</v>
      </c>
      <c r="C418" s="237" t="n"/>
    </row>
    <row r="419">
      <c r="A419" s="400" t="n">
        <v>38929</v>
      </c>
      <c r="B419" s="189" t="n">
        <v>0.058688</v>
      </c>
      <c r="C419" s="237" t="n"/>
    </row>
    <row r="420">
      <c r="A420" s="400" t="n">
        <v>38960</v>
      </c>
      <c r="B420" s="189" t="n">
        <v>0.058402</v>
      </c>
      <c r="C420" s="237" t="n"/>
    </row>
    <row r="421">
      <c r="A421" s="400" t="n">
        <v>38990</v>
      </c>
      <c r="B421" s="189" t="n">
        <v>0.05739</v>
      </c>
      <c r="C421" s="237" t="n"/>
    </row>
    <row r="422">
      <c r="A422" s="400" t="n">
        <v>39021</v>
      </c>
      <c r="B422" s="189" t="n">
        <v>0.05829</v>
      </c>
      <c r="C422" s="237" t="n"/>
    </row>
    <row r="423">
      <c r="A423" s="400" t="n">
        <v>39051</v>
      </c>
      <c r="B423" s="189" t="n">
        <v>0.057957</v>
      </c>
      <c r="C423" s="237" t="n"/>
    </row>
    <row r="424">
      <c r="A424" s="400" t="n">
        <v>39082</v>
      </c>
      <c r="B424" s="189" t="n">
        <v>0.058684</v>
      </c>
      <c r="C424" s="237" t="n"/>
    </row>
    <row r="425">
      <c r="A425" s="400" t="n">
        <v>39113</v>
      </c>
      <c r="B425" s="189" t="n">
        <v>0.060471</v>
      </c>
      <c r="C425" s="237" t="n"/>
    </row>
    <row r="426">
      <c r="A426" s="400" t="n">
        <v>39141</v>
      </c>
      <c r="B426" s="189" t="n">
        <v>0.05965</v>
      </c>
      <c r="C426" s="237" t="n"/>
    </row>
    <row r="427">
      <c r="A427" s="400" t="n">
        <v>39172</v>
      </c>
      <c r="B427" s="189" t="n">
        <v>0.059493</v>
      </c>
      <c r="C427" s="237" t="n"/>
    </row>
    <row r="428">
      <c r="A428" s="400" t="n">
        <v>39202</v>
      </c>
      <c r="B428" s="189" t="n">
        <v>0.061083</v>
      </c>
      <c r="C428" s="237" t="n"/>
    </row>
    <row r="429">
      <c r="A429" s="400" t="n">
        <v>39233</v>
      </c>
      <c r="B429" s="189" t="n">
        <v>0.060717</v>
      </c>
      <c r="C429" s="237" t="n"/>
    </row>
    <row r="430">
      <c r="A430" s="400" t="n">
        <v>39263</v>
      </c>
      <c r="B430" s="189" t="n">
        <v>0.06336</v>
      </c>
      <c r="C430" s="237" t="n"/>
    </row>
    <row r="431">
      <c r="A431" s="400" t="n">
        <v>39294</v>
      </c>
      <c r="B431" s="189" t="n">
        <v>0.063041</v>
      </c>
      <c r="C431" s="237" t="n"/>
    </row>
    <row r="432">
      <c r="A432" s="400" t="n">
        <v>39325</v>
      </c>
      <c r="B432" s="189" t="n">
        <v>0.061316</v>
      </c>
      <c r="C432" s="237" t="n"/>
    </row>
    <row r="433">
      <c r="A433" s="400" t="n">
        <v>39355</v>
      </c>
      <c r="B433" s="189" t="n">
        <v>0.062074</v>
      </c>
      <c r="C433" s="237" t="n"/>
    </row>
    <row r="434">
      <c r="A434" s="400" t="n">
        <v>39386</v>
      </c>
      <c r="B434" s="189" t="n">
        <v>0.06454799999999999</v>
      </c>
      <c r="C434" s="237" t="n"/>
    </row>
    <row r="435">
      <c r="A435" s="400" t="n">
        <v>39416</v>
      </c>
      <c r="B435" s="189" t="n">
        <v>0.063614</v>
      </c>
      <c r="C435" s="237" t="n"/>
    </row>
    <row r="436">
      <c r="A436" s="400" t="n">
        <v>39447</v>
      </c>
      <c r="B436" s="189" t="n">
        <v>0.064637</v>
      </c>
      <c r="C436" s="237" t="n"/>
    </row>
    <row r="437">
      <c r="A437" s="400" t="n">
        <v>39478</v>
      </c>
      <c r="B437" s="189" t="n">
        <v>0.06342399999999999</v>
      </c>
      <c r="C437" s="237" t="n"/>
    </row>
    <row r="438">
      <c r="A438" s="400" t="n">
        <v>39507</v>
      </c>
      <c r="B438" s="189" t="n">
        <v>0.06501</v>
      </c>
      <c r="C438" s="237" t="n"/>
    </row>
    <row r="439">
      <c r="A439" s="400" t="n">
        <v>39538</v>
      </c>
      <c r="B439" s="189" t="n">
        <v>0.061003</v>
      </c>
      <c r="C439" s="237" t="n"/>
    </row>
    <row r="440">
      <c r="A440" s="400" t="n">
        <v>39568</v>
      </c>
      <c r="B440" s="189" t="n">
        <v>0.061862</v>
      </c>
      <c r="C440" s="237" t="n"/>
    </row>
    <row r="441">
      <c r="A441" s="400" t="n">
        <v>39599</v>
      </c>
      <c r="B441" s="189" t="n">
        <v>0.063336</v>
      </c>
      <c r="C441" s="237" t="n"/>
    </row>
    <row r="442">
      <c r="A442" s="400" t="n">
        <v>39629</v>
      </c>
      <c r="B442" s="189" t="n">
        <v>0.066903</v>
      </c>
      <c r="C442" s="237" t="n"/>
    </row>
    <row r="443">
      <c r="A443" s="400" t="n">
        <v>39660</v>
      </c>
      <c r="B443" s="189" t="n">
        <v>0.064043</v>
      </c>
      <c r="C443" s="237" t="n"/>
    </row>
    <row r="444">
      <c r="A444" s="400" t="n">
        <v>39691</v>
      </c>
      <c r="B444" s="189" t="n">
        <v>0.05774</v>
      </c>
      <c r="C444" s="237" t="n"/>
    </row>
    <row r="445">
      <c r="A445" s="400" t="n">
        <v>39721</v>
      </c>
      <c r="B445" s="189" t="n">
        <v>0.055364</v>
      </c>
      <c r="C445" s="237" t="n"/>
    </row>
    <row r="446">
      <c r="A446" s="400" t="n">
        <v>39752</v>
      </c>
      <c r="B446" s="189" t="n">
        <v>0.048284</v>
      </c>
      <c r="C446" s="237" t="n"/>
    </row>
    <row r="447">
      <c r="A447" s="400" t="n">
        <v>39782</v>
      </c>
      <c r="B447" s="189" t="n">
        <v>0.042787</v>
      </c>
      <c r="C447" s="237" t="n"/>
    </row>
    <row r="448">
      <c r="A448" s="400" t="n">
        <v>39813</v>
      </c>
      <c r="B448" s="189" t="n">
        <v>0.037221</v>
      </c>
      <c r="C448" s="237" t="n"/>
    </row>
    <row r="449">
      <c r="A449" s="400" t="n">
        <v>39844</v>
      </c>
      <c r="B449" s="189" t="n">
        <v>0.034968</v>
      </c>
      <c r="C449" s="237" t="n"/>
    </row>
    <row r="450">
      <c r="A450" s="400" t="n">
        <v>39872</v>
      </c>
      <c r="B450" s="189" t="n">
        <v>0.035895</v>
      </c>
      <c r="C450" s="237" t="n"/>
    </row>
    <row r="451">
      <c r="A451" s="400" t="n">
        <v>39903</v>
      </c>
      <c r="B451" s="189" t="n">
        <v>0.037286</v>
      </c>
      <c r="C451" s="237" t="n"/>
    </row>
    <row r="452">
      <c r="A452" s="400" t="n">
        <v>39933</v>
      </c>
      <c r="B452" s="189" t="n">
        <v>0.040455</v>
      </c>
      <c r="C452" s="237" t="n"/>
    </row>
    <row r="453">
      <c r="A453" s="400" t="n">
        <v>39964</v>
      </c>
      <c r="B453" s="189" t="n">
        <v>0.044743</v>
      </c>
      <c r="C453" s="237" t="n"/>
    </row>
    <row r="454">
      <c r="A454" s="400" t="n">
        <v>39994</v>
      </c>
      <c r="B454" s="189" t="n">
        <v>0.051021</v>
      </c>
      <c r="C454" s="237" t="n"/>
    </row>
    <row r="455">
      <c r="A455" s="400" t="n">
        <v>40025</v>
      </c>
      <c r="B455" s="189" t="n">
        <v>0.05208</v>
      </c>
      <c r="C455" s="237" t="n"/>
    </row>
    <row r="456">
      <c r="A456" s="400" t="n">
        <v>40056</v>
      </c>
      <c r="B456" s="189" t="n">
        <v>0.053915</v>
      </c>
      <c r="C456" s="237" t="n"/>
    </row>
    <row r="457">
      <c r="A457" s="400" t="n">
        <v>40086</v>
      </c>
      <c r="B457" s="189" t="n">
        <v>0.051395</v>
      </c>
      <c r="C457" s="237" t="n"/>
    </row>
    <row r="458">
      <c r="A458" s="400" t="n">
        <v>40117</v>
      </c>
      <c r="B458" s="189" t="n">
        <v>0.053545</v>
      </c>
      <c r="C458" s="237" t="n"/>
    </row>
    <row r="459">
      <c r="A459" s="400" t="n">
        <v>40147</v>
      </c>
      <c r="B459" s="189" t="n">
        <v>0.052376</v>
      </c>
      <c r="C459" s="237" t="n"/>
    </row>
    <row r="460">
      <c r="A460" s="400" t="n">
        <v>40178</v>
      </c>
      <c r="B460" s="189" t="n">
        <v>0.0515</v>
      </c>
      <c r="C460" s="237" t="n"/>
    </row>
    <row r="461">
      <c r="A461" s="400" t="n">
        <v>40209</v>
      </c>
      <c r="B461" s="189" t="n">
        <v>0.052725</v>
      </c>
      <c r="C461" s="237" t="n"/>
    </row>
    <row r="462">
      <c r="A462" s="400" t="n">
        <v>40237</v>
      </c>
      <c r="B462" s="189" t="n">
        <v>0.0512</v>
      </c>
      <c r="C462" s="237" t="n"/>
    </row>
    <row r="463">
      <c r="A463" s="400" t="n">
        <v>40268</v>
      </c>
      <c r="B463" s="189" t="n">
        <v>0.0534</v>
      </c>
      <c r="C463" s="237" t="n"/>
    </row>
    <row r="464">
      <c r="A464" s="400" t="n">
        <v>40298</v>
      </c>
      <c r="B464" s="189" t="n">
        <v>0.0553</v>
      </c>
      <c r="C464" s="237" t="n"/>
    </row>
    <row r="465">
      <c r="A465" s="400" t="n">
        <v>40329</v>
      </c>
      <c r="B465" s="189" t="n">
        <v>0.05205</v>
      </c>
      <c r="C465" s="237" t="n"/>
    </row>
    <row r="466">
      <c r="A466" s="400" t="n">
        <v>40359</v>
      </c>
      <c r="B466" s="189" t="n">
        <v>0.049725</v>
      </c>
      <c r="C466" s="237" t="n"/>
    </row>
    <row r="467">
      <c r="A467" s="400" t="n">
        <v>40390</v>
      </c>
      <c r="B467" s="189" t="n">
        <v>0.047925</v>
      </c>
      <c r="C467" s="237" t="n"/>
    </row>
    <row r="468">
      <c r="A468" s="400" t="n">
        <v>40421</v>
      </c>
      <c r="B468" s="189" t="n">
        <v>0.046625</v>
      </c>
      <c r="C468" s="237" t="n"/>
    </row>
    <row r="469">
      <c r="A469" s="400" t="n">
        <v>40451</v>
      </c>
      <c r="B469" s="189" t="n">
        <v>0.048075</v>
      </c>
      <c r="C469" s="237" t="n"/>
    </row>
    <row r="470">
      <c r="A470" s="400" t="n">
        <v>40482</v>
      </c>
      <c r="B470" s="189" t="n">
        <v>0.049675</v>
      </c>
      <c r="C470" s="237" t="n"/>
    </row>
    <row r="471">
      <c r="A471" s="400" t="n">
        <v>40512</v>
      </c>
      <c r="B471" s="189" t="n">
        <v>0.0521</v>
      </c>
      <c r="C471" s="237" t="n"/>
    </row>
    <row r="472">
      <c r="A472" s="400" t="n">
        <v>40543</v>
      </c>
      <c r="B472" s="189" t="n">
        <v>0.0533</v>
      </c>
      <c r="C472" s="237" t="n"/>
    </row>
    <row r="473">
      <c r="A473" s="400" t="n">
        <v>40574</v>
      </c>
      <c r="B473" s="189" t="n">
        <v>0.05275</v>
      </c>
      <c r="C473" s="237" t="n"/>
    </row>
    <row r="474">
      <c r="A474" s="400" t="n">
        <v>40602</v>
      </c>
      <c r="B474" s="189" t="n">
        <v>0.0539</v>
      </c>
      <c r="C474" s="237" t="n"/>
    </row>
    <row r="475">
      <c r="A475" s="400" t="n">
        <v>40633</v>
      </c>
      <c r="B475" s="189" t="n">
        <v>0.052075</v>
      </c>
      <c r="C475" s="237" t="n"/>
    </row>
    <row r="476">
      <c r="A476" s="400" t="n">
        <v>40663</v>
      </c>
      <c r="B476" s="189" t="n">
        <v>0.052925</v>
      </c>
      <c r="C476" s="237" t="n"/>
    </row>
    <row r="477">
      <c r="A477" s="400" t="n">
        <v>40694</v>
      </c>
      <c r="B477" s="189" t="n">
        <v>0.051525</v>
      </c>
      <c r="C477" s="237" t="n"/>
    </row>
    <row r="478">
      <c r="A478" s="400" t="n">
        <v>40724</v>
      </c>
      <c r="B478" s="189" t="n">
        <v>0.04885</v>
      </c>
      <c r="C478" s="237" t="n"/>
    </row>
    <row r="479">
      <c r="A479" s="400" t="n">
        <v>40755</v>
      </c>
      <c r="B479" s="189" t="n">
        <v>0.046575</v>
      </c>
      <c r="C479" s="237" t="n"/>
    </row>
    <row r="480">
      <c r="A480" s="400" t="n">
        <v>40786</v>
      </c>
      <c r="B480" s="189" t="n">
        <v>0.040175</v>
      </c>
      <c r="C480" s="237" t="n"/>
    </row>
    <row r="481">
      <c r="A481" s="400" t="n">
        <v>40816</v>
      </c>
      <c r="B481" s="189" t="n">
        <v>0.037875</v>
      </c>
      <c r="C481" s="237" t="n"/>
    </row>
    <row r="482">
      <c r="A482" s="400" t="n">
        <v>40847</v>
      </c>
      <c r="B482" s="189" t="n">
        <v>0.03945</v>
      </c>
      <c r="C482" s="237" t="n"/>
    </row>
    <row r="483">
      <c r="A483" s="400" t="n">
        <v>40877</v>
      </c>
      <c r="B483" s="189" t="n">
        <v>0.035725</v>
      </c>
      <c r="C483" s="237" t="n"/>
    </row>
    <row r="484">
      <c r="A484" s="400" t="n">
        <v>40908</v>
      </c>
      <c r="B484" s="189" t="n">
        <v>0.03335</v>
      </c>
      <c r="C484" s="237" t="n"/>
    </row>
    <row r="485">
      <c r="A485" s="400" t="n">
        <v>40939</v>
      </c>
      <c r="B485" s="189" t="n">
        <v>0.033875</v>
      </c>
      <c r="C485" s="237" t="n"/>
    </row>
    <row r="486">
      <c r="A486" s="400" t="n">
        <v>40968</v>
      </c>
      <c r="B486" s="189" t="n">
        <v>0.0362</v>
      </c>
      <c r="C486" s="237" t="n"/>
    </row>
    <row r="487">
      <c r="A487" s="400" t="n">
        <v>40999</v>
      </c>
      <c r="B487" s="189" t="n">
        <v>0.0375</v>
      </c>
      <c r="C487" s="237" t="n"/>
    </row>
    <row r="488">
      <c r="A488" s="400" t="n">
        <v>41029</v>
      </c>
      <c r="B488" s="189" t="n">
        <v>0.033625</v>
      </c>
      <c r="C488" s="237" t="n"/>
    </row>
    <row r="489">
      <c r="A489" s="400" t="n">
        <v>41060</v>
      </c>
      <c r="B489" s="189" t="n">
        <v>0.0275</v>
      </c>
      <c r="C489" s="237" t="n"/>
    </row>
    <row r="490">
      <c r="A490" s="400" t="n">
        <v>41090</v>
      </c>
      <c r="B490" s="189" t="n">
        <v>0.024925</v>
      </c>
      <c r="C490" s="237" t="n"/>
    </row>
    <row r="491">
      <c r="A491" s="400" t="n">
        <v>41121</v>
      </c>
      <c r="B491" s="189" t="n">
        <v>0.024675</v>
      </c>
      <c r="C491" s="237" t="n"/>
    </row>
    <row r="492">
      <c r="A492" s="400" t="n">
        <v>41152</v>
      </c>
      <c r="B492" s="189" t="n">
        <v>0.028175</v>
      </c>
      <c r="C492" s="237" t="n"/>
    </row>
    <row r="493">
      <c r="A493" s="400" t="n">
        <v>41182</v>
      </c>
      <c r="B493" s="189" t="n">
        <v>0.026625</v>
      </c>
      <c r="C493" s="237" t="n"/>
    </row>
    <row r="494">
      <c r="A494" s="400" t="n">
        <v>41213</v>
      </c>
      <c r="B494" s="189" t="n">
        <v>0.02615</v>
      </c>
      <c r="C494" s="237" t="n"/>
    </row>
    <row r="495">
      <c r="A495" s="400" t="n">
        <v>41243</v>
      </c>
      <c r="B495" s="189" t="n">
        <v>0.02735</v>
      </c>
      <c r="C495" s="237" t="n"/>
    </row>
    <row r="496">
      <c r="A496" s="400" t="n">
        <v>41274</v>
      </c>
      <c r="B496" s="189" t="n">
        <v>0.02825</v>
      </c>
      <c r="C496" s="237" t="n"/>
    </row>
    <row r="497">
      <c r="A497" s="400" t="n">
        <v>41305</v>
      </c>
      <c r="B497" s="189" t="n">
        <v>0.029375</v>
      </c>
      <c r="C497" s="237" t="n"/>
    </row>
    <row r="498">
      <c r="A498" s="400" t="n">
        <v>41333</v>
      </c>
      <c r="B498" s="189" t="n">
        <v>0.0302</v>
      </c>
      <c r="C498" s="237" t="n"/>
    </row>
    <row r="499">
      <c r="A499" s="400" t="n">
        <v>41364</v>
      </c>
      <c r="B499" s="189" t="n">
        <v>0.031175</v>
      </c>
      <c r="C499" s="237" t="n"/>
    </row>
    <row r="500">
      <c r="A500" s="400" t="n">
        <v>41394</v>
      </c>
      <c r="B500" s="189" t="n">
        <v>0.029075</v>
      </c>
      <c r="C500" s="237" t="n"/>
    </row>
    <row r="501">
      <c r="A501" s="400" t="n">
        <v>41425</v>
      </c>
      <c r="B501" s="189" t="n">
        <v>0.027875</v>
      </c>
      <c r="C501" s="237" t="n"/>
    </row>
    <row r="502">
      <c r="A502" s="400" t="n">
        <v>41455</v>
      </c>
      <c r="B502" s="189" t="n">
        <v>0.02923375</v>
      </c>
      <c r="C502" s="401" t="inlineStr">
        <is>
          <t>Interpolated</t>
        </is>
      </c>
    </row>
    <row r="503">
      <c r="A503" s="400" t="n">
        <v>41486</v>
      </c>
      <c r="B503" s="189" t="n">
        <v>0.0305925</v>
      </c>
      <c r="C503" s="401" t="inlineStr">
        <is>
          <t>Interpolated</t>
        </is>
      </c>
    </row>
    <row r="504">
      <c r="A504" s="400" t="n">
        <v>41517</v>
      </c>
      <c r="B504" s="189" t="n">
        <v>0.03195125</v>
      </c>
      <c r="C504" s="401" t="inlineStr">
        <is>
          <t>Interpolated</t>
        </is>
      </c>
    </row>
    <row r="505">
      <c r="A505" s="400" t="n">
        <v>41547</v>
      </c>
      <c r="B505" s="189" t="n">
        <v>0.03331</v>
      </c>
      <c r="C505" s="237" t="n"/>
    </row>
    <row r="506">
      <c r="A506" s="400" t="n">
        <v>41578</v>
      </c>
      <c r="B506" s="189" t="n">
        <v>0.03351</v>
      </c>
      <c r="C506" s="237" t="n"/>
    </row>
    <row r="507">
      <c r="A507" s="400" t="n">
        <v>41608</v>
      </c>
      <c r="B507" s="189" t="n">
        <v>0.03462</v>
      </c>
      <c r="C507" s="237" t="n"/>
    </row>
    <row r="508">
      <c r="A508" s="400" t="n">
        <v>41639</v>
      </c>
      <c r="B508" s="189" t="n">
        <v>0.03461</v>
      </c>
      <c r="C508" s="237" t="n"/>
    </row>
    <row r="509">
      <c r="A509" s="400" t="n">
        <v>41670</v>
      </c>
      <c r="B509" s="189" t="n">
        <v>0.03409</v>
      </c>
      <c r="C509" s="237" t="n"/>
    </row>
    <row r="510">
      <c r="A510" s="400" t="n">
        <v>41698</v>
      </c>
      <c r="B510" s="189" t="n">
        <v>0.03408</v>
      </c>
      <c r="C510" s="237" t="n"/>
    </row>
    <row r="511">
      <c r="A511" s="400" t="n">
        <v>41729</v>
      </c>
      <c r="B511" s="189" t="n">
        <v>0.03411</v>
      </c>
      <c r="C511" s="237" t="n"/>
    </row>
    <row r="512">
      <c r="A512" s="400" t="n">
        <v>41759</v>
      </c>
      <c r="B512" s="189" t="n">
        <v>0.03398</v>
      </c>
      <c r="C512" s="237" t="n"/>
    </row>
    <row r="513">
      <c r="A513" s="400" t="n">
        <v>41790</v>
      </c>
      <c r="B513" s="189" t="n">
        <v>0.032</v>
      </c>
      <c r="C513" s="237" t="n"/>
    </row>
    <row r="514">
      <c r="A514" s="400" t="n">
        <v>41820</v>
      </c>
      <c r="B514" s="189" t="n">
        <v>0.03118</v>
      </c>
      <c r="C514" s="237" t="n"/>
    </row>
    <row r="515">
      <c r="A515" s="400" t="n">
        <v>41851</v>
      </c>
      <c r="B515" s="189" t="n">
        <v>0.02937</v>
      </c>
      <c r="C515" s="237" t="n"/>
    </row>
    <row r="516">
      <c r="A516" s="400" t="n">
        <v>41882</v>
      </c>
      <c r="B516" s="189" t="n">
        <v>0.02922</v>
      </c>
      <c r="C516" s="237" t="n"/>
    </row>
    <row r="517">
      <c r="A517" s="400" t="n">
        <v>41912</v>
      </c>
      <c r="B517" s="189" t="n">
        <v>0.03041</v>
      </c>
      <c r="C517" s="237" t="n"/>
    </row>
    <row r="518">
      <c r="A518" s="400" t="n">
        <v>41943</v>
      </c>
      <c r="B518" s="189" t="n">
        <v>0.02839</v>
      </c>
      <c r="C518" s="237" t="n"/>
    </row>
    <row r="519">
      <c r="A519" s="400" t="n">
        <v>41973</v>
      </c>
      <c r="B519" s="189" t="n">
        <v>0.02767</v>
      </c>
      <c r="C519" s="237" t="n"/>
    </row>
    <row r="520">
      <c r="A520" s="400" t="n">
        <v>42004</v>
      </c>
      <c r="B520" s="189" t="n">
        <v>0.02435</v>
      </c>
      <c r="C520" s="237" t="n"/>
    </row>
    <row r="521">
      <c r="A521" s="400" t="n">
        <v>42035</v>
      </c>
      <c r="B521" s="189" t="n">
        <v>0.02208</v>
      </c>
      <c r="C521" s="237" t="n"/>
    </row>
    <row r="522">
      <c r="A522" s="400" t="n">
        <v>42063</v>
      </c>
      <c r="B522" s="189" t="n">
        <v>0.02012</v>
      </c>
      <c r="C522" s="237" t="n"/>
    </row>
    <row r="523">
      <c r="A523" s="400" t="n">
        <v>42094</v>
      </c>
      <c r="B523" s="189" t="n">
        <v>0.01978</v>
      </c>
      <c r="C523" s="237" t="n"/>
    </row>
    <row r="524">
      <c r="A524" s="400" t="n">
        <v>42124</v>
      </c>
      <c r="B524" s="189" t="n">
        <v>0.01947</v>
      </c>
      <c r="C524" s="237" t="n"/>
    </row>
    <row r="525">
      <c r="A525" s="400" t="n">
        <v>42155</v>
      </c>
      <c r="B525" s="189" t="n">
        <v>0.02271</v>
      </c>
      <c r="C525" s="237" t="n"/>
    </row>
    <row r="526">
      <c r="A526" s="400" t="n">
        <v>42185</v>
      </c>
      <c r="B526" s="189" t="n">
        <v>0.02288</v>
      </c>
      <c r="C526" s="237" t="n"/>
    </row>
    <row r="527">
      <c r="A527" s="400" t="n">
        <v>42216</v>
      </c>
      <c r="B527" s="189" t="n">
        <v>0.02204</v>
      </c>
      <c r="C527" s="237" t="n"/>
    </row>
    <row r="528">
      <c r="A528" s="400" t="n">
        <v>42247</v>
      </c>
      <c r="B528" s="189" t="n">
        <v>0.021</v>
      </c>
      <c r="C528" s="237" t="n"/>
    </row>
    <row r="529">
      <c r="A529" s="400" t="n">
        <v>42277</v>
      </c>
      <c r="B529" s="189" t="n">
        <v>0.02101</v>
      </c>
      <c r="C529" s="237" t="n"/>
    </row>
    <row r="530">
      <c r="A530" s="400" t="n">
        <v>42308</v>
      </c>
      <c r="B530" s="189" t="n">
        <v>0.02072</v>
      </c>
      <c r="C530" s="237" t="n"/>
    </row>
    <row r="531">
      <c r="A531" s="400" t="n">
        <v>42338</v>
      </c>
      <c r="B531" s="189" t="n">
        <v>0.02279</v>
      </c>
      <c r="C531" s="237" t="n"/>
    </row>
    <row r="532">
      <c r="A532" s="400" t="n">
        <v>42369</v>
      </c>
      <c r="B532" s="189" t="n">
        <v>0.02284</v>
      </c>
      <c r="C532" s="237" t="n"/>
    </row>
    <row r="533">
      <c r="A533" s="400" t="n">
        <v>42400</v>
      </c>
      <c r="B533" s="189" t="n">
        <v>0.02147</v>
      </c>
      <c r="C533" s="237" t="n"/>
    </row>
    <row r="534">
      <c r="A534" s="400" t="n">
        <v>42429</v>
      </c>
      <c r="B534" s="189" t="n">
        <v>0.01991</v>
      </c>
      <c r="C534" s="237" t="n"/>
    </row>
    <row r="535">
      <c r="A535" s="400" t="n">
        <v>42460</v>
      </c>
      <c r="B535" s="189" t="n">
        <v>0.02134</v>
      </c>
      <c r="C535" s="237" t="n"/>
    </row>
    <row r="536">
      <c r="A536" s="400" t="n">
        <v>42490</v>
      </c>
      <c r="B536" s="189" t="n">
        <v>0.02091</v>
      </c>
      <c r="C536" s="237" t="n"/>
    </row>
    <row r="537">
      <c r="A537" s="400" t="n">
        <v>42521</v>
      </c>
      <c r="B537" s="189" t="n">
        <v>0.01832</v>
      </c>
      <c r="C537" s="237" t="n"/>
    </row>
    <row r="538">
      <c r="A538" s="400" t="n">
        <v>42551</v>
      </c>
      <c r="B538" s="189" t="n">
        <v>0.01721</v>
      </c>
      <c r="C538" s="237" t="n"/>
    </row>
    <row r="539">
      <c r="A539" s="400" t="n">
        <v>42582</v>
      </c>
      <c r="B539" s="189" t="n">
        <v>0.01615</v>
      </c>
      <c r="C539" s="237" t="n"/>
    </row>
    <row r="540">
      <c r="A540" s="400" t="n">
        <v>42613</v>
      </c>
      <c r="B540" s="189" t="n">
        <v>0.01537</v>
      </c>
      <c r="C540" s="237" t="n"/>
    </row>
    <row r="541">
      <c r="A541" s="400" t="n">
        <v>42643</v>
      </c>
      <c r="B541" s="189" t="n">
        <v>0.01695</v>
      </c>
      <c r="C541" s="237" t="n"/>
    </row>
    <row r="542">
      <c r="A542" s="400" t="n">
        <v>42674</v>
      </c>
      <c r="B542" s="189" t="n">
        <v>0.01842</v>
      </c>
      <c r="C542" s="237" t="n"/>
    </row>
    <row r="543">
      <c r="A543" s="400" t="n">
        <v>42704</v>
      </c>
      <c r="B543" s="189" t="n">
        <v>0.02016</v>
      </c>
      <c r="C543" s="237" t="n"/>
    </row>
    <row r="544">
      <c r="A544" s="400" t="n">
        <v>42735</v>
      </c>
      <c r="B544" s="189" t="n">
        <v>0.02242</v>
      </c>
      <c r="C544" s="237" t="n"/>
    </row>
    <row r="545">
      <c r="A545" s="400" t="n">
        <v>42766</v>
      </c>
      <c r="B545" s="189" t="n">
        <v>0.02211</v>
      </c>
      <c r="C545" s="237" t="n"/>
    </row>
    <row r="546">
      <c r="A546" s="400" t="n">
        <v>42794</v>
      </c>
      <c r="B546" s="189" t="n">
        <v>0.02217</v>
      </c>
      <c r="C546" s="237" t="n"/>
    </row>
    <row r="547">
      <c r="A547" s="400" t="n">
        <v>42825</v>
      </c>
      <c r="B547" s="189" t="n">
        <v>0.02294</v>
      </c>
      <c r="C547" s="237" t="n"/>
    </row>
    <row r="548">
      <c r="A548" s="400" t="n">
        <v>42855</v>
      </c>
      <c r="B548" s="189" t="n">
        <v>0.02088</v>
      </c>
      <c r="C548" s="237" t="n"/>
    </row>
    <row r="549">
      <c r="A549" s="400" t="n">
        <v>42886</v>
      </c>
      <c r="B549" s="189" t="n">
        <v>0.0205</v>
      </c>
      <c r="C549" s="237" t="n"/>
    </row>
    <row r="550">
      <c r="A550" s="400" t="n">
        <v>42916</v>
      </c>
      <c r="B550" s="189" t="n">
        <v>0.01987</v>
      </c>
      <c r="C550" s="237" t="n"/>
    </row>
    <row r="551">
      <c r="A551" s="400" t="n">
        <v>42947</v>
      </c>
      <c r="B551" s="189" t="n">
        <v>0.02212</v>
      </c>
      <c r="C551" s="237" t="n"/>
    </row>
    <row r="552">
      <c r="A552" s="400" t="n">
        <v>42978</v>
      </c>
      <c r="B552" s="189" t="n">
        <v>0.02186</v>
      </c>
      <c r="C552" s="237" t="n"/>
    </row>
    <row r="553">
      <c r="A553" s="400" t="n">
        <v>43008</v>
      </c>
      <c r="B553" s="189" t="n">
        <v>0.02297</v>
      </c>
      <c r="C553" s="237" t="n"/>
    </row>
    <row r="554">
      <c r="A554" s="400" t="n">
        <v>43039</v>
      </c>
      <c r="B554" s="189" t="n">
        <v>0.02338</v>
      </c>
      <c r="C554" s="237" t="n"/>
    </row>
    <row r="555">
      <c r="A555" s="400" t="n">
        <v>43069</v>
      </c>
      <c r="B555" s="189" t="n">
        <v>0.02172</v>
      </c>
      <c r="C555" s="237" t="n"/>
    </row>
    <row r="556">
      <c r="A556" s="400" t="n">
        <v>43100</v>
      </c>
      <c r="B556" s="189" t="n">
        <v>0.02272</v>
      </c>
      <c r="C556" s="237" t="n"/>
    </row>
    <row r="557">
      <c r="A557" s="400" t="n">
        <v>43131</v>
      </c>
      <c r="B557" s="189" t="n">
        <v>0.02408</v>
      </c>
      <c r="C557" s="237" t="n"/>
    </row>
    <row r="558">
      <c r="A558" s="400" t="n">
        <v>43159</v>
      </c>
      <c r="B558" s="189" t="n">
        <v>0.02415</v>
      </c>
      <c r="C558" s="237" t="n"/>
    </row>
    <row r="559">
      <c r="A559" s="400" t="n">
        <v>43190</v>
      </c>
      <c r="B559" s="189" t="n">
        <v>0.02357</v>
      </c>
      <c r="C559" s="237" t="n"/>
    </row>
    <row r="560">
      <c r="A560" s="400" t="n">
        <v>43220</v>
      </c>
      <c r="B560" s="189" t="n">
        <v>0.02415</v>
      </c>
      <c r="C560" s="237" t="n"/>
    </row>
    <row r="561">
      <c r="A561" s="400" t="n">
        <v>43251</v>
      </c>
      <c r="B561" s="189" t="n">
        <v>0.02415</v>
      </c>
      <c r="C561" s="237" t="n"/>
    </row>
    <row r="562">
      <c r="A562" s="400" t="n">
        <v>43281</v>
      </c>
      <c r="B562" s="189" t="n">
        <v>0.02357</v>
      </c>
      <c r="C562" s="237" t="n"/>
    </row>
    <row r="563">
      <c r="A563" s="400" t="n">
        <v>43312</v>
      </c>
      <c r="B563" s="189" t="n">
        <v>0.0229</v>
      </c>
      <c r="C563" s="237" t="n"/>
    </row>
    <row r="564">
      <c r="A564" s="400" t="n">
        <v>43343</v>
      </c>
      <c r="B564" s="189" t="n">
        <v>0.02239</v>
      </c>
      <c r="C564" s="237" t="n"/>
    </row>
    <row r="565">
      <c r="A565" s="400" t="n">
        <v>43373</v>
      </c>
      <c r="B565" s="189" t="n">
        <v>0.02248</v>
      </c>
      <c r="C565" s="237" t="n"/>
    </row>
    <row r="566">
      <c r="A566" s="400" t="n">
        <v>43404</v>
      </c>
      <c r="B566" s="189" t="n">
        <v>0.02278</v>
      </c>
      <c r="C566" s="237" t="n"/>
    </row>
    <row r="567">
      <c r="A567" s="400" t="n">
        <v>43434</v>
      </c>
      <c r="B567" s="189" t="n">
        <v>0.0232</v>
      </c>
      <c r="C567" s="237" t="n"/>
    </row>
    <row r="568">
      <c r="A568" s="400" t="n">
        <v>43465</v>
      </c>
      <c r="B568" s="189" t="n">
        <v>0.02097</v>
      </c>
      <c r="C568" s="237" t="n"/>
    </row>
    <row r="569">
      <c r="A569" s="400" t="n">
        <v>43496</v>
      </c>
      <c r="B569" s="189" t="n">
        <v>0.01912</v>
      </c>
      <c r="C569" s="237" t="n"/>
    </row>
    <row r="570">
      <c r="A570" s="400" t="n">
        <v>43524</v>
      </c>
      <c r="B570" s="189" t="n">
        <v>0.01743</v>
      </c>
      <c r="C570" s="237" t="n"/>
    </row>
    <row r="571">
      <c r="A571" s="400" t="n">
        <v>43555</v>
      </c>
      <c r="B571" s="189" t="n">
        <v>0.01589</v>
      </c>
      <c r="C571" s="237" t="n"/>
    </row>
    <row r="572">
      <c r="A572" s="400" t="n">
        <v>43585</v>
      </c>
      <c r="B572" s="189" t="n">
        <v>0.01481</v>
      </c>
      <c r="C572" s="237" t="n"/>
    </row>
    <row r="573">
      <c r="A573" s="400" t="n">
        <v>43616</v>
      </c>
      <c r="B573" s="189" t="n">
        <v>0.01291</v>
      </c>
      <c r="C573" s="237" t="n"/>
    </row>
    <row r="574">
      <c r="A574" s="400" t="n">
        <v>43646</v>
      </c>
      <c r="B574" s="189" t="n">
        <v>0.01066</v>
      </c>
      <c r="C574" s="237" t="n"/>
    </row>
    <row r="575">
      <c r="A575" s="400" t="n">
        <v>43677</v>
      </c>
      <c r="B575" s="189" t="n">
        <v>0.00996</v>
      </c>
      <c r="C575" s="237" t="n"/>
    </row>
    <row r="576">
      <c r="A576" s="400" t="n">
        <v>43708</v>
      </c>
      <c r="B576" s="189" t="n">
        <v>0.00713</v>
      </c>
      <c r="C576" s="237" t="n"/>
    </row>
    <row r="577">
      <c r="A577" s="400" t="n">
        <v>43738</v>
      </c>
      <c r="B577" s="189" t="n">
        <v>0.0081</v>
      </c>
      <c r="C577" s="237" t="n"/>
    </row>
    <row r="578">
      <c r="A578" s="400" t="n">
        <v>43769</v>
      </c>
      <c r="B578" s="189" t="n">
        <v>0.00766</v>
      </c>
      <c r="C578" s="237" t="n"/>
    </row>
    <row r="579">
      <c r="A579" s="400" t="n">
        <v>43799</v>
      </c>
      <c r="B579" s="189" t="n">
        <v>0.008580000000000001</v>
      </c>
      <c r="C579" s="237" t="n"/>
    </row>
    <row r="580">
      <c r="A580" s="400" t="n">
        <v>43830</v>
      </c>
      <c r="B580" s="189" t="n">
        <v>0.00874</v>
      </c>
      <c r="C580" s="237" t="n"/>
    </row>
    <row r="581">
      <c r="A581" s="400" t="n">
        <v>43861</v>
      </c>
      <c r="B581" s="189" t="n">
        <v>0.008529999999999999</v>
      </c>
      <c r="C581" s="237" t="n"/>
    </row>
    <row r="582">
      <c r="A582" s="400" t="n">
        <v>43890</v>
      </c>
      <c r="B582" s="189" t="n">
        <v>0.00738</v>
      </c>
      <c r="C582" s="237" t="n"/>
    </row>
    <row r="583">
      <c r="A583" s="400" t="n">
        <v>43921</v>
      </c>
      <c r="B583" s="189" t="n">
        <v>0.005</v>
      </c>
      <c r="C583" s="237" t="n"/>
    </row>
    <row r="584">
      <c r="A584" s="400" t="n">
        <v>43951</v>
      </c>
      <c r="B584" s="189" t="n">
        <v>0.00421</v>
      </c>
      <c r="C584" s="237" t="n"/>
    </row>
    <row r="585">
      <c r="A585" s="400" t="n">
        <v>43982</v>
      </c>
      <c r="B585" s="189" t="n">
        <v>0.00395</v>
      </c>
      <c r="C585" s="237" t="n"/>
    </row>
    <row r="586">
      <c r="A586" s="400" t="n">
        <v>44012</v>
      </c>
      <c r="B586" s="189" t="n">
        <v>0.00403</v>
      </c>
      <c r="C586" s="237" t="n"/>
    </row>
    <row r="587">
      <c r="A587" s="400" t="n">
        <v>44043</v>
      </c>
      <c r="B587" s="189" t="n">
        <v>0.00425</v>
      </c>
      <c r="C587" s="237" t="n"/>
    </row>
    <row r="588">
      <c r="A588" s="400" t="n">
        <v>44074</v>
      </c>
      <c r="B588" s="189" t="n">
        <v>0.00425</v>
      </c>
      <c r="C588" s="237" t="n"/>
    </row>
    <row r="589">
      <c r="A589" s="400" t="n">
        <v>44104</v>
      </c>
      <c r="B589" s="189" t="n">
        <v>0.00393</v>
      </c>
      <c r="C589" s="237" t="n"/>
    </row>
    <row r="590">
      <c r="A590" s="400" t="n">
        <v>44135</v>
      </c>
      <c r="B590" s="189" t="n">
        <v>0.00291</v>
      </c>
      <c r="C590" s="237" t="n"/>
    </row>
    <row r="591">
      <c r="A591" s="400" t="n">
        <v>44165</v>
      </c>
      <c r="B591" s="189" t="n">
        <v>0.00286</v>
      </c>
      <c r="C591" s="237" t="n"/>
    </row>
    <row r="592">
      <c r="A592" s="400" t="n">
        <v>44196</v>
      </c>
      <c r="B592" s="189" t="n">
        <v>0.00343</v>
      </c>
      <c r="C592" s="237" t="n"/>
    </row>
    <row r="593">
      <c r="A593" s="400" t="n">
        <v>44227</v>
      </c>
      <c r="B593" s="189" t="n">
        <v>0.00373</v>
      </c>
      <c r="C593" s="237" t="n"/>
    </row>
    <row r="594">
      <c r="A594" s="400" t="n">
        <v>44255</v>
      </c>
      <c r="B594" s="189" t="n">
        <v>0.00485</v>
      </c>
      <c r="C594" s="237" t="n"/>
    </row>
    <row r="595">
      <c r="A595" s="400" t="n">
        <v>44286</v>
      </c>
      <c r="B595" s="189" t="n">
        <v>0.00708</v>
      </c>
      <c r="C595" s="237" t="n"/>
    </row>
    <row r="596">
      <c r="A596" s="400" t="n">
        <v>44316</v>
      </c>
      <c r="B596" s="189" t="n">
        <v>0.00692</v>
      </c>
      <c r="C596" s="237" t="n"/>
    </row>
    <row r="597">
      <c r="A597" s="400" t="n">
        <v>44347</v>
      </c>
      <c r="B597" s="189" t="n">
        <v>0.007</v>
      </c>
      <c r="C597" s="237" t="n"/>
    </row>
    <row r="598">
      <c r="A598" s="400" t="n">
        <v>44377</v>
      </c>
      <c r="B598" s="189" t="n">
        <v>0.00732</v>
      </c>
      <c r="C598" s="237" t="n"/>
    </row>
    <row r="599">
      <c r="A599" s="400" t="n">
        <v>44408</v>
      </c>
      <c r="B599" s="189" t="n">
        <v>0.00637</v>
      </c>
      <c r="C599" s="237" t="n"/>
    </row>
    <row r="600">
      <c r="A600" s="400" t="n">
        <v>44439</v>
      </c>
      <c r="B600" s="189" t="n">
        <v>0.00575</v>
      </c>
      <c r="C600" s="237" t="n"/>
    </row>
    <row r="601">
      <c r="A601" s="400" t="n">
        <v>44469</v>
      </c>
      <c r="B601" s="189" t="n">
        <v>0.00664</v>
      </c>
      <c r="C601" s="237" t="n"/>
    </row>
    <row r="602">
      <c r="A602" s="400" t="n">
        <v>44500</v>
      </c>
      <c r="B602" s="189" t="n">
        <v>0.01105</v>
      </c>
      <c r="C602" s="237" t="n"/>
    </row>
    <row r="603">
      <c r="A603" s="400" t="n">
        <v>44530</v>
      </c>
      <c r="B603" s="189" t="n">
        <v>0.01376</v>
      </c>
      <c r="C603" s="237" t="n"/>
    </row>
    <row r="604">
      <c r="A604" s="400" t="n">
        <v>44561</v>
      </c>
      <c r="B604" s="189" t="n">
        <v>0.01324</v>
      </c>
      <c r="C604" s="237" t="n"/>
    </row>
    <row r="605">
      <c r="A605" s="400" t="n">
        <v>44592</v>
      </c>
      <c r="B605" s="189" t="n">
        <v>0.01543</v>
      </c>
      <c r="C605" s="237" t="n"/>
    </row>
    <row r="606">
      <c r="A606" s="400" t="n">
        <v>44620</v>
      </c>
      <c r="B606" s="189" t="n">
        <v>0.01813</v>
      </c>
      <c r="C606" s="237" t="n"/>
    </row>
    <row r="607">
      <c r="A607" s="400" t="n">
        <v>44651</v>
      </c>
      <c r="B607" s="189" t="n">
        <v>0.0221</v>
      </c>
      <c r="C607" s="237" t="n"/>
    </row>
    <row r="608">
      <c r="A608" s="400" t="n">
        <v>44681</v>
      </c>
      <c r="B608" s="189" t="n">
        <v>0.02774</v>
      </c>
      <c r="C608" s="237" t="n"/>
    </row>
    <row r="609">
      <c r="A609" s="400" t="n">
        <v>44712</v>
      </c>
      <c r="B609" s="189" t="n">
        <v>0.03091</v>
      </c>
      <c r="C609" s="237" t="n"/>
    </row>
    <row r="610">
      <c r="A610" s="400" t="n">
        <v>44742</v>
      </c>
      <c r="B610" s="189" t="n">
        <v>0.03495</v>
      </c>
      <c r="C610" s="237" t="n"/>
    </row>
    <row r="611">
      <c r="A611" s="400" t="n">
        <v>44773</v>
      </c>
      <c r="B611" s="189" t="n">
        <v>0.03158</v>
      </c>
      <c r="C611" s="237" t="n"/>
    </row>
    <row r="612">
      <c r="A612" s="400" t="n">
        <v>44804</v>
      </c>
      <c r="B612" s="189" t="n">
        <v>0.03149</v>
      </c>
      <c r="C612" s="237" t="n"/>
    </row>
    <row r="613">
      <c r="A613" s="400" t="n">
        <v>44834</v>
      </c>
      <c r="B613" s="189" t="n">
        <v>0.03504</v>
      </c>
      <c r="C613" s="237" t="n"/>
    </row>
    <row r="614">
      <c r="A614" s="400" t="n">
        <v>44865</v>
      </c>
      <c r="B614" s="189" t="n">
        <v>0.0361</v>
      </c>
      <c r="C614" s="237" t="n"/>
    </row>
    <row r="615">
      <c r="A615" s="400" t="n">
        <v>44895</v>
      </c>
      <c r="B615" s="189" t="n">
        <v>0.03421</v>
      </c>
      <c r="C615" s="237" t="n"/>
    </row>
    <row r="616">
      <c r="A616" s="400" t="n">
        <v>44926</v>
      </c>
      <c r="B616" s="189" t="n">
        <v>0.03306</v>
      </c>
      <c r="C616" s="237" t="n"/>
    </row>
    <row r="617">
      <c r="A617" s="400" t="n">
        <v>44957</v>
      </c>
      <c r="B617" s="189" t="n">
        <v>0.03329</v>
      </c>
      <c r="C617" s="237" t="n"/>
    </row>
    <row r="618">
      <c r="A618" s="400" t="n">
        <v>44985</v>
      </c>
      <c r="B618" s="189" t="n">
        <v>0.03465</v>
      </c>
      <c r="C618" s="237" t="n"/>
    </row>
    <row r="619">
      <c r="A619" s="400" t="n">
        <v>45016</v>
      </c>
      <c r="B619" s="189" t="n">
        <v>0.03203</v>
      </c>
      <c r="C619" s="237" t="n"/>
    </row>
    <row r="620">
      <c r="A620" s="400" t="n">
        <v>45046</v>
      </c>
      <c r="B620" s="189" t="n">
        <v>0.03055</v>
      </c>
      <c r="C620" s="237" t="n"/>
    </row>
    <row r="621">
      <c r="A621" s="400" t="n">
        <v>45077</v>
      </c>
      <c r="B621" s="189" t="n">
        <v>0.03216</v>
      </c>
      <c r="C621" s="237" t="n"/>
    </row>
    <row r="622">
      <c r="A622" s="400" t="n">
        <v>45107</v>
      </c>
      <c r="B622" s="189" t="n">
        <v>0.0378</v>
      </c>
      <c r="C622" s="237" t="n"/>
    </row>
    <row r="623">
      <c r="A623" s="400" t="n">
        <v>45138</v>
      </c>
      <c r="B623" s="189" t="n">
        <v>0.03909</v>
      </c>
      <c r="C623" s="237" t="n"/>
    </row>
    <row r="624">
      <c r="A624" s="400" t="n">
        <v>45169</v>
      </c>
      <c r="B624" s="189" t="n">
        <v>0.03858</v>
      </c>
      <c r="C624" s="237" t="n"/>
    </row>
    <row r="625">
      <c r="A625" s="400" t="n">
        <v>45199</v>
      </c>
      <c r="B625" s="189" t="n">
        <v>0.03935</v>
      </c>
      <c r="C625" s="237" t="n"/>
    </row>
    <row r="626">
      <c r="A626" s="400" t="n">
        <v>45230</v>
      </c>
      <c r="B626" s="189" t="n">
        <v>0.04235</v>
      </c>
      <c r="C626" s="237" t="n"/>
    </row>
    <row r="627">
      <c r="A627" s="400" t="n">
        <v>45260</v>
      </c>
      <c r="B627" s="189" t="n">
        <v>0.04253</v>
      </c>
      <c r="C627" s="237" t="n"/>
    </row>
    <row r="628">
      <c r="A628" s="400" t="n">
        <v>45291</v>
      </c>
      <c r="B628" s="189" t="n">
        <v>0.0386</v>
      </c>
      <c r="C628" s="237" t="n"/>
    </row>
    <row r="629">
      <c r="A629" s="400" t="n">
        <v>45322</v>
      </c>
      <c r="B629" s="189" t="n">
        <v>0.038</v>
      </c>
      <c r="C629" s="237" t="n"/>
    </row>
    <row r="630">
      <c r="A630" s="400" t="n">
        <v>45351</v>
      </c>
      <c r="B630" s="189" t="n">
        <v>0.03779</v>
      </c>
      <c r="C630" s="237" t="n"/>
    </row>
    <row r="631">
      <c r="A631" s="400" t="n">
        <v>45382</v>
      </c>
      <c r="B631" s="189" t="n">
        <v>0.03714</v>
      </c>
      <c r="C631" s="237" t="n"/>
    </row>
    <row r="632">
      <c r="A632" s="400" t="n">
        <v>45412</v>
      </c>
      <c r="B632" s="189" t="n">
        <v>0.03917</v>
      </c>
      <c r="C632" s="237" t="n"/>
    </row>
    <row r="633">
      <c r="A633" s="400" t="n">
        <v>45443</v>
      </c>
      <c r="B633" s="189" t="n">
        <v>0.0402</v>
      </c>
      <c r="C633" s="237" t="n"/>
    </row>
    <row r="634">
      <c r="A634" s="400" t="n">
        <v>45473</v>
      </c>
      <c r="B634" s="189" t="n">
        <v>0.03976</v>
      </c>
      <c r="C634" s="237" t="n"/>
    </row>
    <row r="635">
      <c r="A635" s="400" t="n">
        <v>45504</v>
      </c>
      <c r="B635" s="189" t="n">
        <v>0.04055</v>
      </c>
      <c r="C635" s="237" t="n"/>
    </row>
    <row r="636">
      <c r="A636" s="400" t="n">
        <v>45535</v>
      </c>
      <c r="B636" s="189" t="n">
        <v>0.0364</v>
      </c>
      <c r="C636" s="237" t="n"/>
    </row>
    <row r="637">
      <c r="A637" s="400" t="n">
        <v>45565</v>
      </c>
      <c r="B637" s="189" t="n">
        <v>0.03559</v>
      </c>
      <c r="C637" s="237" t="n"/>
    </row>
    <row r="638">
      <c r="A638" s="400" t="n">
        <v>45596</v>
      </c>
      <c r="B638" s="189" t="n">
        <v>0.03892</v>
      </c>
      <c r="C638" s="237" t="n"/>
    </row>
    <row r="639">
      <c r="A639" s="400" t="n">
        <v>45626</v>
      </c>
      <c r="B639" s="189" t="n">
        <v>0.04168</v>
      </c>
      <c r="C639" s="237" t="n"/>
    </row>
    <row r="640">
      <c r="A640" s="400" t="n">
        <v>45657</v>
      </c>
      <c r="B640" s="189" t="n">
        <v>0.03934</v>
      </c>
      <c r="C640" s="237" t="n"/>
    </row>
    <row r="641">
      <c r="A641" s="400" t="n">
        <v>45688</v>
      </c>
      <c r="B641" s="189" t="n">
        <v>0.04038</v>
      </c>
      <c r="C641" s="237" t="n"/>
    </row>
    <row r="642">
      <c r="A642" s="400" t="n">
        <v>45716</v>
      </c>
      <c r="B642" s="189" t="n">
        <v>0.03963</v>
      </c>
      <c r="C642" s="237" t="n"/>
    </row>
    <row r="643">
      <c r="A643" s="400" t="n">
        <v>45747</v>
      </c>
      <c r="B643" s="189" t="n">
        <v>0.03905</v>
      </c>
      <c r="C643" s="237" t="n"/>
    </row>
    <row r="644">
      <c r="A644" s="400" t="n">
        <v>45777</v>
      </c>
      <c r="B644" s="189" t="n">
        <v>0.036</v>
      </c>
      <c r="C644" s="237" t="n"/>
    </row>
    <row r="645">
      <c r="A645" s="400" t="n">
        <v>45808</v>
      </c>
      <c r="B645" s="189" t="n">
        <v>0.03668</v>
      </c>
      <c r="C645" s="237" t="n"/>
    </row>
    <row r="646">
      <c r="A646" s="400" t="n">
        <v>45838</v>
      </c>
      <c r="B646" s="189" t="n">
        <v>0.03523</v>
      </c>
      <c r="C646" s="237" t="n"/>
    </row>
    <row r="647">
      <c r="A647" s="400" t="n">
        <v>45869</v>
      </c>
      <c r="B647" s="189" t="n">
        <v>0.03604</v>
      </c>
      <c r="C647" s="237" t="n"/>
    </row>
    <row r="648">
      <c r="A648" s="400" t="n">
        <v>45900</v>
      </c>
      <c r="B648" s="189" t="n">
        <v>0.03591</v>
      </c>
      <c r="C648" s="237" t="n"/>
    </row>
    <row r="649">
      <c r="A649" s="400" t="n">
        <v>45930</v>
      </c>
      <c r="B649" s="189" t="n">
        <v>0.03654</v>
      </c>
      <c r="C649" s="237" t="n"/>
    </row>
    <row r="650">
      <c r="A650" s="400" t="n">
        <v>45961</v>
      </c>
      <c r="B650" s="189" t="n">
        <v>0.03646</v>
      </c>
      <c r="C650" s="237" t="n"/>
    </row>
    <row r="651">
      <c r="A651" s="400" t="n">
        <v>45991</v>
      </c>
      <c r="B651" s="189" t="n">
        <v>0.03904</v>
      </c>
      <c r="C651" s="237" t="n"/>
    </row>
    <row r="652">
      <c r="A652" s="400" t="n">
        <v>46022</v>
      </c>
      <c r="B652" s="189" t="n">
        <v>0.04254</v>
      </c>
      <c r="C652" s="237" t="n"/>
    </row>
    <row r="653">
      <c r="A653" s="400" t="n">
        <v>46053</v>
      </c>
      <c r="B653" s="189" t="n">
        <v>0.04301</v>
      </c>
      <c r="C653" s="237" t="n"/>
    </row>
    <row r="654">
      <c r="A654" s="400" t="n">
        <v>46081</v>
      </c>
      <c r="B654" s="189" t="n">
        <v>0.04373</v>
      </c>
      <c r="C654" s="237" t="n"/>
    </row>
    <row r="655">
      <c r="A655" s="400" t="n">
        <v>46112</v>
      </c>
      <c r="B655" s="189" t="n">
        <v>0.04621</v>
      </c>
      <c r="C655" s="237" t="n"/>
    </row>
    <row r="656">
      <c r="A656" s="400" t="n">
        <v>46142</v>
      </c>
      <c r="B656" s="189" t="n">
        <v>0.04683</v>
      </c>
      <c r="C656" s="237" t="n"/>
    </row>
    <row r="657">
      <c r="A657" s="400" t="n">
        <v>46173</v>
      </c>
      <c r="B657" s="189" t="n">
        <v>0.04667</v>
      </c>
      <c r="C657" s="237" t="n"/>
    </row>
    <row r="658">
      <c r="A658" s="400" t="n">
        <v>46203</v>
      </c>
      <c r="B658" s="189" t="n">
        <v>0.04493</v>
      </c>
      <c r="C658" s="237" t="n"/>
    </row>
    <row r="659">
      <c r="A659" s="400" t="n">
        <v>46234</v>
      </c>
      <c r="B659" s="189" t="n">
        <v>0.04552</v>
      </c>
      <c r="C659" s="237" t="n"/>
    </row>
    <row r="660">
      <c r="A660" s="400" t="n">
        <v>46265</v>
      </c>
      <c r="B660" s="189" t="n">
        <v>0.04624</v>
      </c>
      <c r="C660" s="401" t="inlineStr">
        <is>
          <t>Corrected (x100)</t>
        </is>
      </c>
    </row>
    <row r="661">
      <c r="A661" s="402" t="n">
        <v>46287</v>
      </c>
      <c r="B661" s="403" t="n">
        <v>0.04988</v>
      </c>
      <c r="C661" s="404" t="inlineStr">
        <is>
          <t>Corrected (x100)</t>
        </is>
      </c>
    </row>
  </sheetData>
  <pageMargins left="0.75" right="0.75" top="1" bottom="1" header="0.5" footer="0.5"/>
  <pageSetup orientation="landscape" fitToHeight="0"/>
</worksheet>
</file>

<file path=xl/worksheets/sheet17.xml><?xml version="1.0" encoding="utf-8"?>
<worksheet xmlns="http://schemas.openxmlformats.org/spreadsheetml/2006/main">
  <sheetPr>
    <outlinePr summaryBelow="1" summaryRight="1"/>
    <pageSetUpPr/>
  </sheetPr>
  <dimension ref="A1:K16"/>
  <sheetViews>
    <sheetView zoomScale="130" zoomScaleNormal="130" workbookViewId="0">
      <selection activeCell="L11" sqref="L11"/>
    </sheetView>
  </sheetViews>
  <sheetFormatPr baseColWidth="10" defaultColWidth="8.83203125" defaultRowHeight="15"/>
  <cols>
    <col width="20.83203125" bestFit="1" customWidth="1" min="1" max="1"/>
    <col width="17" customWidth="1" min="2" max="2"/>
  </cols>
  <sheetData>
    <row r="1">
      <c r="A1" t="inlineStr">
        <is>
          <t>Asset Class</t>
        </is>
      </c>
      <c r="B1" t="inlineStr">
        <is>
          <t>Data Source</t>
        </is>
      </c>
    </row>
    <row r="2">
      <c r="A2" s="1" t="inlineStr">
        <is>
          <t>Australia equity</t>
        </is>
      </c>
      <c r="B2" s="410" t="inlineStr">
        <is>
          <t>ASX All Ordinaries total return index</t>
        </is>
      </c>
    </row>
    <row r="3">
      <c r="A3" s="1" t="inlineStr">
        <is>
          <t>World equity</t>
        </is>
      </c>
      <c r="B3" t="inlineStr">
        <is>
          <t>MSCI World total return index (AUD)</t>
        </is>
      </c>
    </row>
    <row r="4">
      <c r="A4" s="1" t="inlineStr">
        <is>
          <t>Emerging market</t>
        </is>
      </c>
      <c r="B4" t="inlineStr">
        <is>
          <t>MSCI Emerging Market total return index (AUD)</t>
        </is>
      </c>
    </row>
    <row r="5">
      <c r="A5" s="1" t="inlineStr">
        <is>
          <t>Listed property</t>
        </is>
      </c>
      <c r="B5" t="inlineStr">
        <is>
          <t>S&amp;P Global REIT total return index (AUD)</t>
        </is>
      </c>
    </row>
    <row r="6">
      <c r="A6" s="1" t="inlineStr">
        <is>
          <t>Commodities</t>
        </is>
      </c>
      <c r="B6" t="inlineStr">
        <is>
          <t>S&amp;P Goldman Sachs Commodity total return index (AUD)</t>
        </is>
      </c>
      <c r="K6" s="415" t="n"/>
    </row>
    <row r="7">
      <c r="A7" t="inlineStr">
        <is>
          <t>Direct property</t>
        </is>
      </c>
      <c r="B7" t="inlineStr">
        <is>
          <t>Australian residential property price index, complemented with rental income</t>
        </is>
      </c>
      <c r="K7" s="413" t="n"/>
    </row>
    <row r="8">
      <c r="A8" t="inlineStr">
        <is>
          <t>Hedge fund</t>
        </is>
      </c>
      <c r="B8" t="inlineStr">
        <is>
          <t>Eurekahedge Hedge Fund Index (AUD)</t>
        </is>
      </c>
      <c r="K8" s="413" t="n"/>
    </row>
    <row r="9">
      <c r="A9" t="inlineStr">
        <is>
          <t>Private equity</t>
        </is>
      </c>
      <c r="B9" t="inlineStr">
        <is>
          <t>S&amp;P Listed Private Equity Index (AUD)</t>
        </is>
      </c>
      <c r="K9" s="413" t="n"/>
    </row>
    <row r="10">
      <c r="A10" t="inlineStr">
        <is>
          <t>Australia fixed income</t>
        </is>
      </c>
      <c r="B10" t="inlineStr">
        <is>
          <t>Vanguard Australian Fixed Income total return index</t>
        </is>
      </c>
      <c r="K10" s="413" t="n"/>
    </row>
    <row r="11">
      <c r="A11" s="1" t="inlineStr">
        <is>
          <t>World fixed income</t>
        </is>
      </c>
      <c r="B11" t="inlineStr">
        <is>
          <t>Vanguard International Fixed Income total return index (AUD hedged)</t>
        </is>
      </c>
      <c r="K11" s="413" t="n"/>
    </row>
    <row r="12">
      <c r="A12" t="inlineStr">
        <is>
          <t>Cash</t>
        </is>
      </c>
      <c r="B12" t="inlineStr">
        <is>
          <t>S&amp;P/ASX Bank Bill total return index</t>
        </is>
      </c>
      <c r="K12" s="413" t="n"/>
    </row>
    <row r="13">
      <c r="K13" s="413" t="n"/>
    </row>
    <row r="14" ht="96" customHeight="1">
      <c r="A14" s="4" t="inlineStr">
        <is>
          <t>About this data:</t>
        </is>
      </c>
      <c r="B14" s="3" t="inlineStr">
        <is>
          <t xml:space="preserve">This data is provided for educational purposes only, and should not be used for commercial means. The data series themselves are indicative only. They are constructed from total return indices arising from a range of sources. Some series comprise the splicing of indices, or incorporate calculated proxies, where a full data history was not available. The series provide only a broad representation of the historical returns that Australian investors may have received from various asset classes. </t>
        </is>
      </c>
      <c r="K14" s="413" t="n"/>
    </row>
    <row r="15">
      <c r="K15" s="413" t="n"/>
    </row>
    <row r="16">
      <c r="K16" s="413"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L497"/>
  <sheetViews>
    <sheetView zoomScaleNormal="100" workbookViewId="0">
      <selection activeCell="A4" sqref="A4"/>
    </sheetView>
  </sheetViews>
  <sheetFormatPr baseColWidth="10" defaultColWidth="8.83203125" defaultRowHeight="15"/>
  <cols>
    <col width="12" bestFit="1" customWidth="1" style="2" min="1" max="1"/>
    <col width="15.6640625" bestFit="1" customWidth="1" style="1" min="2" max="2"/>
    <col width="12.83203125" bestFit="1" customWidth="1" style="1" min="3" max="3"/>
    <col width="17.1640625" bestFit="1" customWidth="1" style="1" min="4" max="4"/>
    <col width="15.33203125" bestFit="1" customWidth="1" style="1" min="5" max="5"/>
    <col width="13.5" bestFit="1" customWidth="1" style="1" min="6" max="6"/>
    <col width="15" bestFit="1" customWidth="1" style="1" min="7" max="7"/>
    <col width="12.5" bestFit="1" customWidth="1" style="1" min="8" max="8"/>
    <col width="14" bestFit="1" customWidth="1" style="1" min="9" max="9"/>
    <col width="22.1640625" bestFit="1" customWidth="1" style="1" min="10" max="10"/>
    <col width="19.1640625" bestFit="1" customWidth="1" style="1" min="11" max="11"/>
    <col width="8.1640625" bestFit="1" customWidth="1" style="1" min="12" max="12"/>
  </cols>
  <sheetData>
    <row r="1">
      <c r="A1" s="2" t="inlineStr">
        <is>
          <t>Date</t>
        </is>
      </c>
      <c r="B1" s="1" t="inlineStr">
        <is>
          <t>Australia equity</t>
        </is>
      </c>
      <c r="C1" s="1" t="inlineStr">
        <is>
          <t>World equity</t>
        </is>
      </c>
      <c r="D1" s="1" t="inlineStr">
        <is>
          <t>Emerging market</t>
        </is>
      </c>
      <c r="E1" s="1" t="inlineStr">
        <is>
          <t>Listed property</t>
        </is>
      </c>
      <c r="F1" s="1" t="inlineStr">
        <is>
          <t>Commodities</t>
        </is>
      </c>
      <c r="G1" s="1" t="inlineStr">
        <is>
          <t>Direct property</t>
        </is>
      </c>
      <c r="H1" s="1" t="inlineStr">
        <is>
          <t>Hedge fund</t>
        </is>
      </c>
      <c r="I1" s="1" t="inlineStr">
        <is>
          <t>Private equity</t>
        </is>
      </c>
      <c r="J1" s="1" t="inlineStr">
        <is>
          <t>Australia fixed income</t>
        </is>
      </c>
      <c r="K1" s="1" t="inlineStr">
        <is>
          <t>World fixed income</t>
        </is>
      </c>
      <c r="L1" s="1" t="inlineStr">
        <is>
          <t>Cash</t>
        </is>
      </c>
    </row>
    <row r="2">
      <c r="A2" s="2" t="n">
        <v>31047</v>
      </c>
      <c r="B2" s="1" t="n">
        <v>1820</v>
      </c>
      <c r="C2" s="1" t="n">
        <v>444.4124618286137</v>
      </c>
      <c r="F2" s="1" t="n">
        <v>932.3625479999999</v>
      </c>
      <c r="G2" s="1" t="n">
        <v>184.2873973799269</v>
      </c>
      <c r="J2" s="1" t="n">
        <v>35.65217393478113</v>
      </c>
      <c r="K2" s="1" t="n">
        <v>30.78860935271644</v>
      </c>
      <c r="L2" s="1" t="n">
        <v>36.99348138320606</v>
      </c>
    </row>
    <row r="3">
      <c r="A3" s="2" t="n">
        <v>31078</v>
      </c>
      <c r="B3" s="1" t="n">
        <v>1944.1</v>
      </c>
      <c r="C3" s="1" t="n">
        <v>478.696614401093</v>
      </c>
      <c r="F3" s="1" t="n">
        <v>956.6222974</v>
      </c>
      <c r="G3" s="1" t="n">
        <v>184.2873973799269</v>
      </c>
      <c r="J3" s="1" t="n">
        <v>36.36165219608327</v>
      </c>
      <c r="K3" s="1" t="n">
        <v>31.26583373727734</v>
      </c>
      <c r="L3" s="1" t="n">
        <v>37.37420556427059</v>
      </c>
    </row>
    <row r="4">
      <c r="A4" s="2" t="n">
        <v>31106</v>
      </c>
      <c r="B4" s="1" t="n">
        <v>1995.5</v>
      </c>
      <c r="C4" s="1" t="n">
        <v>555.8604425837401</v>
      </c>
      <c r="F4" s="1" t="n">
        <v>1076.75549784</v>
      </c>
      <c r="G4" s="1" t="n">
        <v>184.2873973799269</v>
      </c>
      <c r="J4" s="1" t="n">
        <v>35.91600002189851</v>
      </c>
      <c r="K4" s="1" t="n">
        <v>30.83479273654241</v>
      </c>
      <c r="L4" s="1" t="n">
        <v>37.76761854483974</v>
      </c>
    </row>
    <row r="5">
      <c r="A5" s="2" t="n">
        <v>31135</v>
      </c>
      <c r="B5" s="1" t="n">
        <v>2101.5</v>
      </c>
      <c r="C5" s="1" t="n">
        <v>573.7606936876214</v>
      </c>
      <c r="F5" s="1" t="n">
        <v>1147.74457825</v>
      </c>
      <c r="G5" s="1" t="n">
        <v>194.2461496416171</v>
      </c>
      <c r="J5" s="1" t="n">
        <v>36.15486958726154</v>
      </c>
      <c r="K5" s="1" t="n">
        <v>31.54600886091513</v>
      </c>
      <c r="L5" s="1" t="n">
        <v>38.23717184692738</v>
      </c>
    </row>
    <row r="6">
      <c r="A6" s="2" t="n">
        <v>31167</v>
      </c>
      <c r="B6" s="1" t="n">
        <v>2231.9</v>
      </c>
      <c r="C6" s="1" t="n">
        <v>619.6689530736691</v>
      </c>
      <c r="F6" s="1" t="n">
        <v>1201.5501533</v>
      </c>
      <c r="G6" s="1" t="n">
        <v>194.2461496416171</v>
      </c>
      <c r="J6" s="1" t="n">
        <v>36.36165219608327</v>
      </c>
      <c r="K6" s="1" t="n">
        <v>32.26646354124062</v>
      </c>
      <c r="L6" s="1" t="n">
        <v>38.70673267350573</v>
      </c>
    </row>
    <row r="7">
      <c r="A7" s="2" t="n">
        <v>31198</v>
      </c>
      <c r="B7" s="1" t="n">
        <v>2231.3</v>
      </c>
      <c r="C7" s="1" t="n">
        <v>630.5334510035707</v>
      </c>
      <c r="F7" s="1" t="n">
        <v>1164.4813629</v>
      </c>
      <c r="G7" s="1" t="n">
        <v>194.2461496416171</v>
      </c>
      <c r="J7" s="1" t="n">
        <v>37.03547828345064</v>
      </c>
      <c r="K7" s="1" t="n">
        <v>33.58421564569937</v>
      </c>
      <c r="L7" s="1" t="n">
        <v>39.1762909919205</v>
      </c>
    </row>
    <row r="8">
      <c r="A8" s="2" t="n">
        <v>31226</v>
      </c>
      <c r="B8" s="1" t="n">
        <v>2205.8</v>
      </c>
      <c r="C8" s="1" t="n">
        <v>632.6495564409172</v>
      </c>
      <c r="F8" s="1" t="n">
        <v>1122.4992576</v>
      </c>
      <c r="G8" s="1" t="n">
        <v>196.7766632887094</v>
      </c>
      <c r="J8" s="1" t="n">
        <v>37.81982611001582</v>
      </c>
      <c r="K8" s="1" t="n">
        <v>34.17843590016618</v>
      </c>
      <c r="L8" s="1" t="n">
        <v>39.63315298633994</v>
      </c>
    </row>
    <row r="9">
      <c r="A9" s="2" t="n">
        <v>31259</v>
      </c>
      <c r="B9" s="1" t="n">
        <v>2403.1</v>
      </c>
      <c r="C9" s="1" t="n">
        <v>583.2805589880978</v>
      </c>
      <c r="F9" s="1" t="n">
        <v>1019.47335058</v>
      </c>
      <c r="G9" s="1" t="n">
        <v>196.7766632887094</v>
      </c>
      <c r="J9" s="1" t="n">
        <v>38.45086958866145</v>
      </c>
      <c r="K9" s="1" t="n">
        <v>34.52634634021746</v>
      </c>
      <c r="L9" s="1" t="n">
        <v>40.10271381291829</v>
      </c>
    </row>
    <row r="10">
      <c r="A10" s="2" t="n">
        <v>31289</v>
      </c>
      <c r="B10" s="1" t="n">
        <v>2411.3</v>
      </c>
      <c r="C10" s="1" t="n">
        <v>607.9390951994022</v>
      </c>
      <c r="F10" s="1" t="n">
        <v>1065.15094941</v>
      </c>
      <c r="G10" s="1" t="n">
        <v>196.7766632887094</v>
      </c>
      <c r="J10" s="1" t="n">
        <v>37.85904350134408</v>
      </c>
      <c r="K10" s="1" t="n">
        <v>35.25295770886033</v>
      </c>
      <c r="L10" s="1" t="n">
        <v>40.61034103801052</v>
      </c>
    </row>
    <row r="11">
      <c r="A11" s="2" t="n">
        <v>31320</v>
      </c>
      <c r="B11" s="1" t="n">
        <v>2545.9</v>
      </c>
      <c r="C11" s="1" t="n">
        <v>594.5399938629145</v>
      </c>
      <c r="F11" s="1" t="n">
        <v>1120.754843</v>
      </c>
      <c r="G11" s="1" t="n">
        <v>201.8873325840296</v>
      </c>
      <c r="J11" s="1" t="n">
        <v>38.45086958866145</v>
      </c>
      <c r="K11" s="1" t="n">
        <v>35.8841251401848</v>
      </c>
      <c r="L11" s="1" t="n">
        <v>41.16873600193911</v>
      </c>
    </row>
    <row r="12">
      <c r="A12" s="2" t="n">
        <v>31351</v>
      </c>
      <c r="B12" s="1" t="n">
        <v>2670.1</v>
      </c>
      <c r="C12" s="1" t="n">
        <v>624.0431047010493</v>
      </c>
      <c r="F12" s="1" t="n">
        <v>1209.90292876</v>
      </c>
      <c r="G12" s="1" t="n">
        <v>201.8873325840296</v>
      </c>
      <c r="J12" s="1" t="n">
        <v>37.76278263172017</v>
      </c>
      <c r="K12" s="1" t="n">
        <v>36.36134717576122</v>
      </c>
      <c r="L12" s="1" t="n">
        <v>41.72714601484913</v>
      </c>
    </row>
    <row r="13">
      <c r="A13" s="2" t="n">
        <v>31380</v>
      </c>
      <c r="B13" s="1" t="n">
        <v>2583</v>
      </c>
      <c r="C13" s="1" t="n">
        <v>662.9165382829583</v>
      </c>
      <c r="F13" s="1" t="n">
        <v>1258.10512652</v>
      </c>
      <c r="G13" s="1" t="n">
        <v>201.8873325840296</v>
      </c>
      <c r="J13" s="1" t="n">
        <v>37.60234784901365</v>
      </c>
      <c r="K13" s="1" t="n">
        <v>37.31579359589853</v>
      </c>
      <c r="L13" s="1" t="n">
        <v>42.3616637431512</v>
      </c>
    </row>
    <row r="14">
      <c r="A14" s="2" t="n">
        <v>31412</v>
      </c>
      <c r="B14" s="1" t="n">
        <v>2621.9</v>
      </c>
      <c r="C14" s="1" t="n">
        <v>696.9578918822931</v>
      </c>
      <c r="F14" s="1" t="n">
        <v>1240.77219882</v>
      </c>
      <c r="G14" s="1" t="n">
        <v>205.4515431281558</v>
      </c>
      <c r="J14" s="1" t="n">
        <v>38.15495654500276</v>
      </c>
      <c r="K14" s="1" t="n">
        <v>38.49191837921293</v>
      </c>
      <c r="L14" s="1" t="n">
        <v>43.0469793082525</v>
      </c>
    </row>
    <row r="15">
      <c r="A15" s="2" t="n">
        <v>31443</v>
      </c>
      <c r="B15" s="1" t="n">
        <v>2815.5</v>
      </c>
      <c r="C15" s="1" t="n">
        <v>670.1812948760983</v>
      </c>
      <c r="F15" s="1" t="n">
        <v>1080.2413341</v>
      </c>
      <c r="G15" s="1" t="n">
        <v>205.4515431281558</v>
      </c>
      <c r="J15" s="1" t="n">
        <v>39.73791306770704</v>
      </c>
      <c r="K15" s="1" t="n">
        <v>39.02148283591716</v>
      </c>
      <c r="L15" s="1" t="n">
        <v>43.71955340241418</v>
      </c>
    </row>
    <row r="16">
      <c r="A16" s="2" t="n">
        <v>31471</v>
      </c>
      <c r="B16" s="1" t="n">
        <v>2754.7</v>
      </c>
      <c r="C16" s="1" t="n">
        <v>721.0507171278082</v>
      </c>
      <c r="F16" s="1" t="n">
        <v>1059.5863746</v>
      </c>
      <c r="G16" s="1" t="n">
        <v>205.4515431281558</v>
      </c>
      <c r="J16" s="1" t="n">
        <v>40.88591306840701</v>
      </c>
      <c r="K16" s="1" t="n">
        <v>40.85340650179448</v>
      </c>
      <c r="L16" s="1" t="n">
        <v>44.37947130319765</v>
      </c>
    </row>
    <row r="17">
      <c r="A17" s="2" t="n">
        <v>31502</v>
      </c>
      <c r="B17" s="1" t="n">
        <v>2995.5</v>
      </c>
      <c r="C17" s="1" t="n">
        <v>781.1840383496087</v>
      </c>
      <c r="F17" s="1" t="n">
        <v>1039.421208</v>
      </c>
      <c r="G17" s="1" t="n">
        <v>210.6158414098035</v>
      </c>
      <c r="J17" s="1" t="n">
        <v>42.83608698263953</v>
      </c>
      <c r="K17" s="1" t="n">
        <v>42.80232603757771</v>
      </c>
      <c r="L17" s="1" t="n">
        <v>44.96327647226192</v>
      </c>
    </row>
    <row r="18">
      <c r="A18" s="2" t="n">
        <v>31532</v>
      </c>
      <c r="B18" s="1" t="n">
        <v>3212.2</v>
      </c>
      <c r="C18" s="1" t="n">
        <v>748.3787272749023</v>
      </c>
      <c r="F18" s="1" t="n">
        <v>1055.01203964</v>
      </c>
      <c r="G18" s="1" t="n">
        <v>210.6158414098035</v>
      </c>
      <c r="J18" s="1" t="n">
        <v>44.0304348094547</v>
      </c>
      <c r="K18" s="1" t="n">
        <v>43.41193918733018</v>
      </c>
      <c r="L18" s="1" t="n">
        <v>45.48358998869521</v>
      </c>
    </row>
    <row r="19">
      <c r="A19" s="2" t="n">
        <v>31562</v>
      </c>
      <c r="B19" s="1" t="n">
        <v>3297.6</v>
      </c>
      <c r="C19" s="1" t="n">
        <v>791.5602683532718</v>
      </c>
      <c r="F19" s="1" t="n">
        <v>1050.375942</v>
      </c>
      <c r="G19" s="1" t="n">
        <v>210.6158414098035</v>
      </c>
      <c r="J19" s="1" t="n">
        <v>43.9484348094047</v>
      </c>
      <c r="K19" s="1" t="n">
        <v>42.91931955849913</v>
      </c>
      <c r="L19" s="1" t="n">
        <v>45.94045198311464</v>
      </c>
    </row>
    <row r="20">
      <c r="A20" s="2" t="n">
        <v>31593</v>
      </c>
      <c r="B20" s="1" t="n">
        <v>3143.1</v>
      </c>
      <c r="C20" s="1" t="n">
        <v>854.915097669677</v>
      </c>
      <c r="F20" s="1" t="n">
        <v>1162.5322296</v>
      </c>
      <c r="G20" s="1" t="n">
        <v>216.9683282455024</v>
      </c>
      <c r="J20" s="1" t="n">
        <v>44.12313046168513</v>
      </c>
      <c r="K20" s="1" t="n">
        <v>44.23707166295788</v>
      </c>
      <c r="L20" s="1" t="n">
        <v>46.4227116418519</v>
      </c>
    </row>
    <row r="21">
      <c r="A21" s="2" t="n">
        <v>31624</v>
      </c>
      <c r="B21" s="1" t="n">
        <v>2998.3</v>
      </c>
      <c r="C21" s="1" t="n">
        <v>954.1812811674804</v>
      </c>
      <c r="F21" s="1" t="n">
        <v>1327.65492403</v>
      </c>
      <c r="G21" s="1" t="n">
        <v>216.9683282455024</v>
      </c>
      <c r="J21" s="1" t="n">
        <v>42.06243480825478</v>
      </c>
      <c r="K21" s="1" t="n">
        <v>44.89287054552081</v>
      </c>
      <c r="L21" s="1" t="n">
        <v>46.95572649860767</v>
      </c>
    </row>
    <row r="22">
      <c r="A22" s="2" t="n">
        <v>31653</v>
      </c>
      <c r="B22" s="1" t="n">
        <v>3187.2</v>
      </c>
      <c r="C22" s="1" t="n">
        <v>1018.810903515624</v>
      </c>
      <c r="F22" s="1" t="n">
        <v>1418.664544</v>
      </c>
      <c r="G22" s="1" t="n">
        <v>216.9683282455024</v>
      </c>
      <c r="J22" s="1" t="n">
        <v>42.45817393893085</v>
      </c>
      <c r="K22" s="1" t="n">
        <v>46.18291402907466</v>
      </c>
      <c r="L22" s="1" t="n">
        <v>47.60294305906866</v>
      </c>
    </row>
    <row r="23">
      <c r="A23" s="2" t="n">
        <v>31685</v>
      </c>
      <c r="B23" s="1" t="n">
        <v>3341.9</v>
      </c>
      <c r="C23" s="1" t="n">
        <v>941.812001057922</v>
      </c>
      <c r="F23" s="1" t="n">
        <v>1328.91288192</v>
      </c>
      <c r="G23" s="1" t="n">
        <v>211.6485344745974</v>
      </c>
      <c r="J23" s="1" t="n">
        <v>43.22113046113517</v>
      </c>
      <c r="K23" s="1" t="n">
        <v>45.9027365564524</v>
      </c>
      <c r="L23" s="1" t="n">
        <v>48.28821849355281</v>
      </c>
    </row>
    <row r="24">
      <c r="A24" s="2" t="n">
        <v>31716</v>
      </c>
      <c r="B24" s="1" t="n">
        <v>3715.8</v>
      </c>
      <c r="C24" s="1" t="n">
        <v>927.4519939636223</v>
      </c>
      <c r="F24" s="1" t="n">
        <v>1314.217608</v>
      </c>
      <c r="G24" s="1" t="n">
        <v>211.6485344745974</v>
      </c>
      <c r="J24" s="1" t="n">
        <v>44.55452176629598</v>
      </c>
      <c r="K24" s="1" t="n">
        <v>46.82639483703389</v>
      </c>
      <c r="L24" s="1" t="n">
        <v>48.96083271833162</v>
      </c>
    </row>
    <row r="25">
      <c r="A25" s="2" t="n">
        <v>31744</v>
      </c>
      <c r="B25" s="1" t="n">
        <v>3732.3</v>
      </c>
      <c r="C25" s="1" t="n">
        <v>943.7414342177734</v>
      </c>
      <c r="F25" s="1" t="n">
        <v>1337.43271068</v>
      </c>
      <c r="G25" s="1" t="n">
        <v>211.6485344745974</v>
      </c>
      <c r="J25" s="1" t="n">
        <v>44.87182611431552</v>
      </c>
      <c r="K25" s="1" t="n">
        <v>47.64229580366224</v>
      </c>
      <c r="L25" s="1" t="n">
        <v>49.59539308541441</v>
      </c>
    </row>
    <row r="26">
      <c r="A26" s="2" t="n">
        <v>31777</v>
      </c>
      <c r="B26" s="1" t="n">
        <v>3991</v>
      </c>
      <c r="C26" s="1" t="n">
        <v>933.5922259639896</v>
      </c>
      <c r="F26" s="1" t="n">
        <v>1298.74976486</v>
      </c>
      <c r="G26" s="1" t="n">
        <v>214.7336468991452</v>
      </c>
      <c r="J26" s="1" t="n">
        <v>45.63121741912637</v>
      </c>
      <c r="K26" s="1" t="n">
        <v>48.36582530466971</v>
      </c>
      <c r="L26" s="1" t="n">
        <v>50.22991332188006</v>
      </c>
    </row>
    <row r="27">
      <c r="A27" s="2" t="n">
        <v>31807</v>
      </c>
      <c r="B27" s="1" t="n">
        <v>4060.2</v>
      </c>
      <c r="C27" s="1" t="n">
        <v>1024.027455564575</v>
      </c>
      <c r="F27" s="1" t="n">
        <v>1376.92533551</v>
      </c>
      <c r="G27" s="1" t="n">
        <v>214.7336468991452</v>
      </c>
      <c r="J27" s="1" t="n">
        <v>45.48860872338724</v>
      </c>
      <c r="K27" s="1" t="n">
        <v>49.38492752256959</v>
      </c>
      <c r="L27" s="1" t="n">
        <v>50.88983122266353</v>
      </c>
    </row>
    <row r="28">
      <c r="A28" s="2" t="n">
        <v>31835</v>
      </c>
      <c r="B28" s="1" t="n">
        <v>4385.1</v>
      </c>
      <c r="C28" s="1" t="n">
        <v>1030.508757859253</v>
      </c>
      <c r="F28" s="1" t="n">
        <v>1267.04849486</v>
      </c>
      <c r="G28" s="1" t="n">
        <v>214.7336468991452</v>
      </c>
      <c r="J28" s="1" t="n">
        <v>45.46365220163289</v>
      </c>
      <c r="K28" s="1" t="n">
        <v>50.42866119170791</v>
      </c>
      <c r="L28" s="1" t="n">
        <v>51.60049930513837</v>
      </c>
    </row>
    <row r="29">
      <c r="A29" s="2" t="n">
        <v>31867</v>
      </c>
      <c r="B29" s="1" t="n">
        <v>4601.6</v>
      </c>
      <c r="C29" s="1" t="n">
        <v>1028.445522057373</v>
      </c>
      <c r="F29" s="1" t="n">
        <v>1315.16443796</v>
      </c>
      <c r="G29" s="1" t="n">
        <v>217.7958636008157</v>
      </c>
      <c r="J29" s="1" t="n">
        <v>47.19278263746978</v>
      </c>
      <c r="K29" s="1" t="n">
        <v>51.0413562090958</v>
      </c>
      <c r="L29" s="1" t="n">
        <v>52.28581487023965</v>
      </c>
    </row>
    <row r="30">
      <c r="A30" s="2" t="n">
        <v>31897</v>
      </c>
      <c r="B30" s="1" t="n">
        <v>4784.4</v>
      </c>
      <c r="C30" s="1" t="n">
        <v>1076.530771792969</v>
      </c>
      <c r="F30" s="1" t="n">
        <v>1389.02462982</v>
      </c>
      <c r="G30" s="1" t="n">
        <v>217.7958636008157</v>
      </c>
      <c r="J30" s="1" t="n">
        <v>48.23026089897191</v>
      </c>
      <c r="K30" s="1" t="n">
        <v>51.38926899813156</v>
      </c>
      <c r="L30" s="1" t="n">
        <v>53.047238150733</v>
      </c>
    </row>
    <row r="31">
      <c r="A31" s="2" t="n">
        <v>31926</v>
      </c>
      <c r="B31" s="1" t="n">
        <v>4850.2</v>
      </c>
      <c r="C31" s="1" t="n">
        <v>1073.852449816041</v>
      </c>
      <c r="F31" s="1" t="n">
        <v>1429.44193762</v>
      </c>
      <c r="G31" s="1" t="n">
        <v>217.7958636008157</v>
      </c>
      <c r="J31" s="1" t="n">
        <v>48.99321742117622</v>
      </c>
      <c r="K31" s="1" t="n">
        <v>51.84493910112046</v>
      </c>
      <c r="L31" s="1" t="n">
        <v>53.71985237551181</v>
      </c>
    </row>
    <row r="32">
      <c r="A32" s="2" t="n">
        <v>31958</v>
      </c>
      <c r="B32" s="1" t="n">
        <v>4840.8</v>
      </c>
      <c r="C32" s="1" t="n">
        <v>1072.193661857116</v>
      </c>
      <c r="F32" s="1" t="n">
        <v>1466.73085995</v>
      </c>
      <c r="G32" s="1" t="n">
        <v>220.875082005551</v>
      </c>
      <c r="J32" s="1" t="n">
        <v>49.9914782913501</v>
      </c>
      <c r="K32" s="1" t="n">
        <v>52.04198601305908</v>
      </c>
      <c r="L32" s="1" t="n">
        <v>54.35441274259459</v>
      </c>
    </row>
    <row r="33">
      <c r="A33" s="2" t="n">
        <v>31989</v>
      </c>
      <c r="B33" s="1" t="n">
        <v>5580.6</v>
      </c>
      <c r="C33" s="1" t="n">
        <v>1140.466584355957</v>
      </c>
      <c r="F33" s="1" t="n">
        <v>1580.31666551</v>
      </c>
      <c r="G33" s="1" t="n">
        <v>220.875082005551</v>
      </c>
      <c r="J33" s="1" t="n">
        <v>50.48347829165007</v>
      </c>
      <c r="K33" s="1" t="n">
        <v>51.78336282200882</v>
      </c>
      <c r="L33" s="1" t="n">
        <v>54.98893297906024</v>
      </c>
    </row>
    <row r="34">
      <c r="A34" s="2" t="n">
        <v>32020</v>
      </c>
      <c r="B34" s="1" t="n">
        <v>5914.7</v>
      </c>
      <c r="C34" s="1" t="n">
        <v>1158.349897925049</v>
      </c>
      <c r="F34" s="1" t="n">
        <v>1520.16652683</v>
      </c>
      <c r="G34" s="1" t="n">
        <v>220.875082005551</v>
      </c>
      <c r="J34" s="1" t="n">
        <v>51.2785217703957</v>
      </c>
      <c r="K34" s="1" t="n">
        <v>51.8480162707869</v>
      </c>
      <c r="L34" s="1" t="n">
        <v>55.5980956818252</v>
      </c>
    </row>
    <row r="35">
      <c r="A35" s="2" t="n">
        <v>32050</v>
      </c>
      <c r="B35" s="1" t="n">
        <v>6197.2</v>
      </c>
      <c r="C35" s="1" t="n">
        <v>1150.982564194337</v>
      </c>
      <c r="F35" s="1" t="n">
        <v>1528.786296</v>
      </c>
      <c r="G35" s="1" t="n">
        <v>225.3436410797057</v>
      </c>
      <c r="J35" s="1" t="n">
        <v>53.06469568452823</v>
      </c>
      <c r="K35" s="1" t="n">
        <v>51.13372297674774</v>
      </c>
      <c r="L35" s="1" t="n">
        <v>56.20726340091731</v>
      </c>
    </row>
    <row r="36">
      <c r="A36" s="2" t="n">
        <v>32080</v>
      </c>
      <c r="B36" s="1" t="n">
        <v>3586.1</v>
      </c>
      <c r="C36" s="1" t="n">
        <v>978.8153651828006</v>
      </c>
      <c r="F36" s="1" t="n">
        <v>1633.44774425</v>
      </c>
      <c r="G36" s="1" t="n">
        <v>225.3436410797057</v>
      </c>
      <c r="J36" s="1" t="n">
        <v>50.91130437886746</v>
      </c>
      <c r="K36" s="1" t="n">
        <v>53.42439626426487</v>
      </c>
      <c r="L36" s="1" t="n">
        <v>56.62602639069644</v>
      </c>
    </row>
    <row r="37">
      <c r="A37" s="2" t="n">
        <v>32111</v>
      </c>
      <c r="B37" s="1" t="n">
        <v>3696.4</v>
      </c>
      <c r="C37" s="1" t="n">
        <v>880.9305851013796</v>
      </c>
      <c r="F37" s="1" t="n">
        <v>1553.32307826</v>
      </c>
      <c r="G37" s="1" t="n">
        <v>225.3436410797057</v>
      </c>
      <c r="J37" s="1" t="n">
        <v>52.52991307550652</v>
      </c>
      <c r="K37" s="1" t="n">
        <v>54.18179342347909</v>
      </c>
      <c r="L37" s="1" t="n">
        <v>57.29864563180239</v>
      </c>
    </row>
    <row r="38">
      <c r="A38" s="2" t="n">
        <v>32142</v>
      </c>
      <c r="B38" s="1" t="n">
        <v>3677.5</v>
      </c>
      <c r="C38" s="1" t="n">
        <v>863.0461710189816</v>
      </c>
      <c r="D38" s="1" t="n">
        <v>138.1975</v>
      </c>
      <c r="F38" s="1" t="n">
        <v>1477.70440825</v>
      </c>
      <c r="G38" s="1" t="n">
        <v>236.8814764211056</v>
      </c>
      <c r="J38" s="1" t="n">
        <v>54.21982612001515</v>
      </c>
      <c r="K38" s="1" t="n">
        <v>54.88069617121706</v>
      </c>
      <c r="L38" s="1" t="n">
        <v>57.92050465856269</v>
      </c>
    </row>
    <row r="39">
      <c r="A39" s="2" t="n">
        <v>32171</v>
      </c>
      <c r="B39" s="1" t="n">
        <v>3510.5</v>
      </c>
      <c r="C39" s="1" t="n">
        <v>928.1831560714107</v>
      </c>
      <c r="D39" s="1" t="n">
        <v>162.9053847183834</v>
      </c>
      <c r="F39" s="1" t="n">
        <v>1543.03820066</v>
      </c>
      <c r="G39" s="1" t="n">
        <v>236.8814764211056</v>
      </c>
      <c r="J39" s="1" t="n">
        <v>55.63521742522596</v>
      </c>
      <c r="K39" s="1" t="n">
        <v>56.45399429705963</v>
      </c>
      <c r="L39" s="1" t="n">
        <v>58.47887704901915</v>
      </c>
    </row>
    <row r="40">
      <c r="A40" s="2" t="n">
        <v>32202</v>
      </c>
      <c r="B40" s="1" t="n">
        <v>3499.9</v>
      </c>
      <c r="C40" s="1" t="n">
        <v>975.8312110668949</v>
      </c>
      <c r="D40" s="1" t="n">
        <v>170.0003878277592</v>
      </c>
      <c r="F40" s="1" t="n">
        <v>1512.9666832</v>
      </c>
      <c r="G40" s="1" t="n">
        <v>236.8814764211056</v>
      </c>
      <c r="J40" s="1" t="n">
        <v>56.07017394723029</v>
      </c>
      <c r="K40" s="1" t="n">
        <v>57.21755049357569</v>
      </c>
      <c r="L40" s="1" t="n">
        <v>58.97693312192524</v>
      </c>
    </row>
    <row r="41">
      <c r="A41" s="2" t="n">
        <v>32233</v>
      </c>
      <c r="B41" s="1" t="n">
        <v>3975.3</v>
      </c>
      <c r="C41" s="1" t="n">
        <v>949.5693335018925</v>
      </c>
      <c r="D41" s="1" t="n">
        <v>185.9823681451726</v>
      </c>
      <c r="F41" s="1" t="n">
        <v>1535.18725077</v>
      </c>
      <c r="G41" s="1" t="n">
        <v>248.0925518861675</v>
      </c>
      <c r="J41" s="1" t="n">
        <v>57.29660873058675</v>
      </c>
      <c r="K41" s="1" t="n">
        <v>57.44538789405461</v>
      </c>
      <c r="L41" s="1" t="n">
        <v>59.48361727751485</v>
      </c>
    </row>
    <row r="42">
      <c r="A42" s="2" t="n">
        <v>32262</v>
      </c>
      <c r="B42" s="1" t="n">
        <v>4120.5</v>
      </c>
      <c r="C42" s="1" t="n">
        <v>945.3037546523439</v>
      </c>
      <c r="D42" s="1" t="n">
        <v>202.7784276328125</v>
      </c>
      <c r="F42" s="1" t="n">
        <v>1550.30798352</v>
      </c>
      <c r="G42" s="1" t="n">
        <v>248.0925518861675</v>
      </c>
      <c r="J42" s="1" t="n">
        <v>58.57295655745192</v>
      </c>
      <c r="K42" s="1" t="n">
        <v>57.60240811048464</v>
      </c>
      <c r="L42" s="1" t="n">
        <v>60.02769815194495</v>
      </c>
    </row>
    <row r="43">
      <c r="A43" s="2" t="n">
        <v>32294</v>
      </c>
      <c r="B43" s="1" t="n">
        <v>4446.6</v>
      </c>
      <c r="C43" s="1" t="n">
        <v>877.0576721808468</v>
      </c>
      <c r="D43" s="1" t="n">
        <v>207.2524462792055</v>
      </c>
      <c r="F43" s="1" t="n">
        <v>1511.38262385</v>
      </c>
      <c r="G43" s="1" t="n">
        <v>248.0925518861675</v>
      </c>
      <c r="J43" s="1" t="n">
        <v>57.02208699128894</v>
      </c>
      <c r="K43" s="1" t="n">
        <v>57.71632915970858</v>
      </c>
      <c r="L43" s="1" t="n">
        <v>60.54588976199735</v>
      </c>
    </row>
    <row r="44">
      <c r="A44" s="2" t="n">
        <v>32324</v>
      </c>
      <c r="B44" s="1" t="n">
        <v>4423.8</v>
      </c>
      <c r="C44" s="1" t="n">
        <v>931.3935483691407</v>
      </c>
      <c r="D44" s="1" t="n">
        <v>231.48945927356</v>
      </c>
      <c r="F44" s="1" t="n">
        <v>1500.1821414</v>
      </c>
      <c r="G44" s="1" t="n">
        <v>262.1788652671724</v>
      </c>
      <c r="J44" s="1" t="n">
        <v>58.45886960086062</v>
      </c>
      <c r="K44" s="1" t="n">
        <v>58.50143493982769</v>
      </c>
      <c r="L44" s="1" t="n">
        <v>61.16353005763158</v>
      </c>
    </row>
    <row r="45">
      <c r="A45" s="2" t="n">
        <v>32353</v>
      </c>
      <c r="B45" s="1" t="n">
        <v>4591.1</v>
      </c>
      <c r="C45" s="1" t="n">
        <v>930.0618157293699</v>
      </c>
      <c r="D45" s="1" t="n">
        <v>233.5488303280644</v>
      </c>
      <c r="F45" s="1" t="n">
        <v>1479.1065185</v>
      </c>
      <c r="G45" s="1" t="n">
        <v>262.1788652671724</v>
      </c>
      <c r="J45" s="1" t="n">
        <v>58.86173916632364</v>
      </c>
      <c r="K45" s="1" t="n">
        <v>58.70771805873461</v>
      </c>
      <c r="L45" s="1" t="n">
        <v>61.84403998133124</v>
      </c>
    </row>
    <row r="46">
      <c r="A46" s="2" t="n">
        <v>32386</v>
      </c>
      <c r="B46" s="1" t="n">
        <v>4482</v>
      </c>
      <c r="C46" s="1" t="n">
        <v>894.9725034446415</v>
      </c>
      <c r="D46" s="1" t="n">
        <v>239.5128851097562</v>
      </c>
      <c r="F46" s="1" t="n">
        <v>1471.98583209</v>
      </c>
      <c r="G46" s="1" t="n">
        <v>262.1788652671724</v>
      </c>
      <c r="J46" s="1" t="n">
        <v>59.44643481885406</v>
      </c>
      <c r="K46" s="1" t="n">
        <v>58.8647429731336</v>
      </c>
      <c r="L46" s="1" t="n">
        <v>62.50154001243246</v>
      </c>
    </row>
    <row r="47">
      <c r="A47" s="2" t="n">
        <v>32416</v>
      </c>
      <c r="B47" s="1" t="n">
        <v>4439.6</v>
      </c>
      <c r="C47" s="1" t="n">
        <v>948.7289294510505</v>
      </c>
      <c r="D47" s="1" t="n">
        <v>274.7882979148717</v>
      </c>
      <c r="F47" s="1" t="n">
        <v>1465.13753243</v>
      </c>
      <c r="G47" s="1" t="n">
        <v>288.6981465068108</v>
      </c>
      <c r="J47" s="1" t="n">
        <v>59.31452177529537</v>
      </c>
      <c r="K47" s="1" t="n">
        <v>60.34875150099067</v>
      </c>
      <c r="L47" s="1" t="n">
        <v>63.16520510959069</v>
      </c>
    </row>
    <row r="48">
      <c r="A48" s="2" t="n">
        <v>32447</v>
      </c>
      <c r="B48" s="1" t="n">
        <v>4579.4</v>
      </c>
      <c r="C48" s="1" t="n">
        <v>925.6789242341314</v>
      </c>
      <c r="D48" s="1" t="n">
        <v>276.4727272934875</v>
      </c>
      <c r="F48" s="1" t="n">
        <v>1465.72394826</v>
      </c>
      <c r="G48" s="1" t="n">
        <v>288.6981465068108</v>
      </c>
      <c r="J48" s="1" t="n">
        <v>59.88495655825187</v>
      </c>
      <c r="K48" s="1" t="n">
        <v>61.79581989894351</v>
      </c>
      <c r="L48" s="1" t="n">
        <v>63.89051083466467</v>
      </c>
    </row>
    <row r="49">
      <c r="A49" s="2" t="n">
        <v>32477</v>
      </c>
      <c r="B49" s="1" t="n">
        <v>4262.7</v>
      </c>
      <c r="C49" s="1" t="n">
        <v>880.9712738170779</v>
      </c>
      <c r="D49" s="1" t="n">
        <v>274.2096202028201</v>
      </c>
      <c r="F49" s="1" t="n">
        <v>1452.19256964</v>
      </c>
      <c r="G49" s="1" t="n">
        <v>288.6981465068108</v>
      </c>
      <c r="J49" s="1" t="n">
        <v>59.49634786236274</v>
      </c>
      <c r="K49" s="1" t="n">
        <v>61.8604733477216</v>
      </c>
      <c r="L49" s="1" t="n">
        <v>64.58417356812954</v>
      </c>
    </row>
    <row r="50">
      <c r="A50" s="2" t="n">
        <v>32507</v>
      </c>
      <c r="B50" s="1" t="n">
        <v>4334.9</v>
      </c>
      <c r="C50" s="1" t="n">
        <v>926.330714789429</v>
      </c>
      <c r="D50" s="1" t="n">
        <v>308.9167596756594</v>
      </c>
      <c r="F50" s="1" t="n">
        <v>1598.71097178</v>
      </c>
      <c r="G50" s="1" t="n">
        <v>318.5610581474425</v>
      </c>
      <c r="J50" s="1" t="n">
        <v>59.0970435142932</v>
      </c>
      <c r="K50" s="1" t="n">
        <v>62.43930070690273</v>
      </c>
      <c r="L50" s="1" t="n">
        <v>65.38426771455734</v>
      </c>
    </row>
    <row r="51">
      <c r="A51" s="2" t="n">
        <v>32539</v>
      </c>
      <c r="B51" s="1" t="n">
        <v>4528.2</v>
      </c>
      <c r="C51" s="1" t="n">
        <v>945.6141033717047</v>
      </c>
      <c r="D51" s="1" t="n">
        <v>316.2841699047545</v>
      </c>
      <c r="F51" s="1" t="n">
        <v>1543.4415192</v>
      </c>
      <c r="G51" s="1" t="n">
        <v>318.5610581474425</v>
      </c>
      <c r="J51" s="1" t="n">
        <v>58.77260873148668</v>
      </c>
      <c r="K51" s="1" t="n">
        <v>63.32909132927747</v>
      </c>
      <c r="L51" s="1" t="n">
        <v>66.2069654310851</v>
      </c>
    </row>
    <row r="52">
      <c r="A52" s="2" t="n">
        <v>32567</v>
      </c>
      <c r="B52" s="1" t="n">
        <v>4348.4</v>
      </c>
      <c r="C52" s="1" t="n">
        <v>1031.732996873474</v>
      </c>
      <c r="D52" s="1" t="n">
        <v>382.0133636959836</v>
      </c>
      <c r="F52" s="1" t="n">
        <v>1787.4617118</v>
      </c>
      <c r="G52" s="1" t="n">
        <v>318.5610581474425</v>
      </c>
      <c r="J52" s="1" t="n">
        <v>58.722695687978</v>
      </c>
      <c r="K52" s="1" t="n">
        <v>62.99349661484543</v>
      </c>
      <c r="L52" s="1" t="n">
        <v>66.94624162724837</v>
      </c>
    </row>
    <row r="53">
      <c r="A53" s="2" t="n">
        <v>32598</v>
      </c>
      <c r="B53" s="1" t="n">
        <v>4297.2</v>
      </c>
      <c r="C53" s="1" t="n">
        <v>1031.312185883789</v>
      </c>
      <c r="D53" s="1" t="n">
        <v>419.5867165423579</v>
      </c>
      <c r="F53" s="1" t="n">
        <v>1868.6393724</v>
      </c>
      <c r="G53" s="1" t="n">
        <v>345.4034364968726</v>
      </c>
      <c r="J53" s="1" t="n">
        <v>59.35017394923015</v>
      </c>
      <c r="K53" s="1" t="n">
        <v>63.76936618799623</v>
      </c>
      <c r="L53" s="1" t="n">
        <v>67.84701847573483</v>
      </c>
    </row>
    <row r="54">
      <c r="A54" s="2" t="n">
        <v>32626</v>
      </c>
      <c r="B54" s="1" t="n">
        <v>4459.9</v>
      </c>
      <c r="C54" s="1" t="n">
        <v>1087.025989394043</v>
      </c>
      <c r="D54" s="1" t="n">
        <v>520.7309855461427</v>
      </c>
      <c r="F54" s="1" t="n">
        <v>1983.60959592</v>
      </c>
      <c r="G54" s="1" t="n">
        <v>345.4034364968726</v>
      </c>
      <c r="J54" s="1" t="n">
        <v>60.55878264561924</v>
      </c>
      <c r="K54" s="1" t="n">
        <v>65.02554201334333</v>
      </c>
      <c r="L54" s="1" t="n">
        <v>68.8303891506074</v>
      </c>
    </row>
    <row r="55">
      <c r="A55" s="2" t="n">
        <v>32659</v>
      </c>
      <c r="B55" s="1" t="n">
        <v>4569.2</v>
      </c>
      <c r="C55" s="1" t="n">
        <v>1171.94952802954</v>
      </c>
      <c r="D55" s="1" t="n">
        <v>590.3093420169072</v>
      </c>
      <c r="F55" s="1" t="n">
        <v>2068.35782556</v>
      </c>
      <c r="G55" s="1" t="n">
        <v>345.4034364968726</v>
      </c>
      <c r="J55" s="1" t="n">
        <v>60.0418261235649</v>
      </c>
      <c r="K55" s="1" t="n">
        <v>66.22630059688065</v>
      </c>
      <c r="L55" s="1" t="n">
        <v>69.75417589169228</v>
      </c>
    </row>
    <row r="56">
      <c r="A56" s="2" t="n">
        <v>32689</v>
      </c>
      <c r="B56" s="1" t="n">
        <v>4579.8</v>
      </c>
      <c r="C56" s="1" t="n">
        <v>1150.87398324353</v>
      </c>
      <c r="D56" s="1" t="n">
        <v>566.0665078679812</v>
      </c>
      <c r="F56" s="1" t="n">
        <v>2128.82334798</v>
      </c>
      <c r="G56" s="1" t="n">
        <v>353.2116845027994</v>
      </c>
      <c r="J56" s="1" t="n">
        <v>61.56060873318657</v>
      </c>
      <c r="K56" s="1" t="n">
        <v>68.09208957198022</v>
      </c>
      <c r="L56" s="1" t="n">
        <v>70.79343848357634</v>
      </c>
    </row>
    <row r="57">
      <c r="A57" s="2" t="n">
        <v>32720</v>
      </c>
      <c r="B57" s="1" t="n">
        <v>4928.3</v>
      </c>
      <c r="C57" s="1" t="n">
        <v>1245.305619813538</v>
      </c>
      <c r="D57" s="1" t="n">
        <v>657.7769545820619</v>
      </c>
      <c r="E57" s="1" t="n">
        <v>64.113749747775</v>
      </c>
      <c r="F57" s="1" t="n">
        <v>2076.80601765</v>
      </c>
      <c r="G57" s="1" t="n">
        <v>353.2116845027994</v>
      </c>
      <c r="J57" s="1" t="n">
        <v>62.66939134255827</v>
      </c>
      <c r="K57" s="1" t="n">
        <v>70.09642634957325</v>
      </c>
      <c r="L57" s="1" t="n">
        <v>71.85941301748933</v>
      </c>
    </row>
    <row r="58">
      <c r="A58" s="2" t="n">
        <v>32751</v>
      </c>
      <c r="B58" s="1" t="n">
        <v>5324</v>
      </c>
      <c r="C58" s="1" t="n">
        <v>1240.22158457666</v>
      </c>
      <c r="D58" s="1" t="n">
        <v>716.5051459017336</v>
      </c>
      <c r="E58" s="1" t="n">
        <v>64.87801925459399</v>
      </c>
      <c r="F58" s="1" t="n">
        <v>2122.9729911</v>
      </c>
      <c r="G58" s="1" t="n">
        <v>353.2116845027994</v>
      </c>
      <c r="J58" s="1" t="n">
        <v>64.20243482175387</v>
      </c>
      <c r="K58" s="1" t="n">
        <v>70.13953021474829</v>
      </c>
      <c r="L58" s="1" t="n">
        <v>72.96113389861321</v>
      </c>
    </row>
    <row r="59">
      <c r="A59" s="2" t="n">
        <v>32780</v>
      </c>
      <c r="B59" s="1" t="n">
        <v>5255.4</v>
      </c>
      <c r="C59" s="1" t="n">
        <v>1224.683771594361</v>
      </c>
      <c r="D59" s="1" t="n">
        <v>836.5682991125494</v>
      </c>
      <c r="E59" s="1" t="n">
        <v>63.170111474696</v>
      </c>
      <c r="F59" s="1" t="n">
        <v>2207.77114464</v>
      </c>
      <c r="G59" s="1" t="n">
        <v>354.2713906114155</v>
      </c>
      <c r="J59" s="1" t="n">
        <v>63.04017395147999</v>
      </c>
      <c r="K59" s="1" t="n">
        <v>70.64446322021408</v>
      </c>
      <c r="L59" s="1" t="n">
        <v>73.98888903603449</v>
      </c>
    </row>
    <row r="60">
      <c r="A60" s="2" t="n">
        <v>32812</v>
      </c>
      <c r="B60" s="1" t="n">
        <v>5026.8</v>
      </c>
      <c r="C60" s="1" t="n">
        <v>1184.442358348938</v>
      </c>
      <c r="D60" s="1" t="n">
        <v>914.8392373447266</v>
      </c>
      <c r="E60" s="1" t="n">
        <v>60.109816396968</v>
      </c>
      <c r="F60" s="1" t="n">
        <v>2174.99977737</v>
      </c>
      <c r="G60" s="1" t="n">
        <v>354.2713906114155</v>
      </c>
      <c r="J60" s="1" t="n">
        <v>63.93345213902575</v>
      </c>
      <c r="K60" s="1" t="n">
        <v>72.06690016692848</v>
      </c>
      <c r="L60" s="1" t="n">
        <v>75.12677763584917</v>
      </c>
    </row>
    <row r="61">
      <c r="A61" s="2" t="n">
        <v>32842</v>
      </c>
      <c r="B61" s="1" t="n">
        <v>4954.5</v>
      </c>
      <c r="C61" s="1" t="n">
        <v>1233.726696933838</v>
      </c>
      <c r="D61" s="1" t="n">
        <v>948.0346510510259</v>
      </c>
      <c r="E61" s="1" t="n">
        <v>61.079135533242</v>
      </c>
      <c r="F61" s="1" t="n">
        <v>2218.9757361</v>
      </c>
      <c r="G61" s="1" t="n">
        <v>354.2713906114155</v>
      </c>
      <c r="J61" s="1" t="n">
        <v>65.85428824011412</v>
      </c>
      <c r="K61" s="1" t="n">
        <v>72.89819167985803</v>
      </c>
      <c r="L61" s="1" t="n">
        <v>76.26466121933669</v>
      </c>
    </row>
    <row r="62">
      <c r="A62" s="2" t="n">
        <v>32871</v>
      </c>
      <c r="B62" s="1" t="n">
        <v>5089.2</v>
      </c>
      <c r="C62" s="1" t="n">
        <v>1251.435833930725</v>
      </c>
      <c r="D62" s="1" t="n">
        <v>1154.686714072998</v>
      </c>
      <c r="E62" s="1" t="n">
        <v>60.58996067294599</v>
      </c>
      <c r="F62" s="1" t="n">
        <v>2395.25699212</v>
      </c>
      <c r="G62" s="1" t="n">
        <v>356.4226428848851</v>
      </c>
      <c r="J62" s="1" t="n">
        <v>67.30799064986169</v>
      </c>
      <c r="K62" s="1" t="n">
        <v>73.66482504604053</v>
      </c>
      <c r="L62" s="1" t="n">
        <v>77.43542181091016</v>
      </c>
    </row>
    <row r="63">
      <c r="A63" s="2" t="n">
        <v>32904</v>
      </c>
      <c r="B63" s="1" t="n">
        <v>5182.4</v>
      </c>
      <c r="C63" s="1" t="n">
        <v>1229.169448974609</v>
      </c>
      <c r="D63" s="1" t="n">
        <v>1348.237924804681</v>
      </c>
      <c r="E63" s="1" t="n">
        <v>60.625785612</v>
      </c>
      <c r="F63" s="1" t="n">
        <v>2463.43488</v>
      </c>
      <c r="G63" s="1" t="n">
        <v>356.4226428848851</v>
      </c>
      <c r="J63" s="1" t="n">
        <v>68.52970952885474</v>
      </c>
      <c r="K63" s="1" t="n">
        <v>73.09760589318601</v>
      </c>
      <c r="L63" s="1" t="n">
        <v>78.64357912132408</v>
      </c>
    </row>
    <row r="64">
      <c r="A64" s="2" t="n">
        <v>32932</v>
      </c>
      <c r="B64" s="1" t="n">
        <v>4867.1</v>
      </c>
      <c r="C64" s="1" t="n">
        <v>1198.965685674805</v>
      </c>
      <c r="D64" s="1" t="n">
        <v>1602.911649135983</v>
      </c>
      <c r="E64" s="1" t="n">
        <v>60.428688070604</v>
      </c>
      <c r="F64" s="1" t="n">
        <v>2472.79992554</v>
      </c>
      <c r="G64" s="1" t="n">
        <v>356.4226428848851</v>
      </c>
      <c r="J64" s="1" t="n">
        <v>68.19497020674591</v>
      </c>
      <c r="K64" s="1" t="n">
        <v>73.45119705340701</v>
      </c>
      <c r="L64" s="1" t="n">
        <v>79.66023814310819</v>
      </c>
    </row>
    <row r="65">
      <c r="A65" s="2" t="n">
        <v>32962</v>
      </c>
      <c r="B65" s="1" t="n">
        <v>4786.1</v>
      </c>
      <c r="C65" s="1" t="n">
        <v>1158.328936592529</v>
      </c>
      <c r="D65" s="1" t="n">
        <v>1519.033170003177</v>
      </c>
      <c r="E65" s="1" t="n">
        <v>60.367248454678</v>
      </c>
      <c r="F65" s="1" t="n">
        <v>2503.8863149</v>
      </c>
      <c r="G65" s="1" t="n">
        <v>359.2709567681902</v>
      </c>
      <c r="J65" s="1" t="n">
        <v>68.78061588526197</v>
      </c>
      <c r="K65" s="1" t="n">
        <v>73.90791896869247</v>
      </c>
      <c r="L65" s="1" t="n">
        <v>80.8092178422329</v>
      </c>
    </row>
    <row r="66">
      <c r="A66" s="2" t="n">
        <v>32993</v>
      </c>
      <c r="B66" s="1" t="n">
        <v>4507.7</v>
      </c>
      <c r="C66" s="1" t="n">
        <v>1149.810850121703</v>
      </c>
      <c r="D66" s="1" t="n">
        <v>1650.196210314334</v>
      </c>
      <c r="E66" s="1" t="n">
        <v>60.171873099822</v>
      </c>
      <c r="F66" s="1" t="n">
        <v>2496.39029928</v>
      </c>
      <c r="G66" s="1" t="n">
        <v>359.2709567681902</v>
      </c>
      <c r="J66" s="1" t="n">
        <v>69.06555100744231</v>
      </c>
      <c r="K66" s="1" t="n">
        <v>73.89318600368327</v>
      </c>
      <c r="L66" s="1" t="n">
        <v>81.82916757462188</v>
      </c>
    </row>
    <row r="67">
      <c r="A67" s="2" t="n">
        <v>33024</v>
      </c>
      <c r="B67" s="1" t="n">
        <v>4772.8</v>
      </c>
      <c r="C67" s="1" t="n">
        <v>1219.524926118957</v>
      </c>
      <c r="D67" s="1" t="n">
        <v>1762.164591207889</v>
      </c>
      <c r="E67" s="1" t="n">
        <v>58.96344251226601</v>
      </c>
      <c r="F67" s="1" t="n">
        <v>2415.3759321</v>
      </c>
      <c r="G67" s="1" t="n">
        <v>359.2709567681902</v>
      </c>
      <c r="J67" s="1" t="n">
        <v>70.37678970376659</v>
      </c>
      <c r="K67" s="1" t="n">
        <v>76.33149171270721</v>
      </c>
      <c r="L67" s="1" t="n">
        <v>82.87253853843491</v>
      </c>
    </row>
    <row r="68">
      <c r="A68" s="2" t="n">
        <v>33053</v>
      </c>
      <c r="B68" s="1" t="n">
        <v>4767.1</v>
      </c>
      <c r="C68" s="1" t="n">
        <v>1166.246563117981</v>
      </c>
      <c r="D68" s="1" t="n">
        <v>1784.722114812619</v>
      </c>
      <c r="E68" s="1" t="n">
        <v>57.52761114464001</v>
      </c>
      <c r="F68" s="1" t="n">
        <v>2310.67463575</v>
      </c>
      <c r="G68" s="1" t="n">
        <v>363.5926509907148</v>
      </c>
      <c r="J68" s="1" t="n">
        <v>71.41758359133223</v>
      </c>
      <c r="K68" s="1" t="n">
        <v>77.69429097605897</v>
      </c>
      <c r="L68" s="1" t="n">
        <v>83.87563341162817</v>
      </c>
    </row>
    <row r="69">
      <c r="A69" s="2" t="n">
        <v>33085</v>
      </c>
      <c r="B69" s="1" t="n">
        <v>5008.4</v>
      </c>
      <c r="C69" s="1" t="n">
        <v>1144.353501781677</v>
      </c>
      <c r="D69" s="1" t="n">
        <v>1953.755488828613</v>
      </c>
      <c r="E69" s="1" t="n">
        <v>56.50904978719001</v>
      </c>
      <c r="F69" s="1" t="n">
        <v>2496.00675809</v>
      </c>
      <c r="G69" s="1" t="n">
        <v>363.5926509907148</v>
      </c>
      <c r="J69" s="1" t="n">
        <v>72.9349571923975</v>
      </c>
      <c r="K69" s="1" t="n">
        <v>78.93922651933705</v>
      </c>
      <c r="L69" s="1" t="n">
        <v>84.93462521816006</v>
      </c>
    </row>
    <row r="70">
      <c r="A70" s="2" t="n">
        <v>33116</v>
      </c>
      <c r="B70" s="1" t="n">
        <v>4804.8</v>
      </c>
      <c r="C70" s="1" t="n">
        <v>998.8892778475955</v>
      </c>
      <c r="D70" s="1" t="n">
        <v>1675.201908774414</v>
      </c>
      <c r="E70" s="1" t="n">
        <v>52.354601281621</v>
      </c>
      <c r="F70" s="1" t="n">
        <v>2830.93112605</v>
      </c>
      <c r="G70" s="1" t="n">
        <v>363.5926509907148</v>
      </c>
      <c r="J70" s="1" t="n">
        <v>73.79104767967219</v>
      </c>
      <c r="K70" s="1" t="n">
        <v>78.3425414364641</v>
      </c>
      <c r="L70" s="1" t="n">
        <v>86.03757509943364</v>
      </c>
    </row>
    <row r="71">
      <c r="A71" s="2" t="n">
        <v>33144</v>
      </c>
      <c r="B71" s="1" t="n">
        <v>4464.2</v>
      </c>
      <c r="C71" s="1" t="n">
        <v>872.5244027669672</v>
      </c>
      <c r="D71" s="1" t="n">
        <v>1464.086137477289</v>
      </c>
      <c r="E71" s="1" t="n">
        <v>47.970135124404</v>
      </c>
      <c r="F71" s="1" t="n">
        <v>3440.37997209</v>
      </c>
      <c r="G71" s="1" t="n">
        <v>361.4293352049556</v>
      </c>
      <c r="J71" s="1" t="n">
        <v>74.91883731510423</v>
      </c>
      <c r="K71" s="1" t="n">
        <v>78.99079189686928</v>
      </c>
      <c r="L71" s="1" t="n">
        <v>87.00985969132333</v>
      </c>
    </row>
    <row r="72">
      <c r="A72" s="2" t="n">
        <v>33177</v>
      </c>
      <c r="B72" s="1" t="n">
        <v>4286.2</v>
      </c>
      <c r="C72" s="1" t="n">
        <v>975.1739590576171</v>
      </c>
      <c r="D72" s="1" t="n">
        <v>1548.375785286868</v>
      </c>
      <c r="E72" s="1" t="n">
        <v>48.84561177969</v>
      </c>
      <c r="F72" s="1" t="n">
        <v>3393.1906429</v>
      </c>
      <c r="G72" s="1" t="n">
        <v>361.4293352049556</v>
      </c>
      <c r="J72" s="1" t="n">
        <v>76.60516196830631</v>
      </c>
      <c r="K72" s="1" t="n">
        <v>80.78821362799266</v>
      </c>
      <c r="L72" s="1" t="n">
        <v>88.04295220082324</v>
      </c>
    </row>
    <row r="73">
      <c r="A73" s="2" t="n">
        <v>33207</v>
      </c>
      <c r="B73" s="1" t="n">
        <v>4301</v>
      </c>
      <c r="C73" s="1" t="n">
        <v>983.3373068701172</v>
      </c>
      <c r="D73" s="1" t="n">
        <v>1559.848040001227</v>
      </c>
      <c r="E73" s="1" t="n">
        <v>50.460555151755</v>
      </c>
      <c r="F73" s="1" t="n">
        <v>3224.617179</v>
      </c>
      <c r="G73" s="1" t="n">
        <v>361.4293352049556</v>
      </c>
      <c r="J73" s="1" t="n">
        <v>78.82921345686088</v>
      </c>
      <c r="K73" s="1" t="n">
        <v>82.70349907918974</v>
      </c>
      <c r="L73" s="1" t="n">
        <v>88.97208634664105</v>
      </c>
    </row>
    <row r="74">
      <c r="A74" s="2" t="n">
        <v>33238</v>
      </c>
      <c r="B74" s="1" t="n">
        <v>4197.7</v>
      </c>
      <c r="C74" s="1" t="n">
        <v>1014.021538251526</v>
      </c>
      <c r="D74" s="1" t="n">
        <v>1665.098671614258</v>
      </c>
      <c r="E74" s="1" t="n">
        <v>50.41043077594401</v>
      </c>
      <c r="F74" s="1" t="n">
        <v>3169.37144872</v>
      </c>
      <c r="G74" s="1" t="n">
        <v>364.6762348659014</v>
      </c>
      <c r="J74" s="1" t="n">
        <v>80.16251467500145</v>
      </c>
      <c r="K74" s="1" t="n">
        <v>84.07366482504607</v>
      </c>
      <c r="L74" s="1" t="n">
        <v>89.92874006315756</v>
      </c>
    </row>
    <row r="75">
      <c r="A75" s="2" t="n">
        <v>33269</v>
      </c>
      <c r="B75" s="1" t="n">
        <v>4335.6</v>
      </c>
      <c r="C75" s="1" t="n">
        <v>1021.431087672852</v>
      </c>
      <c r="D75" s="1" t="n">
        <v>1836.467248163568</v>
      </c>
      <c r="E75" s="1" t="n">
        <v>53.63760510946599</v>
      </c>
      <c r="F75" s="1" t="n">
        <v>2828.461373386</v>
      </c>
      <c r="G75" s="1" t="n">
        <v>364.6762348659014</v>
      </c>
      <c r="J75" s="1" t="n">
        <v>82.01967573710527</v>
      </c>
      <c r="K75" s="1" t="n">
        <v>85.51749539594846</v>
      </c>
      <c r="L75" s="1" t="n">
        <v>90.8545834983705</v>
      </c>
    </row>
    <row r="76">
      <c r="A76" s="2" t="n">
        <v>33297</v>
      </c>
      <c r="B76" s="1" t="n">
        <v>4622.1</v>
      </c>
      <c r="C76" s="1" t="n">
        <v>1121.228744016175</v>
      </c>
      <c r="D76" s="1" t="n">
        <v>2134.278097907227</v>
      </c>
      <c r="E76" s="1" t="n">
        <v>55.114826837652</v>
      </c>
      <c r="F76" s="1" t="n">
        <v>2857.106257593</v>
      </c>
      <c r="G76" s="1" t="n">
        <v>364.6762348659014</v>
      </c>
      <c r="J76" s="1" t="n">
        <v>83.09703785057634</v>
      </c>
      <c r="K76" s="1" t="n">
        <v>86.77716390423575</v>
      </c>
      <c r="L76" s="1" t="n">
        <v>91.66824179338913</v>
      </c>
    </row>
    <row r="77">
      <c r="A77" s="2" t="n">
        <v>33326</v>
      </c>
      <c r="B77" s="1" t="n">
        <v>4775.8</v>
      </c>
      <c r="C77" s="1" t="n">
        <v>1162.70252686615</v>
      </c>
      <c r="D77" s="1" t="n">
        <v>2346.27609546423</v>
      </c>
      <c r="E77" s="1" t="n">
        <v>58.628196468343</v>
      </c>
      <c r="F77" s="1" t="n">
        <v>3024.026854222</v>
      </c>
      <c r="G77" s="1" t="n">
        <v>365.4020313024098</v>
      </c>
      <c r="J77" s="1" t="n">
        <v>83.95185860778486</v>
      </c>
      <c r="K77" s="1" t="n">
        <v>87.47697974217313</v>
      </c>
      <c r="L77" s="1" t="n">
        <v>92.55833888139115</v>
      </c>
    </row>
    <row r="78">
      <c r="A78" s="2" t="n">
        <v>33358</v>
      </c>
      <c r="B78" s="1" t="n">
        <v>5092.7</v>
      </c>
      <c r="C78" s="1" t="n">
        <v>1150.58726315741</v>
      </c>
      <c r="D78" s="1" t="n">
        <v>2367.626697879645</v>
      </c>
      <c r="E78" s="1" t="n">
        <v>58.812600472558</v>
      </c>
      <c r="F78" s="1" t="n">
        <v>3047.119296177</v>
      </c>
      <c r="G78" s="1" t="n">
        <v>365.4020313024098</v>
      </c>
      <c r="J78" s="1" t="n">
        <v>85.90989010447801</v>
      </c>
      <c r="K78" s="1" t="n">
        <v>88.60405156537755</v>
      </c>
      <c r="L78" s="1" t="n">
        <v>93.45911071355046</v>
      </c>
    </row>
    <row r="79">
      <c r="A79" s="2" t="n">
        <v>33389</v>
      </c>
      <c r="B79" s="1" t="n">
        <v>5038.3</v>
      </c>
      <c r="C79" s="1" t="n">
        <v>1210.972374962158</v>
      </c>
      <c r="D79" s="1" t="n">
        <v>2656.899495111328</v>
      </c>
      <c r="E79" s="1" t="n">
        <v>60.430612136736</v>
      </c>
      <c r="F79" s="1" t="n">
        <v>3123.93586012</v>
      </c>
      <c r="G79" s="1" t="n">
        <v>365.4020313024098</v>
      </c>
      <c r="J79" s="1" t="n">
        <v>88.01858084502152</v>
      </c>
      <c r="K79" s="1" t="n">
        <v>89.53959484346225</v>
      </c>
      <c r="L79" s="1" t="n">
        <v>94.42645923953283</v>
      </c>
    </row>
    <row r="80">
      <c r="A80" s="2" t="n">
        <v>33417</v>
      </c>
      <c r="B80" s="1" t="n">
        <v>5046.6</v>
      </c>
      <c r="C80" s="1" t="n">
        <v>1141.455294929443</v>
      </c>
      <c r="D80" s="1" t="n">
        <v>2615.035514546627</v>
      </c>
      <c r="E80" s="1" t="n">
        <v>58.703859467748</v>
      </c>
      <c r="F80" s="1" t="n">
        <v>3025.198607916</v>
      </c>
      <c r="G80" s="1" t="n">
        <v>370.8894158289794</v>
      </c>
      <c r="J80" s="1" t="n">
        <v>87.42096122721489</v>
      </c>
      <c r="K80" s="1" t="n">
        <v>89.6500920810313</v>
      </c>
      <c r="L80" s="1" t="n">
        <v>95.20724052646554</v>
      </c>
    </row>
    <row r="81">
      <c r="A81" s="2" t="n">
        <v>33450</v>
      </c>
      <c r="B81" s="1" t="n">
        <v>5273.9</v>
      </c>
      <c r="C81" s="1" t="n">
        <v>1170.5668910495</v>
      </c>
      <c r="D81" s="1" t="n">
        <v>2746.584715239258</v>
      </c>
      <c r="E81" s="1" t="n">
        <v>58.90201911687</v>
      </c>
      <c r="F81" s="1" t="n">
        <v>3142.81879212</v>
      </c>
      <c r="G81" s="1" t="n">
        <v>370.8894158289794</v>
      </c>
      <c r="J81" s="1" t="n">
        <v>88.7763249671717</v>
      </c>
      <c r="K81" s="1" t="n">
        <v>90.99079189686925</v>
      </c>
      <c r="L81" s="1" t="n">
        <v>96.0734899952365</v>
      </c>
    </row>
    <row r="82">
      <c r="A82" s="2" t="n">
        <v>33480</v>
      </c>
      <c r="B82" s="1" t="n">
        <v>5173.5</v>
      </c>
      <c r="C82" s="1" t="n">
        <v>1157.62073507959</v>
      </c>
      <c r="D82" s="1" t="n">
        <v>2858.200038486335</v>
      </c>
      <c r="E82" s="1" t="n">
        <v>58.418522223048</v>
      </c>
      <c r="F82" s="1" t="n">
        <v>3171.764381952</v>
      </c>
      <c r="G82" s="1" t="n">
        <v>370.8894158289794</v>
      </c>
      <c r="J82" s="1" t="n">
        <v>90.3882588291642</v>
      </c>
      <c r="K82" s="1" t="n">
        <v>93.04604051565379</v>
      </c>
      <c r="L82" s="1" t="n">
        <v>96.88304493465331</v>
      </c>
    </row>
    <row r="83">
      <c r="A83" s="2" t="n">
        <v>33511</v>
      </c>
      <c r="B83" s="1" t="n">
        <v>5257.4</v>
      </c>
      <c r="C83" s="1" t="n">
        <v>1137.419217773437</v>
      </c>
      <c r="D83" s="1" t="n">
        <v>2798.097895019531</v>
      </c>
      <c r="E83" s="1" t="n">
        <v>56.99646072</v>
      </c>
      <c r="F83" s="1" t="n">
        <v>3125.796138</v>
      </c>
      <c r="G83" s="1" t="n">
        <v>383.3219610536322</v>
      </c>
      <c r="J83" s="1" t="n">
        <v>93.00758113498169</v>
      </c>
      <c r="K83" s="1" t="n">
        <v>95.0939226519337</v>
      </c>
      <c r="L83" s="1" t="n">
        <v>97.73244957688284</v>
      </c>
    </row>
    <row r="84">
      <c r="A84" s="2" t="n">
        <v>33542</v>
      </c>
      <c r="B84" s="1" t="n">
        <v>5700.1</v>
      </c>
      <c r="C84" s="1" t="n">
        <v>1187.075947298401</v>
      </c>
      <c r="D84" s="1" t="n">
        <v>3091.151400961914</v>
      </c>
      <c r="E84" s="1" t="n">
        <v>59.427243886451</v>
      </c>
      <c r="F84" s="1" t="n">
        <v>3305.103794853</v>
      </c>
      <c r="G84" s="1" t="n">
        <v>383.3219610536322</v>
      </c>
      <c r="J84" s="1" t="n">
        <v>96.26613172810724</v>
      </c>
      <c r="K84" s="1" t="n">
        <v>96.34622467771641</v>
      </c>
      <c r="L84" s="1" t="n">
        <v>98.58843564032213</v>
      </c>
    </row>
    <row r="85">
      <c r="A85" s="2" t="n">
        <v>33571</v>
      </c>
      <c r="B85" s="1" t="n">
        <v>5469.1</v>
      </c>
      <c r="C85" s="1" t="n">
        <v>1117.355966285705</v>
      </c>
      <c r="D85" s="1" t="n">
        <v>3117.546769790777</v>
      </c>
      <c r="E85" s="1" t="n">
        <v>58.40869597800599</v>
      </c>
      <c r="F85" s="1" t="n">
        <v>3147.434987960999</v>
      </c>
      <c r="G85" s="1" t="n">
        <v>383.3219610536322</v>
      </c>
      <c r="J85" s="1" t="n">
        <v>97.13986761563471</v>
      </c>
      <c r="K85" s="1" t="n">
        <v>97.2965009208103</v>
      </c>
      <c r="L85" s="1" t="n">
        <v>99.28497272923913</v>
      </c>
    </row>
    <row r="86">
      <c r="A86" s="2" t="n">
        <v>33603</v>
      </c>
      <c r="B86" s="1" t="n">
        <v>5634.9</v>
      </c>
      <c r="C86" s="1" t="n">
        <v>1199.448623786866</v>
      </c>
      <c r="D86" s="1" t="n">
        <v>3674.284357398438</v>
      </c>
      <c r="E86" s="1" t="n">
        <v>63.377599435316</v>
      </c>
      <c r="F86" s="1" t="n">
        <v>3009.3655436</v>
      </c>
      <c r="G86" s="1" t="n">
        <v>384.472118891287</v>
      </c>
      <c r="J86" s="1" t="n">
        <v>97.35641045925138</v>
      </c>
      <c r="K86" s="1" t="n">
        <v>98.52302025782689</v>
      </c>
      <c r="L86" s="1" t="n">
        <v>98.52302025782689</v>
      </c>
    </row>
    <row r="87">
      <c r="A87" s="2" t="n">
        <v>33634</v>
      </c>
      <c r="B87" s="1" t="n">
        <v>5544.2</v>
      </c>
      <c r="C87" s="1" t="n">
        <v>1208.697123771973</v>
      </c>
      <c r="D87" s="1" t="n">
        <v>4279.360371346429</v>
      </c>
      <c r="E87" s="1" t="n">
        <v>65.45440976919899</v>
      </c>
      <c r="F87" s="1" t="n">
        <v>3125.804345895</v>
      </c>
      <c r="G87" s="1" t="n">
        <v>384.472118891287</v>
      </c>
      <c r="J87" s="1" t="n">
        <v>97.57295330286803</v>
      </c>
      <c r="K87" s="1" t="n">
        <v>99.74953959484345</v>
      </c>
      <c r="L87" s="1" t="n">
        <v>100.6780469070731</v>
      </c>
    </row>
    <row r="88">
      <c r="A88" s="2" t="n">
        <v>33662</v>
      </c>
      <c r="B88" s="1" t="n">
        <v>5525.7</v>
      </c>
      <c r="C88" s="1" t="n">
        <v>1201.583548996338</v>
      </c>
      <c r="D88" s="1" t="n">
        <v>4607.32767941308</v>
      </c>
      <c r="E88" s="1" t="n">
        <v>63.534360335336</v>
      </c>
      <c r="F88" s="1" t="n">
        <v>3085.446721336</v>
      </c>
      <c r="G88" s="1" t="n">
        <v>384.472118891287</v>
      </c>
      <c r="J88" s="1" t="n">
        <v>98.46181821651714</v>
      </c>
      <c r="K88" s="1" t="n">
        <v>100.5524861878453</v>
      </c>
      <c r="L88" s="1" t="n">
        <v>101.2874704588495</v>
      </c>
    </row>
    <row r="89">
      <c r="A89" s="2" t="n">
        <v>33694</v>
      </c>
      <c r="B89" s="1" t="n">
        <v>5435.9</v>
      </c>
      <c r="C89" s="1" t="n">
        <v>1133.297888667969</v>
      </c>
      <c r="D89" s="1" t="n">
        <v>4844.072701875976</v>
      </c>
      <c r="E89" s="1" t="n">
        <v>60.560625446432</v>
      </c>
      <c r="F89" s="1" t="n">
        <v>3056.740958897999</v>
      </c>
      <c r="G89" s="1" t="n">
        <v>383.0583205473721</v>
      </c>
      <c r="J89" s="1" t="n">
        <v>99.5259366606315</v>
      </c>
      <c r="K89" s="1" t="n">
        <v>100.2578268876611</v>
      </c>
      <c r="L89" s="1" t="n">
        <v>101.9236009363275</v>
      </c>
    </row>
    <row r="90">
      <c r="A90" s="2" t="n">
        <v>33724</v>
      </c>
      <c r="B90" s="1" t="n">
        <v>5715.9</v>
      </c>
      <c r="C90" s="1" t="n">
        <v>1170.748009626465</v>
      </c>
      <c r="D90" s="1" t="n">
        <v>5086.233112170404</v>
      </c>
      <c r="E90" s="1" t="n">
        <v>62.19629089764</v>
      </c>
      <c r="F90" s="1" t="n">
        <v>3208.6167336</v>
      </c>
      <c r="G90" s="1" t="n">
        <v>383.0583205473721</v>
      </c>
      <c r="J90" s="1" t="n">
        <v>102.4944962973132</v>
      </c>
      <c r="K90" s="1" t="n">
        <v>101.1049723756906</v>
      </c>
      <c r="L90" s="1" t="n">
        <v>102.6246627523263</v>
      </c>
    </row>
    <row r="91">
      <c r="A91" s="2" t="n">
        <v>33753</v>
      </c>
      <c r="B91" s="1" t="n">
        <v>6016.7</v>
      </c>
      <c r="C91" s="1" t="n">
        <v>1192.159299105469</v>
      </c>
      <c r="D91" s="1" t="n">
        <v>5243.132282800788</v>
      </c>
      <c r="E91" s="1" t="n">
        <v>63.73408070904</v>
      </c>
      <c r="F91" s="1" t="n">
        <v>3289.957175232</v>
      </c>
      <c r="G91" s="1" t="n">
        <v>383.0583205473721</v>
      </c>
      <c r="J91" s="1" t="n">
        <v>104.2419680723682</v>
      </c>
      <c r="K91" s="1" t="n">
        <v>102.9318600368324</v>
      </c>
      <c r="L91" s="1" t="n">
        <v>103.2201108166861</v>
      </c>
    </row>
    <row r="92">
      <c r="A92" s="2" t="n">
        <v>33785</v>
      </c>
      <c r="B92" s="1" t="n">
        <v>5901.3</v>
      </c>
      <c r="C92" s="1" t="n">
        <v>1148.026519729004</v>
      </c>
      <c r="D92" s="1" t="n">
        <v>4944.862406462891</v>
      </c>
      <c r="E92" s="1" t="n">
        <v>63.90514176942001</v>
      </c>
      <c r="F92" s="1" t="n">
        <v>3316.107019974</v>
      </c>
      <c r="G92" s="1" t="n">
        <v>385.328610902475</v>
      </c>
      <c r="J92" s="1" t="n">
        <v>106.6942323781475</v>
      </c>
      <c r="K92" s="1" t="n">
        <v>104.073664825046</v>
      </c>
      <c r="L92" s="1" t="n">
        <v>103.773642451451</v>
      </c>
    </row>
    <row r="93">
      <c r="A93" s="2" t="n">
        <v>33816</v>
      </c>
      <c r="B93" s="1" t="n">
        <v>5792.5</v>
      </c>
      <c r="C93" s="1" t="n">
        <v>1149.301656822266</v>
      </c>
      <c r="D93" s="1" t="n">
        <v>5169.717714246093</v>
      </c>
      <c r="E93" s="1" t="n">
        <v>65.39398285348599</v>
      </c>
      <c r="F93" s="1" t="n">
        <v>3282.413878254</v>
      </c>
      <c r="G93" s="1" t="n">
        <v>385.328610902475</v>
      </c>
      <c r="J93" s="1" t="n">
        <v>110.32030441509</v>
      </c>
      <c r="K93" s="1" t="n">
        <v>105.7090239410681</v>
      </c>
      <c r="L93" s="1" t="n">
        <v>104.3834673093986</v>
      </c>
    </row>
    <row r="94">
      <c r="A94" s="2" t="n">
        <v>33847</v>
      </c>
      <c r="B94" s="1" t="n">
        <v>5531.9</v>
      </c>
      <c r="C94" s="1" t="n">
        <v>1205.998115249512</v>
      </c>
      <c r="D94" s="1" t="n">
        <v>5246.081221004883</v>
      </c>
      <c r="E94" s="1" t="n">
        <v>66.519672175349</v>
      </c>
      <c r="F94" s="1" t="n">
        <v>3429.314173908</v>
      </c>
      <c r="G94" s="1" t="n">
        <v>385.328610902475</v>
      </c>
      <c r="J94" s="1" t="n">
        <v>106.6885609171853</v>
      </c>
      <c r="K94" s="1" t="n">
        <v>106.6961325966851</v>
      </c>
      <c r="L94" s="1" t="n">
        <v>104.8494740681972</v>
      </c>
    </row>
    <row r="95">
      <c r="A95" s="2" t="n">
        <v>33877</v>
      </c>
      <c r="B95" s="1" t="n">
        <v>5304.4</v>
      </c>
      <c r="C95" s="1" t="n">
        <v>1210.019813208618</v>
      </c>
      <c r="D95" s="1" t="n">
        <v>5479.82004626953</v>
      </c>
      <c r="E95" s="1" t="n">
        <v>66.89536080720599</v>
      </c>
      <c r="F95" s="1" t="n">
        <v>3478.758649098</v>
      </c>
      <c r="G95" s="1" t="n">
        <v>386.8179420788951</v>
      </c>
      <c r="J95" s="1" t="n">
        <v>107.7772659525807</v>
      </c>
      <c r="K95" s="1" t="n">
        <v>108.2062615101289</v>
      </c>
      <c r="L95" s="1" t="n">
        <v>105.352872529509</v>
      </c>
    </row>
    <row r="96">
      <c r="A96" s="2" t="n">
        <v>33907</v>
      </c>
      <c r="B96" s="1" t="n">
        <v>5137.1</v>
      </c>
      <c r="C96" s="1" t="n">
        <v>1250.155038513793</v>
      </c>
      <c r="D96" s="1" t="n">
        <v>6128.945347372558</v>
      </c>
      <c r="E96" s="1" t="n">
        <v>69.032759163186</v>
      </c>
      <c r="F96" s="1" t="n">
        <v>3482.968800486</v>
      </c>
      <c r="G96" s="1" t="n">
        <v>386.8179420788951</v>
      </c>
      <c r="J96" s="1" t="n">
        <v>108.7745581185463</v>
      </c>
      <c r="K96" s="1" t="n">
        <v>108.2504604051565</v>
      </c>
      <c r="L96" s="1" t="n">
        <v>105.8772292056184</v>
      </c>
    </row>
    <row r="97">
      <c r="A97" s="2" t="n">
        <v>33938</v>
      </c>
      <c r="B97" s="1" t="n">
        <v>5248.1</v>
      </c>
      <c r="C97" s="1" t="n">
        <v>1313.466680543335</v>
      </c>
      <c r="D97" s="1" t="n">
        <v>6352.112107766601</v>
      </c>
      <c r="E97" s="1" t="n">
        <v>71.495247711852</v>
      </c>
      <c r="F97" s="1" t="n">
        <v>3494.271845256</v>
      </c>
      <c r="G97" s="1" t="n">
        <v>386.8179420788951</v>
      </c>
      <c r="J97" s="1" t="n">
        <v>108.6749574140231</v>
      </c>
      <c r="K97" s="1" t="n">
        <v>108.4788213627993</v>
      </c>
      <c r="L97" s="1" t="n">
        <v>106.3946031543468</v>
      </c>
    </row>
    <row r="98">
      <c r="A98" s="2" t="n">
        <v>33969</v>
      </c>
      <c r="B98" s="1" t="n">
        <v>5664.9</v>
      </c>
      <c r="C98" s="1" t="n">
        <v>1315.08902399945</v>
      </c>
      <c r="D98" s="1" t="n">
        <v>6687.718837583984</v>
      </c>
      <c r="E98" s="1" t="n">
        <v>71.932413233373</v>
      </c>
      <c r="F98" s="1" t="n">
        <v>3470.73197786</v>
      </c>
      <c r="G98" s="1" t="n">
        <v>391.6974825756774</v>
      </c>
      <c r="J98" s="1" t="n">
        <v>110.4136026412848</v>
      </c>
      <c r="K98" s="1" t="n">
        <v>110.1436464088398</v>
      </c>
      <c r="L98" s="1" t="n">
        <v>106.9197825081074</v>
      </c>
    </row>
    <row r="99">
      <c r="A99" s="2" t="n">
        <v>33998</v>
      </c>
      <c r="B99" s="1" t="n">
        <v>5564.2</v>
      </c>
      <c r="C99" s="1" t="n">
        <v>1341.868125180359</v>
      </c>
      <c r="D99" s="1" t="n">
        <v>7041.654007643555</v>
      </c>
      <c r="E99" s="1" t="n">
        <v>76.49330868997799</v>
      </c>
      <c r="F99" s="1" t="n">
        <v>3565.770042294</v>
      </c>
      <c r="G99" s="1" t="n">
        <v>391.6974825756774</v>
      </c>
      <c r="J99" s="1" t="n">
        <v>112.3955897118929</v>
      </c>
      <c r="K99" s="1" t="n">
        <v>112.1694290976059</v>
      </c>
      <c r="L99" s="1" t="n">
        <v>107.4593386554558</v>
      </c>
    </row>
    <row r="100">
      <c r="A100" s="2" t="n">
        <v>34026</v>
      </c>
      <c r="B100" s="1" t="n">
        <v>5877.5</v>
      </c>
      <c r="C100" s="1" t="n">
        <v>1335.237098756408</v>
      </c>
      <c r="D100" s="1" t="n">
        <v>7206.297501086426</v>
      </c>
      <c r="E100" s="1" t="n">
        <v>78.290171486825</v>
      </c>
      <c r="F100" s="1" t="n">
        <v>3520.0895905</v>
      </c>
      <c r="G100" s="1" t="n">
        <v>391.6974825756774</v>
      </c>
      <c r="J100" s="1" t="n">
        <v>115.9535734359542</v>
      </c>
      <c r="K100" s="1" t="n">
        <v>114.3720073664825</v>
      </c>
      <c r="L100" s="1" t="n">
        <v>107.9697198441487</v>
      </c>
    </row>
    <row r="101">
      <c r="A101" s="2" t="n">
        <v>34059</v>
      </c>
      <c r="B101" s="1" t="n">
        <v>6112.1</v>
      </c>
      <c r="C101" s="1" t="n">
        <v>1373.018991745423</v>
      </c>
      <c r="D101" s="1" t="n">
        <v>7578.312026453613</v>
      </c>
      <c r="E101" s="1" t="n">
        <v>82.42082696195399</v>
      </c>
      <c r="F101" s="1" t="n">
        <v>3548.030866829999</v>
      </c>
      <c r="G101" s="1" t="n">
        <v>396.602574703942</v>
      </c>
      <c r="J101" s="1" t="n">
        <v>117.5049911934601</v>
      </c>
      <c r="K101" s="1" t="n">
        <v>114.939226519337</v>
      </c>
      <c r="L101" s="1" t="n">
        <v>108.4948991979094</v>
      </c>
    </row>
    <row r="102">
      <c r="A102" s="2" t="n">
        <v>34089</v>
      </c>
      <c r="B102" s="1" t="n">
        <v>6173.2</v>
      </c>
      <c r="C102" s="1" t="n">
        <v>1407.425835950929</v>
      </c>
      <c r="D102" s="1" t="n">
        <v>7994.613471660156</v>
      </c>
      <c r="E102" s="1" t="n">
        <v>79.68438727284</v>
      </c>
      <c r="F102" s="1" t="n">
        <v>3502.115445416001</v>
      </c>
      <c r="G102" s="1" t="n">
        <v>396.602574703942</v>
      </c>
      <c r="J102" s="1" t="n">
        <v>119.625663568628</v>
      </c>
      <c r="K102" s="1" t="n">
        <v>115.6611418047882</v>
      </c>
      <c r="L102" s="1" t="n">
        <v>108.9769281055981</v>
      </c>
    </row>
    <row r="103">
      <c r="A103" s="2" t="n">
        <v>34120</v>
      </c>
      <c r="B103" s="1" t="n">
        <v>6387.9</v>
      </c>
      <c r="C103" s="1" t="n">
        <v>1487.651260051277</v>
      </c>
      <c r="D103" s="1" t="n">
        <v>8881.22894375</v>
      </c>
      <c r="E103" s="1" t="n">
        <v>82.45366777612</v>
      </c>
      <c r="F103" s="1" t="n">
        <v>3545.86193032</v>
      </c>
      <c r="G103" s="1" t="n">
        <v>396.602574703942</v>
      </c>
      <c r="J103" s="1" t="n">
        <v>119.4390671162384</v>
      </c>
      <c r="K103" s="1" t="n">
        <v>116.1915285451197</v>
      </c>
      <c r="L103" s="1" t="n">
        <v>109.4507402694289</v>
      </c>
    </row>
    <row r="104">
      <c r="A104" s="2" t="n">
        <v>34150</v>
      </c>
      <c r="B104" s="1" t="n">
        <v>6412.5</v>
      </c>
      <c r="C104" s="1" t="n">
        <v>1513.728037815004</v>
      </c>
      <c r="D104" s="1" t="n">
        <v>9743.642194365722</v>
      </c>
      <c r="E104" s="1" t="n">
        <v>86.048927590855</v>
      </c>
      <c r="F104" s="1" t="n">
        <v>3493.667828522</v>
      </c>
      <c r="G104" s="1" t="n">
        <v>400.3989137655867</v>
      </c>
      <c r="J104" s="1" t="n">
        <v>121.5610015261386</v>
      </c>
      <c r="K104" s="1" t="n">
        <v>118.6372007366483</v>
      </c>
      <c r="L104" s="1" t="n">
        <v>109.9118109623202</v>
      </c>
    </row>
    <row r="105">
      <c r="A105" s="2" t="n">
        <v>34180</v>
      </c>
      <c r="B105" s="1" t="n">
        <v>6797.3</v>
      </c>
      <c r="C105" s="1" t="n">
        <v>1500.937581045403</v>
      </c>
      <c r="D105" s="1" t="n">
        <v>10102.63971299707</v>
      </c>
      <c r="E105" s="1" t="n">
        <v>85.71912853946399</v>
      </c>
      <c r="F105" s="1" t="n">
        <v>3346.962856272</v>
      </c>
      <c r="G105" s="1" t="n">
        <v>400.3989137655867</v>
      </c>
      <c r="J105" s="1" t="n">
        <v>124.020822649645</v>
      </c>
      <c r="K105" s="1" t="n">
        <v>119.7421731123389</v>
      </c>
      <c r="L105" s="1" t="n">
        <v>110.4439830761161</v>
      </c>
    </row>
    <row r="106">
      <c r="A106" s="2" t="n">
        <v>34212</v>
      </c>
      <c r="B106" s="1" t="n">
        <v>7270</v>
      </c>
      <c r="C106" s="1" t="n">
        <v>1607.851393547852</v>
      </c>
      <c r="D106" s="1" t="n">
        <v>11714.41676744726</v>
      </c>
      <c r="E106" s="1" t="n">
        <v>90.713852644285</v>
      </c>
      <c r="F106" s="1" t="n">
        <v>3471.539419829</v>
      </c>
      <c r="G106" s="1" t="n">
        <v>400.3989137655867</v>
      </c>
      <c r="J106" s="1" t="n">
        <v>125.8798767638475</v>
      </c>
      <c r="K106" s="1" t="n">
        <v>122.2467771639042</v>
      </c>
      <c r="L106" s="1" t="n">
        <v>110.8943689921958</v>
      </c>
    </row>
    <row r="107">
      <c r="A107" s="2" t="n">
        <v>34242</v>
      </c>
      <c r="B107" s="1" t="n">
        <v>7140.8</v>
      </c>
      <c r="C107" s="1" t="n">
        <v>1634.231433784184</v>
      </c>
      <c r="D107" s="1" t="n">
        <v>13215.07310060156</v>
      </c>
      <c r="E107" s="1" t="n">
        <v>95.390805210416</v>
      </c>
      <c r="F107" s="1" t="n">
        <v>3608.804892928</v>
      </c>
      <c r="G107" s="1" t="n">
        <v>401.9791411302603</v>
      </c>
      <c r="J107" s="1" t="n">
        <v>125.5867461112401</v>
      </c>
      <c r="K107" s="1" t="n">
        <v>122.8139963167588</v>
      </c>
      <c r="L107" s="1" t="n">
        <v>111.327910081734</v>
      </c>
    </row>
    <row r="108">
      <c r="A108" s="2" t="n">
        <v>34271</v>
      </c>
      <c r="B108" s="1" t="n">
        <v>7748.9</v>
      </c>
      <c r="C108" s="1" t="n">
        <v>1649.681094327385</v>
      </c>
      <c r="D108" s="1" t="n">
        <v>14691.80953791504</v>
      </c>
      <c r="E108" s="1" t="n">
        <v>92.04528896552999</v>
      </c>
      <c r="F108" s="1" t="n">
        <v>3378.39907159</v>
      </c>
      <c r="G108" s="1" t="n">
        <v>401.9791411302603</v>
      </c>
      <c r="J108" s="1" t="n">
        <v>127.8990553823935</v>
      </c>
      <c r="K108" s="1" t="n">
        <v>123.8526703499079</v>
      </c>
      <c r="L108" s="1" t="n">
        <v>111.7971975184832</v>
      </c>
    </row>
    <row r="109">
      <c r="A109" s="2" t="n">
        <v>34303</v>
      </c>
      <c r="B109" s="1" t="n">
        <v>7325.4</v>
      </c>
      <c r="C109" s="1" t="n">
        <v>1583.444503984005</v>
      </c>
      <c r="D109" s="1" t="n">
        <v>16211.22009864844</v>
      </c>
      <c r="E109" s="1" t="n">
        <v>89.616453245033</v>
      </c>
      <c r="F109" s="1" t="n">
        <v>3246.884164722</v>
      </c>
      <c r="G109" s="1" t="n">
        <v>401.9791411302603</v>
      </c>
      <c r="J109" s="1" t="n">
        <v>126.9622793209145</v>
      </c>
      <c r="K109" s="1" t="n">
        <v>123.5948434622468</v>
      </c>
      <c r="L109" s="1" t="n">
        <v>112.2286819138934</v>
      </c>
    </row>
    <row r="110">
      <c r="A110" s="2" t="n">
        <v>34334</v>
      </c>
      <c r="B110" s="1" t="n">
        <v>7956.7</v>
      </c>
      <c r="C110" s="1" t="n">
        <v>1621.419470941166</v>
      </c>
      <c r="D110" s="1" t="n">
        <v>19321.75782441406</v>
      </c>
      <c r="E110" s="1" t="n">
        <v>88.42495007525</v>
      </c>
      <c r="F110" s="1" t="n">
        <v>3086.1580619</v>
      </c>
      <c r="G110" s="1" t="n">
        <v>406.948841808736</v>
      </c>
      <c r="J110" s="1" t="n">
        <v>128.4348968609811</v>
      </c>
      <c r="K110" s="1" t="n">
        <v>125.060773480663</v>
      </c>
      <c r="L110" s="1" t="n">
        <v>112.6823585405779</v>
      </c>
    </row>
    <row r="111">
      <c r="A111" s="2" t="n">
        <v>34365</v>
      </c>
      <c r="B111" s="1" t="n">
        <v>8457.1</v>
      </c>
      <c r="C111" s="1" t="n">
        <v>1642.223653276249</v>
      </c>
      <c r="D111" s="1" t="n">
        <v>20000.08841066894</v>
      </c>
      <c r="E111" s="1" t="n">
        <v>88.356827674044</v>
      </c>
      <c r="F111" s="1" t="n">
        <v>3199.003950573</v>
      </c>
      <c r="G111" s="1" t="n">
        <v>406.948841808736</v>
      </c>
      <c r="J111" s="1" t="n">
        <v>130.4439868970014</v>
      </c>
      <c r="K111" s="1" t="n">
        <v>126.0920810313075</v>
      </c>
      <c r="L111" s="1" t="n">
        <v>113.1504119608502</v>
      </c>
    </row>
    <row r="112">
      <c r="A112" s="2" t="n">
        <v>34393</v>
      </c>
      <c r="B112" s="1" t="n">
        <v>7973.7</v>
      </c>
      <c r="C112" s="1" t="n">
        <v>1590.464263703373</v>
      </c>
      <c r="D112" s="1" t="n">
        <v>20548.98657809766</v>
      </c>
      <c r="E112" s="1" t="n">
        <v>88.34062693143601</v>
      </c>
      <c r="F112" s="1" t="n">
        <v>3114.082337124</v>
      </c>
      <c r="G112" s="1" t="n">
        <v>406.948841808736</v>
      </c>
      <c r="J112" s="1" t="n">
        <v>127.8580777302583</v>
      </c>
      <c r="K112" s="1" t="n">
        <v>123.8526703499079</v>
      </c>
      <c r="L112" s="1" t="n">
        <v>113.5560121082098</v>
      </c>
    </row>
    <row r="113">
      <c r="A113" s="2" t="n">
        <v>34424</v>
      </c>
      <c r="B113" s="1" t="n">
        <v>7515.5</v>
      </c>
      <c r="C113" s="1" t="n">
        <v>1537.114590105716</v>
      </c>
      <c r="D113" s="1" t="n">
        <v>20224.78330197266</v>
      </c>
      <c r="E113" s="1" t="n">
        <v>88.20658438253</v>
      </c>
      <c r="F113" s="1" t="n">
        <v>3128.805609928</v>
      </c>
      <c r="G113" s="1" t="n">
        <v>412.6661125967305</v>
      </c>
      <c r="J113" s="1" t="n">
        <v>124.5509926672704</v>
      </c>
      <c r="K113" s="1" t="n">
        <v>121.6353591160221</v>
      </c>
      <c r="L113" s="1" t="n">
        <v>114.0121467351937</v>
      </c>
    </row>
    <row r="114">
      <c r="A114" s="2" t="n">
        <v>34453</v>
      </c>
      <c r="B114" s="1" t="n">
        <v>7616.4</v>
      </c>
      <c r="C114" s="1" t="n">
        <v>1545.710235449714</v>
      </c>
      <c r="D114" s="1" t="n">
        <v>20344.2211390293</v>
      </c>
      <c r="E114" s="1" t="n">
        <v>85.30905144829001</v>
      </c>
      <c r="F114" s="1" t="n">
        <v>3154.498231828</v>
      </c>
      <c r="G114" s="1" t="n">
        <v>412.6661125967305</v>
      </c>
      <c r="J114" s="1" t="n">
        <v>123.524065771094</v>
      </c>
      <c r="K114" s="1" t="n">
        <v>120.9208103130755</v>
      </c>
      <c r="L114" s="1" t="n">
        <v>114.4818555434227</v>
      </c>
    </row>
    <row r="115">
      <c r="A115" s="2" t="n">
        <v>34485</v>
      </c>
      <c r="B115" s="1" t="n">
        <v>7711.3</v>
      </c>
      <c r="C115" s="1" t="n">
        <v>1508.527710039188</v>
      </c>
      <c r="D115" s="1" t="n">
        <v>21032.23241305957</v>
      </c>
      <c r="E115" s="1" t="n">
        <v>83.743017789684</v>
      </c>
      <c r="F115" s="1" t="n">
        <v>3093.894182786</v>
      </c>
      <c r="G115" s="1" t="n">
        <v>412.6661125967305</v>
      </c>
      <c r="J115" s="1" t="n">
        <v>123.2864107793773</v>
      </c>
      <c r="K115" s="1" t="n">
        <v>120.4346224677717</v>
      </c>
      <c r="L115" s="1" t="n">
        <v>114.9577143687273</v>
      </c>
    </row>
    <row r="116">
      <c r="A116" s="2" t="n">
        <v>34515</v>
      </c>
      <c r="B116" s="1" t="n">
        <v>7407.6</v>
      </c>
      <c r="C116" s="1" t="n">
        <v>1483.741997811398</v>
      </c>
      <c r="D116" s="1" t="n">
        <v>21656.57114867188</v>
      </c>
      <c r="E116" s="1" t="n">
        <v>83.112374571649</v>
      </c>
      <c r="F116" s="1" t="n">
        <v>3202.973183012</v>
      </c>
      <c r="G116" s="1" t="n">
        <v>418.8387622060407</v>
      </c>
      <c r="J116" s="1" t="n">
        <v>120.1848296037642</v>
      </c>
      <c r="K116" s="1" t="n">
        <v>119.8305709023941</v>
      </c>
      <c r="L116" s="1" t="n">
        <v>115.3329055409547</v>
      </c>
    </row>
    <row r="117">
      <c r="A117" s="2" t="n">
        <v>34544</v>
      </c>
      <c r="B117" s="1" t="n">
        <v>7685.7</v>
      </c>
      <c r="C117" s="1" t="n">
        <v>1501.958110532233</v>
      </c>
      <c r="D117" s="1" t="n">
        <v>22610.30312050782</v>
      </c>
      <c r="E117" s="1" t="n">
        <v>81.57727768026</v>
      </c>
      <c r="F117" s="1" t="n">
        <v>3221.52103872</v>
      </c>
      <c r="G117" s="1" t="n">
        <v>418.8387622060407</v>
      </c>
      <c r="J117" s="1" t="n">
        <v>121.4670645872439</v>
      </c>
      <c r="K117" s="1" t="n">
        <v>121.7163904235728</v>
      </c>
      <c r="L117" s="1" t="n">
        <v>115.8987673078335</v>
      </c>
    </row>
    <row r="118">
      <c r="A118" s="2" t="n">
        <v>34577</v>
      </c>
      <c r="B118" s="1" t="n">
        <v>7921.9</v>
      </c>
      <c r="C118" s="1" t="n">
        <v>1533.434083199832</v>
      </c>
      <c r="D118" s="1" t="n">
        <v>24979.71467228516</v>
      </c>
      <c r="E118" s="1" t="n">
        <v>80.984147125479</v>
      </c>
      <c r="F118" s="1" t="n">
        <v>2982.198026201</v>
      </c>
      <c r="G118" s="1" t="n">
        <v>418.8387622060407</v>
      </c>
      <c r="J118" s="1" t="n">
        <v>123.0727036662417</v>
      </c>
      <c r="K118" s="1" t="n">
        <v>121.4364640883978</v>
      </c>
      <c r="L118" s="1" t="n">
        <v>116.3939389926332</v>
      </c>
    </row>
    <row r="119">
      <c r="A119" s="2" t="n">
        <v>34607</v>
      </c>
      <c r="B119" s="1" t="n">
        <v>7592</v>
      </c>
      <c r="C119" s="1" t="n">
        <v>1487.206314656501</v>
      </c>
      <c r="D119" s="1" t="n">
        <v>25248.88490488281</v>
      </c>
      <c r="E119" s="1" t="n">
        <v>79.56335498919799</v>
      </c>
      <c r="F119" s="1" t="n">
        <v>2972.099227254</v>
      </c>
      <c r="G119" s="1" t="n">
        <v>426.5386514228743</v>
      </c>
      <c r="J119" s="1" t="n">
        <v>120.264891855936</v>
      </c>
      <c r="K119" s="1" t="n">
        <v>120.4714548802947</v>
      </c>
      <c r="L119" s="1" t="n">
        <v>116.8998054868988</v>
      </c>
    </row>
    <row r="120">
      <c r="A120" s="2" t="n">
        <v>34638</v>
      </c>
      <c r="B120" s="1" t="n">
        <v>7671.6</v>
      </c>
      <c r="C120" s="1" t="n">
        <v>1504.491082332513</v>
      </c>
      <c r="D120" s="1" t="n">
        <v>24671.43681346094</v>
      </c>
      <c r="E120" s="1" t="n">
        <v>77.256810208578</v>
      </c>
      <c r="F120" s="1" t="n">
        <v>2976.643013344</v>
      </c>
      <c r="G120" s="1" t="n">
        <v>426.5386514228743</v>
      </c>
      <c r="J120" s="1" t="n">
        <v>120.085228899241</v>
      </c>
      <c r="K120" s="1" t="n">
        <v>120.707182320442</v>
      </c>
      <c r="L120" s="1" t="n">
        <v>117.4414183283752</v>
      </c>
    </row>
    <row r="121">
      <c r="A121" s="2" t="n">
        <v>34668</v>
      </c>
      <c r="B121" s="1" t="n">
        <v>7130.4</v>
      </c>
      <c r="C121" s="1" t="n">
        <v>1414.58410742236</v>
      </c>
      <c r="D121" s="1" t="n">
        <v>22633.81080896875</v>
      </c>
      <c r="E121" s="1" t="n">
        <v>71.854608458664</v>
      </c>
      <c r="F121" s="1" t="n">
        <v>2780.639835592</v>
      </c>
      <c r="G121" s="1" t="n">
        <v>426.5386514228743</v>
      </c>
      <c r="J121" s="1" t="n">
        <v>120.3455851254739</v>
      </c>
      <c r="K121" s="1" t="n">
        <v>121.4069981583794</v>
      </c>
      <c r="L121" s="1" t="n">
        <v>118.0627606734399</v>
      </c>
    </row>
    <row r="122">
      <c r="A122" s="2" t="n">
        <v>34698</v>
      </c>
      <c r="B122" s="1" t="n">
        <v>7255.7</v>
      </c>
      <c r="C122" s="1" t="n">
        <v>1416.244555298828</v>
      </c>
      <c r="D122" s="1" t="n">
        <v>21622.82304208203</v>
      </c>
      <c r="E122" s="1" t="n">
        <v>74.244415330358</v>
      </c>
      <c r="F122" s="1" t="n">
        <v>2848.095516344</v>
      </c>
      <c r="G122" s="1" t="n">
        <v>425.8926241757634</v>
      </c>
      <c r="J122" s="1" t="n">
        <v>122.4479733876891</v>
      </c>
      <c r="K122" s="1" t="n">
        <v>121.9889502762431</v>
      </c>
      <c r="L122" s="1" t="n">
        <v>118.7239627539716</v>
      </c>
    </row>
    <row r="123">
      <c r="A123" s="2" t="n">
        <v>34730</v>
      </c>
      <c r="B123" s="1" t="n">
        <v>6978.3</v>
      </c>
      <c r="C123" s="1" t="n">
        <v>1420.528244672852</v>
      </c>
      <c r="D123" s="1" t="n">
        <v>20085.17769839355</v>
      </c>
      <c r="E123" s="1" t="n">
        <v>75.32710520433</v>
      </c>
      <c r="F123" s="1" t="n">
        <v>2845.178191695</v>
      </c>
      <c r="G123" s="1" t="n">
        <v>425.8926241757634</v>
      </c>
      <c r="J123" s="1" t="n">
        <v>122.36476374402</v>
      </c>
      <c r="K123" s="1" t="n">
        <v>124.1694290976059</v>
      </c>
      <c r="L123" s="1" t="n">
        <v>119.54994114845</v>
      </c>
    </row>
    <row r="124">
      <c r="A124" s="2" t="n">
        <v>34758</v>
      </c>
      <c r="B124" s="1" t="n">
        <v>7357.5</v>
      </c>
      <c r="C124" s="1" t="n">
        <v>1466.048139748047</v>
      </c>
      <c r="D124" s="1" t="n">
        <v>20183.9220005</v>
      </c>
      <c r="E124" s="1" t="n">
        <v>78.794981585068</v>
      </c>
      <c r="F124" s="1" t="n">
        <v>2945.17204532</v>
      </c>
      <c r="G124" s="1" t="n">
        <v>425.8926241757634</v>
      </c>
      <c r="J124" s="1" t="n">
        <v>126.1774322333521</v>
      </c>
      <c r="K124" s="1" t="n">
        <v>126.7845303867403</v>
      </c>
      <c r="L124" s="1" t="n">
        <v>120.3483899395753</v>
      </c>
    </row>
    <row r="125">
      <c r="A125" s="2" t="n">
        <v>34789</v>
      </c>
      <c r="B125" s="1" t="n">
        <v>7352.3</v>
      </c>
      <c r="C125" s="1" t="n">
        <v>1479.532986044196</v>
      </c>
      <c r="D125" s="1" t="n">
        <v>20308.76737114941</v>
      </c>
      <c r="E125" s="1" t="n">
        <v>79.371578239464</v>
      </c>
      <c r="F125" s="1" t="n">
        <v>3001.155801469</v>
      </c>
      <c r="G125" s="1" t="n">
        <v>431.3773535446273</v>
      </c>
      <c r="J125" s="1" t="n">
        <v>127.5012758863332</v>
      </c>
      <c r="K125" s="1" t="n">
        <v>128.390423572744</v>
      </c>
      <c r="L125" s="1" t="n">
        <v>121.1295825653336</v>
      </c>
    </row>
    <row r="126">
      <c r="A126" s="2" t="n">
        <v>34817</v>
      </c>
      <c r="B126" s="1" t="n">
        <v>7913.2</v>
      </c>
      <c r="C126" s="1" t="n">
        <v>1535.199391879391</v>
      </c>
      <c r="D126" s="1" t="n">
        <v>21125.28868938672</v>
      </c>
      <c r="E126" s="1" t="n">
        <v>80.083687113604</v>
      </c>
      <c r="F126" s="1" t="n">
        <v>3117.27844502</v>
      </c>
      <c r="G126" s="1" t="n">
        <v>431.3773535446273</v>
      </c>
      <c r="J126" s="1" t="n">
        <v>129.3609610179018</v>
      </c>
      <c r="K126" s="1" t="n">
        <v>130.5193370165746</v>
      </c>
      <c r="L126" s="1" t="n">
        <v>121.9415955050498</v>
      </c>
    </row>
    <row r="127">
      <c r="A127" s="2" t="n">
        <v>34850</v>
      </c>
      <c r="B127" s="1" t="n">
        <v>7840.9</v>
      </c>
      <c r="C127" s="1" t="n">
        <v>1575.465662634277</v>
      </c>
      <c r="D127" s="1" t="n">
        <v>22560.73384533692</v>
      </c>
      <c r="E127" s="1" t="n">
        <v>84.209096678225</v>
      </c>
      <c r="F127" s="1" t="n">
        <v>3125.31026145</v>
      </c>
      <c r="G127" s="1" t="n">
        <v>431.3773535446273</v>
      </c>
      <c r="J127" s="1" t="n">
        <v>134.8051018215779</v>
      </c>
      <c r="K127" s="1" t="n">
        <v>135.3443830570903</v>
      </c>
      <c r="L127" s="1" t="n">
        <v>122.7712859816129</v>
      </c>
    </row>
    <row r="128">
      <c r="A128" s="2" t="n">
        <v>34880</v>
      </c>
      <c r="B128" s="1" t="n">
        <v>7884.8</v>
      </c>
      <c r="C128" s="1" t="n">
        <v>1595.316527110836</v>
      </c>
      <c r="D128" s="1" t="n">
        <v>22913.76091862109</v>
      </c>
      <c r="E128" s="1" t="n">
        <v>86.022370555812</v>
      </c>
      <c r="F128" s="1" t="n">
        <v>3116.746637832</v>
      </c>
      <c r="G128" s="1" t="n">
        <v>429.6141895186534</v>
      </c>
      <c r="J128" s="1" t="n">
        <v>134.462166969042</v>
      </c>
      <c r="K128" s="1" t="n">
        <v>135.9558011049724</v>
      </c>
      <c r="L128" s="1" t="n">
        <v>123.5265843266664</v>
      </c>
    </row>
    <row r="129">
      <c r="A129" s="2" t="n">
        <v>34911</v>
      </c>
      <c r="B129" s="1" t="n">
        <v>8298.4</v>
      </c>
      <c r="C129" s="1" t="n">
        <v>1615.681238844364</v>
      </c>
      <c r="D129" s="1" t="n">
        <v>22544.91907163672</v>
      </c>
      <c r="E129" s="1" t="n">
        <v>83.93122020769499</v>
      </c>
      <c r="F129" s="1" t="n">
        <v>3066.633603222</v>
      </c>
      <c r="G129" s="1" t="n">
        <v>429.6141895186534</v>
      </c>
      <c r="J129" s="1" t="n">
        <v>134.2163164468982</v>
      </c>
      <c r="K129" s="1" t="n">
        <v>136.7661141804788</v>
      </c>
      <c r="L129" s="1" t="n">
        <v>124.3147596798058</v>
      </c>
    </row>
    <row r="130">
      <c r="A130" s="2" t="n">
        <v>34942</v>
      </c>
      <c r="B130" s="1" t="n">
        <v>8365.1</v>
      </c>
      <c r="C130" s="1" t="n">
        <v>1612.222571192865</v>
      </c>
      <c r="D130" s="1" t="n">
        <v>21993.30900904688</v>
      </c>
      <c r="E130" s="1" t="n">
        <v>82.25471906107799</v>
      </c>
      <c r="F130" s="1" t="n">
        <v>3075.073229956</v>
      </c>
      <c r="G130" s="1" t="n">
        <v>429.6141895186534</v>
      </c>
      <c r="J130" s="1" t="n">
        <v>137.4282102315926</v>
      </c>
      <c r="K130" s="1" t="n">
        <v>138.4309392265193</v>
      </c>
      <c r="L130" s="1" t="n">
        <v>125.1185558756641</v>
      </c>
    </row>
    <row r="131">
      <c r="A131" s="2" t="n">
        <v>34971</v>
      </c>
      <c r="B131" s="1" t="n">
        <v>8395.4</v>
      </c>
      <c r="C131" s="1" t="n">
        <v>1644.893734409909</v>
      </c>
      <c r="D131" s="1" t="n">
        <v>21981.04085482031</v>
      </c>
      <c r="E131" s="1" t="n">
        <v>83.56277733823799</v>
      </c>
      <c r="F131" s="1" t="n">
        <v>3080.28555</v>
      </c>
      <c r="G131" s="1" t="n">
        <v>431.68011242066</v>
      </c>
      <c r="J131" s="1" t="n">
        <v>140.1509116507969</v>
      </c>
      <c r="K131" s="1" t="n">
        <v>140.2283609576427</v>
      </c>
      <c r="L131" s="1" t="n">
        <v>125.8907090799133</v>
      </c>
    </row>
    <row r="132">
      <c r="A132" s="2" t="n">
        <v>35003</v>
      </c>
      <c r="B132" s="1" t="n">
        <v>8190.1</v>
      </c>
      <c r="C132" s="1" t="n">
        <v>1617.272689609124</v>
      </c>
      <c r="D132" s="1" t="n">
        <v>21314.97288787207</v>
      </c>
      <c r="E132" s="1" t="n">
        <v>81.953606273847</v>
      </c>
      <c r="F132" s="1" t="n">
        <v>3087.158638179</v>
      </c>
      <c r="G132" s="1" t="n">
        <v>431.68011242066</v>
      </c>
      <c r="J132" s="1" t="n">
        <v>140.0141193983358</v>
      </c>
      <c r="K132" s="1" t="n">
        <v>142.2173112338858</v>
      </c>
      <c r="L132" s="1" t="n">
        <v>126.6846431766112</v>
      </c>
    </row>
    <row r="133">
      <c r="A133" s="2" t="n">
        <v>35033</v>
      </c>
      <c r="B133" s="1" t="n">
        <v>8552.700000000001</v>
      </c>
      <c r="C133" s="1" t="n">
        <v>1722.119810786133</v>
      </c>
      <c r="D133" s="1" t="n">
        <v>21707.17582883789</v>
      </c>
      <c r="E133" s="1" t="n">
        <v>83.48591262228</v>
      </c>
      <c r="F133" s="1" t="n">
        <v>3243.84553701</v>
      </c>
      <c r="G133" s="1" t="n">
        <v>431.68011242066</v>
      </c>
      <c r="J133" s="1" t="n">
        <v>144.3115631315945</v>
      </c>
      <c r="K133" s="1" t="n">
        <v>145.0386740331492</v>
      </c>
      <c r="L133" s="1" t="n">
        <v>127.467481157672</v>
      </c>
    </row>
    <row r="134">
      <c r="A134" s="2" t="n">
        <v>35062</v>
      </c>
      <c r="B134" s="1" t="n">
        <v>8759.299999999999</v>
      </c>
      <c r="C134" s="1" t="n">
        <v>1772.313808257199</v>
      </c>
      <c r="D134" s="1" t="n">
        <v>22720.16808332227</v>
      </c>
      <c r="E134" s="1" t="n">
        <v>87.57010541232901</v>
      </c>
      <c r="F134" s="1" t="n">
        <v>3573.678704553</v>
      </c>
      <c r="G134" s="1" t="n">
        <v>432.1956688573715</v>
      </c>
      <c r="J134" s="1" t="n">
        <v>145.2584277755992</v>
      </c>
      <c r="K134" s="1" t="n">
        <v>147.1528545119705</v>
      </c>
      <c r="L134" s="1" t="n">
        <v>128.26099388289</v>
      </c>
    </row>
    <row r="135">
      <c r="A135" s="2" t="n">
        <v>35095</v>
      </c>
      <c r="B135" s="1" t="n">
        <v>9053.1</v>
      </c>
      <c r="C135" s="1" t="n">
        <v>1836.103253595221</v>
      </c>
      <c r="D135" s="1" t="n">
        <v>24421.49890233593</v>
      </c>
      <c r="E135" s="1" t="n">
        <v>89.607501462486</v>
      </c>
      <c r="F135" s="1" t="n">
        <v>3563.589376003999</v>
      </c>
      <c r="G135" s="1" t="n">
        <v>432.1956688573715</v>
      </c>
      <c r="J135" s="1" t="n">
        <v>146.9649295938526</v>
      </c>
      <c r="K135" s="1" t="n">
        <v>148.7808471454881</v>
      </c>
      <c r="L135" s="1" t="n">
        <v>129.0656127563995</v>
      </c>
    </row>
    <row r="136">
      <c r="A136" s="2" t="n">
        <v>35124</v>
      </c>
      <c r="B136" s="1" t="n">
        <v>9093</v>
      </c>
      <c r="C136" s="1" t="n">
        <v>1785.313975918945</v>
      </c>
      <c r="D136" s="1" t="n">
        <v>23635.29356735937</v>
      </c>
      <c r="E136" s="1" t="n">
        <v>87.480400456262</v>
      </c>
      <c r="F136" s="1" t="n">
        <v>3609.987217716</v>
      </c>
      <c r="G136" s="1" t="n">
        <v>432.1956688573715</v>
      </c>
      <c r="J136" s="1" t="n">
        <v>144.5668789142315</v>
      </c>
      <c r="K136" s="1" t="n">
        <v>146.939226519337</v>
      </c>
      <c r="L136" s="1" t="n">
        <v>129.8254358285347</v>
      </c>
    </row>
    <row r="137">
      <c r="A137" s="2" t="n">
        <v>35153</v>
      </c>
      <c r="B137" s="1" t="n">
        <v>8874.6</v>
      </c>
      <c r="C137" s="1" t="n">
        <v>1780.15857595386</v>
      </c>
      <c r="D137" s="1" t="n">
        <v>23361.58473130078</v>
      </c>
      <c r="E137" s="1" t="n">
        <v>85.839463859784</v>
      </c>
      <c r="F137" s="1" t="n">
        <v>3758.15547141</v>
      </c>
      <c r="G137" s="1" t="n">
        <v>432.7107251064158</v>
      </c>
      <c r="J137" s="1" t="n">
        <v>143.8236328008368</v>
      </c>
      <c r="K137" s="1" t="n">
        <v>147.1012891344383</v>
      </c>
      <c r="L137" s="1" t="n">
        <v>130.6431974791552</v>
      </c>
    </row>
    <row r="138">
      <c r="A138" s="2" t="n">
        <v>35185</v>
      </c>
      <c r="B138" s="1" t="n">
        <v>9254.799999999999</v>
      </c>
      <c r="C138" s="1" t="n">
        <v>1818.287834620843</v>
      </c>
      <c r="D138" s="1" t="n">
        <v>24448.27709717578</v>
      </c>
      <c r="E138" s="1" t="n">
        <v>85.300576680045</v>
      </c>
      <c r="F138" s="1" t="n">
        <v>3954.896940344</v>
      </c>
      <c r="G138" s="1" t="n">
        <v>432.7107251064158</v>
      </c>
      <c r="J138" s="1" t="n">
        <v>145.9279218104843</v>
      </c>
      <c r="K138" s="1" t="n">
        <v>147.7495395948434</v>
      </c>
      <c r="L138" s="1" t="n">
        <v>131.4535750962232</v>
      </c>
    </row>
    <row r="139">
      <c r="A139" s="2" t="n">
        <v>35216</v>
      </c>
      <c r="B139" s="1" t="n">
        <v>9086.1</v>
      </c>
      <c r="C139" s="1" t="n">
        <v>1799.193275625983</v>
      </c>
      <c r="D139" s="1" t="n">
        <v>24104.15231132813</v>
      </c>
      <c r="E139" s="1" t="n">
        <v>85.07383432982</v>
      </c>
      <c r="F139" s="1" t="n">
        <v>3863.71900264</v>
      </c>
      <c r="G139" s="1" t="n">
        <v>432.7107251064158</v>
      </c>
      <c r="J139" s="1" t="n">
        <v>146.1170423323387</v>
      </c>
      <c r="K139" s="1" t="n">
        <v>148.2430939226519</v>
      </c>
      <c r="L139" s="1" t="n">
        <v>132.2922949616411</v>
      </c>
    </row>
    <row r="140">
      <c r="A140" s="2" t="n">
        <v>35244</v>
      </c>
      <c r="B140" s="1" t="n">
        <v>9014.200000000001</v>
      </c>
      <c r="C140" s="1" t="n">
        <v>1838.797454471066</v>
      </c>
      <c r="D140" s="1" t="n">
        <v>24683.7137521582</v>
      </c>
      <c r="E140" s="1" t="n">
        <v>88.102250071133</v>
      </c>
      <c r="F140" s="1" t="n">
        <v>4071.754565099</v>
      </c>
      <c r="G140" s="1" t="n">
        <v>439.4117834722023</v>
      </c>
      <c r="J140" s="1" t="n">
        <v>147.1717032112936</v>
      </c>
      <c r="K140" s="1" t="n">
        <v>150.2688766114181</v>
      </c>
      <c r="L140" s="1" t="n">
        <v>133.1038965625317</v>
      </c>
    </row>
    <row r="141">
      <c r="A141" s="2" t="n">
        <v>35277</v>
      </c>
      <c r="B141" s="1" t="n">
        <v>8769.799999999999</v>
      </c>
      <c r="C141" s="1" t="n">
        <v>1785.993727330078</v>
      </c>
      <c r="D141" s="1" t="n">
        <v>23569.02787003125</v>
      </c>
      <c r="E141" s="1" t="n">
        <v>90.10885677865201</v>
      </c>
      <c r="F141" s="1" t="n">
        <v>3950.327294052</v>
      </c>
      <c r="G141" s="1" t="n">
        <v>439.4117834722023</v>
      </c>
      <c r="J141" s="1" t="n">
        <v>152.1096295712591</v>
      </c>
      <c r="K141" s="1" t="n">
        <v>151.2854511970534</v>
      </c>
      <c r="L141" s="1" t="n">
        <v>134.0437054525068</v>
      </c>
    </row>
    <row r="142">
      <c r="A142" s="2" t="n">
        <v>35307</v>
      </c>
      <c r="B142" s="1" t="n">
        <v>9138.4</v>
      </c>
      <c r="C142" s="1" t="n">
        <v>1770.675794770257</v>
      </c>
      <c r="D142" s="1" t="n">
        <v>23623.99944457617</v>
      </c>
      <c r="E142" s="1" t="n">
        <v>91.56315191496201</v>
      </c>
      <c r="F142" s="1" t="n">
        <v>3982.729031762</v>
      </c>
      <c r="G142" s="1" t="n">
        <v>439.4117834722023</v>
      </c>
      <c r="J142" s="1" t="n">
        <v>154.6993248421995</v>
      </c>
      <c r="K142" s="1" t="n">
        <v>152.0957642725599</v>
      </c>
      <c r="L142" s="1" t="n">
        <v>134.8475016483651</v>
      </c>
    </row>
    <row r="143">
      <c r="A143" s="2" t="n">
        <v>35338</v>
      </c>
      <c r="B143" s="1" t="n">
        <v>9263.700000000001</v>
      </c>
      <c r="C143" s="1" t="n">
        <v>1859.724167946903</v>
      </c>
      <c r="D143" s="1" t="n">
        <v>23948.83076053711</v>
      </c>
      <c r="E143" s="1" t="n">
        <v>93.097869216508</v>
      </c>
      <c r="F143" s="1" t="n">
        <v>4123.978850615</v>
      </c>
      <c r="G143" s="1" t="n">
        <v>442.3033213339368</v>
      </c>
      <c r="J143" s="1" t="n">
        <v>157.2341677742817</v>
      </c>
      <c r="K143" s="1" t="n">
        <v>155.292817679558</v>
      </c>
      <c r="L143" s="1" t="n">
        <v>135.6171868196606</v>
      </c>
    </row>
    <row r="144">
      <c r="A144" s="2" t="n">
        <v>35369</v>
      </c>
      <c r="B144" s="1" t="n">
        <v>9605.299999999999</v>
      </c>
      <c r="C144" s="1" t="n">
        <v>1866.189504058844</v>
      </c>
      <c r="D144" s="1" t="n">
        <v>23550.74391967773</v>
      </c>
      <c r="E144" s="1" t="n">
        <v>94.7407907985</v>
      </c>
      <c r="F144" s="1" t="n">
        <v>4104.434343625</v>
      </c>
      <c r="G144" s="1" t="n">
        <v>442.3033213339368</v>
      </c>
      <c r="J144" s="1" t="n">
        <v>160.4038295674422</v>
      </c>
      <c r="K144" s="1" t="n">
        <v>158.548802946593</v>
      </c>
      <c r="L144" s="1" t="n">
        <v>136.4156456434403</v>
      </c>
    </row>
    <row r="145">
      <c r="A145" s="2" t="n">
        <v>35398</v>
      </c>
      <c r="B145" s="1" t="n">
        <v>9787.700000000001</v>
      </c>
      <c r="C145" s="1" t="n">
        <v>1919.732156088504</v>
      </c>
      <c r="D145" s="1" t="n">
        <v>23316.6156718418</v>
      </c>
      <c r="E145" s="1" t="n">
        <v>96.391965158967</v>
      </c>
      <c r="F145" s="1" t="n">
        <v>4329.18325164</v>
      </c>
      <c r="G145" s="1" t="n">
        <v>442.3033213339368</v>
      </c>
      <c r="J145" s="1" t="n">
        <v>162.2099397855526</v>
      </c>
      <c r="K145" s="1" t="n">
        <v>161.6869244935543</v>
      </c>
      <c r="L145" s="1" t="n">
        <v>137.1758800544011</v>
      </c>
    </row>
    <row r="146">
      <c r="A146" s="2" t="n">
        <v>35430</v>
      </c>
      <c r="B146" s="1" t="n">
        <v>10015.6</v>
      </c>
      <c r="C146" s="1" t="n">
        <v>1944.509440523678</v>
      </c>
      <c r="D146" s="1" t="n">
        <v>24156.16475572265</v>
      </c>
      <c r="E146" s="1" t="n">
        <v>105.90766102002</v>
      </c>
      <c r="F146" s="1" t="n">
        <v>4482.09308919</v>
      </c>
      <c r="G146" s="1" t="n">
        <v>444.7703191366805</v>
      </c>
      <c r="J146" s="1" t="n">
        <v>162.5049634902587</v>
      </c>
      <c r="K146" s="1" t="n">
        <v>161.097605893186</v>
      </c>
      <c r="L146" s="1" t="n">
        <v>137.9669347793197</v>
      </c>
    </row>
    <row r="147">
      <c r="A147" s="2" t="n">
        <v>35461</v>
      </c>
      <c r="B147" s="1" t="n">
        <v>10029.4</v>
      </c>
      <c r="C147" s="1" t="n">
        <v>2104.514454897949</v>
      </c>
      <c r="D147" s="1" t="n">
        <v>26897.33180428125</v>
      </c>
      <c r="E147" s="1" t="n">
        <v>112.164747245361</v>
      </c>
      <c r="F147" s="1" t="n">
        <v>4601.589505467</v>
      </c>
      <c r="G147" s="1" t="n">
        <v>444.7703191366805</v>
      </c>
      <c r="J147" s="1" t="n">
        <v>163.5501591087203</v>
      </c>
      <c r="K147" s="1" t="n">
        <v>162.3130755064457</v>
      </c>
      <c r="L147" s="1" t="n">
        <v>138.683607405383</v>
      </c>
    </row>
    <row r="148">
      <c r="A148" s="2" t="n">
        <v>35489</v>
      </c>
      <c r="B148" s="1" t="n">
        <v>10137</v>
      </c>
      <c r="C148" s="1" t="n">
        <v>2099.683539520504</v>
      </c>
      <c r="D148" s="1" t="n">
        <v>27635.9339930625</v>
      </c>
      <c r="E148" s="1" t="n">
        <v>112.125127350296</v>
      </c>
      <c r="F148" s="1" t="n">
        <v>4207.644463144</v>
      </c>
      <c r="G148" s="1" t="n">
        <v>444.7703191366805</v>
      </c>
      <c r="J148" s="1" t="n">
        <v>162.6285197686968</v>
      </c>
      <c r="K148" s="1" t="n">
        <v>163.1086556169429</v>
      </c>
      <c r="L148" s="1" t="n">
        <v>139.2716614035362</v>
      </c>
    </row>
    <row r="149">
      <c r="A149" s="2" t="n">
        <v>35520</v>
      </c>
      <c r="B149" s="1" t="n">
        <v>10067</v>
      </c>
      <c r="C149" s="1" t="n">
        <v>2039.686360032108</v>
      </c>
      <c r="D149" s="1" t="n">
        <v>26684.17152251758</v>
      </c>
      <c r="E149" s="1" t="n">
        <v>111.4665207978</v>
      </c>
      <c r="F149" s="1" t="n">
        <v>4236.589124726</v>
      </c>
      <c r="G149" s="1" t="n">
        <v>450.0179624069282</v>
      </c>
      <c r="J149" s="1" t="n">
        <v>161.8852736553021</v>
      </c>
      <c r="K149" s="1" t="n">
        <v>161.8342541436464</v>
      </c>
      <c r="L149" s="1" t="n">
        <v>139.9731245257063</v>
      </c>
    </row>
    <row r="150">
      <c r="A150" s="2" t="n">
        <v>35550</v>
      </c>
      <c r="B150" s="1" t="n">
        <v>10337.2</v>
      </c>
      <c r="C150" s="1" t="n">
        <v>2139.825812356571</v>
      </c>
      <c r="D150" s="1" t="n">
        <v>27024.17352326367</v>
      </c>
      <c r="E150" s="1" t="n">
        <v>108.052165106781</v>
      </c>
      <c r="F150" s="1" t="n">
        <v>4346.796234333</v>
      </c>
      <c r="G150" s="1" t="n">
        <v>450.0179624069282</v>
      </c>
      <c r="J150" s="1" t="n">
        <v>164.3873344656761</v>
      </c>
      <c r="K150" s="1" t="n">
        <v>164.1178637200736</v>
      </c>
      <c r="L150" s="1" t="n">
        <v>140.6799350526092</v>
      </c>
    </row>
    <row r="151">
      <c r="A151" s="2" t="n">
        <v>35580</v>
      </c>
      <c r="B151" s="1" t="n">
        <v>10872.8</v>
      </c>
      <c r="C151" s="1" t="n">
        <v>2291.022629647712</v>
      </c>
      <c r="D151" s="1" t="n">
        <v>28591.79555699414</v>
      </c>
      <c r="E151" s="1" t="n">
        <v>113.405259008657</v>
      </c>
      <c r="F151" s="1" t="n">
        <v>4495.198973342</v>
      </c>
      <c r="G151" s="1" t="n">
        <v>450.0179624069282</v>
      </c>
      <c r="J151" s="1" t="n">
        <v>168.3613894940842</v>
      </c>
      <c r="K151" s="1" t="n">
        <v>165.5690607734806</v>
      </c>
      <c r="L151" s="1" t="n">
        <v>141.4635957113212</v>
      </c>
    </row>
    <row r="152">
      <c r="A152" s="2" t="n">
        <v>35611</v>
      </c>
      <c r="B152" s="1" t="n">
        <v>11433.6</v>
      </c>
      <c r="C152" s="1" t="n">
        <v>2443.055171337521</v>
      </c>
      <c r="D152" s="1" t="n">
        <v>30802.11950837109</v>
      </c>
      <c r="E152" s="1" t="n">
        <v>119.745937015377</v>
      </c>
      <c r="F152" s="1" t="n">
        <v>4320.676481607</v>
      </c>
      <c r="G152" s="1" t="n">
        <v>457.2335059934135</v>
      </c>
      <c r="J152" s="1" t="n">
        <v>171.8355402524439</v>
      </c>
      <c r="K152" s="1" t="n">
        <v>167.9558011049724</v>
      </c>
      <c r="L152" s="1" t="n">
        <v>142.1104109656109</v>
      </c>
    </row>
    <row r="153">
      <c r="A153" s="2" t="n">
        <v>35642</v>
      </c>
      <c r="B153" s="1" t="n">
        <v>11444.2</v>
      </c>
      <c r="C153" s="1" t="n">
        <v>2615.797100379401</v>
      </c>
      <c r="D153" s="1" t="n">
        <v>32311.40185610547</v>
      </c>
      <c r="E153" s="1" t="n">
        <v>125.029217085602</v>
      </c>
      <c r="F153" s="1" t="n">
        <v>4522.442188442</v>
      </c>
      <c r="G153" s="1" t="n">
        <v>457.2335059934135</v>
      </c>
      <c r="J153" s="1" t="n">
        <v>176.4645759163142</v>
      </c>
      <c r="K153" s="1" t="n">
        <v>171.6537753222836</v>
      </c>
      <c r="L153" s="1" t="n">
        <v>142.8143521533889</v>
      </c>
    </row>
    <row r="154">
      <c r="A154" s="2" t="n">
        <v>35671</v>
      </c>
      <c r="B154" s="1" t="n">
        <v>10857.3</v>
      </c>
      <c r="C154" s="1" t="n">
        <v>2478.613306103516</v>
      </c>
      <c r="D154" s="1" t="n">
        <v>29252.50719230469</v>
      </c>
      <c r="E154" s="1" t="n">
        <v>125.12695548925</v>
      </c>
      <c r="F154" s="1" t="n">
        <v>4703.73181124</v>
      </c>
      <c r="G154" s="1" t="n">
        <v>457.2335059934135</v>
      </c>
      <c r="J154" s="1" t="n">
        <v>176.7923817427284</v>
      </c>
      <c r="K154" s="1" t="n">
        <v>170.8066298342541</v>
      </c>
      <c r="L154" s="1" t="n">
        <v>143.4188396392579</v>
      </c>
    </row>
    <row r="155">
      <c r="A155" s="2" t="n">
        <v>35703</v>
      </c>
      <c r="B155" s="1" t="n">
        <v>11655.6</v>
      </c>
      <c r="C155" s="1" t="n">
        <v>2644.210133639648</v>
      </c>
      <c r="D155" s="1" t="n">
        <v>30957.71843759765</v>
      </c>
      <c r="E155" s="1" t="n">
        <v>135.463935808656</v>
      </c>
      <c r="F155" s="1" t="n">
        <v>4891.296519017999</v>
      </c>
      <c r="G155" s="1" t="n">
        <v>466.8766276909728</v>
      </c>
      <c r="J155" s="1" t="n">
        <v>180.1858392315502</v>
      </c>
      <c r="K155" s="1" t="n">
        <v>173.5469613259668</v>
      </c>
      <c r="L155" s="1" t="n">
        <v>143.9842900673111</v>
      </c>
    </row>
    <row r="156">
      <c r="A156" s="2" t="n">
        <v>35734</v>
      </c>
      <c r="B156" s="1" t="n">
        <v>10439.6</v>
      </c>
      <c r="C156" s="1" t="n">
        <v>2551.664125855469</v>
      </c>
      <c r="D156" s="1" t="n">
        <v>27442.8093886543</v>
      </c>
      <c r="E156" s="1" t="n">
        <v>134.4851807026</v>
      </c>
      <c r="F156" s="1" t="n">
        <v>5163.475881494</v>
      </c>
      <c r="G156" s="1" t="n">
        <v>466.8766276909728</v>
      </c>
      <c r="J156" s="1" t="n">
        <v>181.6269289893072</v>
      </c>
      <c r="K156" s="1" t="n">
        <v>175.3812154696132</v>
      </c>
      <c r="L156" s="1" t="n">
        <v>144.5678193383826</v>
      </c>
    </row>
    <row r="157">
      <c r="A157" s="2" t="n">
        <v>35762</v>
      </c>
      <c r="B157" s="1" t="n">
        <v>10517.5</v>
      </c>
      <c r="C157" s="1" t="n">
        <v>2711.589296560547</v>
      </c>
      <c r="D157" s="1" t="n">
        <v>27798.55322491406</v>
      </c>
      <c r="E157" s="1" t="n">
        <v>142.498428798553</v>
      </c>
      <c r="F157" s="1" t="n">
        <v>4794.496838625</v>
      </c>
      <c r="G157" s="1" t="n">
        <v>466.8766276909728</v>
      </c>
      <c r="J157" s="1" t="n">
        <v>180.5079659016685</v>
      </c>
      <c r="K157" s="1" t="n">
        <v>176.4198895027623</v>
      </c>
      <c r="L157" s="1" t="n">
        <v>145.1180602625425</v>
      </c>
    </row>
    <row r="158">
      <c r="A158" s="2" t="n">
        <v>35795</v>
      </c>
      <c r="B158" s="1" t="n">
        <v>11159.3</v>
      </c>
      <c r="C158" s="1" t="n">
        <v>2914.137860701172</v>
      </c>
      <c r="D158" s="1" t="n">
        <v>30864.03591885937</v>
      </c>
      <c r="E158" s="1" t="n">
        <v>153.4684</v>
      </c>
      <c r="F158" s="1" t="n">
        <v>4694.85925228</v>
      </c>
      <c r="G158" s="1" t="n">
        <v>477.3275676221974</v>
      </c>
      <c r="J158" s="1" t="n">
        <v>182.3758542589979</v>
      </c>
      <c r="K158" s="1" t="n">
        <v>178.3499079189687</v>
      </c>
      <c r="L158" s="1" t="n">
        <v>145.7410479629097</v>
      </c>
    </row>
    <row r="159">
      <c r="A159" s="2" t="n">
        <v>35825</v>
      </c>
      <c r="B159" s="1" t="n">
        <v>11299.1</v>
      </c>
      <c r="C159" s="1" t="n">
        <v>2851.588775657227</v>
      </c>
      <c r="D159" s="1" t="n">
        <v>27809.18793724219</v>
      </c>
      <c r="E159" s="1" t="n">
        <v>145.36738705962</v>
      </c>
      <c r="F159" s="1" t="n">
        <v>4391.399054729999</v>
      </c>
      <c r="G159" s="1" t="n">
        <v>477.3275676221974</v>
      </c>
      <c r="J159" s="1" t="n">
        <v>184.35280088601</v>
      </c>
      <c r="K159" s="1" t="n">
        <v>180.6040515653774</v>
      </c>
      <c r="L159" s="1" t="n">
        <v>146.3607349200177</v>
      </c>
    </row>
    <row r="160">
      <c r="A160" s="2" t="n">
        <v>35853</v>
      </c>
      <c r="B160" s="1" t="n">
        <v>11422.1</v>
      </c>
      <c r="C160" s="1" t="n">
        <v>3051.097364027344</v>
      </c>
      <c r="D160" s="1" t="n">
        <v>30281.2141555625</v>
      </c>
      <c r="E160" s="1" t="n">
        <v>145.254743560958</v>
      </c>
      <c r="F160" s="1" t="n">
        <v>4126.318293102</v>
      </c>
      <c r="G160" s="1" t="n">
        <v>477.3275676221974</v>
      </c>
      <c r="J160" s="1" t="n">
        <v>184.751834721469</v>
      </c>
      <c r="K160" s="1" t="n">
        <v>181.1491712707182</v>
      </c>
      <c r="L160" s="1" t="n">
        <v>146.9192026206898</v>
      </c>
    </row>
    <row r="161">
      <c r="A161" s="2" t="n">
        <v>35885</v>
      </c>
      <c r="B161" s="1" t="n">
        <v>11729.8</v>
      </c>
      <c r="C161" s="1" t="n">
        <v>3297.86251589209</v>
      </c>
      <c r="D161" s="1" t="n">
        <v>32564.40621671094</v>
      </c>
      <c r="E161" s="1" t="n">
        <v>151.846987675787</v>
      </c>
      <c r="F161" s="1" t="n">
        <v>4216.918611059999</v>
      </c>
      <c r="G161" s="1" t="n">
        <v>490.5955893239782</v>
      </c>
      <c r="J161" s="1" t="n">
        <v>187.2690245579647</v>
      </c>
      <c r="K161" s="1" t="n">
        <v>182.1436464088397</v>
      </c>
      <c r="L161" s="1" t="n">
        <v>147.5401336269289</v>
      </c>
    </row>
    <row r="162">
      <c r="A162" s="2" t="n">
        <v>35915</v>
      </c>
      <c r="B162" s="1" t="n">
        <v>11857.4</v>
      </c>
      <c r="C162" s="1" t="n">
        <v>3363.520919616211</v>
      </c>
      <c r="D162" s="1" t="n">
        <v>32851.73513945312</v>
      </c>
      <c r="E162" s="1" t="n">
        <v>150.779083996128</v>
      </c>
      <c r="F162" s="1" t="n">
        <v>4172.394804284</v>
      </c>
      <c r="G162" s="1" t="n">
        <v>490.5955893239782</v>
      </c>
      <c r="J162" s="1" t="n">
        <v>187.3787292356811</v>
      </c>
      <c r="K162" s="1" t="n">
        <v>182.9834254143646</v>
      </c>
      <c r="L162" s="1" t="n">
        <v>148.1442097739723</v>
      </c>
    </row>
    <row r="163">
      <c r="A163" s="2" t="n">
        <v>35944</v>
      </c>
      <c r="B163" s="1" t="n">
        <v>11630.4</v>
      </c>
      <c r="C163" s="1" t="n">
        <v>3482.591160960937</v>
      </c>
      <c r="D163" s="1" t="n">
        <v>30124.29326485938</v>
      </c>
      <c r="E163" s="1" t="n">
        <v>156.14534542468</v>
      </c>
      <c r="F163" s="1" t="n">
        <v>4138.025197016001</v>
      </c>
      <c r="G163" s="1" t="n">
        <v>490.5955893239782</v>
      </c>
      <c r="J163" s="1" t="n">
        <v>191.7946811084483</v>
      </c>
      <c r="K163" s="1" t="n">
        <v>185.0607734806629</v>
      </c>
      <c r="L163" s="1" t="n">
        <v>148.7597933754785</v>
      </c>
    </row>
    <row r="164">
      <c r="A164" s="2" t="n">
        <v>35976</v>
      </c>
      <c r="B164" s="1" t="n">
        <v>11543.6</v>
      </c>
      <c r="C164" s="1" t="n">
        <v>3613.679126617684</v>
      </c>
      <c r="D164" s="1" t="n">
        <v>28173.53425348828</v>
      </c>
      <c r="E164" s="1" t="n">
        <v>156.389631474942</v>
      </c>
      <c r="F164" s="1" t="n">
        <v>4037.066897256</v>
      </c>
      <c r="G164" s="1" t="n">
        <v>502.7799274110151</v>
      </c>
      <c r="I164" s="1" t="n">
        <v>100</v>
      </c>
      <c r="J164" s="1" t="n">
        <v>190.5357706815173</v>
      </c>
      <c r="K164" s="1" t="n">
        <v>186.2615101289134</v>
      </c>
      <c r="L164" s="1" t="n">
        <v>149.3720862663798</v>
      </c>
    </row>
    <row r="165">
      <c r="A165" s="2" t="n">
        <v>36007</v>
      </c>
      <c r="B165" s="1" t="n">
        <v>11727.7</v>
      </c>
      <c r="C165" s="1" t="n">
        <v>3691.347567950195</v>
      </c>
      <c r="D165" s="1" t="n">
        <v>29612.08626405664</v>
      </c>
      <c r="E165" s="1" t="n">
        <v>152.014443262183</v>
      </c>
      <c r="F165" s="1" t="n">
        <v>3793.221651359</v>
      </c>
      <c r="G165" s="1" t="n">
        <v>502.7799274110151</v>
      </c>
      <c r="I165" s="1" t="n">
        <v>100</v>
      </c>
      <c r="J165" s="1" t="n">
        <v>191.8501644646727</v>
      </c>
      <c r="K165" s="1" t="n">
        <v>187.2412523020258</v>
      </c>
      <c r="L165" s="1" t="n">
        <v>150.0493104958017</v>
      </c>
    </row>
    <row r="166">
      <c r="A166" s="2" t="n">
        <v>36038</v>
      </c>
      <c r="B166" s="1" t="n">
        <v>10715.8</v>
      </c>
      <c r="C166" s="1" t="n">
        <v>3376.955462345577</v>
      </c>
      <c r="D166" s="1" t="n">
        <v>23077.04822585449</v>
      </c>
      <c r="E166" s="1" t="n">
        <v>146.9474487234</v>
      </c>
      <c r="F166" s="1" t="n">
        <v>3787.64565945</v>
      </c>
      <c r="G166" s="1" t="n">
        <v>502.7799274110151</v>
      </c>
      <c r="I166" s="1" t="n">
        <v>100</v>
      </c>
      <c r="J166" s="1" t="n">
        <v>189.1822999936592</v>
      </c>
      <c r="K166" s="1" t="n">
        <v>190.548802946593</v>
      </c>
      <c r="L166" s="1" t="n">
        <v>150.6624360970085</v>
      </c>
    </row>
    <row r="167">
      <c r="A167" s="2" t="n">
        <v>36068</v>
      </c>
      <c r="B167" s="1" t="n">
        <v>11105.8</v>
      </c>
      <c r="C167" s="1" t="n">
        <v>3259.968713400142</v>
      </c>
      <c r="D167" s="1" t="n">
        <v>23665.67610422461</v>
      </c>
      <c r="E167" s="1" t="n">
        <v>151.773602083656</v>
      </c>
      <c r="F167" s="1" t="n">
        <v>4033.80135948</v>
      </c>
      <c r="G167" s="1" t="n">
        <v>504.2875504823794</v>
      </c>
      <c r="I167" s="1" t="n">
        <v>96.355</v>
      </c>
      <c r="J167" s="1" t="n">
        <v>196.9702855461318</v>
      </c>
      <c r="K167" s="1" t="n">
        <v>194.7034990791897</v>
      </c>
      <c r="L167" s="1" t="n">
        <v>151.3524017973701</v>
      </c>
    </row>
    <row r="168">
      <c r="A168" s="2" t="n">
        <v>36098</v>
      </c>
      <c r="B168" s="1" t="n">
        <v>11369.3</v>
      </c>
      <c r="C168" s="1" t="n">
        <v>3325.48290487745</v>
      </c>
      <c r="D168" s="1" t="n">
        <v>24355.84867633594</v>
      </c>
      <c r="E168" s="1" t="n">
        <v>142.777370378294</v>
      </c>
      <c r="F168" s="1" t="n">
        <v>3659.235119764</v>
      </c>
      <c r="G168" s="1" t="n">
        <v>504.2875504823794</v>
      </c>
      <c r="I168" s="1" t="n">
        <v>96.355</v>
      </c>
      <c r="J168" s="1" t="n">
        <v>199.1489576516551</v>
      </c>
      <c r="K168" s="1" t="n">
        <v>194.1289134438306</v>
      </c>
      <c r="L168" s="1" t="n">
        <v>151.9979830351829</v>
      </c>
    </row>
    <row r="169">
      <c r="A169" s="2" t="n">
        <v>36129</v>
      </c>
      <c r="B169" s="1" t="n">
        <v>11964.5</v>
      </c>
      <c r="C169" s="1" t="n">
        <v>3529.766833008301</v>
      </c>
      <c r="D169" s="1" t="n">
        <v>26068.24604694531</v>
      </c>
      <c r="E169" s="1" t="n">
        <v>143.391437617444</v>
      </c>
      <c r="F169" s="1" t="n">
        <v>3180.776503832</v>
      </c>
      <c r="G169" s="1" t="n">
        <v>504.2875504823794</v>
      </c>
      <c r="I169" s="1" t="n">
        <v>96.355</v>
      </c>
      <c r="J169" s="1" t="n">
        <v>199.0978914169943</v>
      </c>
      <c r="K169" s="1" t="n">
        <v>195.6611418047882</v>
      </c>
      <c r="L169" s="1" t="n">
        <v>152.5979457939702</v>
      </c>
    </row>
    <row r="170">
      <c r="A170" s="2" t="n">
        <v>36160</v>
      </c>
      <c r="B170" s="1" t="n">
        <v>12105.5</v>
      </c>
      <c r="C170" s="1" t="n">
        <v>3748.985237347656</v>
      </c>
      <c r="D170" s="1" t="n">
        <v>26345.43734235547</v>
      </c>
      <c r="E170" s="1" t="n">
        <v>146.819793223404</v>
      </c>
      <c r="F170" s="1" t="n">
        <v>3204.513377184</v>
      </c>
      <c r="G170" s="1" t="n">
        <v>514.1522240396513</v>
      </c>
      <c r="I170" s="1" t="n">
        <v>94.88</v>
      </c>
      <c r="J170" s="1" t="n">
        <v>199.7736802348741</v>
      </c>
      <c r="K170" s="1" t="n">
        <v>196.3314917127072</v>
      </c>
      <c r="L170" s="1" t="n">
        <v>153.2336649326227</v>
      </c>
    </row>
    <row r="171">
      <c r="A171" s="2" t="n">
        <v>36189</v>
      </c>
      <c r="B171" s="1" t="n">
        <v>12350.5</v>
      </c>
      <c r="C171" s="1" t="n">
        <v>3782.131801189453</v>
      </c>
      <c r="D171" s="1" t="n">
        <v>26977.39987928906</v>
      </c>
      <c r="E171" s="1" t="n">
        <v>140.846223719988</v>
      </c>
      <c r="F171" s="1" t="n">
        <v>3142.173387888</v>
      </c>
      <c r="G171" s="1" t="n">
        <v>514.1522240396513</v>
      </c>
      <c r="I171" s="1" t="n">
        <v>94.88</v>
      </c>
      <c r="J171" s="1" t="n">
        <v>200.6814525835084</v>
      </c>
      <c r="K171" s="1" t="n">
        <v>198.5709023941068</v>
      </c>
      <c r="L171" s="1" t="n">
        <v>153.8693941039295</v>
      </c>
    </row>
    <row r="172">
      <c r="A172" s="2" t="n">
        <v>36217</v>
      </c>
      <c r="B172" s="1" t="n">
        <v>12345.6</v>
      </c>
      <c r="C172" s="1" t="n">
        <v>3772.483051486328</v>
      </c>
      <c r="D172" s="1" t="n">
        <v>27888.82671142188</v>
      </c>
      <c r="E172" s="1" t="n">
        <v>138.705642897812</v>
      </c>
      <c r="F172" s="1" t="n">
        <v>3032.668355822</v>
      </c>
      <c r="G172" s="1" t="n">
        <v>514.1522240396513</v>
      </c>
      <c r="I172" s="1" t="n">
        <v>94.88</v>
      </c>
      <c r="J172" s="1" t="n">
        <v>197.8780578947662</v>
      </c>
      <c r="K172" s="1" t="n">
        <v>196.0220994475139</v>
      </c>
      <c r="L172" s="1" t="n">
        <v>154.4221030610431</v>
      </c>
    </row>
    <row r="173">
      <c r="A173" s="2" t="n">
        <v>36250</v>
      </c>
      <c r="B173" s="1" t="n">
        <v>12871.6</v>
      </c>
      <c r="C173" s="1" t="n">
        <v>3874.135653797363</v>
      </c>
      <c r="D173" s="1" t="n">
        <v>30476.47061296484</v>
      </c>
      <c r="E173" s="1" t="n">
        <v>135.981837056395</v>
      </c>
      <c r="F173" s="1" t="n">
        <v>3486.023148144</v>
      </c>
      <c r="G173" s="1" t="n">
        <v>524.9268464186155</v>
      </c>
      <c r="I173" s="1" t="n">
        <v>93.815</v>
      </c>
      <c r="J173" s="1" t="n">
        <v>199.7226140002132</v>
      </c>
      <c r="K173" s="1" t="n">
        <v>197.5027624309393</v>
      </c>
      <c r="L173" s="1" t="n">
        <v>155.0512508111401</v>
      </c>
    </row>
    <row r="174">
      <c r="A174" s="2" t="n">
        <v>36280</v>
      </c>
      <c r="B174" s="1" t="n">
        <v>13675.5</v>
      </c>
      <c r="C174" s="1" t="n">
        <v>3854.075698401855</v>
      </c>
      <c r="D174" s="1" t="n">
        <v>32276.36242304297</v>
      </c>
      <c r="E174" s="1" t="n">
        <v>140.217657106248</v>
      </c>
      <c r="F174" s="1" t="n">
        <v>3458.663809902</v>
      </c>
      <c r="G174" s="1" t="n">
        <v>524.9268464186155</v>
      </c>
      <c r="I174" s="1" t="n">
        <v>93.815</v>
      </c>
      <c r="J174" s="1" t="n">
        <v>200.3826427746051</v>
      </c>
      <c r="K174" s="1" t="n">
        <v>198.9318600368325</v>
      </c>
      <c r="L174" s="1" t="n">
        <v>155.6598416526109</v>
      </c>
    </row>
    <row r="175">
      <c r="A175" s="2" t="n">
        <v>36311</v>
      </c>
      <c r="B175" s="1" t="n">
        <v>12821.2</v>
      </c>
      <c r="C175" s="1" t="n">
        <v>3817.01442407373</v>
      </c>
      <c r="D175" s="1" t="n">
        <v>33212.58897735937</v>
      </c>
      <c r="E175" s="1" t="n">
        <v>145.849968031527</v>
      </c>
      <c r="F175" s="1" t="n">
        <v>3340.486991556</v>
      </c>
      <c r="G175" s="1" t="n">
        <v>524.9268464186155</v>
      </c>
      <c r="I175" s="1" t="n">
        <v>93.815</v>
      </c>
      <c r="J175" s="1" t="n">
        <v>197.6410262250819</v>
      </c>
      <c r="K175" s="1" t="n">
        <v>197.7090239410682</v>
      </c>
      <c r="L175" s="1" t="n">
        <v>156.2840633694549</v>
      </c>
    </row>
    <row r="176">
      <c r="A176" s="2" t="n">
        <v>36341</v>
      </c>
      <c r="B176" s="1" t="n">
        <v>13175.5</v>
      </c>
      <c r="C176" s="1" t="n">
        <v>3929.254448618164</v>
      </c>
      <c r="D176" s="1" t="n">
        <v>35911.13502276171</v>
      </c>
      <c r="E176" s="1" t="n">
        <v>141.375944075104</v>
      </c>
      <c r="F176" s="1" t="n">
        <v>3484.969995004</v>
      </c>
      <c r="G176" s="1" t="n">
        <v>538.5168384455662</v>
      </c>
      <c r="I176" s="1" t="n">
        <v>92.40000000000001</v>
      </c>
      <c r="J176" s="1" t="n">
        <v>196.7912459114694</v>
      </c>
      <c r="K176" s="1" t="n">
        <v>195.926335174954</v>
      </c>
      <c r="L176" s="1" t="n">
        <v>156.8971789380074</v>
      </c>
    </row>
    <row r="177">
      <c r="A177" s="2" t="n">
        <v>36371</v>
      </c>
      <c r="B177" s="1" t="n">
        <v>13411.8</v>
      </c>
      <c r="C177" s="1" t="n">
        <v>3905.797590595222</v>
      </c>
      <c r="D177" s="1" t="n">
        <v>35708.52784832421</v>
      </c>
      <c r="E177" s="1" t="n">
        <v>139.336045418328</v>
      </c>
      <c r="F177" s="1" t="n">
        <v>3659.192456088</v>
      </c>
      <c r="G177" s="1" t="n">
        <v>538.5168384455662</v>
      </c>
      <c r="I177" s="1" t="n">
        <v>92.40000000000001</v>
      </c>
      <c r="J177" s="1" t="n">
        <v>198.159214608083</v>
      </c>
      <c r="K177" s="1" t="n">
        <v>195.0865561694292</v>
      </c>
      <c r="L177" s="1" t="n">
        <v>157.564541068269</v>
      </c>
    </row>
    <row r="178">
      <c r="A178" s="2" t="n">
        <v>36403</v>
      </c>
      <c r="B178" s="1" t="n">
        <v>13071.8</v>
      </c>
      <c r="C178" s="1" t="n">
        <v>3989.221474267082</v>
      </c>
      <c r="D178" s="1" t="n">
        <v>37163.47271354297</v>
      </c>
      <c r="E178" s="1" t="n">
        <v>141.498883192842</v>
      </c>
      <c r="F178" s="1" t="n">
        <v>4013.84971575</v>
      </c>
      <c r="G178" s="1" t="n">
        <v>538.5168384455662</v>
      </c>
      <c r="I178" s="1" t="n">
        <v>92.40000000000001</v>
      </c>
      <c r="J178" s="1" t="n">
        <v>197.9789283293555</v>
      </c>
      <c r="K178" s="1" t="n">
        <v>195.1381215469614</v>
      </c>
      <c r="L178" s="1" t="n">
        <v>158.2146470331635</v>
      </c>
    </row>
    <row r="179">
      <c r="A179" s="2" t="n">
        <v>36433</v>
      </c>
      <c r="B179" s="1" t="n">
        <v>12912</v>
      </c>
      <c r="C179" s="1" t="n">
        <v>3823.941988089844</v>
      </c>
      <c r="D179" s="1" t="n">
        <v>35424.81330914844</v>
      </c>
      <c r="E179" s="1" t="n">
        <v>132.758077149756</v>
      </c>
      <c r="F179" s="1" t="n">
        <v>4127.003725955999</v>
      </c>
      <c r="G179" s="1" t="n">
        <v>550.1903259414556</v>
      </c>
      <c r="I179" s="1" t="n">
        <v>92.36</v>
      </c>
      <c r="J179" s="1" t="n">
        <v>199.653279043267</v>
      </c>
      <c r="K179" s="1" t="n">
        <v>196.2136279926336</v>
      </c>
      <c r="L179" s="1" t="n">
        <v>158.8421494279581</v>
      </c>
    </row>
    <row r="180">
      <c r="A180" s="2" t="n">
        <v>36462</v>
      </c>
      <c r="B180" s="1" t="n">
        <v>12975.7</v>
      </c>
      <c r="C180" s="1" t="n">
        <v>4122.12995660157</v>
      </c>
      <c r="D180" s="1" t="n">
        <v>37084.244964375</v>
      </c>
      <c r="E180" s="1" t="n">
        <v>133.31796477888</v>
      </c>
      <c r="F180" s="1" t="n">
        <v>4008.13972944</v>
      </c>
      <c r="G180" s="1" t="n">
        <v>550.1903259414556</v>
      </c>
      <c r="I180" s="1" t="n">
        <v>92.36</v>
      </c>
      <c r="J180" s="1" t="n">
        <v>197.9278620946946</v>
      </c>
      <c r="K180" s="1" t="n">
        <v>196.6408839779006</v>
      </c>
      <c r="L180" s="1" t="n">
        <v>159.5119695585191</v>
      </c>
    </row>
    <row r="181">
      <c r="A181" s="2" t="n">
        <v>36494</v>
      </c>
      <c r="B181" s="1" t="n">
        <v>13674.8</v>
      </c>
      <c r="C181" s="1" t="n">
        <v>4288.40615467797</v>
      </c>
      <c r="D181" s="1" t="n">
        <v>40484.01527233789</v>
      </c>
      <c r="E181" s="1" t="n">
        <v>131.201028691293</v>
      </c>
      <c r="F181" s="1" t="n">
        <v>4180.820988612</v>
      </c>
      <c r="G181" s="1" t="n">
        <v>550.1903259414556</v>
      </c>
      <c r="I181" s="1" t="n">
        <v>92.36</v>
      </c>
      <c r="J181" s="1" t="n">
        <v>198.5330539208958</v>
      </c>
      <c r="K181" s="1" t="n">
        <v>197.267034990792</v>
      </c>
      <c r="L181" s="1" t="n">
        <v>160.1887824491154</v>
      </c>
    </row>
    <row r="182">
      <c r="A182" s="2" t="n">
        <v>36525</v>
      </c>
      <c r="B182" s="1" t="n">
        <v>14441.3</v>
      </c>
      <c r="C182" s="1" t="n">
        <v>4501.301049498787</v>
      </c>
      <c r="D182" s="1" t="n">
        <v>43825.73297801953</v>
      </c>
      <c r="E182" s="1" t="n">
        <v>131.073065137378</v>
      </c>
      <c r="F182" s="1" t="n">
        <v>4232.891730585</v>
      </c>
      <c r="G182" s="1" t="n">
        <v>569.972101782697</v>
      </c>
      <c r="I182" s="1" t="n">
        <v>91.89</v>
      </c>
      <c r="J182" s="1" t="n">
        <v>197.3384457026488</v>
      </c>
      <c r="K182" s="1" t="n">
        <v>196.876611418048</v>
      </c>
      <c r="L182" s="1" t="n">
        <v>160.908334446958</v>
      </c>
    </row>
    <row r="183">
      <c r="A183" s="2" t="n">
        <v>36556</v>
      </c>
      <c r="B183" s="1" t="n">
        <v>14338.1</v>
      </c>
      <c r="C183" s="1" t="n">
        <v>4406.776095102539</v>
      </c>
      <c r="D183" s="1" t="n">
        <v>45337.97692898438</v>
      </c>
      <c r="E183" s="1" t="n">
        <v>134.21795816277</v>
      </c>
      <c r="F183" s="1" t="n">
        <v>4657.09269177</v>
      </c>
      <c r="G183" s="1" t="n">
        <v>569.972101782697</v>
      </c>
      <c r="I183" s="1" t="n">
        <v>91.89</v>
      </c>
      <c r="J183" s="1" t="n">
        <v>196.8839131202979</v>
      </c>
      <c r="K183" s="1" t="n">
        <v>196.3756906077349</v>
      </c>
      <c r="L183" s="1" t="n">
        <v>161.7088499648657</v>
      </c>
    </row>
    <row r="184">
      <c r="A184" s="2" t="n">
        <v>36585</v>
      </c>
      <c r="B184" s="1" t="n">
        <v>14612</v>
      </c>
      <c r="C184" s="1" t="n">
        <v>4635.706121474609</v>
      </c>
      <c r="D184" s="1" t="n">
        <v>47701.67730230078</v>
      </c>
      <c r="E184" s="1" t="n">
        <v>137.230193434262</v>
      </c>
      <c r="F184" s="1" t="n">
        <v>5138.167849642</v>
      </c>
      <c r="G184" s="1" t="n">
        <v>569.972101782697</v>
      </c>
      <c r="I184" s="1" t="n">
        <v>91.89</v>
      </c>
      <c r="J184" s="1" t="n">
        <v>200.9159755743952</v>
      </c>
      <c r="K184" s="1" t="n">
        <v>198.1657458563537</v>
      </c>
      <c r="L184" s="1" t="n">
        <v>162.4074437479107</v>
      </c>
    </row>
    <row r="185">
      <c r="A185" s="2" t="n">
        <v>36616</v>
      </c>
      <c r="B185" s="1" t="n">
        <v>14690.042</v>
      </c>
      <c r="C185" s="1" t="n">
        <v>4970.293501520988</v>
      </c>
      <c r="D185" s="1" t="n">
        <v>48375.64295601562</v>
      </c>
      <c r="E185" s="1" t="n">
        <v>142.947886125386</v>
      </c>
      <c r="F185" s="1" t="n">
        <v>5138.769576363999</v>
      </c>
      <c r="G185" s="1" t="n">
        <v>582.2104865775807</v>
      </c>
      <c r="I185" s="1" t="n">
        <v>90.455</v>
      </c>
      <c r="J185" s="1" t="n">
        <v>203.2963731584298</v>
      </c>
      <c r="K185" s="1" t="n">
        <v>200.7734806629835</v>
      </c>
      <c r="L185" s="1" t="n">
        <v>163.1750722250782</v>
      </c>
    </row>
    <row r="186">
      <c r="A186" s="2" t="n">
        <v>36644</v>
      </c>
      <c r="B186" s="1" t="n">
        <v>14471.399</v>
      </c>
      <c r="C186" s="1" t="n">
        <v>5053.040058889657</v>
      </c>
      <c r="D186" s="1" t="n">
        <v>46405.66934658594</v>
      </c>
      <c r="E186" s="1" t="n">
        <v>157.91444193168</v>
      </c>
      <c r="F186" s="1" t="n">
        <v>5297.034952720001</v>
      </c>
      <c r="G186" s="1" t="n">
        <v>582.2104865775807</v>
      </c>
      <c r="I186" s="1" t="n">
        <v>90.455</v>
      </c>
      <c r="J186" s="1" t="n">
        <v>204.115895419799</v>
      </c>
      <c r="K186" s="1" t="n">
        <v>200.8397790055249</v>
      </c>
      <c r="L186" s="1" t="n">
        <v>163.9287252148292</v>
      </c>
    </row>
    <row r="187">
      <c r="A187" s="2" t="n">
        <v>36677</v>
      </c>
      <c r="B187" s="1" t="n">
        <v>14284.504</v>
      </c>
      <c r="C187" s="1" t="n">
        <v>5042.828151820312</v>
      </c>
      <c r="D187" s="1" t="n">
        <v>46073.30840925</v>
      </c>
      <c r="E187" s="1" t="n">
        <v>163.820334465808</v>
      </c>
      <c r="F187" s="1" t="n">
        <v>6024.386078224</v>
      </c>
      <c r="G187" s="1" t="n">
        <v>582.2104865775807</v>
      </c>
      <c r="I187" s="1" t="n">
        <v>90.455</v>
      </c>
      <c r="J187" s="1" t="n">
        <v>206.6047202561501</v>
      </c>
      <c r="K187" s="1" t="n">
        <v>201.3112338858196</v>
      </c>
      <c r="L187" s="1" t="n">
        <v>164.7966300715569</v>
      </c>
    </row>
    <row r="188">
      <c r="A188" s="2" t="n">
        <v>36707</v>
      </c>
      <c r="B188" s="1" t="n">
        <v>15384.219</v>
      </c>
      <c r="C188" s="1" t="n">
        <v>4893.348632965812</v>
      </c>
      <c r="D188" s="1" t="n">
        <v>45150.58494532031</v>
      </c>
      <c r="E188" s="1" t="n">
        <v>160.699689980716</v>
      </c>
      <c r="F188" s="1" t="n">
        <v>6132.3273586</v>
      </c>
      <c r="G188" s="1" t="n">
        <v>597.7622008261837</v>
      </c>
      <c r="I188" s="1" t="n">
        <v>92.90000000000001</v>
      </c>
      <c r="J188" s="1" t="n">
        <v>208.9334205881575</v>
      </c>
      <c r="K188" s="1" t="n">
        <v>203.646408839779</v>
      </c>
      <c r="L188" s="1" t="n">
        <v>165.6505594408681</v>
      </c>
    </row>
    <row r="189">
      <c r="A189" s="2" t="n">
        <v>36738</v>
      </c>
      <c r="B189" s="1" t="n">
        <v>15178.829</v>
      </c>
      <c r="C189" s="1" t="n">
        <v>4999.945582647452</v>
      </c>
      <c r="D189" s="1" t="n">
        <v>44547.62779911719</v>
      </c>
      <c r="E189" s="1" t="n">
        <v>179.55069438586</v>
      </c>
      <c r="F189" s="1" t="n">
        <v>5870.626178672001</v>
      </c>
      <c r="G189" s="1" t="n">
        <v>597.7622008261837</v>
      </c>
      <c r="I189" s="1" t="n">
        <v>92.90000000000001</v>
      </c>
      <c r="J189" s="1" t="n">
        <v>208.9958297447428</v>
      </c>
      <c r="K189" s="1" t="n">
        <v>205.1565377532229</v>
      </c>
      <c r="L189" s="1" t="n">
        <v>166.4917473392397</v>
      </c>
    </row>
    <row r="190">
      <c r="A190" s="2" t="n">
        <v>36769</v>
      </c>
      <c r="B190" s="1" t="n">
        <v>15440.56</v>
      </c>
      <c r="C190" s="1" t="n">
        <v>5217.079545700919</v>
      </c>
      <c r="D190" s="1" t="n">
        <v>45018.77263337695</v>
      </c>
      <c r="E190" s="1" t="n">
        <v>174.206539402857</v>
      </c>
      <c r="F190" s="1" t="n">
        <v>6789.284802144</v>
      </c>
      <c r="G190" s="1" t="n">
        <v>597.7622008261837</v>
      </c>
      <c r="I190" s="1" t="n">
        <v>92.90000000000001</v>
      </c>
      <c r="J190" s="1" t="n">
        <v>209.5033062231857</v>
      </c>
      <c r="K190" s="1" t="n">
        <v>206.5709023941068</v>
      </c>
      <c r="L190" s="1" t="n">
        <v>167.3567728241882</v>
      </c>
    </row>
    <row r="191">
      <c r="A191" s="2" t="n">
        <v>36798</v>
      </c>
      <c r="B191" s="1" t="n">
        <v>15472.288</v>
      </c>
      <c r="C191" s="1" t="n">
        <v>5286.608025248535</v>
      </c>
      <c r="D191" s="1" t="n">
        <v>44365.48457389453</v>
      </c>
      <c r="E191" s="1" t="n">
        <v>191.682734061494</v>
      </c>
      <c r="F191" s="1" t="n">
        <v>7143.912121483</v>
      </c>
      <c r="G191" s="1" t="n">
        <v>598.7303616867623</v>
      </c>
      <c r="I191" s="1" t="n">
        <v>103.015</v>
      </c>
      <c r="J191" s="1" t="n">
        <v>211.4417915721937</v>
      </c>
      <c r="K191" s="1" t="n">
        <v>208.2357274401474</v>
      </c>
      <c r="L191" s="1" t="n">
        <v>168.2398771521548</v>
      </c>
    </row>
    <row r="192">
      <c r="A192" s="2" t="n">
        <v>36830</v>
      </c>
      <c r="B192" s="1" t="n">
        <v>15297.387</v>
      </c>
      <c r="C192" s="1" t="n">
        <v>5500.492476044434</v>
      </c>
      <c r="D192" s="1" t="n">
        <v>43988.84096745312</v>
      </c>
      <c r="E192" s="1" t="n">
        <v>193.277151200484</v>
      </c>
      <c r="F192" s="1" t="n">
        <v>7483.32748002</v>
      </c>
      <c r="G192" s="1" t="n">
        <v>598.7303616867623</v>
      </c>
      <c r="I192" s="1" t="n">
        <v>103.015</v>
      </c>
      <c r="J192" s="1" t="n">
        <v>212.9761795561455</v>
      </c>
      <c r="K192" s="1" t="n">
        <v>209.7826887661142</v>
      </c>
      <c r="L192" s="1" t="n">
        <v>169.1920262068982</v>
      </c>
    </row>
    <row r="193">
      <c r="A193" s="2" t="n">
        <v>36860</v>
      </c>
      <c r="B193" s="1" t="n">
        <v>15469.439</v>
      </c>
      <c r="C193" s="1" t="n">
        <v>5083.496278771494</v>
      </c>
      <c r="D193" s="1" t="n">
        <v>39976.735530625</v>
      </c>
      <c r="E193" s="1" t="n">
        <v>193.6650518958</v>
      </c>
      <c r="F193" s="1" t="n">
        <v>8054.810548216</v>
      </c>
      <c r="G193" s="1" t="n">
        <v>598.7303616867623</v>
      </c>
      <c r="I193" s="1" t="n">
        <v>103.015</v>
      </c>
      <c r="J193" s="1" t="n">
        <v>217.1551151498959</v>
      </c>
      <c r="K193" s="1" t="n">
        <v>213.2007366482505</v>
      </c>
      <c r="L193" s="1" t="n">
        <v>170.0936207167088</v>
      </c>
    </row>
    <row r="194">
      <c r="A194" s="2" t="n">
        <v>36889</v>
      </c>
      <c r="B194" s="1" t="n">
        <v>15166.618</v>
      </c>
      <c r="C194" s="1" t="n">
        <v>4791.930531855469</v>
      </c>
      <c r="D194" s="1" t="n">
        <v>38554.63920246094</v>
      </c>
      <c r="E194" s="1" t="n">
        <v>194.813740654596</v>
      </c>
      <c r="F194" s="1" t="n">
        <v>7464.280582332</v>
      </c>
      <c r="G194" s="1" t="n">
        <v>614.8297015899097</v>
      </c>
      <c r="I194" s="1" t="n">
        <v>96.215</v>
      </c>
      <c r="J194" s="1" t="n">
        <v>221.1751882740352</v>
      </c>
      <c r="K194" s="1" t="n">
        <v>216.0589318600368</v>
      </c>
      <c r="L194" s="1" t="n">
        <v>171.0034219377229</v>
      </c>
    </row>
    <row r="195">
      <c r="A195" s="2" t="n">
        <v>36922</v>
      </c>
      <c r="B195" s="1" t="n">
        <v>15826.992</v>
      </c>
      <c r="C195" s="1" t="n">
        <v>4975.66196622</v>
      </c>
      <c r="D195" s="1" t="n">
        <v>44408.18281174</v>
      </c>
      <c r="E195" s="1" t="n">
        <v>199.08530420361</v>
      </c>
      <c r="F195" s="1" t="n">
        <v>7151.76867416</v>
      </c>
      <c r="G195" s="1" t="n">
        <v>614.8297015899097</v>
      </c>
      <c r="I195" s="1" t="n">
        <v>96.215</v>
      </c>
      <c r="J195" s="1" t="n">
        <v>224.4936316496149</v>
      </c>
      <c r="K195" s="1" t="n">
        <v>218.9613259668508</v>
      </c>
      <c r="L195" s="1" t="n">
        <v>171.9210486290779</v>
      </c>
    </row>
    <row r="196">
      <c r="A196" s="2" t="n">
        <v>36950</v>
      </c>
      <c r="B196" s="1" t="n">
        <v>15790.637</v>
      </c>
      <c r="C196" s="1" t="n">
        <v>4803.983643912</v>
      </c>
      <c r="D196" s="1" t="n">
        <v>43372.796722042</v>
      </c>
      <c r="E196" s="1" t="n">
        <v>206.112735029334</v>
      </c>
      <c r="F196" s="1" t="n">
        <v>7388.260869494</v>
      </c>
      <c r="G196" s="1" t="n">
        <v>614.8297015899097</v>
      </c>
      <c r="I196" s="1" t="n">
        <v>96.215</v>
      </c>
      <c r="J196" s="1" t="n">
        <v>225.9920824250275</v>
      </c>
      <c r="K196" s="1" t="n">
        <v>220.9797421731123</v>
      </c>
      <c r="L196" s="1" t="n">
        <v>172.7281355355411</v>
      </c>
    </row>
    <row r="197">
      <c r="A197" s="2" t="n">
        <v>36980</v>
      </c>
      <c r="B197" s="1" t="n">
        <v>15029.049</v>
      </c>
      <c r="C197" s="1" t="n">
        <v>4912.188364862</v>
      </c>
      <c r="D197" s="1" t="n">
        <v>42943.248649832</v>
      </c>
      <c r="E197" s="1" t="n">
        <v>222.944071006889</v>
      </c>
      <c r="F197" s="1" t="n">
        <v>7620.588462414001</v>
      </c>
      <c r="G197" s="1" t="n">
        <v>630.188595902824</v>
      </c>
      <c r="I197" s="1" t="n">
        <v>96.255</v>
      </c>
      <c r="J197" s="1" t="n">
        <v>227.3342101909613</v>
      </c>
      <c r="K197" s="1" t="n">
        <v>222.5267034990792</v>
      </c>
      <c r="L197" s="1" t="n">
        <v>173.5606853185749</v>
      </c>
    </row>
    <row r="198">
      <c r="A198" s="2" t="n">
        <v>37011</v>
      </c>
      <c r="B198" s="1" t="n">
        <v>15885.592</v>
      </c>
      <c r="C198" s="1" t="n">
        <v>5025.459059565001</v>
      </c>
      <c r="D198" s="1" t="n">
        <v>42997.988676801</v>
      </c>
      <c r="E198" s="1" t="n">
        <v>217.648223981055</v>
      </c>
      <c r="F198" s="1" t="n">
        <v>7676.124153045001</v>
      </c>
      <c r="G198" s="1" t="n">
        <v>630.188595902824</v>
      </c>
      <c r="I198" s="1" t="n">
        <v>96.255</v>
      </c>
      <c r="J198" s="1" t="n">
        <v>225.1379003805189</v>
      </c>
      <c r="K198" s="1" t="n">
        <v>221.5616942909761</v>
      </c>
      <c r="L198" s="1" t="n">
        <v>174.3155823574571</v>
      </c>
    </row>
    <row r="199">
      <c r="A199" s="2" t="n">
        <v>37042</v>
      </c>
      <c r="B199" s="1" t="n">
        <v>16139.6</v>
      </c>
      <c r="C199" s="1" t="n">
        <v>5031.277162704</v>
      </c>
      <c r="D199" s="1" t="n">
        <v>44324.319331344</v>
      </c>
      <c r="E199" s="1" t="n">
        <v>224.87561175768</v>
      </c>
      <c r="F199" s="1" t="n">
        <v>7514.852215727999</v>
      </c>
      <c r="G199" s="1" t="n">
        <v>630.188595902824</v>
      </c>
      <c r="I199" s="1" t="n">
        <v>96.255</v>
      </c>
      <c r="J199" s="1" t="n">
        <v>224.2887510842726</v>
      </c>
      <c r="K199" s="1" t="n">
        <v>222.9539594843462</v>
      </c>
      <c r="L199" s="1" t="n">
        <v>175.0215802393631</v>
      </c>
    </row>
    <row r="200">
      <c r="A200" s="2" t="n">
        <v>37071</v>
      </c>
      <c r="B200" s="1" t="n">
        <v>16744.968</v>
      </c>
      <c r="C200" s="1" t="n">
        <v>4893.319456515</v>
      </c>
      <c r="D200" s="1" t="n">
        <v>43468.072172274</v>
      </c>
      <c r="E200" s="1" t="n">
        <v>236.694860833593</v>
      </c>
      <c r="F200" s="1" t="n">
        <v>6954.752755952999</v>
      </c>
      <c r="G200" s="1" t="n">
        <v>654.6576770397745</v>
      </c>
      <c r="I200" s="1" t="n">
        <v>93.345</v>
      </c>
      <c r="J200" s="1" t="n">
        <v>224.4413033802216</v>
      </c>
      <c r="K200" s="1" t="n">
        <v>224.2136279926335</v>
      </c>
      <c r="L200" s="1" t="n">
        <v>175.723464733013</v>
      </c>
    </row>
    <row r="201">
      <c r="A201" s="2" t="n">
        <v>37103</v>
      </c>
      <c r="B201" s="1" t="n">
        <v>15993.155</v>
      </c>
      <c r="C201" s="1" t="n">
        <v>4797.701106279999</v>
      </c>
      <c r="D201" s="1" t="n">
        <v>41247.53406872</v>
      </c>
      <c r="E201" s="1" t="n">
        <v>233.41183889114</v>
      </c>
      <c r="F201" s="1" t="n">
        <v>6982.3864913</v>
      </c>
      <c r="G201" s="1" t="n">
        <v>654.6576770397745</v>
      </c>
      <c r="I201" s="1" t="n">
        <v>93.345</v>
      </c>
      <c r="J201" s="1" t="n">
        <v>225.3749320502033</v>
      </c>
      <c r="K201" s="1" t="n">
        <v>227.7421731123389</v>
      </c>
      <c r="L201" s="1" t="n">
        <v>176.4651989294757</v>
      </c>
    </row>
    <row r="202">
      <c r="A202" s="2" t="n">
        <v>37134</v>
      </c>
      <c r="B202" s="1" t="n">
        <v>15792.422</v>
      </c>
      <c r="C202" s="1" t="n">
        <v>4340.591975290999</v>
      </c>
      <c r="D202" s="1" t="n">
        <v>39518.23089462599</v>
      </c>
      <c r="E202" s="1" t="n">
        <v>232.902791513568</v>
      </c>
      <c r="F202" s="1" t="n">
        <v>6798.539151371</v>
      </c>
      <c r="G202" s="1" t="n">
        <v>654.6576770397745</v>
      </c>
      <c r="I202" s="1" t="n">
        <v>93.345</v>
      </c>
      <c r="J202" s="1" t="n">
        <v>231.3757225148844</v>
      </c>
      <c r="K202" s="1" t="n">
        <v>230.0405156537753</v>
      </c>
      <c r="L202" s="1" t="n">
        <v>177.2472242655395</v>
      </c>
    </row>
    <row r="203">
      <c r="A203" s="2" t="n">
        <v>37162</v>
      </c>
      <c r="B203" s="1" t="n">
        <v>14738.0036</v>
      </c>
      <c r="C203" s="1" t="n">
        <v>4215.92611152</v>
      </c>
      <c r="D203" s="1" t="n">
        <v>36494.455894156</v>
      </c>
      <c r="E203" s="1" t="n">
        <v>240.31317842636</v>
      </c>
      <c r="F203" s="1" t="n">
        <v>6452.355197396</v>
      </c>
      <c r="G203" s="1" t="n">
        <v>690.8216667511438</v>
      </c>
      <c r="I203" s="1" t="n">
        <v>96.175</v>
      </c>
      <c r="J203" s="1" t="n">
        <v>234.0177306645507</v>
      </c>
      <c r="K203" s="1" t="n">
        <v>232.2062615101289</v>
      </c>
      <c r="L203" s="1" t="n">
        <v>178.0070373050204</v>
      </c>
    </row>
    <row r="204">
      <c r="A204" s="2" t="n">
        <v>37195</v>
      </c>
      <c r="B204" s="1" t="n">
        <v>15739.836</v>
      </c>
      <c r="C204" s="1" t="n">
        <v>4228.14166336</v>
      </c>
      <c r="D204" s="1" t="n">
        <v>37998.005442488</v>
      </c>
      <c r="E204" s="1" t="n">
        <v>230.117109433904</v>
      </c>
      <c r="F204" s="1" t="n">
        <v>5992.216412096</v>
      </c>
      <c r="G204" s="1" t="n">
        <v>690.8216667511438</v>
      </c>
      <c r="I204" s="1" t="n">
        <v>96.175</v>
      </c>
      <c r="J204" s="1" t="n">
        <v>237.8404954317423</v>
      </c>
      <c r="K204" s="1" t="n">
        <v>236.6924493554328</v>
      </c>
      <c r="L204" s="1" t="n">
        <v>178.6809708238374</v>
      </c>
    </row>
    <row r="205">
      <c r="A205" s="2" t="n">
        <v>37225</v>
      </c>
      <c r="B205" s="1" t="n">
        <v>16271.042</v>
      </c>
      <c r="C205" s="1" t="n">
        <v>4359.726586258</v>
      </c>
      <c r="D205" s="1" t="n">
        <v>40597.575686307</v>
      </c>
      <c r="E205" s="1" t="n">
        <v>232.846253000329</v>
      </c>
      <c r="F205" s="1" t="n">
        <v>5501.395394132</v>
      </c>
      <c r="G205" s="1" t="n">
        <v>690.8216667511438</v>
      </c>
      <c r="I205" s="1" t="n">
        <v>96.175</v>
      </c>
      <c r="J205" s="1" t="n">
        <v>235.2955562218006</v>
      </c>
      <c r="K205" s="1" t="n">
        <v>235.1528545119705</v>
      </c>
      <c r="L205" s="1" t="n">
        <v>179.3191680280979</v>
      </c>
    </row>
    <row r="206">
      <c r="A206" s="2" t="n">
        <v>37256</v>
      </c>
      <c r="B206" s="1" t="n">
        <v>16703.698</v>
      </c>
      <c r="C206" s="1" t="n">
        <v>4478.977407516</v>
      </c>
      <c r="D206" s="1" t="n">
        <v>45162.077346234</v>
      </c>
      <c r="E206" s="1" t="n">
        <v>242.259767400222</v>
      </c>
      <c r="F206" s="1" t="n">
        <v>5515.428127929001</v>
      </c>
      <c r="G206" s="1" t="n">
        <v>718.9120086411638</v>
      </c>
      <c r="H206" s="1" t="n">
        <v>100</v>
      </c>
      <c r="I206" s="1" t="n">
        <v>102.55</v>
      </c>
      <c r="J206" s="1" t="n">
        <v>233.2284664554248</v>
      </c>
      <c r="K206" s="1" t="n">
        <v>233.9594843462247</v>
      </c>
      <c r="L206" s="1" t="n">
        <v>179.9684412826869</v>
      </c>
    </row>
    <row r="207">
      <c r="A207" s="2" t="n">
        <v>37287</v>
      </c>
      <c r="B207" s="1" t="n">
        <v>16923.653</v>
      </c>
      <c r="C207" s="1" t="n">
        <v>4437.561825202</v>
      </c>
      <c r="D207" s="1" t="n">
        <v>47472.16197554601</v>
      </c>
      <c r="E207" s="1" t="n">
        <v>245.073780599032</v>
      </c>
      <c r="F207" s="1" t="n">
        <v>5398.187261148</v>
      </c>
      <c r="G207" s="1" t="n">
        <v>718.9120086411638</v>
      </c>
      <c r="H207" s="1" t="n">
        <v>101.42</v>
      </c>
      <c r="I207" s="1" t="n">
        <v>102.55</v>
      </c>
      <c r="J207" s="1" t="n">
        <v>233.3387867598399</v>
      </c>
      <c r="K207" s="1" t="n">
        <v>235.5211786372008</v>
      </c>
      <c r="L207" s="1" t="n">
        <v>180.6103305037235</v>
      </c>
    </row>
    <row r="208">
      <c r="A208" s="2" t="n">
        <v>37315</v>
      </c>
      <c r="B208" s="1" t="n">
        <v>16744.578</v>
      </c>
      <c r="C208" s="1" t="n">
        <v>4313.441349932</v>
      </c>
      <c r="D208" s="1" t="n">
        <v>47470.103981742</v>
      </c>
      <c r="E208" s="1" t="n">
        <v>244.493407749682</v>
      </c>
      <c r="F208" s="1" t="n">
        <v>5530.293577458</v>
      </c>
      <c r="G208" s="1" t="n">
        <v>718.9120086411638</v>
      </c>
      <c r="H208" s="1" t="n">
        <v>106.673556</v>
      </c>
      <c r="I208" s="1" t="n">
        <v>102.55</v>
      </c>
      <c r="J208" s="1" t="n">
        <v>234.6840696126047</v>
      </c>
      <c r="K208" s="1" t="n">
        <v>237.2302025782689</v>
      </c>
      <c r="L208" s="1" t="n">
        <v>181.2049458577779</v>
      </c>
    </row>
    <row r="209">
      <c r="A209" s="2" t="n">
        <v>37344</v>
      </c>
      <c r="B209" s="1" t="n">
        <v>16875.781</v>
      </c>
      <c r="C209" s="1" t="n">
        <v>4339.974177728001</v>
      </c>
      <c r="D209" s="1" t="n">
        <v>48503.24610016</v>
      </c>
      <c r="E209" s="1" t="n">
        <v>249.519146657472</v>
      </c>
      <c r="F209" s="1" t="n">
        <v>6070.088637472</v>
      </c>
      <c r="G209" s="1" t="n">
        <v>748.4250766658806</v>
      </c>
      <c r="H209" s="1" t="n">
        <v>108.3696655404</v>
      </c>
      <c r="I209" s="1" t="n">
        <v>104.975</v>
      </c>
      <c r="J209" s="1" t="n">
        <v>232.6667840461574</v>
      </c>
      <c r="K209" s="1" t="n">
        <v>235.2854511970534</v>
      </c>
      <c r="L209" s="1" t="n">
        <v>181.8361603346573</v>
      </c>
    </row>
    <row r="210">
      <c r="A210" s="2" t="n">
        <v>37376</v>
      </c>
      <c r="B210" s="1" t="n">
        <v>16575.98</v>
      </c>
      <c r="C210" s="1" t="n">
        <v>4117.159280255</v>
      </c>
      <c r="D210" s="1" t="n">
        <v>48086.114621053</v>
      </c>
      <c r="E210" s="1" t="n">
        <v>249.734962203491</v>
      </c>
      <c r="F210" s="1" t="n">
        <v>6099.572269787001</v>
      </c>
      <c r="G210" s="1" t="n">
        <v>748.4250766658806</v>
      </c>
      <c r="H210" s="1" t="n">
        <v>107.0909034870233</v>
      </c>
      <c r="I210" s="1" t="n">
        <v>104.975</v>
      </c>
      <c r="J210" s="1" t="n">
        <v>236.0261973785385</v>
      </c>
      <c r="K210" s="1" t="n">
        <v>238.9392265193371</v>
      </c>
      <c r="L210" s="1" t="n">
        <v>182.5232366305852</v>
      </c>
    </row>
    <row r="211">
      <c r="A211" s="2" t="n">
        <v>37407</v>
      </c>
      <c r="B211" s="1" t="n">
        <v>16727.098</v>
      </c>
      <c r="C211" s="1" t="n">
        <v>3865.36753332</v>
      </c>
      <c r="D211" s="1" t="n">
        <v>44295.610254</v>
      </c>
      <c r="E211" s="1" t="n">
        <v>241.168052615664</v>
      </c>
      <c r="F211" s="1" t="n">
        <v>5534.266685928001</v>
      </c>
      <c r="G211" s="1" t="n">
        <v>748.4250766658806</v>
      </c>
      <c r="H211" s="1" t="n">
        <v>107.4014671071356</v>
      </c>
      <c r="I211" s="1" t="n">
        <v>104.975</v>
      </c>
      <c r="J211" s="1" t="n">
        <v>235.387592413263</v>
      </c>
      <c r="K211" s="1" t="n">
        <v>240.5524861878454</v>
      </c>
      <c r="L211" s="1" t="n">
        <v>183.1992368761846</v>
      </c>
    </row>
    <row r="212">
      <c r="A212" s="2" t="n">
        <v>37435</v>
      </c>
      <c r="B212" s="1" t="n">
        <v>15991.247</v>
      </c>
      <c r="C212" s="1" t="n">
        <v>3597.669842052</v>
      </c>
      <c r="D212" s="1" t="n">
        <v>41794.6174735</v>
      </c>
      <c r="E212" s="1" t="n">
        <v>248.334103312536</v>
      </c>
      <c r="F212" s="1" t="n">
        <v>5771.312358915</v>
      </c>
      <c r="G212" s="1" t="n">
        <v>795.3395141222812</v>
      </c>
      <c r="H212" s="1" t="n">
        <v>109.9576220242855</v>
      </c>
      <c r="I212" s="1" t="n">
        <v>105.72</v>
      </c>
      <c r="J212" s="1" t="n">
        <v>238.3757058929636</v>
      </c>
      <c r="K212" s="1" t="n">
        <v>243.646408839779</v>
      </c>
      <c r="L212" s="1" t="n">
        <v>183.9130401631229</v>
      </c>
    </row>
    <row r="213">
      <c r="A213" s="2" t="n">
        <v>37468</v>
      </c>
      <c r="B213" s="1" t="n">
        <v>15334.036</v>
      </c>
      <c r="C213" s="1" t="n">
        <v>3398.397720056</v>
      </c>
      <c r="D213" s="1" t="n">
        <v>40313.104106128</v>
      </c>
      <c r="E213" s="1" t="n">
        <v>244.134095736734</v>
      </c>
      <c r="F213" s="1" t="n">
        <v>5987.043518056</v>
      </c>
      <c r="G213" s="1" t="n">
        <v>795.3395141222812</v>
      </c>
      <c r="H213" s="1" t="n">
        <v>110.2545076037511</v>
      </c>
      <c r="I213" s="1" t="n">
        <v>105.72</v>
      </c>
      <c r="J213" s="1" t="n">
        <v>240.8355347118038</v>
      </c>
      <c r="K213" s="1" t="n">
        <v>246.8876611418048</v>
      </c>
      <c r="L213" s="1" t="n">
        <v>184.718883020455</v>
      </c>
    </row>
    <row r="214">
      <c r="A214" s="2" t="n">
        <v>37498</v>
      </c>
      <c r="B214" s="1" t="n">
        <v>15611.315</v>
      </c>
      <c r="C214" s="1" t="n">
        <v>3364.442762592</v>
      </c>
      <c r="D214" s="1" t="n">
        <v>40338.286839648</v>
      </c>
      <c r="E214" s="1" t="n">
        <v>242.116813046457</v>
      </c>
      <c r="F214" s="1" t="n">
        <v>6273.069706185</v>
      </c>
      <c r="G214" s="1" t="n">
        <v>795.3395141222812</v>
      </c>
      <c r="H214" s="1" t="n">
        <v>114.2126444267257</v>
      </c>
      <c r="I214" s="1" t="n">
        <v>105.72</v>
      </c>
      <c r="J214" s="1" t="n">
        <v>243.3470453920035</v>
      </c>
      <c r="K214" s="1" t="n">
        <v>251.0202578268877</v>
      </c>
      <c r="L214" s="1" t="n">
        <v>185.4824081420206</v>
      </c>
    </row>
    <row r="215">
      <c r="A215" s="2" t="n">
        <v>37529</v>
      </c>
      <c r="B215" s="1" t="n">
        <v>14972.831</v>
      </c>
      <c r="C215" s="1" t="n">
        <v>3035.242918015</v>
      </c>
      <c r="D215" s="1" t="n">
        <v>37557.29484800999</v>
      </c>
      <c r="E215" s="1" t="n">
        <v>238.296807378525</v>
      </c>
      <c r="F215" s="1" t="n">
        <v>6650.06993672</v>
      </c>
      <c r="G215" s="1" t="n">
        <v>830.9758068113765</v>
      </c>
      <c r="H215" s="1" t="n">
        <v>113.9271128156589</v>
      </c>
      <c r="I215" s="1" t="n">
        <v>105.675</v>
      </c>
      <c r="J215" s="1" t="n">
        <v>247.4522289072443</v>
      </c>
      <c r="K215" s="1" t="n">
        <v>255.0570902394108</v>
      </c>
      <c r="L215" s="1" t="n">
        <v>186.2488026027113</v>
      </c>
    </row>
    <row r="216">
      <c r="A216" s="2" t="n">
        <v>37560</v>
      </c>
      <c r="B216" s="1" t="n">
        <v>15356.835</v>
      </c>
      <c r="C216" s="1" t="n">
        <v>3192.571522354</v>
      </c>
      <c r="D216" s="1" t="n">
        <v>38548.83487100199</v>
      </c>
      <c r="E216" s="1" t="n">
        <v>225.36392569093</v>
      </c>
      <c r="F216" s="1" t="n">
        <v>6203.851132874</v>
      </c>
      <c r="G216" s="1" t="n">
        <v>830.9758068113765</v>
      </c>
      <c r="H216" s="1" t="n">
        <v>113.9043273930958</v>
      </c>
      <c r="I216" s="1" t="n">
        <v>105.675</v>
      </c>
      <c r="J216" s="1" t="n">
        <v>247.9212441076831</v>
      </c>
      <c r="K216" s="1" t="n">
        <v>255.0570902394108</v>
      </c>
      <c r="L216" s="1" t="n">
        <v>187.0258918728678</v>
      </c>
    </row>
    <row r="217">
      <c r="A217" s="2" t="n">
        <v>37589</v>
      </c>
      <c r="B217" s="1" t="n">
        <v>15582.646</v>
      </c>
      <c r="C217" s="1" t="n">
        <v>3326.186071781</v>
      </c>
      <c r="D217" s="1" t="n">
        <v>40128.571997502</v>
      </c>
      <c r="E217" s="1" t="n">
        <v>231.738203232457</v>
      </c>
      <c r="F217" s="1" t="n">
        <v>6119.812511043</v>
      </c>
      <c r="G217" s="1" t="n">
        <v>830.9758068113765</v>
      </c>
      <c r="H217" s="1" t="n">
        <v>113.7448613347455</v>
      </c>
      <c r="I217" s="1" t="n">
        <v>105.675</v>
      </c>
      <c r="J217" s="1" t="n">
        <v>248.1942129859065</v>
      </c>
      <c r="K217" s="1" t="n">
        <v>256.0147329650094</v>
      </c>
      <c r="L217" s="1" t="n">
        <v>187.7470791933585</v>
      </c>
    </row>
    <row r="218">
      <c r="A218" s="2" t="n">
        <v>37621</v>
      </c>
      <c r="B218" s="1" t="n">
        <v>15351.3</v>
      </c>
      <c r="C218" s="1" t="n">
        <v>3104.170644872</v>
      </c>
      <c r="D218" s="1" t="n">
        <v>38132.448980384</v>
      </c>
      <c r="E218" s="1" t="n">
        <v>232.871981475584</v>
      </c>
      <c r="F218" s="1" t="n">
        <v>6621.839896188</v>
      </c>
      <c r="G218" s="1" t="n">
        <v>863.8984263287348</v>
      </c>
      <c r="H218" s="1" t="n">
        <v>117.2254540915887</v>
      </c>
      <c r="I218" s="1" t="n">
        <v>103.32</v>
      </c>
      <c r="J218" s="1" t="n">
        <v>253.7801941809734</v>
      </c>
      <c r="K218" s="1" t="n">
        <v>261.0386740331493</v>
      </c>
      <c r="L218" s="1" t="n">
        <v>188.5484073562632</v>
      </c>
    </row>
    <row r="219">
      <c r="A219" s="2" t="n">
        <v>37652</v>
      </c>
      <c r="B219" s="1" t="n">
        <v>15146.729</v>
      </c>
      <c r="C219" s="1" t="n">
        <v>2873.690861316</v>
      </c>
      <c r="D219" s="1" t="n">
        <v>36417.641955354</v>
      </c>
      <c r="E219" s="1" t="n">
        <v>218.987760517614</v>
      </c>
      <c r="F219" s="1" t="n">
        <v>6932.814728333999</v>
      </c>
      <c r="G219" s="1" t="n">
        <v>863.8984263287348</v>
      </c>
      <c r="H219" s="1" t="n">
        <v>116.9323904563597</v>
      </c>
      <c r="I219" s="1" t="n">
        <v>103.32</v>
      </c>
      <c r="J219" s="1" t="n">
        <v>254.8153243029105</v>
      </c>
      <c r="K219" s="1" t="n">
        <v>262.9465930018417</v>
      </c>
      <c r="L219" s="1" t="n">
        <v>189.3135778331313</v>
      </c>
    </row>
    <row r="220">
      <c r="A220" s="2" t="n">
        <v>37680</v>
      </c>
      <c r="B220" s="1" t="n">
        <v>14391.29</v>
      </c>
      <c r="C220" s="1" t="n">
        <v>2731.367753906</v>
      </c>
      <c r="D220" s="1" t="n">
        <v>34197.255107734</v>
      </c>
      <c r="E220" s="1" t="n">
        <v>213.747165976264</v>
      </c>
      <c r="F220" s="1" t="n">
        <v>7508.128599394</v>
      </c>
      <c r="G220" s="1" t="n">
        <v>863.8984263287348</v>
      </c>
      <c r="H220" s="1" t="n">
        <v>117.5287456476871</v>
      </c>
      <c r="I220" s="1" t="n">
        <v>103.32</v>
      </c>
      <c r="J220" s="1" t="n">
        <v>257.2808168873792</v>
      </c>
      <c r="K220" s="1" t="n">
        <v>266.2541436464089</v>
      </c>
      <c r="L220" s="1" t="n">
        <v>190.0113489385251</v>
      </c>
    </row>
    <row r="221">
      <c r="A221" s="2" t="n">
        <v>37711</v>
      </c>
      <c r="B221" s="1" t="n">
        <v>14887.767</v>
      </c>
      <c r="C221" s="1" t="n">
        <v>2729.807687761</v>
      </c>
      <c r="D221" s="1" t="n">
        <v>33350.829690563</v>
      </c>
      <c r="E221" s="1" t="n">
        <v>219.393780866953</v>
      </c>
      <c r="F221" s="1" t="n">
        <v>6453.770467298</v>
      </c>
      <c r="G221" s="1" t="n">
        <v>889.7343315988103</v>
      </c>
      <c r="H221" s="1" t="n">
        <v>118.8685733480708</v>
      </c>
      <c r="I221" s="1" t="n">
        <v>102.275</v>
      </c>
      <c r="J221" s="1" t="n">
        <v>256.1404145999566</v>
      </c>
      <c r="K221" s="1" t="n">
        <v>266.7697974217312</v>
      </c>
      <c r="L221" s="1" t="n">
        <v>190.7695166227036</v>
      </c>
    </row>
    <row r="222">
      <c r="A222" s="2" t="n">
        <v>37741</v>
      </c>
      <c r="B222" s="1" t="n">
        <v>15541.173</v>
      </c>
      <c r="C222" s="1" t="n">
        <v>2856.866248882164</v>
      </c>
      <c r="D222" s="1" t="n">
        <v>33813.05703710395</v>
      </c>
      <c r="E222" s="1" t="n">
        <v>220.191387574599</v>
      </c>
      <c r="F222" s="1" t="n">
        <v>5851.911845752</v>
      </c>
      <c r="G222" s="1" t="n">
        <v>889.7343315988103</v>
      </c>
      <c r="H222" s="1" t="n">
        <v>120.8180179509791</v>
      </c>
      <c r="I222" s="1" t="n">
        <v>102.275</v>
      </c>
      <c r="J222" s="1" t="n">
        <v>257.5525237308702</v>
      </c>
      <c r="K222" s="1" t="n">
        <v>268.9502762430941</v>
      </c>
      <c r="L222" s="1" t="n">
        <v>191.5166082565534</v>
      </c>
    </row>
    <row r="223">
      <c r="A223" s="2" t="n">
        <v>37771</v>
      </c>
      <c r="B223" s="1" t="n">
        <v>15620.093</v>
      </c>
      <c r="C223" s="1" t="n">
        <v>2860.571456738358</v>
      </c>
      <c r="D223" s="1" t="n">
        <v>35122.30902960068</v>
      </c>
      <c r="E223" s="1" t="n">
        <v>222.973095059682</v>
      </c>
      <c r="F223" s="1" t="n">
        <v>6156.121744542001</v>
      </c>
      <c r="G223" s="1" t="n">
        <v>889.7343315988103</v>
      </c>
      <c r="H223" s="1" t="n">
        <v>121.542926058685</v>
      </c>
      <c r="I223" s="1" t="n">
        <v>102.275</v>
      </c>
      <c r="J223" s="1" t="n">
        <v>261.6797620725935</v>
      </c>
      <c r="K223" s="1" t="n">
        <v>274.1878453038675</v>
      </c>
      <c r="L223" s="1" t="n">
        <v>192.2953428820124</v>
      </c>
    </row>
    <row r="224">
      <c r="A224" s="2" t="n">
        <v>37802</v>
      </c>
      <c r="B224" s="1" t="n">
        <v>15817.797</v>
      </c>
      <c r="C224" s="1" t="n">
        <v>2839.21237772704</v>
      </c>
      <c r="D224" s="1" t="n">
        <v>35601.16568011722</v>
      </c>
      <c r="E224" s="1" t="n">
        <v>219.893636650331</v>
      </c>
      <c r="F224" s="1" t="n">
        <v>5994.843391130999</v>
      </c>
      <c r="G224" s="1" t="n">
        <v>940.5499045845332</v>
      </c>
      <c r="H224" s="1" t="n">
        <v>121.2026058657207</v>
      </c>
      <c r="I224" s="1" t="n">
        <v>108.68</v>
      </c>
      <c r="J224" s="1" t="n">
        <v>261.698661812245</v>
      </c>
      <c r="K224" s="1" t="n">
        <v>274.1141804788215</v>
      </c>
      <c r="L224" s="1" t="n">
        <v>193.0477718879409</v>
      </c>
    </row>
    <row r="225">
      <c r="A225" s="2" t="n">
        <v>37833</v>
      </c>
      <c r="B225" s="1" t="n">
        <v>16388.58</v>
      </c>
      <c r="C225" s="1" t="n">
        <v>3022.613311390164</v>
      </c>
      <c r="D225" s="1" t="n">
        <v>39153.03332273075</v>
      </c>
      <c r="E225" s="1" t="n">
        <v>237.23589500832</v>
      </c>
      <c r="F225" s="1" t="n">
        <v>6247.606264956</v>
      </c>
      <c r="G225" s="1" t="n">
        <v>940.5499045845332</v>
      </c>
      <c r="H225" s="1" t="n">
        <v>121.929821500915</v>
      </c>
      <c r="I225" s="1" t="n">
        <v>108.68</v>
      </c>
      <c r="J225" s="1" t="n">
        <v>259.4090537756078</v>
      </c>
      <c r="K225" s="1" t="n">
        <v>269.0460405156539</v>
      </c>
      <c r="L225" s="1" t="n">
        <v>193.8047155882968</v>
      </c>
    </row>
    <row r="226">
      <c r="A226" s="2" t="n">
        <v>37862</v>
      </c>
      <c r="B226" s="1" t="n">
        <v>16964.274</v>
      </c>
      <c r="C226" s="1" t="n">
        <v>3101.386301540254</v>
      </c>
      <c r="D226" s="1" t="n">
        <v>41836.4817999219</v>
      </c>
      <c r="E226" s="1" t="n">
        <v>238.184978199532</v>
      </c>
      <c r="F226" s="1" t="n">
        <v>6511.44814593</v>
      </c>
      <c r="G226" s="1" t="n">
        <v>940.5499045845332</v>
      </c>
      <c r="H226" s="1" t="n">
        <v>120.3447338214031</v>
      </c>
      <c r="I226" s="1" t="n">
        <v>108.68</v>
      </c>
      <c r="J226" s="1" t="n">
        <v>259.3561098795157</v>
      </c>
      <c r="K226" s="1" t="n">
        <v>269.7311233885821</v>
      </c>
      <c r="L226" s="1" t="n">
        <v>194.5801394378423</v>
      </c>
    </row>
    <row r="227">
      <c r="A227" s="2" t="n">
        <v>37894</v>
      </c>
      <c r="B227" s="1" t="n">
        <v>16940.94</v>
      </c>
      <c r="C227" s="1" t="n">
        <v>2920.5572533082</v>
      </c>
      <c r="D227" s="1" t="n">
        <v>39580.42708881668</v>
      </c>
      <c r="E227" s="1" t="n">
        <v>233.58634285008</v>
      </c>
      <c r="F227" s="1" t="n">
        <v>5972.394755712001</v>
      </c>
      <c r="G227" s="1" t="n">
        <v>998.886453576293</v>
      </c>
      <c r="H227" s="1" t="n">
        <v>122.9562145453276</v>
      </c>
      <c r="I227" s="1" t="n">
        <v>116.055</v>
      </c>
      <c r="J227" s="1" t="n">
        <v>261.0878062204154</v>
      </c>
      <c r="K227" s="1" t="n">
        <v>275.1233885819523</v>
      </c>
      <c r="L227" s="1" t="n">
        <v>195.3522926420915</v>
      </c>
    </row>
    <row r="228">
      <c r="A228" s="2" t="n">
        <v>37925</v>
      </c>
      <c r="B228" s="1" t="n">
        <v>17530.702</v>
      </c>
      <c r="C228" s="1" t="n">
        <v>2938.049841986048</v>
      </c>
      <c r="D228" s="1" t="n">
        <v>41133.24835649433</v>
      </c>
      <c r="E228" s="1" t="n">
        <v>226.640619633024</v>
      </c>
      <c r="F228" s="1" t="n">
        <v>5821.970467776</v>
      </c>
      <c r="G228" s="1" t="n">
        <v>998.886453576293</v>
      </c>
      <c r="H228" s="1" t="n">
        <v>124.0997073405991</v>
      </c>
      <c r="I228" s="1" t="n">
        <v>116.055</v>
      </c>
      <c r="J228" s="1" t="n">
        <v>258.2087664010648</v>
      </c>
      <c r="K228" s="1" t="n">
        <v>273.5174953959486</v>
      </c>
      <c r="L228" s="1" t="n">
        <v>196.1491061105687</v>
      </c>
    </row>
    <row r="229">
      <c r="A229" s="2" t="n">
        <v>37953</v>
      </c>
      <c r="B229" s="1" t="n">
        <v>17155.542</v>
      </c>
      <c r="C229" s="1" t="n">
        <v>2900.760387279653</v>
      </c>
      <c r="D229" s="1" t="n">
        <v>40724.21019577028</v>
      </c>
      <c r="E229" s="1" t="n">
        <v>231.226123184338</v>
      </c>
      <c r="F229" s="1" t="n">
        <v>5855.016609509999</v>
      </c>
      <c r="G229" s="1" t="n">
        <v>998.886453576293</v>
      </c>
      <c r="H229" s="1" t="n">
        <v>124.906355438313</v>
      </c>
      <c r="I229" s="1" t="n">
        <v>116.055</v>
      </c>
      <c r="J229" s="1" t="n">
        <v>257.0072169917894</v>
      </c>
      <c r="K229" s="1" t="n">
        <v>274.7697974217312</v>
      </c>
      <c r="L229" s="1" t="n">
        <v>196.9027591003197</v>
      </c>
    </row>
    <row r="230">
      <c r="A230" s="2" t="n">
        <v>37986</v>
      </c>
      <c r="B230" s="1" t="n">
        <v>17786.666</v>
      </c>
      <c r="C230" s="1" t="n">
        <v>2911.987515957324</v>
      </c>
      <c r="D230" s="1" t="n">
        <v>41820.40874947517</v>
      </c>
      <c r="E230" s="1" t="n">
        <v>228.651892066612</v>
      </c>
      <c r="F230" s="1" t="n">
        <v>5974.211579560001</v>
      </c>
      <c r="G230" s="1" t="n">
        <v>1039.639912218964</v>
      </c>
      <c r="H230" s="1" t="n">
        <v>124.7689584473309</v>
      </c>
      <c r="I230" s="1" t="n">
        <v>125.005</v>
      </c>
      <c r="J230" s="1" t="n">
        <v>261.5152358373539</v>
      </c>
      <c r="K230" s="1" t="n">
        <v>278.2541436464089</v>
      </c>
      <c r="L230" s="1" t="n">
        <v>197.7858734609407</v>
      </c>
    </row>
    <row r="231">
      <c r="A231" s="2" t="n">
        <v>38016</v>
      </c>
      <c r="B231" s="1" t="n">
        <v>17668.397</v>
      </c>
      <c r="C231" s="1" t="n">
        <v>2932.278311780296</v>
      </c>
      <c r="D231" s="1" t="n">
        <v>42964.59576696196</v>
      </c>
      <c r="E231" s="1" t="n">
        <v>234.80844149452</v>
      </c>
      <c r="F231" s="1" t="n">
        <v>5937.726306418</v>
      </c>
      <c r="G231" s="1" t="n">
        <v>1039.639912218964</v>
      </c>
      <c r="H231" s="1" t="n">
        <v>126.9524152201592</v>
      </c>
      <c r="I231" s="1" t="n">
        <v>125.005</v>
      </c>
      <c r="J231" s="1" t="n">
        <v>261.0235040117315</v>
      </c>
      <c r="K231" s="1" t="n">
        <v>280.8545119705342</v>
      </c>
      <c r="L231" s="1" t="n">
        <v>198.6899360037049</v>
      </c>
    </row>
    <row r="232">
      <c r="A232" s="2" t="n">
        <v>38044</v>
      </c>
      <c r="B232" s="1" t="n">
        <v>18218.143</v>
      </c>
      <c r="C232" s="1" t="n">
        <v>2944.828315791852</v>
      </c>
      <c r="D232" s="1" t="n">
        <v>44010.86207612957</v>
      </c>
      <c r="E232" s="1" t="n">
        <v>236.55497417076</v>
      </c>
      <c r="F232" s="1" t="n">
        <v>6291.526076976</v>
      </c>
      <c r="G232" s="1" t="n">
        <v>1039.639912218964</v>
      </c>
      <c r="H232" s="1" t="n">
        <v>127.599872537782</v>
      </c>
      <c r="I232" s="1" t="n">
        <v>125.005</v>
      </c>
      <c r="J232" s="1" t="n">
        <v>264.3633822777081</v>
      </c>
      <c r="K232" s="1" t="n">
        <v>284.6924493554329</v>
      </c>
      <c r="L232" s="1" t="n">
        <v>199.5660531899225</v>
      </c>
    </row>
    <row r="233">
      <c r="A233" s="2" t="n">
        <v>38077</v>
      </c>
      <c r="B233" s="1" t="n">
        <v>18580.785</v>
      </c>
      <c r="C233" s="1" t="n">
        <v>2950.447699588359</v>
      </c>
      <c r="D233" s="1" t="n">
        <v>44408.00128791911</v>
      </c>
      <c r="E233" s="1" t="n">
        <v>251.7726520191428</v>
      </c>
      <c r="F233" s="1" t="n">
        <v>6486.055041408601</v>
      </c>
      <c r="G233" s="1" t="n">
        <v>1038.408162573863</v>
      </c>
      <c r="H233" s="1" t="n">
        <v>129.0289911102052</v>
      </c>
      <c r="I233" s="1" t="n">
        <v>137.705</v>
      </c>
      <c r="J233" s="1" t="n">
        <v>266.8150146426811</v>
      </c>
      <c r="K233" s="1" t="n">
        <v>287.1602209944753</v>
      </c>
      <c r="L233" s="1" t="n">
        <v>200.5186063599805</v>
      </c>
    </row>
    <row r="234">
      <c r="A234" s="2" t="n">
        <v>38107</v>
      </c>
      <c r="B234" s="1" t="n">
        <v>18557.123</v>
      </c>
      <c r="C234" s="1" t="n">
        <v>3108.659705154475</v>
      </c>
      <c r="D234" s="1" t="n">
        <v>44230.45985844448</v>
      </c>
      <c r="E234" s="1" t="n">
        <v>234.527718481386</v>
      </c>
      <c r="F234" s="1" t="n">
        <v>7045.621764984</v>
      </c>
      <c r="G234" s="1" t="n">
        <v>1038.408162573863</v>
      </c>
      <c r="H234" s="1" t="n">
        <v>129.0676998075382</v>
      </c>
      <c r="I234" s="1" t="n">
        <v>137.705</v>
      </c>
      <c r="J234" s="1" t="n">
        <v>264.3444702255227</v>
      </c>
      <c r="K234" s="1" t="n">
        <v>283.4990791896872</v>
      </c>
      <c r="L234" s="1" t="n">
        <v>201.4181485900309</v>
      </c>
    </row>
    <row r="235">
      <c r="A235" s="2" t="n">
        <v>38138</v>
      </c>
      <c r="B235" s="1" t="n">
        <v>18857.335</v>
      </c>
      <c r="C235" s="1" t="n">
        <v>3153.416144818005</v>
      </c>
      <c r="D235" s="1" t="n">
        <v>43715.72624204858</v>
      </c>
      <c r="E235" s="1" t="n">
        <v>252.354444427305</v>
      </c>
      <c r="F235" s="1" t="n">
        <v>7460.4524841</v>
      </c>
      <c r="G235" s="1" t="n">
        <v>1038.408162573863</v>
      </c>
      <c r="H235" s="1" t="n">
        <v>127.6995821895783</v>
      </c>
      <c r="I235" s="1" t="n">
        <v>137.705</v>
      </c>
      <c r="J235" s="1" t="n">
        <v>266.7444096478555</v>
      </c>
      <c r="K235" s="1" t="n">
        <v>283.7348066298345</v>
      </c>
      <c r="L235" s="1" t="n">
        <v>202.3702908225693</v>
      </c>
    </row>
    <row r="236">
      <c r="A236" s="2" t="n">
        <v>38168</v>
      </c>
      <c r="B236" s="1" t="n">
        <v>19356.206</v>
      </c>
      <c r="C236" s="1" t="n">
        <v>3300.293682127992</v>
      </c>
      <c r="D236" s="1" t="n">
        <v>44687.45245332711</v>
      </c>
      <c r="E236" s="1" t="n">
        <v>265.688056015096</v>
      </c>
      <c r="F236" s="1" t="n">
        <v>7283.322923272</v>
      </c>
      <c r="G236" s="1" t="n">
        <v>1031.298118641631</v>
      </c>
      <c r="H236" s="1" t="n">
        <v>129.0531977607878</v>
      </c>
      <c r="I236" s="1" t="n">
        <v>154.956</v>
      </c>
      <c r="J236" s="1" t="n">
        <v>267.7902461337105</v>
      </c>
      <c r="K236" s="1" t="n">
        <v>285.2523020257829</v>
      </c>
      <c r="L236" s="1" t="n">
        <v>203.2842158658</v>
      </c>
    </row>
    <row r="237">
      <c r="A237" s="2" t="n">
        <v>38198</v>
      </c>
      <c r="B237" s="1" t="n">
        <v>19466.648</v>
      </c>
      <c r="C237" s="1" t="n">
        <v>3188.840984704401</v>
      </c>
      <c r="D237" s="1" t="n">
        <v>43755.43643655805</v>
      </c>
      <c r="E237" s="1" t="n">
        <v>266.483085419317</v>
      </c>
      <c r="F237" s="1" t="n">
        <v>7806.507629141001</v>
      </c>
      <c r="G237" s="1" t="n">
        <v>1031.298118641631</v>
      </c>
      <c r="H237" s="1" t="n">
        <v>128.6789434872815</v>
      </c>
      <c r="I237" s="1" t="n">
        <v>154.956</v>
      </c>
      <c r="J237" s="1" t="n">
        <v>268.939468504846</v>
      </c>
      <c r="K237" s="1" t="n">
        <v>288.1620626151015</v>
      </c>
      <c r="L237" s="1" t="n">
        <v>204.2248518477942</v>
      </c>
    </row>
    <row r="238">
      <c r="A238" s="2" t="n">
        <v>38230</v>
      </c>
      <c r="B238" s="1" t="n">
        <v>19671.01</v>
      </c>
      <c r="C238" s="1" t="n">
        <v>3168.99539395063</v>
      </c>
      <c r="D238" s="1" t="n">
        <v>45397.61179844889</v>
      </c>
      <c r="E238" s="1" t="n">
        <v>281.52276097154</v>
      </c>
      <c r="F238" s="1" t="n">
        <v>7441.22360447</v>
      </c>
      <c r="G238" s="1" t="n">
        <v>1031.298118641631</v>
      </c>
      <c r="H238" s="1" t="n">
        <v>129.2193950499281</v>
      </c>
      <c r="I238" s="1" t="n">
        <v>154.956</v>
      </c>
      <c r="J238" s="1" t="n">
        <v>272.7313349680276</v>
      </c>
      <c r="K238" s="1" t="n">
        <v>293.6427255985269</v>
      </c>
      <c r="L238" s="1" t="n">
        <v>205.1691862674633</v>
      </c>
    </row>
    <row r="239">
      <c r="A239" s="2" t="n">
        <v>38260</v>
      </c>
      <c r="B239" s="1" t="n">
        <v>20413.241</v>
      </c>
      <c r="C239" s="1" t="n">
        <v>3130.06283230472</v>
      </c>
      <c r="D239" s="1" t="n">
        <v>46367.15126867413</v>
      </c>
      <c r="E239" s="1" t="n">
        <v>275.175278246752</v>
      </c>
      <c r="F239" s="1" t="n">
        <v>8169.300293284001</v>
      </c>
      <c r="G239" s="1" t="n">
        <v>1034.391754711255</v>
      </c>
      <c r="H239" s="1" t="n">
        <v>131.4678125237969</v>
      </c>
      <c r="I239" s="1" t="n">
        <v>158.428</v>
      </c>
      <c r="J239" s="1" t="n">
        <v>274.7517725431725</v>
      </c>
      <c r="K239" s="1" t="n">
        <v>295.7716390423575</v>
      </c>
      <c r="L239" s="1" t="n">
        <v>206.0831113106941</v>
      </c>
    </row>
    <row r="240">
      <c r="A240" s="2" t="n">
        <v>38289</v>
      </c>
      <c r="B240" s="1" t="n">
        <v>21054.523</v>
      </c>
      <c r="C240" s="1" t="n">
        <v>3073.495116626368</v>
      </c>
      <c r="D240" s="1" t="n">
        <v>45284.06211344789</v>
      </c>
      <c r="E240" s="1" t="n">
        <v>279.01246044518</v>
      </c>
      <c r="F240" s="1" t="n">
        <v>8250.762968868001</v>
      </c>
      <c r="G240" s="1" t="n">
        <v>1034.391754711255</v>
      </c>
      <c r="H240" s="1" t="n">
        <v>133.203187649111</v>
      </c>
      <c r="I240" s="1" t="n">
        <v>158.428</v>
      </c>
      <c r="J240" s="1" t="n">
        <v>276.6398257530194</v>
      </c>
      <c r="K240" s="1" t="n">
        <v>298.7697974217313</v>
      </c>
      <c r="L240" s="1" t="n">
        <v>206.9637504148503</v>
      </c>
    </row>
    <row r="241">
      <c r="A241" s="2" t="n">
        <v>38321</v>
      </c>
      <c r="B241" s="1" t="n">
        <v>22028.808</v>
      </c>
      <c r="C241" s="1" t="n">
        <v>3058.751669886374</v>
      </c>
      <c r="D241" s="1" t="n">
        <v>45850.4485458675</v>
      </c>
      <c r="E241" s="1" t="n">
        <v>279.182963309866</v>
      </c>
      <c r="F241" s="1" t="n">
        <v>7558.68739241</v>
      </c>
      <c r="G241" s="1" t="n">
        <v>1034.391754711255</v>
      </c>
      <c r="H241" s="1" t="n">
        <v>134.09564900636</v>
      </c>
      <c r="I241" s="1" t="n">
        <v>158.428</v>
      </c>
      <c r="J241" s="1" t="n">
        <v>279.7691399879708</v>
      </c>
      <c r="K241" s="1" t="n">
        <v>300.2209944751384</v>
      </c>
      <c r="L241" s="1" t="n">
        <v>207.9479457739049</v>
      </c>
    </row>
    <row r="242">
      <c r="A242" s="2" t="n">
        <v>38352</v>
      </c>
      <c r="B242" s="1" t="n">
        <v>22690.101</v>
      </c>
      <c r="C242" s="1" t="n">
        <v>3129.871082716959</v>
      </c>
      <c r="D242" s="1" t="n">
        <v>46806.79346212814</v>
      </c>
      <c r="E242" s="1" t="n">
        <v>289.659565877087</v>
      </c>
      <c r="F242" s="1" t="n">
        <v>6734.248426521001</v>
      </c>
      <c r="G242" s="1" t="n">
        <v>1055.129651179102</v>
      </c>
      <c r="H242" s="1" t="n">
        <v>133.6665429295397</v>
      </c>
      <c r="I242" s="1" t="n">
        <v>173.336</v>
      </c>
      <c r="J242" s="1" t="n">
        <v>279.7149254383726</v>
      </c>
      <c r="K242" s="1" t="n">
        <v>303.0644567219156</v>
      </c>
      <c r="L242" s="1" t="n">
        <v>208.8972114438073</v>
      </c>
    </row>
    <row r="243">
      <c r="A243" s="2" t="n">
        <v>38383</v>
      </c>
      <c r="B243" s="1" t="n">
        <v>22991.62</v>
      </c>
      <c r="C243" s="1" t="n">
        <v>3135.236239919654</v>
      </c>
      <c r="D243" s="1" t="n">
        <v>47852.27610772336</v>
      </c>
      <c r="E243" s="1" t="n">
        <v>276.406809190174</v>
      </c>
      <c r="F243" s="1" t="n">
        <v>7272.622402707999</v>
      </c>
      <c r="G243" s="1" t="n">
        <v>1055.129651179102</v>
      </c>
      <c r="H243" s="1" t="n">
        <v>137.1017730828289</v>
      </c>
      <c r="I243" s="1" t="n">
        <v>173.336</v>
      </c>
      <c r="J243" s="1" t="n">
        <v>279.8996331480504</v>
      </c>
      <c r="K243" s="1" t="n">
        <v>306.106813996317</v>
      </c>
      <c r="L243" s="1" t="n">
        <v>209.8485318013069</v>
      </c>
    </row>
    <row r="244">
      <c r="A244" s="2" t="n">
        <v>38411</v>
      </c>
      <c r="B244" s="1" t="n">
        <v>23405.036</v>
      </c>
      <c r="C244" s="1" t="n">
        <v>3138.38369624936</v>
      </c>
      <c r="D244" s="1" t="n">
        <v>50030.99469349633</v>
      </c>
      <c r="E244" s="1" t="n">
        <v>274.362228674016</v>
      </c>
      <c r="F244" s="1" t="n">
        <v>7541.503884248</v>
      </c>
      <c r="G244" s="1" t="n">
        <v>1055.129651179102</v>
      </c>
      <c r="H244" s="1" t="n">
        <v>142.2156692188184</v>
      </c>
      <c r="I244" s="1" t="n">
        <v>173.336</v>
      </c>
      <c r="J244" s="1" t="n">
        <v>279.1664759249948</v>
      </c>
      <c r="K244" s="1" t="n">
        <v>305.5690607734809</v>
      </c>
      <c r="L244" s="1" t="n">
        <v>210.6847896533638</v>
      </c>
    </row>
    <row r="245">
      <c r="A245" s="2" t="n">
        <v>38442</v>
      </c>
      <c r="B245" s="1" t="n">
        <v>23230.8</v>
      </c>
      <c r="C245" s="1" t="n">
        <v>3189.643208438036</v>
      </c>
      <c r="D245" s="1" t="n">
        <v>48936.12380959314</v>
      </c>
      <c r="E245" s="1" t="n">
        <v>277.660245829366</v>
      </c>
      <c r="F245" s="1" t="n">
        <v>8324.453126061999</v>
      </c>
      <c r="G245" s="1" t="n">
        <v>1056.822041916896</v>
      </c>
      <c r="H245" s="1" t="n">
        <v>143.7658200133035</v>
      </c>
      <c r="I245" s="1" t="n">
        <v>177.512</v>
      </c>
      <c r="J245" s="1" t="n">
        <v>279.6216259809244</v>
      </c>
      <c r="K245" s="1" t="n">
        <v>306.7476979742177</v>
      </c>
      <c r="L245" s="1" t="n">
        <v>211.6743272001711</v>
      </c>
    </row>
    <row r="246">
      <c r="A246" s="2" t="n">
        <v>38471</v>
      </c>
      <c r="B246" s="1" t="n">
        <v>22352.415</v>
      </c>
      <c r="C246" s="1" t="n">
        <v>3089.933425803694</v>
      </c>
      <c r="D246" s="1" t="n">
        <v>46729.7191156539</v>
      </c>
      <c r="E246" s="1" t="n">
        <v>287.474211981994</v>
      </c>
      <c r="F246" s="1" t="n">
        <v>7500.721502756</v>
      </c>
      <c r="G246" s="1" t="n">
        <v>1056.822041916896</v>
      </c>
      <c r="H246" s="1" t="n">
        <v>145.5053864354645</v>
      </c>
      <c r="I246" s="1" t="n">
        <v>177.512</v>
      </c>
      <c r="J246" s="1" t="n">
        <v>284.0186781140401</v>
      </c>
      <c r="K246" s="1" t="n">
        <v>311.2486187845307</v>
      </c>
      <c r="L246" s="1" t="n">
        <v>212.7246834998553</v>
      </c>
    </row>
    <row r="247">
      <c r="A247" s="2" t="n">
        <v>38503</v>
      </c>
      <c r="B247" s="1" t="n">
        <v>23114.589</v>
      </c>
      <c r="C247" s="1" t="n">
        <v>3299.11492932736</v>
      </c>
      <c r="D247" s="1" t="n">
        <v>50292.97403932382</v>
      </c>
      <c r="E247" s="1" t="n">
        <v>305.30524724408</v>
      </c>
      <c r="F247" s="1" t="n">
        <v>7671.229838646001</v>
      </c>
      <c r="G247" s="1" t="n">
        <v>1056.822041916896</v>
      </c>
      <c r="H247" s="1" t="n">
        <v>148.4154941641738</v>
      </c>
      <c r="I247" s="1" t="n">
        <v>177.512</v>
      </c>
      <c r="J247" s="1" t="n">
        <v>286.9721102636669</v>
      </c>
      <c r="K247" s="1" t="n">
        <v>314.9539594843466</v>
      </c>
      <c r="L247" s="1" t="n">
        <v>213.755725736126</v>
      </c>
    </row>
    <row r="248">
      <c r="A248" s="2" t="n">
        <v>38533</v>
      </c>
      <c r="B248" s="1" t="n">
        <v>24146.266</v>
      </c>
      <c r="C248" s="1" t="n">
        <v>3336.697663986648</v>
      </c>
      <c r="D248" s="1" t="n">
        <v>51913.99076502702</v>
      </c>
      <c r="E248" s="1" t="n">
        <v>318.11227222647</v>
      </c>
      <c r="F248" s="1" t="n">
        <v>8068.950007830001</v>
      </c>
      <c r="G248" s="1" t="n">
        <v>1067.383905413188</v>
      </c>
      <c r="H248" s="1" t="n">
        <v>150.3448955883081</v>
      </c>
      <c r="I248" s="1" t="n">
        <v>185.412</v>
      </c>
      <c r="J248" s="1" t="n">
        <v>288.6483484890368</v>
      </c>
      <c r="K248" s="1" t="n">
        <v>318.2688766114184</v>
      </c>
      <c r="L248" s="1" t="n">
        <v>214.7464960954916</v>
      </c>
    </row>
    <row r="249">
      <c r="A249" s="2" t="n">
        <v>38562</v>
      </c>
      <c r="B249" s="1" t="n">
        <v>24814.361</v>
      </c>
      <c r="C249" s="1" t="n">
        <v>3472.878688201325</v>
      </c>
      <c r="D249" s="1" t="n">
        <v>55603.0464052499</v>
      </c>
      <c r="E249" s="1" t="n">
        <v>337.607943842403</v>
      </c>
      <c r="F249" s="1" t="n">
        <v>8537.000753541</v>
      </c>
      <c r="G249" s="1" t="n">
        <v>1067.383905413188</v>
      </c>
      <c r="H249" s="1" t="n">
        <v>154.3290353213982</v>
      </c>
      <c r="I249" s="1" t="n">
        <v>185.412</v>
      </c>
      <c r="J249" s="1" t="n">
        <v>289.9671489281018</v>
      </c>
      <c r="K249" s="1" t="n">
        <v>317.1197053407001</v>
      </c>
      <c r="L249" s="1" t="n">
        <v>215.7767164567233</v>
      </c>
    </row>
    <row r="250">
      <c r="A250" s="2" t="n">
        <v>38595</v>
      </c>
      <c r="B250" s="1" t="n">
        <v>25353.562</v>
      </c>
      <c r="C250" s="1" t="n">
        <v>3518.631345895116</v>
      </c>
      <c r="D250" s="1" t="n">
        <v>57040.24085813746</v>
      </c>
      <c r="E250" s="1" t="n">
        <v>332.982138651804</v>
      </c>
      <c r="F250" s="1" t="n">
        <v>9946.266250295999</v>
      </c>
      <c r="G250" s="1" t="n">
        <v>1067.383905413188</v>
      </c>
      <c r="H250" s="1" t="n">
        <v>155.8723256746122</v>
      </c>
      <c r="I250" s="1" t="n">
        <v>185.412</v>
      </c>
      <c r="J250" s="1" t="n">
        <v>292.341872280854</v>
      </c>
      <c r="K250" s="1" t="n">
        <v>320.8176795580114</v>
      </c>
      <c r="L250" s="1" t="n">
        <v>216.8085805680328</v>
      </c>
    </row>
    <row r="251">
      <c r="A251" s="2" t="n">
        <v>38625</v>
      </c>
      <c r="B251" s="1" t="n">
        <v>26559.302</v>
      </c>
      <c r="C251" s="1" t="n">
        <v>3575.803637182501</v>
      </c>
      <c r="D251" s="1" t="n">
        <v>60986.874913758</v>
      </c>
      <c r="E251" s="1" t="n">
        <v>329.842655847</v>
      </c>
      <c r="F251" s="1" t="n">
        <v>9785.2112505</v>
      </c>
      <c r="G251" s="1" t="n">
        <v>1069.102773156794</v>
      </c>
      <c r="H251" s="1" t="n">
        <v>158.6780275367553</v>
      </c>
      <c r="I251" s="1" t="n">
        <v>216.064</v>
      </c>
      <c r="J251" s="1" t="n">
        <v>290.5433361180183</v>
      </c>
      <c r="K251" s="1" t="n">
        <v>319.8084714548806</v>
      </c>
      <c r="L251" s="1" t="n">
        <v>217.7977071773208</v>
      </c>
    </row>
    <row r="252">
      <c r="A252" s="2" t="n">
        <v>38656</v>
      </c>
      <c r="B252" s="1" t="n">
        <v>25541.741</v>
      </c>
      <c r="C252" s="1" t="n">
        <v>3585.486779023319</v>
      </c>
      <c r="D252" s="1" t="n">
        <v>58914.26524132121</v>
      </c>
      <c r="E252" s="1" t="n">
        <v>328.155305011024</v>
      </c>
      <c r="F252" s="1" t="n">
        <v>8968.662737021999</v>
      </c>
      <c r="G252" s="1" t="n">
        <v>1069.102773156794</v>
      </c>
      <c r="H252" s="1" t="n">
        <v>161.4231574131411</v>
      </c>
      <c r="I252" s="1" t="n">
        <v>216.064</v>
      </c>
      <c r="J252" s="1" t="n">
        <v>291.0602655444205</v>
      </c>
      <c r="K252" s="1" t="n">
        <v>318.1731123388586</v>
      </c>
      <c r="L252" s="1" t="n">
        <v>218.8373791014996</v>
      </c>
    </row>
    <row r="253">
      <c r="A253" s="2" t="n">
        <v>38686</v>
      </c>
      <c r="B253" s="1" t="n">
        <v>26665.265</v>
      </c>
      <c r="C253" s="1" t="n">
        <v>3774.144302767839</v>
      </c>
      <c r="D253" s="1" t="n">
        <v>63842.68036087115</v>
      </c>
      <c r="E253" s="1" t="n">
        <v>343.422523660944</v>
      </c>
      <c r="F253" s="1" t="n">
        <v>8705.124218700001</v>
      </c>
      <c r="G253" s="1" t="n">
        <v>1069.102773156794</v>
      </c>
      <c r="H253" s="1" t="n">
        <v>162.649973409481</v>
      </c>
      <c r="I253" s="1" t="n">
        <v>216.064</v>
      </c>
      <c r="J253" s="1" t="n">
        <v>293.2401947596626</v>
      </c>
      <c r="K253" s="1" t="n">
        <v>320.0736648250464</v>
      </c>
      <c r="L253" s="1" t="n">
        <v>219.8515728994732</v>
      </c>
    </row>
    <row r="254">
      <c r="A254" s="2" t="n">
        <v>38716</v>
      </c>
      <c r="B254" s="1" t="n">
        <v>27474.947</v>
      </c>
      <c r="C254" s="1" t="n">
        <v>3891.208959602916</v>
      </c>
      <c r="D254" s="1" t="n">
        <v>67932.11991051679</v>
      </c>
      <c r="E254" s="1" t="n">
        <v>350.959796079554</v>
      </c>
      <c r="F254" s="1" t="n">
        <v>9035.409982982001</v>
      </c>
      <c r="G254" s="1" t="n">
        <v>1093.131515856753</v>
      </c>
      <c r="H254" s="1" t="n">
        <v>160.3403437870664</v>
      </c>
      <c r="I254" s="1" t="n">
        <v>227.904</v>
      </c>
      <c r="J254" s="1" t="n">
        <v>295.9458790256602</v>
      </c>
      <c r="K254" s="1" t="n">
        <v>323.1233885819525</v>
      </c>
      <c r="L254" s="1" t="n">
        <v>220.8908338861326</v>
      </c>
    </row>
    <row r="255">
      <c r="A255" s="2" t="n">
        <v>38748</v>
      </c>
      <c r="B255" s="1" t="n">
        <v>28476.555</v>
      </c>
      <c r="C255" s="1" t="n">
        <v>3895.415477705388</v>
      </c>
      <c r="D255" s="1" t="n">
        <v>71249.1918588049</v>
      </c>
      <c r="E255" s="1" t="n">
        <v>359.52727166818</v>
      </c>
      <c r="F255" s="1" t="n">
        <v>9141.624301375999</v>
      </c>
      <c r="G255" s="1" t="n">
        <v>1093.131515856753</v>
      </c>
      <c r="H255" s="1" t="n">
        <v>159.8432887213265</v>
      </c>
      <c r="I255" s="1" t="n">
        <v>227.904</v>
      </c>
      <c r="J255" s="1" t="n">
        <v>296.4350707755237</v>
      </c>
      <c r="K255" s="1" t="n">
        <v>323.2191528545123</v>
      </c>
      <c r="L255" s="1" t="n">
        <v>221.9489979986861</v>
      </c>
    </row>
    <row r="256">
      <c r="A256" s="2" t="n">
        <v>38776</v>
      </c>
      <c r="B256" s="1" t="n">
        <v>28675.986</v>
      </c>
      <c r="C256" s="1" t="n">
        <v>3981.226926317487</v>
      </c>
      <c r="D256" s="1" t="n">
        <v>72531.61241381378</v>
      </c>
      <c r="E256" s="1" t="n">
        <v>376.31928867958</v>
      </c>
      <c r="F256" s="1" t="n">
        <v>8368.375808649</v>
      </c>
      <c r="G256" s="1" t="n">
        <v>1093.131515856753</v>
      </c>
      <c r="H256" s="1" t="n">
        <v>160.4666775473397</v>
      </c>
      <c r="I256" s="1" t="n">
        <v>227.904</v>
      </c>
      <c r="J256" s="1" t="n">
        <v>298.1276994461209</v>
      </c>
      <c r="K256" s="1" t="n">
        <v>324.4051565377536</v>
      </c>
      <c r="L256" s="1" t="n">
        <v>222.9044277313801</v>
      </c>
    </row>
    <row r="257">
      <c r="A257" s="2" t="n">
        <v>38807</v>
      </c>
      <c r="B257" s="1" t="n">
        <v>30054.353</v>
      </c>
      <c r="C257" s="1" t="n">
        <v>4250.913520120912</v>
      </c>
      <c r="D257" s="1" t="n">
        <v>76644.30991875961</v>
      </c>
      <c r="E257" s="1" t="n">
        <v>407.174091788502</v>
      </c>
      <c r="F257" s="1" t="n">
        <v>9165.381222176</v>
      </c>
      <c r="G257" s="1" t="n">
        <v>1108.34574466441</v>
      </c>
      <c r="H257" s="1" t="n">
        <v>159.6803908273577</v>
      </c>
      <c r="I257" s="1" t="n">
        <v>253.336</v>
      </c>
      <c r="J257" s="1" t="n">
        <v>298.4668555819799</v>
      </c>
      <c r="K257" s="1" t="n">
        <v>321.6206261510132</v>
      </c>
      <c r="L257" s="1" t="n">
        <v>223.9609480938559</v>
      </c>
    </row>
    <row r="258">
      <c r="A258" s="2" t="n">
        <v>38835</v>
      </c>
      <c r="B258" s="1" t="n">
        <v>30777.029</v>
      </c>
      <c r="C258" s="1" t="n">
        <v>4033.251386683332</v>
      </c>
      <c r="D258" s="1" t="n">
        <v>75831.66235376378</v>
      </c>
      <c r="E258" s="1" t="n">
        <v>371.729513530428</v>
      </c>
      <c r="F258" s="1" t="n">
        <v>9158.86540053</v>
      </c>
      <c r="G258" s="1" t="n">
        <v>1108.34574466441</v>
      </c>
      <c r="H258" s="1" t="n">
        <v>159.9518474917642</v>
      </c>
      <c r="I258" s="1" t="n">
        <v>253.336</v>
      </c>
      <c r="J258" s="1" t="n">
        <v>296.8007037844422</v>
      </c>
      <c r="K258" s="1" t="n">
        <v>320.8176795580114</v>
      </c>
      <c r="L258" s="1" t="n">
        <v>224.9513075157021</v>
      </c>
    </row>
    <row r="259">
      <c r="A259" s="2" t="n">
        <v>38868</v>
      </c>
      <c r="B259" s="1" t="n">
        <v>29442.273</v>
      </c>
      <c r="C259" s="1" t="n">
        <v>3885.828870485268</v>
      </c>
      <c r="D259" s="1" t="n">
        <v>70361.99685657502</v>
      </c>
      <c r="E259" s="1" t="n">
        <v>363.531053785152</v>
      </c>
      <c r="F259" s="1" t="n">
        <v>9149.879482056</v>
      </c>
      <c r="G259" s="1" t="n">
        <v>1108.34574466441</v>
      </c>
      <c r="H259" s="1" t="n">
        <v>162.7670000076193</v>
      </c>
      <c r="I259" s="1" t="n">
        <v>253.336</v>
      </c>
      <c r="J259" s="1" t="n">
        <v>297.983337447772</v>
      </c>
      <c r="K259" s="1" t="n">
        <v>321.9889502762434</v>
      </c>
      <c r="L259" s="1" t="n">
        <v>226.0390591296552</v>
      </c>
    </row>
    <row r="260">
      <c r="A260" s="2" t="n">
        <v>38898</v>
      </c>
      <c r="B260" s="1" t="n">
        <v>29988.805</v>
      </c>
      <c r="C260" s="1" t="n">
        <v>3963.196627275032</v>
      </c>
      <c r="D260" s="1" t="n">
        <v>71436.98350738692</v>
      </c>
      <c r="E260" s="1" t="n">
        <v>385.8912292025018</v>
      </c>
      <c r="F260" s="1" t="n">
        <v>9389.550479686201</v>
      </c>
      <c r="G260" s="1" t="n">
        <v>1152.067599854858</v>
      </c>
      <c r="H260" s="1" t="n">
        <v>164.557437007703</v>
      </c>
      <c r="I260" s="1" t="n">
        <v>279.76</v>
      </c>
      <c r="J260" s="1" t="n">
        <v>298.5002668741741</v>
      </c>
      <c r="K260" s="1" t="n">
        <v>322.106813996317</v>
      </c>
      <c r="L260" s="1" t="n">
        <v>227.1251669935305</v>
      </c>
    </row>
    <row r="261">
      <c r="A261" s="2" t="n">
        <v>38929</v>
      </c>
      <c r="B261" s="1" t="n">
        <v>29534.503</v>
      </c>
      <c r="C261" s="1" t="n">
        <v>3864.485261890172</v>
      </c>
      <c r="D261" s="1" t="n">
        <v>70017.86524701231</v>
      </c>
      <c r="E261" s="1" t="n">
        <v>386.8238094860305</v>
      </c>
      <c r="F261" s="1" t="n">
        <v>9285.9829896431</v>
      </c>
      <c r="G261" s="1" t="n">
        <v>1152.067599854858</v>
      </c>
      <c r="H261" s="1" t="n">
        <v>169.4941601179341</v>
      </c>
      <c r="I261" s="1" t="n">
        <v>279.76</v>
      </c>
      <c r="J261" s="1" t="n">
        <v>298.7429715438874</v>
      </c>
      <c r="K261" s="1" t="n">
        <v>325.9668508287296</v>
      </c>
      <c r="L261" s="1" t="n">
        <v>228.2207264203529</v>
      </c>
    </row>
    <row r="262">
      <c r="A262" s="2" t="n">
        <v>38960</v>
      </c>
      <c r="B262" s="1" t="n">
        <v>30472.258</v>
      </c>
      <c r="C262" s="1" t="n">
        <v>3979.112325896977</v>
      </c>
      <c r="D262" s="1" t="n">
        <v>72289.33275185341</v>
      </c>
      <c r="E262" s="1" t="n">
        <v>402.0977233664545</v>
      </c>
      <c r="F262" s="1" t="n">
        <v>8641.939861208501</v>
      </c>
      <c r="G262" s="1" t="n">
        <v>1152.067599854858</v>
      </c>
      <c r="H262" s="1" t="n">
        <v>169.1721212137101</v>
      </c>
      <c r="I262" s="1" t="n">
        <v>279.76</v>
      </c>
      <c r="J262" s="1" t="n">
        <v>301.8993930536379</v>
      </c>
      <c r="K262" s="1" t="n">
        <v>331.020257826888</v>
      </c>
      <c r="L262" s="1" t="n">
        <v>229.4136780392822</v>
      </c>
    </row>
    <row r="263">
      <c r="A263" s="2" t="n">
        <v>38989</v>
      </c>
      <c r="B263" s="1" t="n">
        <v>30852.585</v>
      </c>
      <c r="C263" s="1" t="n">
        <v>4146.697795230618</v>
      </c>
      <c r="D263" s="1" t="n">
        <v>75040.0144850583</v>
      </c>
      <c r="E263" s="1" t="n">
        <v>422.84615416005</v>
      </c>
      <c r="F263" s="1" t="n">
        <v>7896.626057069999</v>
      </c>
      <c r="G263" s="1" t="n">
        <v>1176.5326942331</v>
      </c>
      <c r="H263" s="1" t="n">
        <v>172.2341366076782</v>
      </c>
      <c r="I263" s="1" t="n">
        <v>290.556</v>
      </c>
      <c r="J263" s="1" t="n">
        <v>304.435499251706</v>
      </c>
      <c r="K263" s="1" t="n">
        <v>333.6132596685086</v>
      </c>
      <c r="L263" s="1" t="n">
        <v>230.5856718447202</v>
      </c>
    </row>
    <row r="264">
      <c r="A264" s="2" t="n">
        <v>39021</v>
      </c>
      <c r="B264" s="1" t="n">
        <v>32334.94</v>
      </c>
      <c r="C264" s="1" t="n">
        <v>4122.956722128205</v>
      </c>
      <c r="D264" s="1" t="n">
        <v>74904.90413294791</v>
      </c>
      <c r="E264" s="1" t="n">
        <v>427.2504651520571</v>
      </c>
      <c r="F264" s="1" t="n">
        <v>7419.4107487911</v>
      </c>
      <c r="G264" s="1" t="n">
        <v>1176.5326942331</v>
      </c>
      <c r="H264" s="1" t="n">
        <v>171.2696254426752</v>
      </c>
      <c r="I264" s="1" t="n">
        <v>290.556</v>
      </c>
      <c r="J264" s="1" t="n">
        <v>303.8719200965797</v>
      </c>
      <c r="K264" s="1" t="n">
        <v>335.6022099447516</v>
      </c>
      <c r="L264" s="1" t="n">
        <v>231.7535562749638</v>
      </c>
    </row>
    <row r="265">
      <c r="A265" s="2" t="n">
        <v>39051</v>
      </c>
      <c r="B265" s="1" t="n">
        <v>33135.522</v>
      </c>
      <c r="C265" s="1" t="n">
        <v>4089.108451508449</v>
      </c>
      <c r="D265" s="1" t="n">
        <v>78231.54530448749</v>
      </c>
      <c r="E265" s="1" t="n">
        <v>438.0283713832983</v>
      </c>
      <c r="F265" s="1" t="n">
        <v>7674.8459737629</v>
      </c>
      <c r="G265" s="1" t="n">
        <v>1176.5326942331</v>
      </c>
      <c r="H265" s="1" t="n">
        <v>169.1801360122745</v>
      </c>
      <c r="I265" s="1" t="n">
        <v>290.556</v>
      </c>
      <c r="J265" s="1" t="n">
        <v>306.1709952405903</v>
      </c>
      <c r="K265" s="1" t="n">
        <v>338.7255985267038</v>
      </c>
      <c r="L265" s="1" t="n">
        <v>232.9485625814902</v>
      </c>
    </row>
    <row r="266">
      <c r="A266" s="2" t="n">
        <v>39080</v>
      </c>
      <c r="B266" s="1" t="n">
        <v>34334.226</v>
      </c>
      <c r="C266" s="1" t="n">
        <v>4205.087064236388</v>
      </c>
      <c r="D266" s="1" t="n">
        <v>81457.65228475639</v>
      </c>
      <c r="E266" s="1" t="n">
        <v>444.6869782229205</v>
      </c>
      <c r="F266" s="1" t="n">
        <v>7139.8641098535</v>
      </c>
      <c r="G266" s="1" t="n">
        <v>1201.134975861017</v>
      </c>
      <c r="H266" s="1" t="n">
        <v>171.1933796308206</v>
      </c>
      <c r="I266" s="1" t="n">
        <v>318.828</v>
      </c>
      <c r="J266" s="1" t="n">
        <v>305.2417830765455</v>
      </c>
      <c r="K266" s="1" t="n">
        <v>337.3701657458567</v>
      </c>
      <c r="L266" s="1" t="n">
        <v>234.191648577791</v>
      </c>
    </row>
    <row r="267">
      <c r="A267" s="2" t="n">
        <v>39113</v>
      </c>
      <c r="B267" s="1" t="n">
        <v>35025.746</v>
      </c>
      <c r="C267" s="1" t="n">
        <v>4356.499788983498</v>
      </c>
      <c r="D267" s="1" t="n">
        <v>82689.20117513432</v>
      </c>
      <c r="E267" s="1" t="n">
        <v>484.6442263468713</v>
      </c>
      <c r="F267" s="1" t="n">
        <v>7098.8574885975</v>
      </c>
      <c r="G267" s="1" t="n">
        <v>1201.134975861017</v>
      </c>
      <c r="H267" s="1" t="n">
        <v>173.9667123808399</v>
      </c>
      <c r="I267" s="1" t="n">
        <v>318.828</v>
      </c>
      <c r="J267" s="1" t="n">
        <v>306.670273418286</v>
      </c>
      <c r="K267" s="1" t="n">
        <v>337.5027624309394</v>
      </c>
      <c r="L267" s="1" t="n">
        <v>235.4758283260356</v>
      </c>
    </row>
    <row r="268">
      <c r="A268" s="2" t="n">
        <v>39141</v>
      </c>
      <c r="B268" s="1" t="n">
        <v>35583.66</v>
      </c>
      <c r="C268" s="1" t="n">
        <v>4233.847866661976</v>
      </c>
      <c r="D268" s="1" t="n">
        <v>80746.14472209688</v>
      </c>
      <c r="E268" s="1" t="n">
        <v>472.452232001464</v>
      </c>
      <c r="F268" s="1" t="n">
        <v>7278.453868727999</v>
      </c>
      <c r="G268" s="1" t="n">
        <v>1201.134975861017</v>
      </c>
      <c r="H268" s="1" t="n">
        <v>177.0633198612189</v>
      </c>
      <c r="I268" s="1" t="n">
        <v>318.828</v>
      </c>
      <c r="J268" s="1" t="n">
        <v>310.3398419440016</v>
      </c>
      <c r="K268" s="1" t="n">
        <v>341.9447513812156</v>
      </c>
      <c r="L268" s="1" t="n">
        <v>236.634261193332</v>
      </c>
    </row>
    <row r="269">
      <c r="A269" s="2" t="n">
        <v>39171</v>
      </c>
      <c r="B269" s="1" t="n">
        <v>36767.079</v>
      </c>
      <c r="C269" s="1" t="n">
        <v>4193.620969888545</v>
      </c>
      <c r="D269" s="1" t="n">
        <v>81340.94273540017</v>
      </c>
      <c r="E269" s="1" t="n">
        <v>456.8644012339875</v>
      </c>
      <c r="F269" s="1" t="n">
        <v>7328.769825864499</v>
      </c>
      <c r="G269" s="1" t="n">
        <v>1215.306618823353</v>
      </c>
      <c r="H269" s="1" t="n">
        <v>178.816246727845</v>
      </c>
      <c r="I269" s="1" t="n">
        <v>327.724</v>
      </c>
      <c r="J269" s="1" t="n">
        <v>309.5159068704558</v>
      </c>
      <c r="K269" s="1" t="n">
        <v>342.1289134438308</v>
      </c>
      <c r="L269" s="1" t="n">
        <v>237.8732378144385</v>
      </c>
    </row>
    <row r="270">
      <c r="A270" s="2" t="n">
        <v>39202</v>
      </c>
      <c r="B270" s="1" t="n">
        <v>37886.911</v>
      </c>
      <c r="C270" s="1" t="n">
        <v>4214.922359908482</v>
      </c>
      <c r="D270" s="1" t="n">
        <v>81749.75053578819</v>
      </c>
      <c r="E270" s="1" t="n">
        <v>442.4053238665151</v>
      </c>
      <c r="F270" s="1" t="n">
        <v>7093.486073655099</v>
      </c>
      <c r="G270" s="1" t="n">
        <v>1215.306618823353</v>
      </c>
      <c r="H270" s="1" t="n">
        <v>182.7502041558576</v>
      </c>
      <c r="I270" s="1" t="n">
        <v>327.724</v>
      </c>
      <c r="J270" s="1" t="n">
        <v>311.6573815795875</v>
      </c>
      <c r="K270" s="1" t="n">
        <v>343.5064456721917</v>
      </c>
      <c r="L270" s="1" t="n">
        <v>239.1754988135383</v>
      </c>
    </row>
    <row r="271">
      <c r="A271" s="2" t="n">
        <v>39233</v>
      </c>
      <c r="B271" s="1" t="n">
        <v>39096.221</v>
      </c>
      <c r="C271" s="1" t="n">
        <v>4385.999307139505</v>
      </c>
      <c r="D271" s="1" t="n">
        <v>85455.4536098745</v>
      </c>
      <c r="E271" s="1" t="n">
        <v>449.605673375627</v>
      </c>
      <c r="F271" s="1" t="n">
        <v>7022.9529497894</v>
      </c>
      <c r="G271" s="1" t="n">
        <v>1215.306618823353</v>
      </c>
      <c r="H271" s="1" t="n">
        <v>180.8313270122211</v>
      </c>
      <c r="I271" s="1" t="n">
        <v>327.724</v>
      </c>
      <c r="J271" s="1" t="n">
        <v>311.8093083988106</v>
      </c>
      <c r="K271" s="1" t="n">
        <v>341.4511970534072</v>
      </c>
      <c r="L271" s="1" t="n">
        <v>240.4674863746522</v>
      </c>
    </row>
    <row r="272">
      <c r="A272" s="2" t="n">
        <v>39262</v>
      </c>
      <c r="B272" s="1" t="n">
        <v>39069.814</v>
      </c>
      <c r="C272" s="1" t="n">
        <v>4238.602279038613</v>
      </c>
      <c r="D272" s="1" t="n">
        <v>87251.583019465</v>
      </c>
      <c r="E272" s="1" t="n">
        <v>402.160846035468</v>
      </c>
      <c r="F272" s="1" t="n">
        <v>7071.880603132799</v>
      </c>
      <c r="G272" s="1" t="n">
        <v>1273.464261910321</v>
      </c>
      <c r="H272" s="1" t="n">
        <v>184.8457824718924</v>
      </c>
      <c r="I272" s="1" t="n">
        <v>358.532</v>
      </c>
      <c r="J272" s="1" t="n">
        <v>310.4041429214321</v>
      </c>
      <c r="K272" s="1" t="n">
        <v>340.5230202578271</v>
      </c>
      <c r="L272" s="1" t="n">
        <v>241.714270808628</v>
      </c>
    </row>
    <row r="273">
      <c r="A273" s="2" t="n">
        <v>39294</v>
      </c>
      <c r="B273" s="1" t="n">
        <v>38310.741</v>
      </c>
      <c r="C273" s="1" t="n">
        <v>4069.613077473266</v>
      </c>
      <c r="D273" s="1" t="n">
        <v>90590.53249682319</v>
      </c>
      <c r="E273" s="1" t="n">
        <v>370.4301735930136</v>
      </c>
      <c r="F273" s="1" t="n">
        <v>7390.9097031416</v>
      </c>
      <c r="G273" s="1" t="n">
        <v>1273.464261910321</v>
      </c>
      <c r="H273" s="1" t="n">
        <v>191.0011470282064</v>
      </c>
      <c r="I273" s="1" t="n">
        <v>358.532</v>
      </c>
      <c r="J273" s="1" t="n">
        <v>312.4813166531334</v>
      </c>
      <c r="K273" s="1" t="n">
        <v>344.2209944751382</v>
      </c>
      <c r="L273" s="1" t="n">
        <v>242.9836568061727</v>
      </c>
    </row>
    <row r="274">
      <c r="A274" s="2" t="n">
        <v>39325</v>
      </c>
      <c r="B274" s="1" t="n">
        <v>38961.052</v>
      </c>
      <c r="C274" s="1" t="n">
        <v>4285.627751527181</v>
      </c>
      <c r="D274" s="1" t="n">
        <v>94524.90946403496</v>
      </c>
      <c r="E274" s="1" t="n">
        <v>409.8450349181693</v>
      </c>
      <c r="F274" s="1" t="n">
        <v>7457.928520818599</v>
      </c>
      <c r="G274" s="1" t="n">
        <v>1273.464261910321</v>
      </c>
      <c r="H274" s="1" t="n">
        <v>191.9752528780503</v>
      </c>
      <c r="I274" s="1" t="n">
        <v>358.532</v>
      </c>
      <c r="J274" s="1" t="n">
        <v>315.1624152512899</v>
      </c>
      <c r="K274" s="1" t="n">
        <v>348.633517495396</v>
      </c>
      <c r="L274" s="1" t="n">
        <v>244.27317874217</v>
      </c>
    </row>
    <row r="275">
      <c r="A275" s="2" t="n">
        <v>39353</v>
      </c>
      <c r="B275" s="1" t="n">
        <v>41211.886</v>
      </c>
      <c r="C275" s="1" t="n">
        <v>4059.301978295421</v>
      </c>
      <c r="D275" s="1" t="n">
        <v>94197.6136073284</v>
      </c>
      <c r="E275" s="1" t="n">
        <v>385.675469345826</v>
      </c>
      <c r="F275" s="1" t="n">
        <v>7557.307560008599</v>
      </c>
      <c r="G275" s="1" t="n">
        <v>1322.847574643526</v>
      </c>
      <c r="H275" s="1" t="n">
        <v>195.8723505114747</v>
      </c>
      <c r="I275" s="1" t="n">
        <v>347.74</v>
      </c>
      <c r="J275" s="1" t="n">
        <v>315.0092276285878</v>
      </c>
      <c r="K275" s="1" t="n">
        <v>350.475138121547</v>
      </c>
      <c r="L275" s="1" t="n">
        <v>245.6720100583379</v>
      </c>
    </row>
    <row r="276">
      <c r="A276" s="2" t="n">
        <v>39386</v>
      </c>
      <c r="B276" s="1" t="n">
        <v>42478.407</v>
      </c>
      <c r="C276" s="1" t="n">
        <v>3960.124431669971</v>
      </c>
      <c r="D276" s="1" t="n">
        <v>98009.11329763886</v>
      </c>
      <c r="E276" s="1" t="n">
        <v>367.5605786870544</v>
      </c>
      <c r="F276" s="1" t="n">
        <v>7909.7224792995</v>
      </c>
      <c r="G276" s="1" t="n">
        <v>1322.847574643526</v>
      </c>
      <c r="H276" s="1" t="n">
        <v>200.1423677526248</v>
      </c>
      <c r="I276" s="1" t="n">
        <v>347.74</v>
      </c>
      <c r="J276" s="1" t="n">
        <v>314.8856688876429</v>
      </c>
      <c r="K276" s="1" t="n">
        <v>353.8268876611419</v>
      </c>
      <c r="L276" s="1" t="n">
        <v>247.0798819999334</v>
      </c>
    </row>
    <row r="277">
      <c r="A277" s="2" t="n">
        <v>39416</v>
      </c>
      <c r="B277" s="1" t="n">
        <v>41478.217</v>
      </c>
      <c r="C277" s="1" t="n">
        <v>3973.609285071681</v>
      </c>
      <c r="D277" s="1" t="n">
        <v>96380.93582471377</v>
      </c>
      <c r="E277" s="1" t="n">
        <v>354.2958648778159</v>
      </c>
      <c r="F277" s="1" t="n">
        <v>7982.0365081613</v>
      </c>
      <c r="G277" s="1" t="n">
        <v>1322.847574643526</v>
      </c>
      <c r="H277" s="1" t="n">
        <v>197.3804030776386</v>
      </c>
      <c r="I277" s="1" t="n">
        <v>347.74</v>
      </c>
      <c r="J277" s="1" t="n">
        <v>316.3217240502576</v>
      </c>
      <c r="K277" s="1" t="n">
        <v>358.5193370165746</v>
      </c>
      <c r="L277" s="1" t="n">
        <v>248.4561117525321</v>
      </c>
    </row>
    <row r="278">
      <c r="A278" s="2" t="n">
        <v>39447</v>
      </c>
      <c r="B278" s="1" t="n">
        <v>40498.373</v>
      </c>
      <c r="C278" s="1" t="n">
        <v>3971.079090324884</v>
      </c>
      <c r="D278" s="1" t="n">
        <v>97685.47570093618</v>
      </c>
      <c r="E278" s="1" t="n">
        <v>342.2074154393679</v>
      </c>
      <c r="F278" s="1" t="n">
        <v>8503.274247989999</v>
      </c>
      <c r="G278" s="1" t="n">
        <v>1377.085546615521</v>
      </c>
      <c r="H278" s="1" t="n">
        <v>196.9066901102523</v>
      </c>
      <c r="I278" s="1" t="n">
        <v>364.916</v>
      </c>
      <c r="J278" s="1" t="n">
        <v>315.8117290429901</v>
      </c>
      <c r="K278" s="1" t="n">
        <v>359.7274401473298</v>
      </c>
      <c r="L278" s="1" t="n">
        <v>249.9543899484041</v>
      </c>
    </row>
    <row r="279">
      <c r="A279" s="2" t="n">
        <v>39478</v>
      </c>
      <c r="B279" s="1" t="n">
        <v>35942.621</v>
      </c>
      <c r="C279" s="1" t="n">
        <v>3579.640279983319</v>
      </c>
      <c r="D279" s="1" t="n">
        <v>84189.38044679628</v>
      </c>
      <c r="E279" s="1" t="n">
        <v>323.712754458381</v>
      </c>
      <c r="F279" s="1" t="n">
        <v>8364.407710998601</v>
      </c>
      <c r="G279" s="1" t="n">
        <v>1377.085546615521</v>
      </c>
      <c r="H279" s="1" t="n">
        <v>196.67040208212</v>
      </c>
      <c r="I279" s="1" t="n">
        <v>364.916</v>
      </c>
      <c r="J279" s="1" t="n">
        <v>319.6716788940393</v>
      </c>
      <c r="K279" s="1" t="n">
        <v>366.2099447513813</v>
      </c>
      <c r="L279" s="1" t="n">
        <v>251.4465040814844</v>
      </c>
    </row>
    <row r="280">
      <c r="A280" s="2" t="n">
        <v>39507</v>
      </c>
      <c r="B280" s="1" t="n">
        <v>36036.943</v>
      </c>
      <c r="C280" s="1" t="n">
        <v>3357.91967330756</v>
      </c>
      <c r="D280" s="1" t="n">
        <v>85257.94938039288</v>
      </c>
      <c r="E280" s="1" t="n">
        <v>300.746332521954</v>
      </c>
      <c r="F280" s="1" t="n">
        <v>8878.313319123599</v>
      </c>
      <c r="G280" s="1" t="n">
        <v>1377.085546615521</v>
      </c>
      <c r="H280" s="1" t="n">
        <v>198.7551083441905</v>
      </c>
      <c r="I280" s="1" t="n">
        <v>364.916</v>
      </c>
      <c r="J280" s="1" t="n">
        <v>317.7023038597951</v>
      </c>
      <c r="K280" s="1" t="n">
        <v>368.4051565377533</v>
      </c>
      <c r="L280" s="1" t="n">
        <v>252.807529145864</v>
      </c>
    </row>
    <row r="281">
      <c r="A281" s="2" t="n">
        <v>39538</v>
      </c>
      <c r="B281" s="1" t="n">
        <v>34554.54</v>
      </c>
      <c r="C281" s="1" t="n">
        <v>3369.295486768664</v>
      </c>
      <c r="D281" s="1" t="n">
        <v>83685.19123116683</v>
      </c>
      <c r="E281" s="1" t="n">
        <v>315.7797764681054</v>
      </c>
      <c r="F281" s="1" t="n">
        <v>8990.810944592402</v>
      </c>
      <c r="G281" s="1" t="n">
        <v>1387.328729522563</v>
      </c>
      <c r="H281" s="1" t="n">
        <v>199.1923695825477</v>
      </c>
      <c r="I281" s="1" t="n">
        <v>362.544</v>
      </c>
      <c r="J281" s="1" t="n">
        <v>322.7953195133351</v>
      </c>
      <c r="K281" s="1" t="n">
        <v>369.5322283609578</v>
      </c>
      <c r="L281" s="1" t="n">
        <v>254.4915511005219</v>
      </c>
    </row>
    <row r="282">
      <c r="A282" s="2" t="n">
        <v>39568</v>
      </c>
      <c r="B282" s="1" t="n">
        <v>36159.135</v>
      </c>
      <c r="C282" s="1" t="n">
        <v>3466.996627536821</v>
      </c>
      <c r="D282" s="1" t="n">
        <v>86949.45154704961</v>
      </c>
      <c r="E282" s="1" t="n">
        <v>317.8457436088249</v>
      </c>
      <c r="F282" s="1" t="n">
        <v>9403.019534401499</v>
      </c>
      <c r="G282" s="1" t="n">
        <v>1387.328729522563</v>
      </c>
      <c r="H282" s="1" t="n">
        <v>202.7977514719918</v>
      </c>
      <c r="I282" s="1" t="n">
        <v>362.544</v>
      </c>
      <c r="J282" s="1" t="n">
        <v>322.8444908490173</v>
      </c>
      <c r="K282" s="1" t="n">
        <v>369.0165745856355</v>
      </c>
      <c r="L282" s="1" t="n">
        <v>256.1537933666497</v>
      </c>
    </row>
    <row r="283">
      <c r="A283" s="2" t="n">
        <v>39598</v>
      </c>
      <c r="B283" s="1" t="n">
        <v>37046.505</v>
      </c>
      <c r="C283" s="1" t="n">
        <v>3485.733176507228</v>
      </c>
      <c r="D283" s="1" t="n">
        <v>87553.21800152534</v>
      </c>
      <c r="E283" s="1" t="n">
        <v>308.01287217274</v>
      </c>
      <c r="F283" s="1" t="n">
        <v>10139.628832438</v>
      </c>
      <c r="G283" s="1" t="n">
        <v>1387.328729522563</v>
      </c>
      <c r="H283" s="1" t="n">
        <v>207.2593020043756</v>
      </c>
      <c r="I283" s="1" t="n">
        <v>362.544</v>
      </c>
      <c r="J283" s="1" t="n">
        <v>323.1962550196665</v>
      </c>
      <c r="K283" s="1" t="n">
        <v>367.145488029466</v>
      </c>
      <c r="L283" s="1" t="n">
        <v>257.8341168836329</v>
      </c>
    </row>
    <row r="284">
      <c r="A284" s="2" t="n">
        <v>39629</v>
      </c>
      <c r="B284" s="1" t="n">
        <v>34336.36</v>
      </c>
      <c r="C284" s="1" t="n">
        <v>3179.32382668895</v>
      </c>
      <c r="D284" s="1" t="n">
        <v>78406.01950491361</v>
      </c>
      <c r="E284" s="1" t="n">
        <v>273.045156060886</v>
      </c>
      <c r="F284" s="1" t="n">
        <v>11002.604277225</v>
      </c>
      <c r="G284" s="1" t="n">
        <v>1379.230796176595</v>
      </c>
      <c r="H284" s="1" t="n">
        <v>209.974398860633</v>
      </c>
      <c r="I284" s="1" t="n">
        <v>356.056</v>
      </c>
      <c r="J284" s="1" t="n">
        <v>324.1260975854509</v>
      </c>
      <c r="K284" s="1" t="n">
        <v>367.4401473296501</v>
      </c>
      <c r="L284" s="1" t="n">
        <v>259.4556763353362</v>
      </c>
    </row>
    <row r="285">
      <c r="A285" s="2" t="n">
        <v>39660</v>
      </c>
      <c r="B285" s="1" t="n">
        <v>32538.982</v>
      </c>
      <c r="C285" s="1" t="n">
        <v>3185.715854230808</v>
      </c>
      <c r="D285" s="1" t="n">
        <v>75982.64046326652</v>
      </c>
      <c r="E285" s="1" t="n">
        <v>281.1213402700052</v>
      </c>
      <c r="F285" s="1" t="n">
        <v>9853.5070126132</v>
      </c>
      <c r="G285" s="1" t="n">
        <v>1379.230796176595</v>
      </c>
      <c r="H285" s="1" t="n">
        <v>211.4232222127713</v>
      </c>
      <c r="I285" s="1" t="n">
        <v>356.056</v>
      </c>
      <c r="J285" s="1" t="n">
        <v>329.9194895715919</v>
      </c>
      <c r="K285" s="1" t="n">
        <v>371.8453038674034</v>
      </c>
      <c r="L285" s="1" t="n">
        <v>261.188188917288</v>
      </c>
    </row>
    <row r="286">
      <c r="A286" s="2" t="n">
        <v>39689</v>
      </c>
      <c r="B286" s="1" t="n">
        <v>33848.6</v>
      </c>
      <c r="C286" s="1" t="n">
        <v>3521.081278355186</v>
      </c>
      <c r="D286" s="1" t="n">
        <v>78997.57274260531</v>
      </c>
      <c r="E286" s="1" t="n">
        <v>315.038039232875</v>
      </c>
      <c r="F286" s="1" t="n">
        <v>9997.071873999001</v>
      </c>
      <c r="G286" s="1" t="n">
        <v>1379.230796176595</v>
      </c>
      <c r="H286" s="1" t="n">
        <v>213.1146079904735</v>
      </c>
      <c r="I286" s="1" t="n">
        <v>356.056</v>
      </c>
      <c r="J286" s="1" t="n">
        <v>337.0543764594204</v>
      </c>
      <c r="K286" s="1" t="n">
        <v>377.3186003683242</v>
      </c>
      <c r="L286" s="1" t="n">
        <v>262.9326186873034</v>
      </c>
    </row>
    <row r="287">
      <c r="A287" s="2" t="n">
        <v>39721</v>
      </c>
      <c r="B287" s="1" t="n">
        <v>30253.905</v>
      </c>
      <c r="C287" s="1" t="n">
        <v>3431.418445071764</v>
      </c>
      <c r="D287" s="1" t="n">
        <v>75579.86712293647</v>
      </c>
      <c r="E287" s="1" t="n">
        <v>333.7897482547265</v>
      </c>
      <c r="F287" s="1" t="n">
        <v>9556.678659538</v>
      </c>
      <c r="G287" s="1" t="n">
        <v>1352.627770502303</v>
      </c>
      <c r="H287" s="1" t="n">
        <v>217.2490313854887</v>
      </c>
      <c r="I287" s="1" t="n">
        <v>345.376</v>
      </c>
      <c r="J287" s="1" t="n">
        <v>341.3852364098871</v>
      </c>
      <c r="K287" s="1" t="n">
        <v>374.8802946593003</v>
      </c>
      <c r="L287" s="1" t="n">
        <v>264.4740453227164</v>
      </c>
    </row>
    <row r="288">
      <c r="A288" s="2" t="n">
        <v>39752</v>
      </c>
      <c r="B288" s="1" t="n">
        <v>26042.257</v>
      </c>
      <c r="C288" s="1" t="n">
        <v>3432.15593609925</v>
      </c>
      <c r="D288" s="1" t="n">
        <v>70213.39434506341</v>
      </c>
      <c r="E288" s="1" t="n">
        <v>289.5642519699632</v>
      </c>
      <c r="F288" s="1" t="n">
        <v>8204.037602718399</v>
      </c>
      <c r="G288" s="1" t="n">
        <v>1352.627770502303</v>
      </c>
      <c r="H288" s="1" t="n">
        <v>221.8764357539996</v>
      </c>
      <c r="I288" s="1" t="n">
        <v>345.376</v>
      </c>
      <c r="J288" s="1" t="n">
        <v>348.2408553271106</v>
      </c>
      <c r="K288" s="1" t="n">
        <v>371.8600368324127</v>
      </c>
      <c r="L288" s="1" t="n">
        <v>266.3631250995741</v>
      </c>
    </row>
    <row r="289">
      <c r="A289" s="2" t="n">
        <v>39780</v>
      </c>
      <c r="B289" s="1" t="n">
        <v>24162.273</v>
      </c>
      <c r="C289" s="1" t="n">
        <v>3268.435738054353</v>
      </c>
      <c r="D289" s="1" t="n">
        <v>68298.40330644752</v>
      </c>
      <c r="E289" s="1" t="n">
        <v>246.8895471379394</v>
      </c>
      <c r="F289" s="1" t="n">
        <v>7078.2231158835</v>
      </c>
      <c r="G289" s="1" t="n">
        <v>1352.627770502303</v>
      </c>
      <c r="H289" s="1" t="n">
        <v>224.3614518344444</v>
      </c>
      <c r="I289" s="1" t="n">
        <v>345.376</v>
      </c>
      <c r="J289" s="1" t="n">
        <v>358.5491845716566</v>
      </c>
      <c r="K289" s="1" t="n">
        <v>383.1823204419891</v>
      </c>
      <c r="L289" s="1" t="n">
        <v>267.8141454807106</v>
      </c>
    </row>
    <row r="290">
      <c r="A290" s="2" t="n">
        <v>39813</v>
      </c>
      <c r="B290" s="1" t="n">
        <v>24143.19</v>
      </c>
      <c r="C290" s="1" t="n">
        <v>3085.561555038355</v>
      </c>
      <c r="D290" s="1" t="n">
        <v>66741.56129641396</v>
      </c>
      <c r="E290" s="1" t="n">
        <v>249.9439063627389</v>
      </c>
      <c r="F290" s="1" t="n">
        <v>5730.6251059712</v>
      </c>
      <c r="G290" s="1" t="n">
        <v>1338.184640822111</v>
      </c>
      <c r="H290" s="1" t="n">
        <v>225.5056952388001</v>
      </c>
      <c r="I290" s="1" t="n">
        <v>314.74</v>
      </c>
      <c r="J290" s="1" t="n">
        <v>363.0237761187326</v>
      </c>
      <c r="K290" s="1" t="n">
        <v>392.9281767955803</v>
      </c>
      <c r="L290" s="1" t="n">
        <v>268.9540861596324</v>
      </c>
    </row>
    <row r="291">
      <c r="A291" s="2" t="n">
        <v>39843</v>
      </c>
      <c r="B291" s="1" t="n">
        <v>22949.171</v>
      </c>
      <c r="C291" s="1" t="n">
        <v>3144.073758046545</v>
      </c>
      <c r="D291" s="1" t="n">
        <v>71041.4961396273</v>
      </c>
      <c r="E291" s="1" t="n">
        <v>241.2862249090813</v>
      </c>
      <c r="F291" s="1" t="n">
        <v>5721.4168744007</v>
      </c>
      <c r="G291" s="1" t="n">
        <v>1338.184640822111</v>
      </c>
      <c r="H291" s="1" t="n">
        <v>222.88982917403</v>
      </c>
      <c r="I291" s="1" t="n">
        <v>314.74</v>
      </c>
      <c r="J291" s="1" t="n">
        <v>368.130660610542</v>
      </c>
      <c r="K291" s="1" t="n">
        <v>390.5046040515655</v>
      </c>
      <c r="L291" s="1" t="n">
        <v>270.0315643355995</v>
      </c>
    </row>
    <row r="292">
      <c r="A292" s="2" t="n">
        <v>39871</v>
      </c>
      <c r="B292" s="1" t="n">
        <v>21971.129</v>
      </c>
      <c r="C292" s="1" t="n">
        <v>2851.362080513025</v>
      </c>
      <c r="D292" s="1" t="n">
        <v>68711.95218305108</v>
      </c>
      <c r="E292" s="1" t="n">
        <v>201.2599739479956</v>
      </c>
      <c r="F292" s="1" t="n">
        <v>5347.5633475666</v>
      </c>
      <c r="G292" s="1" t="n">
        <v>1338.184640822111</v>
      </c>
      <c r="H292" s="1" t="n">
        <v>229.4650791346639</v>
      </c>
      <c r="I292" s="1" t="n">
        <v>314.74</v>
      </c>
      <c r="J292" s="1" t="n">
        <v>363.6100497364814</v>
      </c>
      <c r="K292" s="1" t="n">
        <v>391.3222836095766</v>
      </c>
      <c r="L292" s="1" t="n">
        <v>270.8172768727655</v>
      </c>
    </row>
    <row r="293">
      <c r="A293" s="2" t="n">
        <v>39903</v>
      </c>
      <c r="B293" s="1" t="n">
        <v>23739.917</v>
      </c>
      <c r="C293" s="1" t="n">
        <v>2790.036905072558</v>
      </c>
      <c r="D293" s="1" t="n">
        <v>69796.36959868982</v>
      </c>
      <c r="E293" s="1" t="n">
        <v>190.8050716972613</v>
      </c>
      <c r="F293" s="1" t="n">
        <v>5138.485904882</v>
      </c>
      <c r="G293" s="1" t="n">
        <v>1339.106931580599</v>
      </c>
      <c r="H293" s="1" t="n">
        <v>235.7753688108671</v>
      </c>
      <c r="I293" s="1" t="n">
        <v>297.648</v>
      </c>
      <c r="J293" s="1" t="n">
        <v>364.0286364915193</v>
      </c>
      <c r="K293" s="1" t="n">
        <v>395.4401473296503</v>
      </c>
      <c r="L293" s="1" t="n">
        <v>271.529431593952</v>
      </c>
    </row>
    <row r="294">
      <c r="A294" s="2" t="n">
        <v>39933</v>
      </c>
      <c r="B294" s="1" t="n">
        <v>25181.156</v>
      </c>
      <c r="C294" s="1" t="n">
        <v>2913.775267571461</v>
      </c>
      <c r="D294" s="1" t="n">
        <v>74062.59636994792</v>
      </c>
      <c r="E294" s="1" t="n">
        <v>215.8552636558596</v>
      </c>
      <c r="F294" s="1" t="n">
        <v>4814.7840229734</v>
      </c>
      <c r="G294" s="1" t="n">
        <v>1339.106931580599</v>
      </c>
      <c r="H294" s="1" t="n">
        <v>232.8045991638502</v>
      </c>
      <c r="I294" s="1" t="n">
        <v>297.648</v>
      </c>
      <c r="J294" s="1" t="n">
        <v>364.041874928049</v>
      </c>
      <c r="K294" s="1" t="n">
        <v>397.9668508287295</v>
      </c>
      <c r="L294" s="1" t="n">
        <v>272.2469285028913</v>
      </c>
    </row>
    <row r="295">
      <c r="A295" s="2" t="n">
        <v>39962</v>
      </c>
      <c r="B295" s="1" t="n">
        <v>25722.615</v>
      </c>
      <c r="C295" s="1" t="n">
        <v>2828.099731205385</v>
      </c>
      <c r="D295" s="1" t="n">
        <v>76496.08663924826</v>
      </c>
      <c r="E295" s="1" t="n">
        <v>204.6052019366102</v>
      </c>
      <c r="F295" s="1" t="n">
        <v>5288.3529273326</v>
      </c>
      <c r="G295" s="1" t="n">
        <v>1339.106931580599</v>
      </c>
      <c r="H295" s="1" t="n">
        <v>228.4045922396535</v>
      </c>
      <c r="I295" s="1" t="n">
        <v>297.648</v>
      </c>
      <c r="J295" s="1" t="n">
        <v>361.4225557003651</v>
      </c>
      <c r="K295" s="1" t="n">
        <v>399.4990791896872</v>
      </c>
      <c r="L295" s="1" t="n">
        <v>272.9315504102754</v>
      </c>
    </row>
    <row r="296">
      <c r="A296" s="2" t="n">
        <v>39994</v>
      </c>
      <c r="B296" s="1" t="n">
        <v>26732.29</v>
      </c>
      <c r="C296" s="1" t="n">
        <v>2799.394547650948</v>
      </c>
      <c r="D296" s="1" t="n">
        <v>74725.25847546982</v>
      </c>
      <c r="E296" s="1" t="n">
        <v>201.8889198402712</v>
      </c>
      <c r="F296" s="1" t="n">
        <v>5265.9250228713</v>
      </c>
      <c r="G296" s="1" t="n">
        <v>1398.958093320697</v>
      </c>
      <c r="H296" s="1" t="n">
        <v>233.8406215349572</v>
      </c>
      <c r="I296" s="1" t="n">
        <v>298.66</v>
      </c>
      <c r="J296" s="1" t="n">
        <v>359.2022807737939</v>
      </c>
      <c r="K296" s="1" t="n">
        <v>404.0147329650094</v>
      </c>
      <c r="L296" s="1" t="n">
        <v>273.6617863823171</v>
      </c>
    </row>
    <row r="297">
      <c r="A297" s="2" t="n">
        <v>40025</v>
      </c>
      <c r="B297" s="1" t="n">
        <v>28777.416</v>
      </c>
      <c r="C297" s="1" t="n">
        <v>2925.013747370452</v>
      </c>
      <c r="D297" s="1" t="n">
        <v>79872.29434929621</v>
      </c>
      <c r="E297" s="1" t="n">
        <v>213.7572540648856</v>
      </c>
      <c r="F297" s="1" t="n">
        <v>5143.620986972101</v>
      </c>
      <c r="G297" s="1" t="n">
        <v>1398.958093320697</v>
      </c>
      <c r="H297" s="1" t="n">
        <v>229.7951787824025</v>
      </c>
      <c r="I297" s="1" t="n">
        <v>298.66</v>
      </c>
      <c r="J297" s="1" t="n">
        <v>360.3288086823068</v>
      </c>
      <c r="K297" s="1" t="n">
        <v>410.2615101289137</v>
      </c>
      <c r="L297" s="1" t="n">
        <v>274.3870911041257</v>
      </c>
    </row>
    <row r="298">
      <c r="A298" s="2" t="n">
        <v>40056</v>
      </c>
      <c r="B298" s="1" t="n">
        <v>30640.157</v>
      </c>
      <c r="C298" s="1" t="n">
        <v>2993.067574371107</v>
      </c>
      <c r="D298" s="1" t="n">
        <v>78823.17732033391</v>
      </c>
      <c r="E298" s="1" t="n">
        <v>237.7971688758217</v>
      </c>
      <c r="F298" s="1" t="n">
        <v>4952.2580136693</v>
      </c>
      <c r="G298" s="1" t="n">
        <v>1398.958093320697</v>
      </c>
      <c r="H298" s="1" t="n">
        <v>233.2650859820167</v>
      </c>
      <c r="I298" s="1" t="n">
        <v>298.66</v>
      </c>
      <c r="J298" s="1" t="n">
        <v>362.9109342073595</v>
      </c>
      <c r="K298" s="1" t="n">
        <v>415.447513812155</v>
      </c>
      <c r="L298" s="1" t="n">
        <v>275.0815755119764</v>
      </c>
    </row>
    <row r="299">
      <c r="A299" s="2" t="n">
        <v>40086</v>
      </c>
      <c r="B299" s="1" t="n">
        <v>32492.984</v>
      </c>
      <c r="C299" s="1" t="n">
        <v>2947.982945107826</v>
      </c>
      <c r="D299" s="1" t="n">
        <v>80050.2688829469</v>
      </c>
      <c r="E299" s="1" t="n">
        <v>239.7092371358689</v>
      </c>
      <c r="F299" s="1" t="n">
        <v>4738.7782101618</v>
      </c>
      <c r="G299" s="1" t="n">
        <v>1462.268933813677</v>
      </c>
      <c r="H299" s="1" t="n">
        <v>237.3938780038984</v>
      </c>
      <c r="I299" s="1" t="n">
        <v>319.688</v>
      </c>
      <c r="J299" s="1" t="n">
        <v>365.5365574524387</v>
      </c>
      <c r="K299" s="1" t="n">
        <v>419.8158379373851</v>
      </c>
      <c r="L299" s="1" t="n">
        <v>275.8598911737924</v>
      </c>
    </row>
    <row r="300">
      <c r="A300" s="2" t="n">
        <v>40116</v>
      </c>
      <c r="B300" s="1" t="n">
        <v>31878.886</v>
      </c>
      <c r="C300" s="1" t="n">
        <v>2815.287396835082</v>
      </c>
      <c r="D300" s="1" t="n">
        <v>77885.79362381753</v>
      </c>
      <c r="E300" s="1" t="n">
        <v>225.4737301205901</v>
      </c>
      <c r="F300" s="1" t="n">
        <v>4900.198877225999</v>
      </c>
      <c r="G300" s="1" t="n">
        <v>1462.268933813677</v>
      </c>
      <c r="H300" s="1" t="n">
        <v>235.7795996334719</v>
      </c>
      <c r="I300" s="1" t="n">
        <v>319.688</v>
      </c>
      <c r="J300" s="1" t="n">
        <v>365.2604414905312</v>
      </c>
      <c r="K300" s="1" t="n">
        <v>421.7384898710868</v>
      </c>
      <c r="L300" s="1" t="n">
        <v>276.565470894668</v>
      </c>
    </row>
    <row r="301">
      <c r="A301" s="2" t="n">
        <v>40147</v>
      </c>
      <c r="B301" s="1" t="n">
        <v>32498.722</v>
      </c>
      <c r="C301" s="1" t="n">
        <v>2866.489077660812</v>
      </c>
      <c r="D301" s="1" t="n">
        <v>79412.76692017273</v>
      </c>
      <c r="E301" s="1" t="n">
        <v>228.4967761604638</v>
      </c>
      <c r="F301" s="1" t="n">
        <v>4911.0340891645</v>
      </c>
      <c r="G301" s="1" t="n">
        <v>1462.268933813677</v>
      </c>
      <c r="H301" s="1" t="n">
        <v>231.912814199483</v>
      </c>
      <c r="I301" s="1" t="n">
        <v>319.688</v>
      </c>
      <c r="J301" s="1" t="n">
        <v>370.7329589912592</v>
      </c>
      <c r="K301" s="1" t="n">
        <v>427.1307550644569</v>
      </c>
      <c r="L301" s="1" t="n">
        <v>277.4050162468803</v>
      </c>
    </row>
    <row r="302">
      <c r="A302" s="2" t="n">
        <v>40178</v>
      </c>
      <c r="B302" s="1" t="n">
        <v>33698.602</v>
      </c>
      <c r="C302" s="1" t="n">
        <v>3026.187373493841</v>
      </c>
      <c r="D302" s="1" t="n">
        <v>84212.13230119876</v>
      </c>
      <c r="E302" s="1" t="n">
        <v>246.456270580713</v>
      </c>
      <c r="F302" s="1" t="n">
        <v>5041.6068962998</v>
      </c>
      <c r="G302" s="1" t="n">
        <v>1547.789059974384</v>
      </c>
      <c r="H302" s="1" t="n">
        <v>230.0111291230472</v>
      </c>
      <c r="I302" s="1" t="n">
        <v>338.228</v>
      </c>
      <c r="J302" s="1" t="n">
        <v>369.3195982912671</v>
      </c>
      <c r="K302" s="1" t="n">
        <v>424.486187845304</v>
      </c>
      <c r="L302" s="1" t="n">
        <v>278.3000381642169</v>
      </c>
    </row>
    <row r="303">
      <c r="A303" s="2" t="n">
        <v>40207</v>
      </c>
      <c r="B303" s="1" t="n">
        <v>31727.3515121151</v>
      </c>
      <c r="C303" s="1" t="n">
        <v>2951.764398101033</v>
      </c>
      <c r="D303" s="1" t="n">
        <v>81476.89850416</v>
      </c>
      <c r="E303" s="1" t="n">
        <v>239.7531556646292</v>
      </c>
      <c r="F303" s="1" t="n">
        <v>4698.4574702208</v>
      </c>
      <c r="G303" s="1" t="n">
        <v>1547.789059974384</v>
      </c>
      <c r="H303" s="1" t="n">
        <v>219.6376271995978</v>
      </c>
      <c r="I303" s="1" t="n">
        <v>338.228</v>
      </c>
      <c r="J303" s="1" t="n">
        <v>374.2934680160389</v>
      </c>
      <c r="K303" s="1" t="n">
        <v>430.217311233886</v>
      </c>
      <c r="L303" s="1" t="n">
        <v>279.2653303973774</v>
      </c>
    </row>
    <row r="304">
      <c r="A304" s="2" t="n">
        <v>40235</v>
      </c>
      <c r="B304" s="1" t="n">
        <v>32304.4493637357</v>
      </c>
      <c r="C304" s="1" t="n">
        <v>2988.019582650511</v>
      </c>
      <c r="D304" s="1" t="n">
        <v>80752.24327982686</v>
      </c>
      <c r="E304" s="1" t="n">
        <v>245.4504090675946</v>
      </c>
      <c r="F304" s="1" t="n">
        <v>4922.7873400776</v>
      </c>
      <c r="G304" s="1" t="n">
        <v>1547.789059974384</v>
      </c>
      <c r="H304" s="1" t="n">
        <v>209.6660789247361</v>
      </c>
      <c r="I304" s="1" t="n">
        <v>338.228</v>
      </c>
      <c r="J304" s="1" t="n">
        <v>376.15000113891</v>
      </c>
      <c r="K304" s="1" t="n">
        <v>433.510128913444</v>
      </c>
      <c r="L304" s="1" t="n">
        <v>280.2293898179796</v>
      </c>
    </row>
    <row r="305">
      <c r="A305" s="2" t="n">
        <v>40268</v>
      </c>
      <c r="B305" s="1" t="n">
        <v>34188.092152247</v>
      </c>
      <c r="C305" s="1" t="n">
        <v>3107.042150352912</v>
      </c>
      <c r="D305" s="1" t="n">
        <v>83698.24162615788</v>
      </c>
      <c r="E305" s="1" t="n">
        <v>256.1419031930453</v>
      </c>
      <c r="F305" s="1" t="n">
        <v>4895.8710454225</v>
      </c>
      <c r="G305" s="1" t="n">
        <v>1600.946691605908</v>
      </c>
      <c r="H305" s="1" t="n">
        <v>207.2129858013166</v>
      </c>
      <c r="I305" s="1" t="n">
        <v>344.148</v>
      </c>
      <c r="J305" s="1" t="n">
        <v>373.9562030853984</v>
      </c>
      <c r="K305" s="1" t="n">
        <v>435.9263351749543</v>
      </c>
      <c r="L305" s="1" t="n">
        <v>281.1453695488075</v>
      </c>
    </row>
    <row r="306">
      <c r="A306" s="2" t="n">
        <v>40298</v>
      </c>
      <c r="B306" s="1" t="n">
        <v>33785.4452507511</v>
      </c>
      <c r="C306" s="1" t="n">
        <v>3073.046234143593</v>
      </c>
      <c r="D306" s="1" t="n">
        <v>82630.57392691197</v>
      </c>
      <c r="E306" s="1" t="n">
        <v>263.5010939690961</v>
      </c>
      <c r="F306" s="1" t="n">
        <v>4961.4586875006</v>
      </c>
      <c r="G306" s="1" t="n">
        <v>1600.946691605908</v>
      </c>
      <c r="H306" s="1" t="n">
        <v>207.9175099530411</v>
      </c>
      <c r="I306" s="1" t="n">
        <v>344.148</v>
      </c>
      <c r="J306" s="1" t="n">
        <v>376.0163559701328</v>
      </c>
      <c r="K306" s="1" t="n">
        <v>439.7642725598529</v>
      </c>
      <c r="L306" s="1" t="n">
        <v>282.1188805323567</v>
      </c>
    </row>
    <row r="307">
      <c r="A307" s="2" t="n">
        <v>40329</v>
      </c>
      <c r="B307" s="1" t="n">
        <v>31228.6145937287</v>
      </c>
      <c r="C307" s="1" t="n">
        <v>3155.455937851193</v>
      </c>
      <c r="D307" s="1" t="n">
        <v>86962.35066540973</v>
      </c>
      <c r="E307" s="1" t="n">
        <v>276.2209975759919</v>
      </c>
      <c r="F307" s="1" t="n">
        <v>4780.0263394488</v>
      </c>
      <c r="G307" s="1" t="n">
        <v>1600.946691605908</v>
      </c>
      <c r="H307" s="1" t="n">
        <v>206.1086276164497</v>
      </c>
      <c r="I307" s="1" t="n">
        <v>344.148</v>
      </c>
      <c r="J307" s="1" t="n">
        <v>382.2031186417311</v>
      </c>
      <c r="K307" s="1" t="n">
        <v>444.972375690608</v>
      </c>
      <c r="L307" s="1" t="n">
        <v>283.1778665199491</v>
      </c>
    </row>
    <row r="308">
      <c r="A308" s="2" t="n">
        <v>40359</v>
      </c>
      <c r="B308" s="1" t="n">
        <v>30415.1556171249</v>
      </c>
      <c r="C308" s="1" t="n">
        <v>3003.987261758005</v>
      </c>
      <c r="D308" s="1" t="n">
        <v>85924.11326486245</v>
      </c>
      <c r="E308" s="1" t="n">
        <v>265.7195569966352</v>
      </c>
      <c r="F308" s="1" t="n">
        <v>4766.4392138979</v>
      </c>
      <c r="G308" s="1" t="n">
        <v>1637.141412802858</v>
      </c>
      <c r="H308" s="1" t="n">
        <v>209.7567503252608</v>
      </c>
      <c r="I308" s="1" t="n">
        <v>351.616</v>
      </c>
      <c r="J308" s="1" t="n">
        <v>387.4203234379556</v>
      </c>
      <c r="K308" s="1" t="n">
        <v>446.7476979742176</v>
      </c>
      <c r="L308" s="1" t="n">
        <v>284.2964384478601</v>
      </c>
    </row>
    <row r="309">
      <c r="A309" s="2" t="n">
        <v>40389</v>
      </c>
      <c r="B309" s="1" t="n">
        <v>31701.6079986166</v>
      </c>
      <c r="C309" s="1" t="n">
        <v>2964.445086818779</v>
      </c>
      <c r="D309" s="1" t="n">
        <v>85171.50187224981</v>
      </c>
      <c r="E309" s="1" t="n">
        <v>267.5953902400181</v>
      </c>
      <c r="F309" s="1" t="n">
        <v>4697.753026075199</v>
      </c>
      <c r="G309" s="1" t="n">
        <v>1637.141412802858</v>
      </c>
      <c r="H309" s="1" t="n">
        <v>217.4967744122629</v>
      </c>
      <c r="I309" s="1" t="n">
        <v>351.616</v>
      </c>
      <c r="J309" s="1" t="n">
        <v>388.4768767533824</v>
      </c>
      <c r="K309" s="1" t="n">
        <v>455.6758747697978</v>
      </c>
      <c r="L309" s="1" t="n">
        <v>285.4963760046198</v>
      </c>
    </row>
    <row r="310">
      <c r="A310" s="2" t="n">
        <v>40421</v>
      </c>
      <c r="B310" s="1" t="n">
        <v>31475.9510909199</v>
      </c>
      <c r="C310" s="1" t="n">
        <v>2914.877200990008</v>
      </c>
      <c r="D310" s="1" t="n">
        <v>85430.88248704733</v>
      </c>
      <c r="E310" s="1" t="n">
        <v>272.0311063125202</v>
      </c>
      <c r="F310" s="1" t="n">
        <v>4514.0071352208</v>
      </c>
      <c r="G310" s="1" t="n">
        <v>1637.141412802858</v>
      </c>
      <c r="H310" s="1" t="n">
        <v>228.5021111975234</v>
      </c>
      <c r="I310" s="1" t="n">
        <v>351.616</v>
      </c>
      <c r="J310" s="1" t="n">
        <v>395.9383117422796</v>
      </c>
      <c r="K310" s="1" t="n">
        <v>465.1712707182323</v>
      </c>
      <c r="L310" s="1" t="n">
        <v>286.6556307469552</v>
      </c>
    </row>
    <row r="311">
      <c r="A311" s="2" t="n">
        <v>40451</v>
      </c>
      <c r="B311" s="1" t="n">
        <v>33055.9265264316</v>
      </c>
      <c r="C311" s="1" t="n">
        <v>2866.720104966069</v>
      </c>
      <c r="D311" s="1" t="n">
        <v>84608.3522628541</v>
      </c>
      <c r="E311" s="1" t="n">
        <v>260.878434664485</v>
      </c>
      <c r="F311" s="1" t="n">
        <v>4501.6482561831</v>
      </c>
      <c r="G311" s="1" t="n">
        <v>1621.587155344038</v>
      </c>
      <c r="H311" s="1" t="n">
        <v>229.644621753511</v>
      </c>
      <c r="I311" s="1" t="n">
        <v>369.056</v>
      </c>
      <c r="J311" s="1" t="n">
        <v>392.3651946827097</v>
      </c>
      <c r="K311" s="1" t="n">
        <v>466.0920810313078</v>
      </c>
      <c r="L311" s="1" t="n">
        <v>287.7203698598198</v>
      </c>
    </row>
    <row r="312">
      <c r="A312" s="2" t="n">
        <v>40480</v>
      </c>
      <c r="B312" s="1" t="n">
        <v>33773.5188877396</v>
      </c>
      <c r="C312" s="1" t="n">
        <v>2913.0839647176</v>
      </c>
      <c r="D312" s="1" t="n">
        <v>85516.7168352778</v>
      </c>
      <c r="E312" s="1" t="n">
        <v>267.2166004220578</v>
      </c>
      <c r="F312" s="1" t="n">
        <v>4560.4613128</v>
      </c>
      <c r="G312" s="1" t="n">
        <v>1621.587155344038</v>
      </c>
      <c r="H312" s="1" t="n">
        <v>235.4775951460502</v>
      </c>
      <c r="I312" s="1" t="n">
        <v>369.056</v>
      </c>
      <c r="J312" s="1" t="n">
        <v>392.3670858879282</v>
      </c>
      <c r="K312" s="1" t="n">
        <v>467.4401473296503</v>
      </c>
      <c r="L312" s="1" t="n">
        <v>288.9289371044877</v>
      </c>
    </row>
    <row r="313">
      <c r="A313" s="2" t="n">
        <v>40512</v>
      </c>
      <c r="B313" s="1" t="n">
        <v>33538.0846142773</v>
      </c>
      <c r="C313" s="1" t="n">
        <v>2968.95445474233</v>
      </c>
      <c r="D313" s="1" t="n">
        <v>86472.2184500506</v>
      </c>
      <c r="E313" s="1" t="n">
        <v>266.5000055369064</v>
      </c>
      <c r="F313" s="1" t="n">
        <v>4711.487392571999</v>
      </c>
      <c r="G313" s="1" t="n">
        <v>1621.587155344038</v>
      </c>
      <c r="H313" s="1" t="n">
        <v>239.0568545922702</v>
      </c>
      <c r="I313" s="1" t="n">
        <v>369.056</v>
      </c>
      <c r="J313" s="1" t="n">
        <v>391.5046963082719</v>
      </c>
      <c r="K313" s="1" t="n">
        <v>463.9558011049726</v>
      </c>
      <c r="L313" s="1" t="n">
        <v>290.0520293451125</v>
      </c>
    </row>
    <row r="314">
      <c r="A314" s="2" t="n">
        <v>40543</v>
      </c>
      <c r="B314" s="1" t="n">
        <v>34812.7629302823</v>
      </c>
      <c r="C314" s="1" t="n">
        <v>2935.793679576924</v>
      </c>
      <c r="D314" s="1" t="n">
        <v>84527.83105916361</v>
      </c>
      <c r="E314" s="1" t="n">
        <v>261.4673920516176</v>
      </c>
      <c r="F314" s="1" t="n">
        <v>4822.60763961424</v>
      </c>
      <c r="G314" s="1" t="n">
        <v>1635.925645925648</v>
      </c>
      <c r="H314" s="1" t="n">
        <v>245.4157669244246</v>
      </c>
      <c r="I314" s="1" t="n">
        <v>364.812</v>
      </c>
      <c r="J314" s="1" t="n">
        <v>391.6087125952918</v>
      </c>
      <c r="K314" s="1" t="n">
        <v>463.8674033149175</v>
      </c>
      <c r="L314" s="1" t="n">
        <v>291.2823762783107</v>
      </c>
    </row>
    <row r="315">
      <c r="A315" s="2" t="n">
        <v>40574</v>
      </c>
      <c r="B315" s="1" t="n">
        <v>34836.1071775496</v>
      </c>
      <c r="C315" s="1" t="n">
        <v>3077.614252829802</v>
      </c>
      <c r="D315" s="1" t="n">
        <v>85080.6591984026</v>
      </c>
      <c r="E315" s="1" t="n">
        <v>274.211584581917</v>
      </c>
      <c r="F315" s="1" t="n">
        <v>5109.6041829025</v>
      </c>
      <c r="G315" s="1" t="n">
        <v>1635.925645925648</v>
      </c>
      <c r="H315" s="1" t="n">
        <v>245.3666837710397</v>
      </c>
      <c r="I315" s="1" t="n">
        <v>364.812</v>
      </c>
      <c r="J315" s="1" t="n">
        <v>395.2120889383584</v>
      </c>
      <c r="K315" s="1" t="n">
        <v>464.2651933701661</v>
      </c>
      <c r="L315" s="1" t="n">
        <v>292.5299825873252</v>
      </c>
    </row>
    <row r="316">
      <c r="A316" s="2" t="n">
        <v>40602</v>
      </c>
      <c r="B316" s="1" t="n">
        <v>35600.1826895153</v>
      </c>
      <c r="C316" s="1" t="n">
        <v>3102.64352173048</v>
      </c>
      <c r="D316" s="1" t="n">
        <v>82148.2463272881</v>
      </c>
      <c r="E316" s="1" t="n">
        <v>278.8937651324056</v>
      </c>
      <c r="F316" s="1" t="n">
        <v>5190.10392779372</v>
      </c>
      <c r="G316" s="1" t="n">
        <v>1635.925645925648</v>
      </c>
      <c r="H316" s="1" t="n">
        <v>249.7342107421642</v>
      </c>
      <c r="I316" s="1" t="n">
        <v>364.812</v>
      </c>
      <c r="J316" s="1" t="n">
        <v>396.8883271637283</v>
      </c>
      <c r="K316" s="1" t="n">
        <v>466.7329650092084</v>
      </c>
      <c r="L316" s="1" t="n">
        <v>293.6152685761617</v>
      </c>
    </row>
    <row r="317">
      <c r="A317" s="2" t="n">
        <v>40633</v>
      </c>
      <c r="B317" s="1" t="n">
        <v>35829.6091859222</v>
      </c>
      <c r="C317" s="1" t="n">
        <v>3017.554963953606</v>
      </c>
      <c r="D317" s="1" t="n">
        <v>84373.45380712977</v>
      </c>
      <c r="E317" s="1" t="n">
        <v>271.7676229662333</v>
      </c>
      <c r="F317" s="1" t="n">
        <v>5332.940034162</v>
      </c>
      <c r="G317" s="1" t="n">
        <v>1626.579156343084</v>
      </c>
      <c r="H317" s="1" t="n">
        <v>248.5354865306018</v>
      </c>
      <c r="I317" s="1" t="n">
        <v>370.248</v>
      </c>
      <c r="J317" s="1" t="n">
        <v>399.5984242419024</v>
      </c>
      <c r="K317" s="1" t="n">
        <v>468.3020257826892</v>
      </c>
      <c r="L317" s="1" t="n">
        <v>294.8452045718404</v>
      </c>
    </row>
    <row r="318">
      <c r="A318" s="2" t="n">
        <v>40662</v>
      </c>
      <c r="B318" s="1" t="n">
        <v>35623.3660810106</v>
      </c>
      <c r="C318" s="1" t="n">
        <v>2917.994839047828</v>
      </c>
      <c r="D318" s="1" t="n">
        <v>80390.76786894994</v>
      </c>
      <c r="E318" s="1" t="n">
        <v>267.646190399596</v>
      </c>
      <c r="F318" s="1" t="n">
        <v>5261.90799197836</v>
      </c>
      <c r="G318" s="1" t="n">
        <v>1626.579156343084</v>
      </c>
      <c r="H318" s="1" t="n">
        <v>250.5486239714997</v>
      </c>
      <c r="I318" s="1" t="n">
        <v>370.248</v>
      </c>
      <c r="J318" s="1" t="n">
        <v>401.5123239230694</v>
      </c>
      <c r="K318" s="1" t="n">
        <v>474.1068139963171</v>
      </c>
      <c r="L318" s="1" t="n">
        <v>296.0324030654976</v>
      </c>
    </row>
    <row r="319">
      <c r="A319" s="2" t="n">
        <v>40694</v>
      </c>
      <c r="B319" s="1" t="n">
        <v>34951.8214911829</v>
      </c>
      <c r="C319" s="1" t="n">
        <v>2961.79035189284</v>
      </c>
      <c r="D319" s="1" t="n">
        <v>81281.74959388647</v>
      </c>
      <c r="E319" s="1" t="n">
        <v>278.8601428801012</v>
      </c>
      <c r="F319" s="1" t="n">
        <v>5031.86891364168</v>
      </c>
      <c r="G319" s="1" t="n">
        <v>1626.579156343084</v>
      </c>
      <c r="H319" s="1" t="n">
        <v>256.4615714972271</v>
      </c>
      <c r="I319" s="1" t="n">
        <v>370.248</v>
      </c>
      <c r="J319" s="1" t="n">
        <v>406.6677493488214</v>
      </c>
      <c r="K319" s="1" t="n">
        <v>480.6703499079193</v>
      </c>
      <c r="L319" s="1" t="n">
        <v>297.2652156238124</v>
      </c>
    </row>
    <row r="320">
      <c r="A320" s="2" t="n">
        <v>40724</v>
      </c>
      <c r="B320" s="1" t="n">
        <v>34117.5238092328</v>
      </c>
      <c r="C320" s="1" t="n">
        <v>2902.228722896529</v>
      </c>
      <c r="D320" s="1" t="n">
        <v>79400.58147384919</v>
      </c>
      <c r="E320" s="1" t="n">
        <v>271.2352717979363</v>
      </c>
      <c r="F320" s="1" t="n">
        <v>4742.4333687693</v>
      </c>
      <c r="G320" s="1" t="n">
        <v>1620.339986938652</v>
      </c>
      <c r="H320" s="1" t="n">
        <v>259.4621718837447</v>
      </c>
      <c r="I320" s="1" t="n">
        <v>381.54</v>
      </c>
      <c r="J320" s="1" t="n">
        <v>408.9100883362756</v>
      </c>
      <c r="K320" s="1" t="n">
        <v>481.7458563535914</v>
      </c>
      <c r="L320" s="1" t="n">
        <v>298.4667969306499</v>
      </c>
    </row>
    <row r="321">
      <c r="A321" s="2" t="n">
        <v>40753</v>
      </c>
      <c r="B321" s="1" t="n">
        <v>32957.3297703227</v>
      </c>
      <c r="C321" s="1" t="n">
        <v>2752.298182967068</v>
      </c>
      <c r="D321" s="1" t="n">
        <v>76698.31018704364</v>
      </c>
      <c r="E321" s="1" t="n">
        <v>263.3946401829531</v>
      </c>
      <c r="F321" s="1" t="n">
        <v>4734.738906613799</v>
      </c>
      <c r="G321" s="1" t="n">
        <v>1620.339986938652</v>
      </c>
      <c r="H321" s="1" t="n">
        <v>253.3388646272883</v>
      </c>
      <c r="I321" s="1" t="n">
        <v>381.54</v>
      </c>
      <c r="J321" s="1" t="n">
        <v>415.7537296204483</v>
      </c>
      <c r="K321" s="1" t="n">
        <v>488.9429097605895</v>
      </c>
      <c r="L321" s="1" t="n">
        <v>299.7148141771839</v>
      </c>
    </row>
    <row r="322">
      <c r="A322" s="2" t="n">
        <v>40786</v>
      </c>
      <c r="B322" s="1" t="n">
        <v>32296.6157422843</v>
      </c>
      <c r="C322" s="1" t="n">
        <v>2633.166250788269</v>
      </c>
      <c r="D322" s="1" t="n">
        <v>72931.42495791036</v>
      </c>
      <c r="E322" s="1" t="n">
        <v>257.6363526118785</v>
      </c>
      <c r="F322" s="1" t="n">
        <v>4766.7378994752</v>
      </c>
      <c r="G322" s="1" t="n">
        <v>1620.339986938652</v>
      </c>
      <c r="H322" s="1" t="n">
        <v>252.3001752823164</v>
      </c>
      <c r="I322" s="1" t="n">
        <v>381.54</v>
      </c>
      <c r="J322" s="1" t="n">
        <v>424.0321652637567</v>
      </c>
      <c r="K322" s="1" t="n">
        <v>497.1565377532229</v>
      </c>
      <c r="L322" s="1" t="n">
        <v>300.9924189251175</v>
      </c>
    </row>
    <row r="323">
      <c r="A323" s="2" t="n">
        <v>40816</v>
      </c>
      <c r="B323" s="1" t="n">
        <v>30270.107149456</v>
      </c>
      <c r="C323" s="1" t="n">
        <v>2726.830680240816</v>
      </c>
      <c r="D323" s="1" t="n">
        <v>74415.48987328881</v>
      </c>
      <c r="E323" s="1" t="n">
        <v>257.9236469664394</v>
      </c>
      <c r="F323" s="1" t="n">
        <v>4613.364366339601</v>
      </c>
      <c r="G323" s="1" t="n">
        <v>1596.52068652515</v>
      </c>
      <c r="H323" s="1" t="n">
        <v>256.2612880342488</v>
      </c>
      <c r="I323" s="1" t="n">
        <v>383.56</v>
      </c>
      <c r="J323" s="1" t="n">
        <v>427.8492477965189</v>
      </c>
      <c r="K323" s="1" t="n">
        <v>502.3793738489873</v>
      </c>
      <c r="L323" s="1" t="n">
        <v>302.1566049176861</v>
      </c>
    </row>
    <row r="324">
      <c r="A324" s="2" t="n">
        <v>40847</v>
      </c>
      <c r="B324" s="1" t="n">
        <v>32440.8001228951</v>
      </c>
      <c r="C324" s="1" t="n">
        <v>2712.193522851417</v>
      </c>
      <c r="D324" s="1" t="n">
        <v>74351.51787591229</v>
      </c>
      <c r="E324" s="1" t="n">
        <v>259.7583596924582</v>
      </c>
      <c r="F324" s="1" t="n">
        <v>4638.033902183</v>
      </c>
      <c r="G324" s="1" t="n">
        <v>1596.52068652515</v>
      </c>
      <c r="H324" s="1" t="n">
        <v>257.2863331863858</v>
      </c>
      <c r="I324" s="1" t="n">
        <v>383.56</v>
      </c>
      <c r="J324" s="1" t="n">
        <v>425.4039194489409</v>
      </c>
      <c r="K324" s="1" t="n">
        <v>504.09576427256</v>
      </c>
      <c r="L324" s="1" t="n">
        <v>303.4259909152309</v>
      </c>
    </row>
    <row r="325">
      <c r="A325" s="2" t="n">
        <v>40877</v>
      </c>
      <c r="B325" s="1" t="n">
        <v>31326.6770612512</v>
      </c>
      <c r="C325" s="1" t="n">
        <v>2766.735578606657</v>
      </c>
      <c r="D325" s="1" t="n">
        <v>73833.48805116679</v>
      </c>
      <c r="E325" s="1" t="n">
        <v>260.2817873905245</v>
      </c>
      <c r="F325" s="1" t="n">
        <v>4857.8088976885</v>
      </c>
      <c r="G325" s="1" t="n">
        <v>1596.52068652515</v>
      </c>
      <c r="H325" s="1" t="n">
        <v>265.4165813150756</v>
      </c>
      <c r="I325" s="1" t="n">
        <v>383.56</v>
      </c>
      <c r="J325" s="1" t="n">
        <v>432.7770981943061</v>
      </c>
      <c r="K325" s="1" t="n">
        <v>503.0865561694292</v>
      </c>
      <c r="L325" s="1" t="n">
        <v>304.616887846563</v>
      </c>
    </row>
    <row r="326">
      <c r="A326" s="2" t="n">
        <v>40907</v>
      </c>
      <c r="B326" s="1" t="n">
        <v>30833.3692464874</v>
      </c>
      <c r="C326" s="1" t="n">
        <v>2789.724631287551</v>
      </c>
      <c r="D326" s="1" t="n">
        <v>73978.63396680553</v>
      </c>
      <c r="E326" s="1" t="n">
        <v>266.6868705386267</v>
      </c>
      <c r="F326" s="1" t="n">
        <v>4765.173476366401</v>
      </c>
      <c r="G326" s="1" t="n">
        <v>1588.524166103406</v>
      </c>
      <c r="H326" s="1" t="n">
        <v>271.1761211296128</v>
      </c>
      <c r="I326" s="1" t="n">
        <v>392.844</v>
      </c>
      <c r="J326" s="1" t="n">
        <v>436.1497475007103</v>
      </c>
      <c r="K326" s="1" t="n">
        <v>512.6335174953961</v>
      </c>
      <c r="L326" s="1" t="n">
        <v>305.8447691546446</v>
      </c>
    </row>
    <row r="327">
      <c r="A327" s="2" t="n">
        <v>40939</v>
      </c>
      <c r="B327" s="1" t="n">
        <v>32444.7806863919</v>
      </c>
      <c r="C327" s="1" t="n">
        <v>2808.382272181449</v>
      </c>
      <c r="D327" s="1" t="n">
        <v>76670.75132393057</v>
      </c>
      <c r="E327" s="1" t="n">
        <v>271.7680224055828</v>
      </c>
      <c r="F327" s="1" t="n">
        <v>4699.418342957279</v>
      </c>
      <c r="G327" s="1" t="n">
        <v>1588.524166103406</v>
      </c>
      <c r="H327" s="1" t="n">
        <v>271.9354142687757</v>
      </c>
      <c r="I327" s="1" t="n">
        <v>392.844</v>
      </c>
      <c r="J327" s="1" t="n">
        <v>436.7423251358542</v>
      </c>
      <c r="K327" s="1" t="n">
        <v>519.4696132596687</v>
      </c>
      <c r="L327" s="1" t="n">
        <v>307.0356660859766</v>
      </c>
    </row>
    <row r="328">
      <c r="A328" s="2" t="n">
        <v>40968</v>
      </c>
      <c r="B328" s="1" t="n">
        <v>33227.2436992674</v>
      </c>
      <c r="C328" s="1" t="n">
        <v>2894.54482134097</v>
      </c>
      <c r="D328" s="1" t="n">
        <v>78845.99864911602</v>
      </c>
      <c r="E328" s="1" t="n">
        <v>269.245581528561</v>
      </c>
      <c r="F328" s="1" t="n">
        <v>4902.71175812645</v>
      </c>
      <c r="G328" s="1" t="n">
        <v>1588.524166103406</v>
      </c>
      <c r="H328" s="1" t="n">
        <v>272.9143817601433</v>
      </c>
      <c r="I328" s="1" t="n">
        <v>392.844</v>
      </c>
      <c r="J328" s="1" t="n">
        <v>435.816264980507</v>
      </c>
      <c r="K328" s="1" t="n">
        <v>523.0202578268878</v>
      </c>
      <c r="L328" s="1" t="n">
        <v>308.0564348842613</v>
      </c>
    </row>
    <row r="329">
      <c r="A329" s="2" t="n">
        <v>40998</v>
      </c>
      <c r="B329" s="1" t="n">
        <v>33608.2118376398</v>
      </c>
      <c r="C329" s="1" t="n">
        <v>3073.76685760661</v>
      </c>
      <c r="D329" s="1" t="n">
        <v>81076.44744924795</v>
      </c>
      <c r="E329" s="1" t="n">
        <v>292.0741395846474</v>
      </c>
      <c r="F329" s="1" t="n">
        <v>4993.1360123664</v>
      </c>
      <c r="G329" s="1" t="n">
        <v>1602.907376501911</v>
      </c>
      <c r="H329" s="1" t="n">
        <v>276.0528971503849</v>
      </c>
      <c r="I329" s="1" t="n">
        <v>399.012</v>
      </c>
      <c r="J329" s="1" t="n">
        <v>439.5709377410572</v>
      </c>
      <c r="K329" s="1" t="n">
        <v>524.0515653775324</v>
      </c>
      <c r="L329" s="1" t="n">
        <v>309.2592490036571</v>
      </c>
    </row>
    <row r="330">
      <c r="A330" s="2" t="n">
        <v>41029</v>
      </c>
      <c r="B330" s="1" t="n">
        <v>33978.7864836506</v>
      </c>
      <c r="C330" s="1" t="n">
        <v>3013.950550525565</v>
      </c>
      <c r="D330" s="1" t="n">
        <v>80241.40611155395</v>
      </c>
      <c r="E330" s="1" t="n">
        <v>297.6404265180083</v>
      </c>
      <c r="F330" s="1" t="n">
        <v>4943.17186643163</v>
      </c>
      <c r="G330" s="1" t="n">
        <v>1602.907376501911</v>
      </c>
      <c r="H330" s="1" t="n">
        <v>276.9362664212662</v>
      </c>
      <c r="I330" s="1" t="n">
        <v>399.012</v>
      </c>
      <c r="J330" s="1" t="n">
        <v>446.5772226740247</v>
      </c>
      <c r="K330" s="1" t="n">
        <v>529.082872928177</v>
      </c>
      <c r="L330" s="1" t="n">
        <v>310.4291881214979</v>
      </c>
    </row>
    <row r="331">
      <c r="A331" s="2" t="n">
        <v>41060</v>
      </c>
      <c r="B331" s="1" t="n">
        <v>31634.4980321113</v>
      </c>
      <c r="C331" s="1" t="n">
        <v>3019.199605496676</v>
      </c>
      <c r="D331" s="1" t="n">
        <v>80389.04538537217</v>
      </c>
      <c r="E331" s="1" t="n">
        <v>308.1127552233305</v>
      </c>
      <c r="F331" s="1" t="n">
        <v>4616.970043629999</v>
      </c>
      <c r="G331" s="1" t="n">
        <v>1602.907376501911</v>
      </c>
      <c r="H331" s="1" t="n">
        <v>281.062616790943</v>
      </c>
      <c r="I331" s="1" t="n">
        <v>399.012</v>
      </c>
      <c r="J331" s="1" t="n">
        <v>460.4057152320214</v>
      </c>
      <c r="K331" s="1" t="n">
        <v>536.8103130755067</v>
      </c>
      <c r="L331" s="1" t="n">
        <v>311.6118663024412</v>
      </c>
    </row>
    <row r="332">
      <c r="A332" s="2" t="n">
        <v>41089</v>
      </c>
      <c r="B332" s="1" t="n">
        <v>31714.2744139803</v>
      </c>
      <c r="C332" s="1" t="n">
        <v>2980.686805411593</v>
      </c>
      <c r="D332" s="1" t="n">
        <v>77732.70188885047</v>
      </c>
      <c r="E332" s="1" t="n">
        <v>306.7288120121571</v>
      </c>
      <c r="F332" s="1" t="n">
        <v>4421.2769759848</v>
      </c>
      <c r="G332" s="1" t="n">
        <v>1614.147363830028</v>
      </c>
      <c r="H332" s="1" t="n">
        <v>278.8422221182946</v>
      </c>
      <c r="I332" s="1" t="n">
        <v>398.172</v>
      </c>
      <c r="J332" s="1" t="n">
        <v>459.6555371619988</v>
      </c>
      <c r="K332" s="1" t="n">
        <v>537.5543278084716</v>
      </c>
      <c r="L332" s="1" t="n">
        <v>312.4962038442724</v>
      </c>
    </row>
    <row r="333">
      <c r="A333" s="2" t="n">
        <v>41121</v>
      </c>
      <c r="B333" s="1" t="n">
        <v>32901.3989427041</v>
      </c>
      <c r="C333" s="1" t="n">
        <v>2943.272511833031</v>
      </c>
      <c r="D333" s="1" t="n">
        <v>77098.43029026609</v>
      </c>
      <c r="E333" s="1" t="n">
        <v>307.4767006483364</v>
      </c>
      <c r="F333" s="1" t="n">
        <v>4581.060517441801</v>
      </c>
      <c r="G333" s="1" t="n">
        <v>1614.147363830028</v>
      </c>
      <c r="H333" s="1" t="n">
        <v>275.9422630082643</v>
      </c>
      <c r="I333" s="1" t="n">
        <v>398.172</v>
      </c>
      <c r="J333" s="1" t="n">
        <v>461.3632954743445</v>
      </c>
      <c r="K333" s="1" t="n">
        <v>546.2541436464089</v>
      </c>
      <c r="L333" s="1" t="n">
        <v>313.410128887503</v>
      </c>
    </row>
    <row r="334">
      <c r="A334" s="2" t="n">
        <v>41152</v>
      </c>
      <c r="B334" s="1" t="n">
        <v>33600.0957379657</v>
      </c>
      <c r="C334" s="1" t="n">
        <v>3058.640068381195</v>
      </c>
      <c r="D334" s="1" t="n">
        <v>78396.83118804035</v>
      </c>
      <c r="E334" s="1" t="n">
        <v>314.3692417275793</v>
      </c>
      <c r="F334" s="1" t="n">
        <v>4961.7659981999</v>
      </c>
      <c r="G334" s="1" t="n">
        <v>1614.147363830028</v>
      </c>
      <c r="H334" s="1" t="n">
        <v>277.1564089655006</v>
      </c>
      <c r="I334" s="1" t="n">
        <v>398.172</v>
      </c>
      <c r="J334" s="1" t="n">
        <v>464.2587306639359</v>
      </c>
      <c r="K334" s="1" t="n">
        <v>549.2228360957644</v>
      </c>
      <c r="L334" s="1" t="n">
        <v>314.3478883068611</v>
      </c>
    </row>
    <row r="335">
      <c r="A335" s="2" t="n">
        <v>41180</v>
      </c>
      <c r="B335" s="1" t="n">
        <v>34315.2313865254</v>
      </c>
      <c r="C335" s="1" t="n">
        <v>3106.359442118259</v>
      </c>
      <c r="D335" s="1" t="n">
        <v>81255.89843131849</v>
      </c>
      <c r="E335" s="1" t="n">
        <v>310.6594378098164</v>
      </c>
      <c r="F335" s="1" t="n">
        <v>4860.85976855952</v>
      </c>
      <c r="G335" s="1" t="n">
        <v>1615.76404021849</v>
      </c>
      <c r="H335" s="1" t="n">
        <v>271.0312523273631</v>
      </c>
      <c r="I335" s="1" t="n">
        <v>410.836</v>
      </c>
      <c r="J335" s="1" t="n">
        <v>468.776189529299</v>
      </c>
      <c r="K335" s="1" t="n">
        <v>552.9281767955803</v>
      </c>
      <c r="L335" s="1" t="n">
        <v>315.3324946034353</v>
      </c>
    </row>
    <row r="336">
      <c r="A336" s="2" t="n">
        <v>41213</v>
      </c>
      <c r="B336" s="1" t="n">
        <v>35332.8712452729</v>
      </c>
      <c r="C336" s="1" t="n">
        <v>3101.713997219739</v>
      </c>
      <c r="D336" s="1" t="n">
        <v>81282.05364926651</v>
      </c>
      <c r="E336" s="1" t="n">
        <v>315.2816846927694</v>
      </c>
      <c r="F336" s="1" t="n">
        <v>4676.4947590097</v>
      </c>
      <c r="G336" s="1" t="n">
        <v>1615.76404021849</v>
      </c>
      <c r="H336" s="1" t="n">
        <v>264.0386460173171</v>
      </c>
      <c r="I336" s="1" t="n">
        <v>410.836</v>
      </c>
      <c r="J336" s="1" t="n">
        <v>468.8612937641335</v>
      </c>
      <c r="K336" s="1" t="n">
        <v>556.1104972375692</v>
      </c>
      <c r="L336" s="1" t="n">
        <v>316.2673774601573</v>
      </c>
    </row>
    <row r="337">
      <c r="A337" s="2" t="n">
        <v>41243</v>
      </c>
      <c r="B337" s="1" t="n">
        <v>35426.5567030594</v>
      </c>
      <c r="C337" s="1" t="n">
        <v>3129.962758882014</v>
      </c>
      <c r="D337" s="1" t="n">
        <v>82094.41765723817</v>
      </c>
      <c r="E337" s="1" t="n">
        <v>314.2277649537231</v>
      </c>
      <c r="F337" s="1" t="n">
        <v>4716.908626845</v>
      </c>
      <c r="G337" s="1" t="n">
        <v>1615.76404021849</v>
      </c>
      <c r="H337" s="1" t="n">
        <v>269.7946885004946</v>
      </c>
      <c r="I337" s="1" t="n">
        <v>410.836</v>
      </c>
      <c r="J337" s="1" t="n">
        <v>468.8972266632858</v>
      </c>
      <c r="K337" s="1" t="n">
        <v>560.2283609576428</v>
      </c>
      <c r="L337" s="1" t="n">
        <v>317.0719931232175</v>
      </c>
    </row>
    <row r="338">
      <c r="A338" s="2" t="n">
        <v>41274</v>
      </c>
      <c r="B338" s="1" t="n">
        <v>36642.6283075179</v>
      </c>
      <c r="C338" s="1" t="n">
        <v>3207.042269822188</v>
      </c>
      <c r="D338" s="1" t="n">
        <v>85753.84232467528</v>
      </c>
      <c r="E338" s="1" t="n">
        <v>325.6360433598742</v>
      </c>
      <c r="F338" s="1" t="n">
        <v>4709.121810456</v>
      </c>
      <c r="G338" s="1" t="n">
        <v>1656.193903411682</v>
      </c>
      <c r="H338" s="1" t="n">
        <v>267.5553925859405</v>
      </c>
      <c r="I338" s="1" t="n">
        <v>415.972</v>
      </c>
      <c r="J338" s="1" t="n">
        <v>469.7501602168495</v>
      </c>
      <c r="K338" s="1" t="n">
        <v>562.1583793738491</v>
      </c>
      <c r="L338" s="1" t="n">
        <v>317.9834525413315</v>
      </c>
    </row>
    <row r="339">
      <c r="A339" s="2" t="n">
        <v>41305</v>
      </c>
      <c r="B339" s="1" t="n">
        <v>38503.9518334015</v>
      </c>
      <c r="C339" s="1" t="n">
        <v>3364.630217614958</v>
      </c>
      <c r="D339" s="1" t="n">
        <v>86547.11762286212</v>
      </c>
      <c r="E339" s="1" t="n">
        <v>335.7011429636933</v>
      </c>
      <c r="F339" s="1" t="n">
        <v>4891.4682350328</v>
      </c>
      <c r="G339" s="1" t="n">
        <v>1656.193903411682</v>
      </c>
      <c r="H339" s="1" t="n">
        <v>273.8429443117101</v>
      </c>
      <c r="I339" s="1" t="n">
        <v>415.972</v>
      </c>
      <c r="J339" s="1" t="n">
        <v>468.6891940892461</v>
      </c>
      <c r="K339" s="1" t="n">
        <v>560.4272559852672</v>
      </c>
      <c r="L339" s="1" t="n">
        <v>318.8369697692048</v>
      </c>
    </row>
    <row r="340">
      <c r="A340" s="2" t="n">
        <v>41333</v>
      </c>
      <c r="B340" s="1" t="n">
        <v>40497.2603983245</v>
      </c>
      <c r="C340" s="1" t="n">
        <v>3480.343681192959</v>
      </c>
      <c r="D340" s="1" t="n">
        <v>87331.67098255204</v>
      </c>
      <c r="E340" s="1" t="n">
        <v>348.8923190949816</v>
      </c>
      <c r="F340" s="1" t="n">
        <v>4765.136132708</v>
      </c>
      <c r="G340" s="1" t="n">
        <v>1656.193903411682</v>
      </c>
      <c r="H340" s="1" t="n">
        <v>279.3745717868067</v>
      </c>
      <c r="I340" s="1" t="n">
        <v>415.972</v>
      </c>
      <c r="J340" s="1" t="n">
        <v>471.4743089744224</v>
      </c>
      <c r="K340" s="1" t="n">
        <v>565.0755064456723</v>
      </c>
      <c r="L340" s="1" t="n">
        <v>319.5532338655857</v>
      </c>
    </row>
    <row r="341">
      <c r="A341" s="2" t="n">
        <v>41362</v>
      </c>
      <c r="B341" s="1" t="n">
        <v>39590.277547159</v>
      </c>
      <c r="C341" s="1" t="n">
        <v>3510.851939745305</v>
      </c>
      <c r="D341" s="1" t="n">
        <v>85020.10364666165</v>
      </c>
      <c r="E341" s="1" t="n">
        <v>353.8710033653767</v>
      </c>
      <c r="F341" s="1" t="n">
        <v>4715.296964538999</v>
      </c>
      <c r="G341" s="1" t="n">
        <v>1672.519451049168</v>
      </c>
      <c r="H341" s="1" t="n">
        <v>279.4583841583428</v>
      </c>
      <c r="I341" s="1" t="n">
        <v>426.58</v>
      </c>
      <c r="J341" s="1" t="n">
        <v>470.5179895355785</v>
      </c>
      <c r="K341" s="1" t="n">
        <v>569.2965009208107</v>
      </c>
      <c r="L341" s="1" t="n">
        <v>320.34017921531</v>
      </c>
    </row>
    <row r="342">
      <c r="A342" s="2" t="n">
        <v>41394</v>
      </c>
      <c r="B342" s="1" t="n">
        <v>41102.8399162244</v>
      </c>
      <c r="C342" s="1" t="n">
        <v>3626.782273279522</v>
      </c>
      <c r="D342" s="1" t="n">
        <v>85345.7187644338</v>
      </c>
      <c r="E342" s="1" t="n">
        <v>377.2014371547431</v>
      </c>
      <c r="F342" s="1" t="n">
        <v>4511.66233136225</v>
      </c>
      <c r="G342" s="1" t="n">
        <v>1672.519451049168</v>
      </c>
      <c r="H342" s="1" t="n">
        <v>278.8435757131944</v>
      </c>
      <c r="I342" s="1" t="n">
        <v>426.58</v>
      </c>
      <c r="J342" s="1" t="n">
        <v>477.7739135573938</v>
      </c>
      <c r="K342" s="1" t="n">
        <v>576.8397790055251</v>
      </c>
      <c r="L342" s="1" t="n">
        <v>321.1776698799252</v>
      </c>
    </row>
    <row r="343">
      <c r="A343" s="2" t="n">
        <v>41425</v>
      </c>
      <c r="B343" s="1" t="n">
        <v>39300.2536940394</v>
      </c>
      <c r="C343" s="1" t="n">
        <v>3986.724939975338</v>
      </c>
      <c r="D343" s="1" t="n">
        <v>93185.57483308998</v>
      </c>
      <c r="E343" s="1" t="n">
        <v>385.5779782966265</v>
      </c>
      <c r="F343" s="1" t="n">
        <v>4812.089830056801</v>
      </c>
      <c r="G343" s="1" t="n">
        <v>1672.519451049168</v>
      </c>
      <c r="H343" s="1" t="n">
        <v>274.2984254290694</v>
      </c>
      <c r="I343" s="1" t="n">
        <v>426.58</v>
      </c>
      <c r="J343" s="1" t="n">
        <v>477.417736574568</v>
      </c>
      <c r="K343" s="1" t="n">
        <v>569.289134438306</v>
      </c>
      <c r="L343" s="1" t="n">
        <v>322.0024214814378</v>
      </c>
    </row>
    <row r="344">
      <c r="A344" s="2" t="n">
        <v>41453</v>
      </c>
      <c r="B344" s="1" t="n">
        <v>38270.3216109073</v>
      </c>
      <c r="C344" s="1" t="n">
        <v>4076.415444826224</v>
      </c>
      <c r="D344" s="1" t="n">
        <v>92679.84537385116</v>
      </c>
      <c r="E344" s="1" t="n">
        <v>394.4835105845</v>
      </c>
      <c r="F344" s="1" t="n">
        <v>5052.0446332587</v>
      </c>
      <c r="G344" s="1" t="n">
        <v>1719.840794052655</v>
      </c>
      <c r="H344" s="1" t="n">
        <v>275.2036102329853</v>
      </c>
      <c r="I344" s="1" t="n">
        <v>452.772</v>
      </c>
      <c r="J344" s="1" t="n">
        <v>472.4224331906526</v>
      </c>
      <c r="K344" s="1" t="n">
        <v>562.2320441988952</v>
      </c>
      <c r="L344" s="1" t="n">
        <v>322.7429308914656</v>
      </c>
    </row>
    <row r="345">
      <c r="A345" s="2" t="n">
        <v>41486</v>
      </c>
      <c r="B345" s="1" t="n">
        <v>40360.3274099636</v>
      </c>
      <c r="C345" s="1" t="n">
        <v>4355.706788919379</v>
      </c>
      <c r="D345" s="1" t="n">
        <v>95956.92879300719</v>
      </c>
      <c r="E345" s="1" t="n">
        <v>404.9107241663349</v>
      </c>
      <c r="F345" s="1" t="n">
        <v>5405.979142047199</v>
      </c>
      <c r="G345" s="1" t="n">
        <v>1719.840794052655</v>
      </c>
      <c r="H345" s="1" t="n">
        <v>278.4234924727113</v>
      </c>
      <c r="I345" s="1" t="n">
        <v>452.772</v>
      </c>
      <c r="J345" s="1" t="n">
        <v>476.463938742682</v>
      </c>
      <c r="K345" s="1" t="n">
        <v>565.7679558011051</v>
      </c>
      <c r="L345" s="1" t="n">
        <v>323.5598746801088</v>
      </c>
    </row>
    <row r="346">
      <c r="A346" s="2" t="n">
        <v>41516</v>
      </c>
      <c r="B346" s="1" t="n">
        <v>41406.5862056824</v>
      </c>
      <c r="C346" s="1" t="n">
        <v>4300.32923997524</v>
      </c>
      <c r="D346" s="1" t="n">
        <v>96633.1099588853</v>
      </c>
      <c r="E346" s="1" t="n">
        <v>385.6325660074182</v>
      </c>
      <c r="F346" s="1" t="n">
        <v>5631.154148157199</v>
      </c>
      <c r="G346" s="1" t="n">
        <v>1719.840794052655</v>
      </c>
      <c r="H346" s="1" t="n">
        <v>280.6230380632457</v>
      </c>
      <c r="I346" s="1" t="n">
        <v>452.772</v>
      </c>
      <c r="J346" s="1" t="n">
        <v>474.9364753278376</v>
      </c>
      <c r="K346" s="1" t="n">
        <v>564.8324125230205</v>
      </c>
      <c r="L346" s="1" t="n">
        <v>324.3086028405253</v>
      </c>
    </row>
    <row r="347">
      <c r="A347" s="2" t="n">
        <v>41547</v>
      </c>
      <c r="B347" s="1" t="n">
        <v>42394.8407103662</v>
      </c>
      <c r="C347" s="1" t="n">
        <v>4250.613566719366</v>
      </c>
      <c r="D347" s="1" t="n">
        <v>95957.3961202075</v>
      </c>
      <c r="E347" s="1" t="n">
        <v>382.6406363836159</v>
      </c>
      <c r="F347" s="1" t="n">
        <v>5181.8441096328</v>
      </c>
      <c r="G347" s="1" t="n">
        <v>1767.4309001672</v>
      </c>
      <c r="H347" s="1" t="n">
        <v>283.5134553552971</v>
      </c>
      <c r="I347" s="1" t="n">
        <v>464.996</v>
      </c>
      <c r="J347" s="1" t="n">
        <v>477.3143506892874</v>
      </c>
      <c r="K347" s="1" t="n">
        <v>570.3499079189688</v>
      </c>
      <c r="L347" s="1" t="n">
        <v>324.9932247479095</v>
      </c>
    </row>
    <row r="348">
      <c r="A348" s="2" t="n">
        <v>41578</v>
      </c>
      <c r="B348" s="1" t="n">
        <v>44054.1636641187</v>
      </c>
      <c r="C348" s="1" t="n">
        <v>4364.317871708301</v>
      </c>
      <c r="D348" s="1" t="n">
        <v>98570.69350647925</v>
      </c>
      <c r="E348" s="1" t="n">
        <v>391.9824459312423</v>
      </c>
      <c r="F348" s="1" t="n">
        <v>5042.8974126468</v>
      </c>
      <c r="G348" s="1" t="n">
        <v>1767.4309001672</v>
      </c>
      <c r="H348" s="1" t="n">
        <v>283.1448878633353</v>
      </c>
      <c r="I348" s="1" t="n">
        <v>464.996</v>
      </c>
      <c r="J348" s="1" t="n">
        <v>477.0464299499936</v>
      </c>
      <c r="K348" s="1" t="n">
        <v>576.6629834254146</v>
      </c>
      <c r="L348" s="1" t="n">
        <v>325.7012700939017</v>
      </c>
    </row>
    <row r="349">
      <c r="A349" s="2" t="n">
        <v>41607</v>
      </c>
      <c r="B349" s="1" t="n">
        <v>43445.8820920202</v>
      </c>
      <c r="C349" s="1" t="n">
        <v>4622.694749035641</v>
      </c>
      <c r="D349" s="1" t="n">
        <v>102110.9553305273</v>
      </c>
      <c r="E349" s="1" t="n">
        <v>391.1099827820966</v>
      </c>
      <c r="F349" s="1" t="n">
        <v>5184.817036367501</v>
      </c>
      <c r="G349" s="1" t="n">
        <v>1767.4309001672</v>
      </c>
      <c r="H349" s="1" t="n">
        <v>284.73049923537</v>
      </c>
      <c r="I349" s="1" t="n">
        <v>464.996</v>
      </c>
      <c r="J349" s="1" t="n">
        <v>476.5755198505761</v>
      </c>
      <c r="K349" s="1" t="n">
        <v>576.9576427255988</v>
      </c>
      <c r="L349" s="1" t="n">
        <v>326.3957545017523</v>
      </c>
    </row>
    <row r="350">
      <c r="A350" s="2" t="n">
        <v>41639</v>
      </c>
      <c r="B350" s="1" t="n">
        <v>43845.0070853455</v>
      </c>
      <c r="C350" s="1" t="n">
        <v>4822.268335243258</v>
      </c>
      <c r="D350" s="1" t="n">
        <v>103286.8350504627</v>
      </c>
      <c r="E350" s="1" t="n">
        <v>400.4294114918173</v>
      </c>
      <c r="F350" s="1" t="n">
        <v>5398.163301318499</v>
      </c>
      <c r="G350" s="1" t="n">
        <v>1843.119554428804</v>
      </c>
      <c r="H350" s="1" t="n">
        <v>290.9660971686246</v>
      </c>
      <c r="I350" s="1" t="n">
        <v>510.6560000000001</v>
      </c>
      <c r="J350" s="1" t="n">
        <v>479.0782147564499</v>
      </c>
      <c r="K350" s="1" t="n">
        <v>574.9097605893189</v>
      </c>
      <c r="L350" s="1" t="n">
        <v>327.096813909914</v>
      </c>
    </row>
    <row r="351">
      <c r="A351" s="2" t="n">
        <v>41670</v>
      </c>
      <c r="B351" s="1" t="n">
        <v>42634.4964939734</v>
      </c>
      <c r="C351" s="1" t="n">
        <v>4785.504930900758</v>
      </c>
      <c r="D351" s="1" t="n">
        <v>101220.7874253088</v>
      </c>
      <c r="E351" s="1" t="n">
        <v>419.6738468866321</v>
      </c>
      <c r="F351" s="1" t="n">
        <v>5444.624617333001</v>
      </c>
      <c r="G351" s="1" t="n">
        <v>1843.119554428804</v>
      </c>
      <c r="H351" s="1" t="n">
        <v>291.6935124115461</v>
      </c>
      <c r="I351" s="1" t="n">
        <v>510.6560000000001</v>
      </c>
      <c r="J351" s="1" t="n">
        <v>484.2878547318002</v>
      </c>
      <c r="K351" s="1" t="n">
        <v>584.5303867403318</v>
      </c>
      <c r="L351" s="1" t="n">
        <v>327.8303373821113</v>
      </c>
    </row>
    <row r="352">
      <c r="A352" s="2" t="n">
        <v>41698</v>
      </c>
      <c r="B352" s="1" t="n">
        <v>44697.0211993854</v>
      </c>
      <c r="C352" s="1" t="n">
        <v>4864.973686061811</v>
      </c>
      <c r="D352" s="1" t="n">
        <v>100846.5743455802</v>
      </c>
      <c r="E352" s="1" t="n">
        <v>428.018937208423</v>
      </c>
      <c r="F352" s="1" t="n">
        <v>5547.964328197199</v>
      </c>
      <c r="G352" s="1" t="n">
        <v>1843.119554428804</v>
      </c>
      <c r="H352" s="1" t="n">
        <v>294.2020766182854</v>
      </c>
      <c r="I352" s="1" t="n">
        <v>510.6560000000001</v>
      </c>
      <c r="J352" s="1" t="n">
        <v>485.9407680928081</v>
      </c>
      <c r="K352" s="1" t="n">
        <v>588.4567219152857</v>
      </c>
      <c r="L352" s="1" t="n">
        <v>328.4837280380182</v>
      </c>
    </row>
    <row r="353">
      <c r="A353" s="2" t="n">
        <v>41729</v>
      </c>
      <c r="B353" s="1" t="n">
        <v>44810.8062680933</v>
      </c>
      <c r="C353" s="1" t="n">
        <v>4708.420944060935</v>
      </c>
      <c r="D353" s="1" t="n">
        <v>99233.38341528745</v>
      </c>
      <c r="E353" s="1" t="n">
        <v>412.9031853529066</v>
      </c>
      <c r="F353" s="1" t="n">
        <v>5363.904451112</v>
      </c>
      <c r="G353" s="1" t="n">
        <v>1874.917046485976</v>
      </c>
      <c r="H353" s="1" t="n">
        <v>296.4380124005844</v>
      </c>
      <c r="I353" s="1" t="n">
        <v>527.764</v>
      </c>
      <c r="J353" s="1" t="n">
        <v>486.0334371485169</v>
      </c>
      <c r="K353" s="1" t="n">
        <v>590.2688766114184</v>
      </c>
      <c r="L353" s="1" t="n">
        <v>329.1999921343991</v>
      </c>
    </row>
    <row r="354">
      <c r="A354" s="2" t="n">
        <v>41759</v>
      </c>
      <c r="B354" s="1" t="n">
        <v>45389.4805295009</v>
      </c>
      <c r="C354" s="1" t="n">
        <v>4746.851801934401</v>
      </c>
      <c r="D354" s="1" t="n">
        <v>99130.22364319884</v>
      </c>
      <c r="E354" s="1" t="n">
        <v>427.2339077139816</v>
      </c>
      <c r="F354" s="1" t="n">
        <v>5405.434286202999</v>
      </c>
      <c r="G354" s="1" t="n">
        <v>1874.917046485976</v>
      </c>
      <c r="H354" s="1" t="n">
        <v>298.0684214687876</v>
      </c>
      <c r="I354" s="1" t="n">
        <v>527.764</v>
      </c>
      <c r="J354" s="1" t="n">
        <v>490.4399453077253</v>
      </c>
      <c r="K354" s="1" t="n">
        <v>595.5727440147333</v>
      </c>
      <c r="L354" s="1" t="n">
        <v>329.9289952938826</v>
      </c>
    </row>
    <row r="355">
      <c r="A355" s="2" t="n">
        <v>41789</v>
      </c>
      <c r="B355" s="1" t="n">
        <v>45667.4006894587</v>
      </c>
      <c r="C355" s="1" t="n">
        <v>4836.43947878004</v>
      </c>
      <c r="D355" s="1" t="n">
        <v>101529.2762861526</v>
      </c>
      <c r="E355" s="1" t="n">
        <v>436.9971290644523</v>
      </c>
      <c r="F355" s="1" t="n">
        <v>5371.88955628</v>
      </c>
      <c r="G355" s="1" t="n">
        <v>1874.917046485976</v>
      </c>
      <c r="H355" s="1" t="n">
        <v>294.1637251475465</v>
      </c>
      <c r="I355" s="1" t="n">
        <v>527.764</v>
      </c>
      <c r="J355" s="1" t="n">
        <v>497.173266287483</v>
      </c>
      <c r="K355" s="1" t="n">
        <v>602.5635359116025</v>
      </c>
      <c r="L355" s="1" t="n">
        <v>330.6707375164686</v>
      </c>
    </row>
    <row r="356">
      <c r="A356" s="2" t="n">
        <v>41820</v>
      </c>
      <c r="B356" s="1" t="n">
        <v>45021.4766600422</v>
      </c>
      <c r="C356" s="1" t="n">
        <v>4836.972129149633</v>
      </c>
      <c r="D356" s="1" t="n">
        <v>102557.688597827</v>
      </c>
      <c r="E356" s="1" t="n">
        <v>436.9549055169987</v>
      </c>
      <c r="F356" s="1" t="n">
        <v>5409.1900955456</v>
      </c>
      <c r="G356" s="1" t="n">
        <v>1916.768893734968</v>
      </c>
      <c r="H356" s="1" t="n">
        <v>298.0761026920089</v>
      </c>
      <c r="I356" s="1" t="n">
        <v>554.204</v>
      </c>
      <c r="J356" s="1" t="n">
        <v>501.1731653247044</v>
      </c>
      <c r="K356" s="1" t="n">
        <v>605.8563535911604</v>
      </c>
      <c r="L356" s="1" t="n">
        <v>331.3989188009132</v>
      </c>
    </row>
    <row r="357">
      <c r="A357" s="2" t="n">
        <v>41851</v>
      </c>
      <c r="B357" s="1" t="n">
        <v>47043.661012805</v>
      </c>
      <c r="C357" s="1" t="n">
        <v>4873.37366780142</v>
      </c>
      <c r="D357" s="1" t="n">
        <v>107301.44830995</v>
      </c>
      <c r="E357" s="1" t="n">
        <v>446.5353340500511</v>
      </c>
      <c r="F357" s="1" t="n">
        <v>5200.6206784686</v>
      </c>
      <c r="G357" s="1" t="n">
        <v>1916.768893734968</v>
      </c>
      <c r="H357" s="1" t="n">
        <v>297.1520667736637</v>
      </c>
      <c r="I357" s="1" t="n">
        <v>554.204</v>
      </c>
      <c r="J357" s="1" t="n">
        <v>502.6325453516811</v>
      </c>
      <c r="K357" s="1" t="n">
        <v>608.6482504604053</v>
      </c>
      <c r="L357" s="1" t="n">
        <v>332.1607969619518</v>
      </c>
    </row>
    <row r="358">
      <c r="A358" s="2" t="n">
        <v>41880</v>
      </c>
      <c r="B358" s="1" t="n">
        <v>47383.1342962992</v>
      </c>
      <c r="C358" s="1" t="n">
        <v>4974.145563831037</v>
      </c>
      <c r="D358" s="1" t="n">
        <v>108819.7162250658</v>
      </c>
      <c r="E358" s="1" t="n">
        <v>455.6409335227791</v>
      </c>
      <c r="F358" s="1" t="n">
        <v>5084.726989396499</v>
      </c>
      <c r="G358" s="1" t="n">
        <v>1916.768893734968</v>
      </c>
      <c r="H358" s="1" t="n">
        <v>301.3419109151724</v>
      </c>
      <c r="I358" s="1" t="n">
        <v>554.204</v>
      </c>
      <c r="J358" s="1" t="n">
        <v>507.7299738173978</v>
      </c>
      <c r="K358" s="1" t="n">
        <v>617.3259668508289</v>
      </c>
      <c r="L358" s="1" t="n">
        <v>332.9136344975627</v>
      </c>
    </row>
    <row r="359">
      <c r="A359" s="2" t="n">
        <v>41912</v>
      </c>
      <c r="B359" s="1" t="n">
        <v>44890.6542105256</v>
      </c>
      <c r="C359" s="1" t="n">
        <v>5265.897689331783</v>
      </c>
      <c r="D359" s="1" t="n">
        <v>111393.9630397975</v>
      </c>
      <c r="E359" s="1" t="n">
        <v>464.2889477131894</v>
      </c>
      <c r="F359" s="1" t="n">
        <v>5107.442126537299</v>
      </c>
      <c r="G359" s="1" t="n">
        <v>1945.643000485117</v>
      </c>
      <c r="H359" s="1" t="n">
        <v>306.3441866363642</v>
      </c>
      <c r="I359" s="1" t="n">
        <v>591.0600000000001</v>
      </c>
      <c r="J359" s="1" t="n">
        <v>506.039236352019</v>
      </c>
      <c r="K359" s="1" t="n">
        <v>616.6187845303868</v>
      </c>
      <c r="L359" s="1" t="n">
        <v>333.5538751528475</v>
      </c>
    </row>
    <row r="360">
      <c r="A360" s="2" t="n">
        <v>41943</v>
      </c>
      <c r="B360" s="1" t="n">
        <v>46668.8095773897</v>
      </c>
      <c r="C360" s="1" t="n">
        <v>5303.135461891288</v>
      </c>
      <c r="D360" s="1" t="n">
        <v>112481.3858501899</v>
      </c>
      <c r="E360" s="1" t="n">
        <v>497.1410988445397</v>
      </c>
      <c r="F360" s="1" t="n">
        <v>4780.248312647</v>
      </c>
      <c r="G360" s="1" t="n">
        <v>1945.643000485117</v>
      </c>
      <c r="H360" s="1" t="n">
        <v>308.9481122227733</v>
      </c>
      <c r="I360" s="1" t="n">
        <v>591.0600000000001</v>
      </c>
      <c r="J360" s="1" t="n">
        <v>510.8800913097531</v>
      </c>
      <c r="K360" s="1" t="n">
        <v>622.5046040515656</v>
      </c>
      <c r="L360" s="1" t="n">
        <v>334.3749283166852</v>
      </c>
    </row>
    <row r="361">
      <c r="A361" s="2" t="n">
        <v>41971</v>
      </c>
      <c r="B361" s="1" t="n">
        <v>45175.8071460883</v>
      </c>
      <c r="C361" s="1" t="n">
        <v>5621.924736462222</v>
      </c>
      <c r="D361" s="1" t="n">
        <v>117154.1324926535</v>
      </c>
      <c r="E361" s="1" t="n">
        <v>525.0760609958694</v>
      </c>
      <c r="F361" s="1" t="n">
        <v>4385.447919378</v>
      </c>
      <c r="G361" s="1" t="n">
        <v>1945.643000485117</v>
      </c>
      <c r="H361" s="1" t="n">
        <v>308.0521626973273</v>
      </c>
      <c r="I361" s="1" t="n">
        <v>591.0600000000001</v>
      </c>
      <c r="J361" s="1" t="n">
        <v>517.3562083797888</v>
      </c>
      <c r="K361" s="1" t="n">
        <v>629.8047882136283</v>
      </c>
      <c r="L361" s="1" t="n">
        <v>335.1269439772572</v>
      </c>
    </row>
    <row r="362">
      <c r="A362" s="2" t="n">
        <v>42004</v>
      </c>
      <c r="B362" s="1" t="n">
        <v>46046.9273383748</v>
      </c>
      <c r="C362" s="1" t="n">
        <v>5820.286300322037</v>
      </c>
      <c r="D362" s="1" t="n">
        <v>119206.5768334826</v>
      </c>
      <c r="E362" s="1" t="n">
        <v>556.7863098828803</v>
      </c>
      <c r="F362" s="1" t="n">
        <v>3950.385404858</v>
      </c>
      <c r="G362" s="1" t="n">
        <v>1991.239516670353</v>
      </c>
      <c r="H362" s="1" t="n">
        <v>313.5354911933397</v>
      </c>
      <c r="I362" s="1" t="n">
        <v>624.928</v>
      </c>
      <c r="J362" s="1" t="n">
        <v>526.0746644372783</v>
      </c>
      <c r="K362" s="1" t="n">
        <v>634.534069981584</v>
      </c>
      <c r="L362" s="1" t="n">
        <v>335.9036158889955</v>
      </c>
    </row>
    <row r="363">
      <c r="A363" s="2" t="n">
        <v>42034</v>
      </c>
      <c r="B363" s="1" t="n">
        <v>47441.6456007542</v>
      </c>
      <c r="C363" s="1" t="n">
        <v>6084.261279197043</v>
      </c>
      <c r="D363" s="1" t="n">
        <v>127058.2226734182</v>
      </c>
      <c r="E363" s="1" t="n">
        <v>624.0673631009832</v>
      </c>
      <c r="F363" s="1" t="n">
        <v>3840.0666263132</v>
      </c>
      <c r="G363" s="1" t="n">
        <v>1991.239516670353</v>
      </c>
      <c r="H363" s="1" t="n">
        <v>313.1592486039077</v>
      </c>
      <c r="I363" s="1" t="n">
        <v>624.928</v>
      </c>
      <c r="J363" s="1" t="n">
        <v>534.5460030128783</v>
      </c>
      <c r="K363" s="1" t="n">
        <v>648.3462246777166</v>
      </c>
      <c r="L363" s="1" t="n">
        <v>336.7485034289606</v>
      </c>
    </row>
    <row r="364">
      <c r="A364" s="2" t="n">
        <v>42062</v>
      </c>
      <c r="B364" s="1" t="n">
        <v>50760.1955282844</v>
      </c>
      <c r="C364" s="1" t="n">
        <v>6412.948938329576</v>
      </c>
      <c r="D364" s="1" t="n">
        <v>130577.805737441</v>
      </c>
      <c r="E364" s="1" t="n">
        <v>610.8328113212007</v>
      </c>
      <c r="F364" s="1" t="n">
        <v>4067.4442366032</v>
      </c>
      <c r="G364" s="1" t="n">
        <v>1991.239516670353</v>
      </c>
      <c r="H364" s="1" t="n">
        <v>313.2218804536285</v>
      </c>
      <c r="I364" s="1" t="n">
        <v>624.928</v>
      </c>
      <c r="J364" s="1" t="n">
        <v>536.0419463407468</v>
      </c>
      <c r="K364" s="1" t="n">
        <v>645.716390423573</v>
      </c>
      <c r="L364" s="1" t="n">
        <v>337.4520284622389</v>
      </c>
    </row>
    <row r="365">
      <c r="A365" s="2" t="n">
        <v>42094</v>
      </c>
      <c r="B365" s="1" t="n">
        <v>50746.4778289772</v>
      </c>
      <c r="C365" s="1" t="n">
        <v>6546.7571116702</v>
      </c>
      <c r="D365" s="1" t="n">
        <v>134008.5131759864</v>
      </c>
      <c r="E365" s="1" t="n">
        <v>631.6009100519632</v>
      </c>
      <c r="F365" s="1" t="n">
        <v>3883.9204427302</v>
      </c>
      <c r="G365" s="1" t="n">
        <v>2028.781458358992</v>
      </c>
      <c r="H365" s="1" t="n">
        <v>316.542032386437</v>
      </c>
      <c r="I365" s="1" t="n">
        <v>667.86</v>
      </c>
      <c r="J365" s="1" t="n">
        <v>540.1143415780125</v>
      </c>
      <c r="K365" s="1" t="n">
        <v>650.7771639042359</v>
      </c>
      <c r="L365" s="1" t="n">
        <v>338.1448691200118</v>
      </c>
    </row>
    <row r="366">
      <c r="A366" s="2" t="n">
        <v>42124</v>
      </c>
      <c r="B366" s="1" t="n">
        <v>49999.3144133875</v>
      </c>
      <c r="C366" s="1" t="n">
        <v>6410.167023892665</v>
      </c>
      <c r="D366" s="1" t="n">
        <v>137196.7114342023</v>
      </c>
      <c r="E366" s="1" t="n">
        <v>588.4815498408221</v>
      </c>
      <c r="F366" s="1" t="n">
        <v>4177.7735505072</v>
      </c>
      <c r="G366" s="1" t="n">
        <v>2028.781458358992</v>
      </c>
      <c r="H366" s="1" t="n">
        <v>320.0556489459265</v>
      </c>
      <c r="I366" s="1" t="n">
        <v>667.86</v>
      </c>
      <c r="J366" s="1" t="n">
        <v>534.1299378647985</v>
      </c>
      <c r="K366" s="1" t="n">
        <v>648.4714548802948</v>
      </c>
      <c r="L366" s="1" t="n">
        <v>338.752645711261</v>
      </c>
    </row>
    <row r="367">
      <c r="A367" s="2" t="n">
        <v>42153</v>
      </c>
      <c r="B367" s="1" t="n">
        <v>50289.7344394712</v>
      </c>
      <c r="C367" s="1" t="n">
        <v>6694.689421361672</v>
      </c>
      <c r="D367" s="1" t="n">
        <v>137847.3571046831</v>
      </c>
      <c r="E367" s="1" t="n">
        <v>604.2972012159975</v>
      </c>
      <c r="F367" s="1" t="n">
        <v>4219.404079803</v>
      </c>
      <c r="G367" s="1" t="n">
        <v>2028.781458358992</v>
      </c>
      <c r="H367" s="1" t="n">
        <v>319.703587732086</v>
      </c>
      <c r="I367" s="1" t="n">
        <v>667.86</v>
      </c>
      <c r="J367" s="1" t="n">
        <v>534.3234711988295</v>
      </c>
      <c r="K367" s="1" t="n">
        <v>646.7845303867406</v>
      </c>
      <c r="L367" s="1" t="n">
        <v>339.4311035558536</v>
      </c>
    </row>
    <row r="368">
      <c r="A368" s="2" t="n">
        <v>42185</v>
      </c>
      <c r="B368" s="1" t="n">
        <v>47574.9209032736</v>
      </c>
      <c r="C368" s="1" t="n">
        <v>6473.825434857697</v>
      </c>
      <c r="D368" s="1" t="n">
        <v>134288.8740764598</v>
      </c>
      <c r="E368" s="1" t="n">
        <v>577.0969664702341</v>
      </c>
      <c r="F368" s="1" t="n">
        <v>4197.3940442273</v>
      </c>
      <c r="G368" s="1" t="n">
        <v>2129.861768738948</v>
      </c>
      <c r="H368" s="1" t="n">
        <v>323.5080604260978</v>
      </c>
      <c r="I368" s="1" t="n">
        <v>682.02</v>
      </c>
      <c r="J368" s="1" t="n">
        <v>529.3773391505963</v>
      </c>
      <c r="K368" s="1" t="n">
        <v>639.8821362799264</v>
      </c>
      <c r="L368" s="1" t="n">
        <v>340.0281957715974</v>
      </c>
    </row>
    <row r="369">
      <c r="A369" s="2" t="n">
        <v>42216</v>
      </c>
      <c r="B369" s="1" t="n">
        <v>49589.3886293384</v>
      </c>
      <c r="C369" s="1" t="n">
        <v>6947.015988274548</v>
      </c>
      <c r="D369" s="1" t="n">
        <v>134516.5512073738</v>
      </c>
      <c r="E369" s="1" t="n">
        <v>632.3445466713056</v>
      </c>
      <c r="F369" s="1" t="n">
        <v>3773.6325054995</v>
      </c>
      <c r="G369" s="1" t="n">
        <v>2129.861768738948</v>
      </c>
      <c r="H369" s="1" t="n">
        <v>322.6669394689899</v>
      </c>
      <c r="I369" s="1" t="n">
        <v>682.02</v>
      </c>
      <c r="J369" s="1" t="n">
        <v>536.2594349408795</v>
      </c>
      <c r="K369" s="1" t="n">
        <v>647.6316758747698</v>
      </c>
      <c r="L369" s="1" t="n">
        <v>340.6413145505993</v>
      </c>
    </row>
    <row r="370">
      <c r="A370" s="2" t="n">
        <v>42247</v>
      </c>
      <c r="B370" s="1" t="n">
        <v>45970.2309449492</v>
      </c>
      <c r="C370" s="1" t="n">
        <v>6720.065205759593</v>
      </c>
      <c r="D370" s="1" t="n">
        <v>130342.7069360033</v>
      </c>
      <c r="E370" s="1" t="n">
        <v>618.3282393873076</v>
      </c>
      <c r="F370" s="1" t="n">
        <v>3920.5418984224</v>
      </c>
      <c r="G370" s="1" t="n">
        <v>2129.861768738948</v>
      </c>
      <c r="H370" s="1" t="n">
        <v>322.2152057537334</v>
      </c>
      <c r="I370" s="1" t="n">
        <v>682.02</v>
      </c>
      <c r="J370" s="1" t="n">
        <v>539.6755819673101</v>
      </c>
      <c r="K370" s="1" t="n">
        <v>646.9907918968694</v>
      </c>
      <c r="L370" s="1" t="n">
        <v>341.2577208297567</v>
      </c>
    </row>
    <row r="371">
      <c r="A371" s="2" t="n">
        <v>42277</v>
      </c>
      <c r="B371" s="1" t="n">
        <v>44820.3730128076</v>
      </c>
      <c r="C371" s="1" t="n">
        <v>6546.447829138894</v>
      </c>
      <c r="D371" s="1" t="n">
        <v>129382.3667501943</v>
      </c>
      <c r="E371" s="1" t="n">
        <v>638.461362651871</v>
      </c>
      <c r="F371" s="1" t="n">
        <v>3707.5428873546</v>
      </c>
      <c r="G371" s="1" t="n">
        <v>2179.712155281018</v>
      </c>
      <c r="H371" s="1" t="n">
        <v>325.727351496449</v>
      </c>
      <c r="I371" s="1" t="n">
        <v>705.8920000000001</v>
      </c>
      <c r="J371" s="1" t="n">
        <v>541.0246416898717</v>
      </c>
      <c r="K371" s="1" t="n">
        <v>651.8674033149172</v>
      </c>
      <c r="L371" s="1" t="n">
        <v>341.8589224206949</v>
      </c>
    </row>
    <row r="372">
      <c r="A372" s="2" t="n">
        <v>42307</v>
      </c>
      <c r="B372" s="1" t="n">
        <v>46877.8758963402</v>
      </c>
      <c r="C372" s="1" t="n">
        <v>6952.934056768073</v>
      </c>
      <c r="D372" s="1" t="n">
        <v>134267.8514340698</v>
      </c>
      <c r="E372" s="1" t="n">
        <v>662.6187425505128</v>
      </c>
      <c r="F372" s="1" t="n">
        <v>3657.7138764804</v>
      </c>
      <c r="G372" s="1" t="n">
        <v>2179.712155281018</v>
      </c>
      <c r="H372" s="1" t="n">
        <v>328.5611794544681</v>
      </c>
      <c r="I372" s="1" t="n">
        <v>705.8920000000001</v>
      </c>
      <c r="J372" s="1" t="n">
        <v>542.6075804577935</v>
      </c>
      <c r="K372" s="1" t="n">
        <v>655.0644567219155</v>
      </c>
      <c r="L372" s="1" t="n">
        <v>342.4860130753577</v>
      </c>
    </row>
    <row r="373">
      <c r="A373" s="2" t="n">
        <v>42338</v>
      </c>
      <c r="B373" s="1" t="n">
        <v>46555.2066235716</v>
      </c>
      <c r="C373" s="1" t="n">
        <v>6893.159750569844</v>
      </c>
      <c r="D373" s="1" t="n">
        <v>128657.9666436209</v>
      </c>
      <c r="E373" s="1" t="n">
        <v>646.5541369840575</v>
      </c>
      <c r="F373" s="1" t="n">
        <v>3278.5275495878</v>
      </c>
      <c r="G373" s="1" t="n">
        <v>2179.712155281018</v>
      </c>
      <c r="H373" s="1" t="n">
        <v>334.3110000949213</v>
      </c>
      <c r="I373" s="1" t="n">
        <v>705.8920000000001</v>
      </c>
      <c r="J373" s="1" t="n">
        <v>537.8902842410043</v>
      </c>
      <c r="K373" s="1" t="n">
        <v>656.3977900552489</v>
      </c>
      <c r="L373" s="1" t="n">
        <v>343.0765302907905</v>
      </c>
    </row>
    <row r="374">
      <c r="A374" s="2" t="n">
        <v>42369</v>
      </c>
      <c r="B374" s="1" t="n">
        <v>47788.2135429252</v>
      </c>
      <c r="C374" s="1" t="n">
        <v>6719.856064144912</v>
      </c>
      <c r="D374" s="1" t="n">
        <v>126837.5708383936</v>
      </c>
      <c r="E374" s="1" t="n">
        <v>649.9705078222697</v>
      </c>
      <c r="F374" s="1" t="n">
        <v>2983.45822274</v>
      </c>
      <c r="G374" s="1" t="n">
        <v>2189.605252819418</v>
      </c>
      <c r="H374" s="1" t="n">
        <v>336.8183325956333</v>
      </c>
      <c r="I374" s="1" t="n">
        <v>744.292</v>
      </c>
      <c r="J374" s="1" t="n">
        <v>539.6806251812262</v>
      </c>
      <c r="K374" s="1" t="n">
        <v>655.7716390423575</v>
      </c>
      <c r="L374" s="1" t="n">
        <v>343.7336193843723</v>
      </c>
    </row>
    <row r="375">
      <c r="A375" s="2" t="n">
        <v>42398</v>
      </c>
      <c r="B375" s="1" t="n">
        <v>45216.3564006693</v>
      </c>
      <c r="C375" s="1" t="n">
        <v>6539.276639792926</v>
      </c>
      <c r="D375" s="1" t="n">
        <v>123652.4538073341</v>
      </c>
      <c r="E375" s="1" t="n">
        <v>651.3480030271023</v>
      </c>
      <c r="F375" s="1" t="n">
        <v>2909.9851723194</v>
      </c>
      <c r="G375" s="1" t="n">
        <v>2189.605252819418</v>
      </c>
      <c r="H375" s="1" t="n">
        <v>339.9507430887727</v>
      </c>
      <c r="I375" s="1" t="n">
        <v>744.292</v>
      </c>
      <c r="J375" s="1" t="n">
        <v>546.2647288084372</v>
      </c>
      <c r="K375" s="1" t="n">
        <v>666.6003683241255</v>
      </c>
      <c r="L375" s="1" t="n">
        <v>344.421086623141</v>
      </c>
    </row>
    <row r="376">
      <c r="A376" s="2" t="n">
        <v>42429</v>
      </c>
      <c r="B376" s="1" t="n">
        <v>44550.2063697921</v>
      </c>
      <c r="C376" s="1" t="n">
        <v>6380.708044251239</v>
      </c>
      <c r="D376" s="1" t="n">
        <v>122550.5056845233</v>
      </c>
      <c r="E376" s="1" t="n">
        <v>646.971891248949</v>
      </c>
      <c r="F376" s="1" t="n">
        <v>2823.92578923</v>
      </c>
      <c r="G376" s="1" t="n">
        <v>2189.605252819418</v>
      </c>
      <c r="H376" s="1" t="n">
        <v>342.5003736619385</v>
      </c>
      <c r="I376" s="1" t="n">
        <v>744.292</v>
      </c>
      <c r="J376" s="1" t="n">
        <v>551.8912555151641</v>
      </c>
      <c r="K376" s="1" t="n">
        <v>673.8784530386743</v>
      </c>
      <c r="L376" s="1" t="n">
        <v>345.0410445790627</v>
      </c>
    </row>
    <row r="377">
      <c r="A377" s="2" t="n">
        <v>42460</v>
      </c>
      <c r="B377" s="1" t="n">
        <v>46663.7669128328</v>
      </c>
      <c r="C377" s="1" t="n">
        <v>6240.734115046566</v>
      </c>
      <c r="D377" s="1" t="n">
        <v>123290.9163233331</v>
      </c>
      <c r="E377" s="1" t="n">
        <v>649.346517134564</v>
      </c>
      <c r="F377" s="1" t="n">
        <v>2751.29801583</v>
      </c>
      <c r="G377" s="1" t="n">
        <v>2192.810533671977</v>
      </c>
      <c r="H377" s="1" t="n">
        <v>338.52736932746</v>
      </c>
      <c r="I377" s="1" t="n">
        <v>725.98</v>
      </c>
      <c r="J377" s="1" t="n">
        <v>550.7322838785822</v>
      </c>
      <c r="K377" s="1" t="n">
        <v>680.1104972375693</v>
      </c>
      <c r="L377" s="1" t="n">
        <v>345.7311266682208</v>
      </c>
    </row>
    <row r="378">
      <c r="A378" s="2" t="n">
        <v>42489</v>
      </c>
      <c r="B378" s="1" t="n">
        <v>48173.386565083</v>
      </c>
      <c r="C378" s="1" t="n">
        <v>6348.608247121046</v>
      </c>
      <c r="D378" s="1" t="n">
        <v>124204.6884510738</v>
      </c>
      <c r="E378" s="1" t="n">
        <v>648.4176685125343</v>
      </c>
      <c r="F378" s="1" t="n">
        <v>3054.504396528</v>
      </c>
      <c r="G378" s="1" t="n">
        <v>2192.810533671977</v>
      </c>
      <c r="H378" s="1" t="n">
        <v>338.8320439598547</v>
      </c>
      <c r="I378" s="1" t="n">
        <v>725.98</v>
      </c>
      <c r="J378" s="1" t="n">
        <v>552.1641878166664</v>
      </c>
      <c r="K378" s="1" t="n">
        <v>682.2099447513816</v>
      </c>
      <c r="L378" s="1" t="n">
        <v>346.4225889215573</v>
      </c>
    </row>
    <row r="379">
      <c r="A379" s="2" t="n">
        <v>42521</v>
      </c>
      <c r="B379" s="1" t="n">
        <v>49661.9150910531</v>
      </c>
      <c r="C379" s="1" t="n">
        <v>6811.752457685398</v>
      </c>
      <c r="D379" s="1" t="n">
        <v>129812.3412241862</v>
      </c>
      <c r="E379" s="1" t="n">
        <v>693.8697803271061</v>
      </c>
      <c r="F379" s="1" t="n">
        <v>3289.0482134825</v>
      </c>
      <c r="G379" s="1" t="n">
        <v>2192.810533671977</v>
      </c>
      <c r="H379" s="1" t="n">
        <v>332.2925855114295</v>
      </c>
      <c r="I379" s="1" t="n">
        <v>725.98</v>
      </c>
      <c r="J379" s="1" t="n">
        <v>559.1214565831564</v>
      </c>
      <c r="K379" s="1" t="n">
        <v>686.0699815837939</v>
      </c>
      <c r="L379" s="1" t="n">
        <v>347.0807918405083</v>
      </c>
    </row>
    <row r="380">
      <c r="A380" s="2" t="n">
        <v>42551</v>
      </c>
      <c r="B380" s="1" t="n">
        <v>48530.3609757432</v>
      </c>
      <c r="C380" s="1" t="n">
        <v>6543.382669750509</v>
      </c>
      <c r="D380" s="1" t="n">
        <v>128432.3978883333</v>
      </c>
      <c r="E380" s="1" t="n">
        <v>702.7194023468679</v>
      </c>
      <c r="F380" s="1" t="n">
        <v>3202.6066385169</v>
      </c>
      <c r="G380" s="1" t="n">
        <v>2243.242166294683</v>
      </c>
      <c r="H380" s="1" t="n">
        <v>329.7339326029914</v>
      </c>
      <c r="I380" s="1" t="n">
        <v>758.432</v>
      </c>
      <c r="J380" s="1" t="n">
        <v>566.5577719557124</v>
      </c>
      <c r="K380" s="1" t="n">
        <v>699.6257826887664</v>
      </c>
      <c r="L380" s="1" t="n">
        <v>347.6361211074531</v>
      </c>
    </row>
    <row r="381">
      <c r="A381" s="2" t="n">
        <v>42580</v>
      </c>
      <c r="B381" s="1" t="n">
        <v>51580.9542611056</v>
      </c>
      <c r="C381" s="1" t="n">
        <v>6676.186286322182</v>
      </c>
      <c r="D381" s="1" t="n">
        <v>131224.2965033282</v>
      </c>
      <c r="E381" s="1" t="n">
        <v>718.382659571403</v>
      </c>
      <c r="F381" s="1" t="n">
        <v>2837.3106724442</v>
      </c>
      <c r="G381" s="1" t="n">
        <v>2243.242166294683</v>
      </c>
      <c r="H381" s="1" t="n">
        <v>334.8777819515981</v>
      </c>
      <c r="I381" s="1" t="n">
        <v>758.432</v>
      </c>
      <c r="J381" s="1" t="n">
        <v>570.7502994681847</v>
      </c>
      <c r="K381" s="1" t="n">
        <v>704.5377532228364</v>
      </c>
      <c r="L381" s="1" t="n">
        <v>348.2271025133358</v>
      </c>
    </row>
    <row r="382">
      <c r="A382" s="2" t="n">
        <v>42613</v>
      </c>
      <c r="B382" s="1" t="n">
        <v>50896.5696741148</v>
      </c>
      <c r="C382" s="1" t="n">
        <v>6783.526603703461</v>
      </c>
      <c r="D382" s="1" t="n">
        <v>136414.742313518</v>
      </c>
      <c r="E382" s="1" t="n">
        <v>705.7229475209248</v>
      </c>
      <c r="F382" s="1" t="n">
        <v>2920.162417108</v>
      </c>
      <c r="G382" s="1" t="n">
        <v>2243.242166294683</v>
      </c>
      <c r="H382" s="1" t="n">
        <v>336.5186830831609</v>
      </c>
      <c r="I382" s="1" t="n">
        <v>758.432</v>
      </c>
      <c r="J382" s="1" t="n">
        <v>573.1474507259511</v>
      </c>
      <c r="K382" s="1" t="n">
        <v>704.9200736648254</v>
      </c>
      <c r="L382" s="1" t="n">
        <v>348.8190885876085</v>
      </c>
    </row>
    <row r="383">
      <c r="A383" s="2" t="n">
        <v>42643</v>
      </c>
      <c r="B383" s="1" t="n">
        <v>51100.3429231857</v>
      </c>
      <c r="C383" s="1" t="n">
        <v>6678.068546187488</v>
      </c>
      <c r="D383" s="1" t="n">
        <v>134604.8951387063</v>
      </c>
      <c r="E383" s="1" t="n">
        <v>682.1986516983706</v>
      </c>
      <c r="F383" s="1" t="n">
        <v>2986.7468241</v>
      </c>
      <c r="G383" s="1" t="n">
        <v>2283.806207102803</v>
      </c>
      <c r="H383" s="1" t="n">
        <v>330.3603911827391</v>
      </c>
      <c r="I383" s="1" t="n">
        <v>780.124</v>
      </c>
      <c r="J383" s="1" t="n">
        <v>571.886526334354</v>
      </c>
      <c r="K383" s="1" t="n">
        <v>705.4165745856358</v>
      </c>
      <c r="L383" s="1" t="n">
        <v>349.3074353116312</v>
      </c>
    </row>
    <row r="384">
      <c r="A384" s="2" t="n">
        <v>42674</v>
      </c>
      <c r="B384" s="1" t="n">
        <v>49988.1213501898</v>
      </c>
      <c r="C384" s="1" t="n">
        <v>6672.617919545783</v>
      </c>
      <c r="D384" s="1" t="n">
        <v>136207.9672635653</v>
      </c>
      <c r="E384" s="1" t="n">
        <v>650.0426529208524</v>
      </c>
      <c r="F384" s="1" t="n">
        <v>2958.6543357584</v>
      </c>
      <c r="G384" s="1" t="n">
        <v>2283.806207102803</v>
      </c>
      <c r="H384" s="1" t="n">
        <v>330.7237876130401</v>
      </c>
      <c r="I384" s="1" t="n">
        <v>780.124</v>
      </c>
      <c r="J384" s="1" t="n">
        <v>564.5663787972743</v>
      </c>
      <c r="K384" s="1" t="n">
        <v>699.0401473296505</v>
      </c>
      <c r="L384" s="1" t="n">
        <v>349.8313964645986</v>
      </c>
    </row>
    <row r="385">
      <c r="A385" s="2" t="n">
        <v>42704</v>
      </c>
      <c r="B385" s="1" t="n">
        <v>51217.0029879208</v>
      </c>
      <c r="C385" s="1" t="n">
        <v>7057.013199655827</v>
      </c>
      <c r="D385" s="1" t="n">
        <v>137233.7698972841</v>
      </c>
      <c r="E385" s="1" t="n">
        <v>659.5090269761691</v>
      </c>
      <c r="F385" s="1" t="n">
        <v>3124.396036762</v>
      </c>
      <c r="G385" s="1" t="n">
        <v>2283.806207102803</v>
      </c>
      <c r="H385" s="1" t="n">
        <v>336.4453091387458</v>
      </c>
      <c r="I385" s="1" t="n">
        <v>780.124</v>
      </c>
      <c r="J385" s="1" t="n">
        <v>556.4366229425935</v>
      </c>
      <c r="K385" s="1" t="n">
        <v>687.6751381215474</v>
      </c>
      <c r="L385" s="1" t="n">
        <v>350.3211604196491</v>
      </c>
    </row>
    <row r="386">
      <c r="A386" s="2" t="n">
        <v>42734</v>
      </c>
      <c r="B386" s="1" t="n">
        <v>53353.9745707573</v>
      </c>
      <c r="C386" s="1" t="n">
        <v>7403.292208308984</v>
      </c>
      <c r="D386" s="1" t="n">
        <v>140321.6923523405</v>
      </c>
      <c r="E386" s="1" t="n">
        <v>703.517711816325</v>
      </c>
      <c r="F386" s="1" t="n">
        <v>3338.3661985817</v>
      </c>
      <c r="G386" s="1" t="n">
        <v>2385.677581349107</v>
      </c>
      <c r="H386" s="1" t="n">
        <v>339.4733169209944</v>
      </c>
      <c r="I386" s="1" t="n">
        <v>802.824</v>
      </c>
      <c r="J386" s="1" t="n">
        <v>555.4906806835911</v>
      </c>
      <c r="K386" s="1" t="n">
        <v>690.1186003683245</v>
      </c>
      <c r="L386" s="1" t="n">
        <v>350.8466421602786</v>
      </c>
    </row>
    <row r="387">
      <c r="A387" s="2" t="n">
        <v>42766</v>
      </c>
      <c r="B387" s="1" t="n">
        <v>52945.5401691832</v>
      </c>
      <c r="C387" s="1" t="n">
        <v>7154.006230177472</v>
      </c>
      <c r="D387" s="1" t="n">
        <v>139165.7805011884</v>
      </c>
      <c r="E387" s="1" t="n">
        <v>665.1835489413704</v>
      </c>
      <c r="F387" s="1" t="n">
        <v>3139.2440626596</v>
      </c>
      <c r="G387" s="1" t="n">
        <v>2385.677581349107</v>
      </c>
      <c r="H387" s="1" t="n">
        <v>341.034894178831</v>
      </c>
      <c r="I387" s="1" t="n">
        <v>802.824</v>
      </c>
      <c r="J387" s="1" t="n">
        <v>558.879173835761</v>
      </c>
      <c r="K387" s="1" t="n">
        <v>688.3447513812157</v>
      </c>
      <c r="L387" s="1" t="n">
        <v>351.4079967877351</v>
      </c>
    </row>
    <row r="388">
      <c r="A388" s="2" t="n">
        <v>42794</v>
      </c>
      <c r="B388" s="1" t="n">
        <v>54051.4451779115</v>
      </c>
      <c r="C388" s="1" t="n">
        <v>7285.963124799311</v>
      </c>
      <c r="D388" s="1" t="n">
        <v>139731.9877156645</v>
      </c>
      <c r="E388" s="1" t="n">
        <v>677.416174469019</v>
      </c>
      <c r="F388" s="1" t="n">
        <v>3106.841341841</v>
      </c>
      <c r="G388" s="1" t="n">
        <v>2385.677581349107</v>
      </c>
      <c r="H388" s="1" t="n">
        <v>341.9556883931138</v>
      </c>
      <c r="I388" s="1" t="n">
        <v>802.824</v>
      </c>
      <c r="J388" s="1" t="n">
        <v>559.8292684312818</v>
      </c>
      <c r="K388" s="1" t="n">
        <v>694.6416206261513</v>
      </c>
      <c r="L388" s="1" t="n">
        <v>351.8648271835592</v>
      </c>
    </row>
    <row r="389">
      <c r="A389" s="2" t="n">
        <v>42825</v>
      </c>
      <c r="B389" s="1" t="n">
        <v>55757.4833184676</v>
      </c>
      <c r="C389" s="1" t="n">
        <v>7419.307186962481</v>
      </c>
      <c r="D389" s="1" t="n">
        <v>143587.9128426312</v>
      </c>
      <c r="E389" s="1" t="n">
        <v>671.871093681101</v>
      </c>
      <c r="F389" s="1" t="n">
        <v>3008.7002748819</v>
      </c>
      <c r="G389" s="1" t="n">
        <v>2445.591868782089</v>
      </c>
      <c r="H389" s="1" t="n">
        <v>348.0083040776719</v>
      </c>
      <c r="I389" s="1" t="n">
        <v>817.196</v>
      </c>
      <c r="J389" s="1" t="n">
        <v>562.2925172123794</v>
      </c>
      <c r="K389" s="1" t="n">
        <v>694.816942909761</v>
      </c>
      <c r="L389" s="1" t="n">
        <v>352.3926244243345</v>
      </c>
    </row>
    <row r="390">
      <c r="A390" s="2" t="n">
        <v>42853</v>
      </c>
      <c r="B390" s="1" t="n">
        <v>56191.9993418827</v>
      </c>
      <c r="C390" s="1" t="n">
        <v>7659.064593333892</v>
      </c>
      <c r="D390" s="1" t="n">
        <v>149904.1849920567</v>
      </c>
      <c r="E390" s="1" t="n">
        <v>689.421966693124</v>
      </c>
      <c r="F390" s="1" t="n">
        <v>3004.407201859</v>
      </c>
      <c r="G390" s="1" t="n">
        <v>2445.591868782089</v>
      </c>
      <c r="H390" s="1" t="n">
        <v>349.5047397852059</v>
      </c>
      <c r="I390" s="1" t="n">
        <v>817.196</v>
      </c>
      <c r="J390" s="1" t="n">
        <v>566.5097110914722</v>
      </c>
      <c r="K390" s="1" t="n">
        <v>699.9631675874774</v>
      </c>
      <c r="L390" s="1" t="n">
        <v>352.9212133609711</v>
      </c>
    </row>
    <row r="391">
      <c r="A391" s="2" t="n">
        <v>42886</v>
      </c>
      <c r="B391" s="1" t="n">
        <v>54742.4379957777</v>
      </c>
      <c r="C391" s="1" t="n">
        <v>7815.476184098882</v>
      </c>
      <c r="D391" s="1" t="n">
        <v>154327.1023929042</v>
      </c>
      <c r="E391" s="1" t="n">
        <v>691.6954007990173</v>
      </c>
      <c r="F391" s="1" t="n">
        <v>2971.761575708</v>
      </c>
      <c r="G391" s="1" t="n">
        <v>2445.591868782089</v>
      </c>
      <c r="H391" s="1" t="n">
        <v>351.5318672759601</v>
      </c>
      <c r="I391" s="1" t="n">
        <v>817.196</v>
      </c>
      <c r="J391" s="1" t="n">
        <v>573.1378747112425</v>
      </c>
      <c r="K391" s="1" t="n">
        <v>704.4559852670352</v>
      </c>
      <c r="L391" s="1" t="n">
        <v>353.4505951810125</v>
      </c>
    </row>
    <row r="392">
      <c r="A392" s="2" t="n">
        <v>42916</v>
      </c>
      <c r="B392" s="1" t="n">
        <v>54897.1121834427</v>
      </c>
      <c r="C392" s="1" t="n">
        <v>7589.800027124048</v>
      </c>
      <c r="D392" s="1" t="n">
        <v>152337.3740330961</v>
      </c>
      <c r="E392" s="1" t="n">
        <v>676.3741997814085</v>
      </c>
      <c r="F392" s="1" t="n">
        <v>2828.776528848</v>
      </c>
      <c r="G392" s="1" t="n">
        <v>2500.724302318873</v>
      </c>
      <c r="H392" s="1" t="n">
        <v>350.7936503546806</v>
      </c>
      <c r="I392" s="1" t="n">
        <v>846.2879999999999</v>
      </c>
      <c r="J392" s="1" t="n">
        <v>568.0369476263124</v>
      </c>
      <c r="K392" s="1" t="n">
        <v>702.931860036833</v>
      </c>
      <c r="L392" s="1" t="n">
        <v>353.945426014266</v>
      </c>
    </row>
    <row r="393">
      <c r="A393" s="2" t="n">
        <v>42947</v>
      </c>
      <c r="B393" s="1" t="n">
        <v>54996.6469803272</v>
      </c>
      <c r="C393" s="1" t="n">
        <v>7398.864038183397</v>
      </c>
      <c r="D393" s="1" t="n">
        <v>153637.3151623755</v>
      </c>
      <c r="E393" s="1" t="n">
        <v>656.596252136778</v>
      </c>
      <c r="F393" s="1" t="n">
        <v>2842.480221049</v>
      </c>
      <c r="G393" s="1" t="n">
        <v>2500.724302318873</v>
      </c>
      <c r="H393" s="1" t="n">
        <v>352.1968249560993</v>
      </c>
      <c r="I393" s="1" t="n">
        <v>846.2879999999999</v>
      </c>
      <c r="J393" s="1" t="n">
        <v>569.4570399953782</v>
      </c>
      <c r="K393" s="1" t="n">
        <v>705.4990791896873</v>
      </c>
      <c r="L393" s="1" t="n">
        <v>354.4763441532874</v>
      </c>
    </row>
    <row r="394">
      <c r="A394" s="2" t="n">
        <v>42978</v>
      </c>
      <c r="B394" s="1" t="n">
        <v>55431.1643812709</v>
      </c>
      <c r="C394" s="1" t="n">
        <v>7462.153992796852</v>
      </c>
      <c r="D394" s="1" t="n">
        <v>157962.9346229456</v>
      </c>
      <c r="E394" s="1" t="n">
        <v>660.3060046848992</v>
      </c>
      <c r="F394" s="1" t="n">
        <v>2838.889324674</v>
      </c>
      <c r="G394" s="1" t="n">
        <v>2500.724302318873</v>
      </c>
      <c r="H394" s="1" t="n">
        <v>356.0357703481208</v>
      </c>
      <c r="I394" s="1" t="n">
        <v>846.2879999999999</v>
      </c>
      <c r="J394" s="1" t="n">
        <v>569.4234964018506</v>
      </c>
      <c r="K394" s="1" t="n">
        <v>712.2511970534073</v>
      </c>
      <c r="L394" s="1" t="n">
        <v>354.9799901212273</v>
      </c>
    </row>
    <row r="395">
      <c r="A395" s="2" t="n">
        <v>43007</v>
      </c>
      <c r="B395" s="1" t="n">
        <v>55459.7471149038</v>
      </c>
      <c r="C395" s="1" t="n">
        <v>7721.000365872177</v>
      </c>
      <c r="D395" s="1" t="n">
        <v>160419.6054398906</v>
      </c>
      <c r="E395" s="1" t="n">
        <v>666.4752563636945</v>
      </c>
      <c r="F395" s="1" t="n">
        <v>2964.959991796</v>
      </c>
      <c r="G395" s="1" t="n">
        <v>2503.089079137367</v>
      </c>
      <c r="H395" s="1" t="n">
        <v>359.9521638219501</v>
      </c>
      <c r="I395" s="1" t="n">
        <v>867.784</v>
      </c>
      <c r="J395" s="1" t="n">
        <v>567.6503517830885</v>
      </c>
      <c r="K395" s="1" t="n">
        <v>709.1668508287296</v>
      </c>
      <c r="L395" s="1" t="n">
        <v>355.4826827278924</v>
      </c>
    </row>
    <row r="396">
      <c r="A396" s="2" t="n">
        <v>43039</v>
      </c>
      <c r="B396" s="1" t="n">
        <v>57712.8588589545</v>
      </c>
      <c r="C396" s="1" t="n">
        <v>8104.096017497374</v>
      </c>
      <c r="D396" s="1" t="n">
        <v>170563.6264589586</v>
      </c>
      <c r="E396" s="1" t="n">
        <v>679.0785985069354</v>
      </c>
      <c r="F396" s="1" t="n">
        <v>3150.025276092</v>
      </c>
      <c r="G396" s="1" t="n">
        <v>2503.089079137367</v>
      </c>
      <c r="H396" s="1" t="n">
        <v>361.9319007229709</v>
      </c>
      <c r="I396" s="1" t="n">
        <v>867.784</v>
      </c>
      <c r="J396" s="1" t="n">
        <v>573.864302484065</v>
      </c>
      <c r="K396" s="1" t="n">
        <v>712.4662983425417</v>
      </c>
      <c r="L396" s="1" t="n">
        <v>356.0045452929495</v>
      </c>
    </row>
    <row r="397">
      <c r="A397" s="2" t="n">
        <v>43069</v>
      </c>
      <c r="B397" s="1" t="n">
        <v>58813.497835162</v>
      </c>
      <c r="C397" s="1" t="n">
        <v>8318.187109150656</v>
      </c>
      <c r="D397" s="1" t="n">
        <v>170863.1870247025</v>
      </c>
      <c r="E397" s="1" t="n">
        <v>704.2227852440128</v>
      </c>
      <c r="F397" s="1" t="n">
        <v>3225.5326796364</v>
      </c>
      <c r="G397" s="1" t="n">
        <v>2503.089079137367</v>
      </c>
      <c r="H397" s="1" t="n">
        <v>364.2482648875978</v>
      </c>
      <c r="I397" s="1" t="n">
        <v>867.784</v>
      </c>
      <c r="J397" s="1" t="n">
        <v>578.8542272806239</v>
      </c>
      <c r="K397" s="1" t="n">
        <v>713.8099447513815</v>
      </c>
      <c r="L397" s="1" t="n">
        <v>355.3693436877188</v>
      </c>
    </row>
    <row r="398">
      <c r="A398" s="2" t="n">
        <v>43098</v>
      </c>
      <c r="B398" s="1" t="n">
        <v>60007.7743495264</v>
      </c>
      <c r="C398" s="1" t="n">
        <v>8165.165436920343</v>
      </c>
      <c r="D398" s="1" t="n">
        <v>170174.3748146994</v>
      </c>
      <c r="E398" s="1" t="n">
        <v>688.7827863921985</v>
      </c>
      <c r="F398" s="1" t="n">
        <v>3268.8204647868</v>
      </c>
      <c r="G398" s="1" t="n">
        <v>2534.640745566134</v>
      </c>
      <c r="H398" s="1" t="n">
        <v>365.9238069060808</v>
      </c>
      <c r="I398" s="1" t="n">
        <v>921.412</v>
      </c>
      <c r="J398" s="1" t="n">
        <v>575.842933139117</v>
      </c>
      <c r="K398" s="1" t="n">
        <v>715.5160220994478</v>
      </c>
      <c r="L398" s="1" t="n">
        <v>356.9897167816645</v>
      </c>
    </row>
    <row r="399">
      <c r="A399" s="2" t="n">
        <v>43131</v>
      </c>
      <c r="B399" s="1" t="n">
        <v>59809.1899294425</v>
      </c>
      <c r="C399" s="1" t="n">
        <v>8185.594312490155</v>
      </c>
      <c r="D399" s="1" t="n">
        <v>175511.8326434339</v>
      </c>
      <c r="E399" s="1" t="n">
        <v>646.6119362436364</v>
      </c>
      <c r="F399" s="1" t="n">
        <v>3265.3622589357</v>
      </c>
      <c r="G399" s="1" t="n">
        <v>2534.640745566134</v>
      </c>
      <c r="H399" s="1" t="n">
        <v>366.3995078550587</v>
      </c>
      <c r="I399" s="1" t="n">
        <v>921.412</v>
      </c>
      <c r="J399" s="1" t="n">
        <v>574.3016302372737</v>
      </c>
      <c r="K399" s="1" t="n">
        <v>710.6143646408842</v>
      </c>
      <c r="L399" s="1" t="n">
        <v>357.5460852718272</v>
      </c>
    </row>
    <row r="400">
      <c r="A400" s="2" t="n">
        <v>43159</v>
      </c>
      <c r="B400" s="1" t="n">
        <v>59916.0117448667</v>
      </c>
      <c r="C400" s="1" t="n">
        <v>8209.230828300177</v>
      </c>
      <c r="D400" s="1" t="n">
        <v>175350.0293209125</v>
      </c>
      <c r="E400" s="1" t="n">
        <v>630.9877201629691</v>
      </c>
      <c r="F400" s="1" t="n">
        <v>3279.8500853019</v>
      </c>
      <c r="G400" s="1" t="n">
        <v>2534.640745566134</v>
      </c>
      <c r="H400" s="1" t="n">
        <v>370.2467026875368</v>
      </c>
      <c r="I400" s="1" t="n">
        <v>921.412</v>
      </c>
      <c r="J400" s="1" t="n">
        <v>577.9108934440029</v>
      </c>
      <c r="K400" s="1" t="n">
        <v>708.9745856353595</v>
      </c>
      <c r="L400" s="1" t="n">
        <v>359.5583657540929</v>
      </c>
    </row>
    <row r="401">
      <c r="A401" s="2" t="n">
        <v>43189</v>
      </c>
      <c r="B401" s="1" t="n">
        <v>57791.4083013349</v>
      </c>
      <c r="C401" s="1" t="n">
        <v>8152.491145227759</v>
      </c>
      <c r="D401" s="1" t="n">
        <v>174848.8276512063</v>
      </c>
      <c r="E401" s="1" t="n">
        <v>658.0446313447236</v>
      </c>
      <c r="F401" s="1" t="n">
        <v>3405.9940988752</v>
      </c>
      <c r="G401" s="1" t="n">
        <v>2525.021195774146</v>
      </c>
      <c r="H401" s="1" t="n">
        <v>373.0235529576934</v>
      </c>
      <c r="I401" s="1" t="n">
        <v>961.4040000000001</v>
      </c>
      <c r="J401" s="1" t="n">
        <v>579.4712528563017</v>
      </c>
      <c r="K401" s="1" t="n">
        <v>714.8987108655622</v>
      </c>
      <c r="L401" s="1" t="n">
        <v>360.0977033027241</v>
      </c>
    </row>
    <row r="402">
      <c r="A402" s="2" t="n">
        <v>43220</v>
      </c>
      <c r="B402" s="1" t="n">
        <v>59810.0555639561</v>
      </c>
      <c r="C402" s="1" t="n">
        <v>8450.301103953294</v>
      </c>
      <c r="D402" s="1" t="n">
        <v>179780.284808358</v>
      </c>
      <c r="E402" s="1" t="n">
        <v>684.3701019533909</v>
      </c>
      <c r="F402" s="1" t="n">
        <v>3635.426878833</v>
      </c>
      <c r="G402" s="1" t="n">
        <v>2525.021195774146</v>
      </c>
      <c r="H402" s="1" t="n">
        <v>375.5601131178057</v>
      </c>
      <c r="I402" s="1" t="n">
        <v>961.4040000000001</v>
      </c>
      <c r="J402" s="1" t="n">
        <v>577.4431034713047</v>
      </c>
      <c r="K402" s="1" t="n">
        <v>712.1591160220999</v>
      </c>
      <c r="L402" s="1" t="n">
        <v>360.6738596280085</v>
      </c>
    </row>
    <row r="403">
      <c r="A403" s="2" t="n">
        <v>43251</v>
      </c>
      <c r="B403" s="1" t="n">
        <v>60647.026490073</v>
      </c>
      <c r="C403" s="1" t="n">
        <v>8545.412286690895</v>
      </c>
      <c r="D403" s="1" t="n">
        <v>175423.2659545052</v>
      </c>
      <c r="E403" s="1" t="n">
        <v>701.4516928982003</v>
      </c>
      <c r="F403" s="1" t="n">
        <v>3679.26778757</v>
      </c>
      <c r="G403" s="1" t="n">
        <v>2525.021195774146</v>
      </c>
      <c r="H403" s="1" t="n">
        <v>380.2546145317782</v>
      </c>
      <c r="I403" s="1" t="n">
        <v>961.4040000000001</v>
      </c>
      <c r="J403" s="1" t="n">
        <v>581.4274608852566</v>
      </c>
      <c r="K403" s="1" t="n">
        <v>714.7823204419894</v>
      </c>
      <c r="L403" s="1" t="n">
        <v>361.2870051893761</v>
      </c>
    </row>
    <row r="404">
      <c r="A404" s="2" t="n">
        <v>43280</v>
      </c>
      <c r="B404" s="1" t="n">
        <v>62434.9026394653</v>
      </c>
      <c r="C404" s="1" t="n">
        <v>8783.295646023138</v>
      </c>
      <c r="D404" s="1" t="n">
        <v>175342.947682301</v>
      </c>
      <c r="E404" s="1" t="n">
        <v>740.1273101452261</v>
      </c>
      <c r="F404" s="1" t="n">
        <v>3818.9700404362</v>
      </c>
      <c r="G404" s="1" t="n">
        <v>2515.321141057525</v>
      </c>
      <c r="H404" s="1" t="n">
        <v>381.5094547597331</v>
      </c>
      <c r="I404" s="1" t="n">
        <v>994.668</v>
      </c>
      <c r="J404" s="1" t="n">
        <v>584.2183126975058</v>
      </c>
      <c r="K404" s="1" t="n">
        <v>715.9690607734811</v>
      </c>
      <c r="L404" s="1" t="n">
        <v>361.8289356971601</v>
      </c>
    </row>
    <row r="405">
      <c r="A405" s="2" t="n">
        <v>43312</v>
      </c>
      <c r="B405" s="1" t="n">
        <v>63198.7417516203</v>
      </c>
      <c r="C405" s="1" t="n">
        <v>9006.346877968339</v>
      </c>
      <c r="D405" s="1" t="n">
        <v>177375.9670855424</v>
      </c>
      <c r="E405" s="1" t="n">
        <v>741.763238695216</v>
      </c>
      <c r="F405" s="1" t="n">
        <v>3661.5888190725</v>
      </c>
      <c r="G405" s="1" t="n">
        <v>2515.321141057525</v>
      </c>
      <c r="H405" s="1" t="n">
        <v>389.1396438549278</v>
      </c>
      <c r="I405" s="1" t="n">
        <v>994.668</v>
      </c>
      <c r="J405" s="1" t="n">
        <v>585.1530619978219</v>
      </c>
      <c r="K405" s="1" t="n">
        <v>716.0972375690612</v>
      </c>
      <c r="L405" s="1" t="n">
        <v>362.5164106749847</v>
      </c>
    </row>
    <row r="406">
      <c r="A406" s="2" t="n">
        <v>43343</v>
      </c>
      <c r="B406" s="1" t="n">
        <v>64278.8711820877</v>
      </c>
      <c r="C406" s="1" t="n">
        <v>9386.209208330058</v>
      </c>
      <c r="D406" s="1" t="n">
        <v>181382.1196377194</v>
      </c>
      <c r="E406" s="1" t="n">
        <v>777.8913243201885</v>
      </c>
      <c r="F406" s="1" t="n">
        <v>3804.41105359</v>
      </c>
      <c r="G406" s="1" t="n">
        <v>2515.321141057525</v>
      </c>
      <c r="H406" s="1" t="n">
        <v>383.8862586628863</v>
      </c>
      <c r="I406" s="1" t="n">
        <v>994.668</v>
      </c>
      <c r="J406" s="1" t="n">
        <v>589.8928018000042</v>
      </c>
      <c r="K406" s="1" t="n">
        <v>718.1922651933708</v>
      </c>
      <c r="L406" s="1" t="n">
        <v>363.1326885731322</v>
      </c>
    </row>
    <row r="407">
      <c r="A407" s="2" t="n">
        <v>43371</v>
      </c>
      <c r="B407" s="1" t="n">
        <v>63599.1233353132</v>
      </c>
      <c r="C407" s="1" t="n">
        <v>9453.871901887309</v>
      </c>
      <c r="D407" s="1" t="n">
        <v>179250.7693281648</v>
      </c>
      <c r="E407" s="1" t="n">
        <v>760.831807870932</v>
      </c>
      <c r="F407" s="1" t="n">
        <v>3951.963254503501</v>
      </c>
      <c r="G407" s="1" t="n">
        <v>2484.746477331747</v>
      </c>
      <c r="H407" s="1" t="n">
        <v>381.6597183626415</v>
      </c>
      <c r="I407" s="1" t="n">
        <v>1028.188</v>
      </c>
      <c r="J407" s="1" t="n">
        <v>587.4152520324442</v>
      </c>
      <c r="K407" s="1" t="n">
        <v>715.4659300184167</v>
      </c>
      <c r="L407" s="1" t="n">
        <v>363.7137008748492</v>
      </c>
    </row>
    <row r="408">
      <c r="A408" s="2" t="n">
        <v>43404</v>
      </c>
      <c r="B408" s="1" t="n">
        <v>59483.0861480203</v>
      </c>
      <c r="C408" s="1" t="n">
        <v>8996.906522660322</v>
      </c>
      <c r="D408" s="1" t="n">
        <v>168776.7158009267</v>
      </c>
      <c r="E408" s="1" t="n">
        <v>755.7455457768328</v>
      </c>
      <c r="F408" s="1" t="n">
        <v>3798.738505153201</v>
      </c>
      <c r="G408" s="1" t="n">
        <v>2484.746477331747</v>
      </c>
      <c r="H408" s="1" t="n">
        <v>383.9878426446536</v>
      </c>
      <c r="I408" s="1" t="n">
        <v>1028.188</v>
      </c>
      <c r="J408" s="1" t="n">
        <v>590.2348452421999</v>
      </c>
      <c r="K408" s="1" t="n">
        <v>713.8408839779009</v>
      </c>
      <c r="L408" s="1" t="n">
        <v>364.3320141663365</v>
      </c>
    </row>
    <row r="409">
      <c r="A409" s="2" t="n">
        <v>43434</v>
      </c>
      <c r="B409" s="1" t="n">
        <v>58149.2001566637</v>
      </c>
      <c r="C409" s="1" t="n">
        <v>8837.011984895969</v>
      </c>
      <c r="D409" s="1" t="n">
        <v>168679.7285696428</v>
      </c>
      <c r="E409" s="1" t="n">
        <v>757.9739783348736</v>
      </c>
      <c r="F409" s="1" t="n">
        <v>3270.9799372653</v>
      </c>
      <c r="G409" s="1" t="n">
        <v>2484.746477331747</v>
      </c>
      <c r="H409" s="1" t="n">
        <v>385.1014073883231</v>
      </c>
      <c r="I409" s="1" t="n">
        <v>1028.188</v>
      </c>
      <c r="J409" s="1" t="n">
        <v>591.6514088707811</v>
      </c>
      <c r="K409" s="1" t="n">
        <v>717.0467771639045</v>
      </c>
      <c r="L409" s="1" t="n">
        <v>364.878512187586</v>
      </c>
    </row>
    <row r="410">
      <c r="A410" s="2" t="n">
        <v>43465</v>
      </c>
      <c r="B410" s="1" t="n">
        <v>57887.9148314053</v>
      </c>
      <c r="C410" s="1" t="n">
        <v>8449.167641558444</v>
      </c>
      <c r="D410" s="1" t="n">
        <v>170687.9851473593</v>
      </c>
      <c r="E410" s="1" t="n">
        <v>740.4484805565896</v>
      </c>
      <c r="F410" s="1" t="n">
        <v>3129.9274566605</v>
      </c>
      <c r="G410" s="1" t="n">
        <v>2433.111400568122</v>
      </c>
      <c r="H410" s="1" t="n">
        <v>383.5995118995086</v>
      </c>
      <c r="I410" s="1" t="n">
        <v>1027.26</v>
      </c>
      <c r="J410" s="1" t="n">
        <v>600.5261800038428</v>
      </c>
      <c r="K410" s="1" t="n">
        <v>727.3193370165749</v>
      </c>
      <c r="L410" s="1" t="n">
        <v>365.4258299558674</v>
      </c>
    </row>
    <row r="411">
      <c r="A411" s="2" t="n">
        <v>43496</v>
      </c>
      <c r="B411" s="1" t="n">
        <v>60199.5048103039</v>
      </c>
      <c r="C411" s="1" t="n">
        <v>8751.195336316379</v>
      </c>
      <c r="D411" s="1" t="n">
        <v>176619.6584134276</v>
      </c>
      <c r="E411" s="1" t="n">
        <v>787.7485796301771</v>
      </c>
      <c r="F411" s="1" t="n">
        <v>3293.609191099999</v>
      </c>
      <c r="G411" s="1" t="n">
        <v>2433.111400568122</v>
      </c>
      <c r="H411" s="1" t="n">
        <v>385.3640696542464</v>
      </c>
      <c r="I411" s="1" t="n">
        <v>1027.26</v>
      </c>
      <c r="J411" s="1" t="n">
        <v>604.3695475558674</v>
      </c>
      <c r="K411" s="1" t="n">
        <v>734.3388581952121</v>
      </c>
      <c r="L411" s="1" t="n">
        <v>366.083596449788</v>
      </c>
    </row>
    <row r="412">
      <c r="A412" s="2" t="n">
        <v>43524</v>
      </c>
      <c r="B412" s="1" t="n">
        <v>63843.8197543532</v>
      </c>
      <c r="C412" s="1" t="n">
        <v>9272.782918853278</v>
      </c>
      <c r="D412" s="1" t="n">
        <v>183016.0994582674</v>
      </c>
      <c r="E412" s="1" t="n">
        <v>811.1229916653996</v>
      </c>
      <c r="F412" s="1" t="n">
        <v>3504.2716747428</v>
      </c>
      <c r="G412" s="1" t="n">
        <v>2433.111400568122</v>
      </c>
      <c r="H412" s="1" t="n">
        <v>385.7879701308661</v>
      </c>
      <c r="I412" s="1" t="n">
        <v>1027.26</v>
      </c>
      <c r="J412" s="1" t="n">
        <v>610.0506213028925</v>
      </c>
      <c r="K412" s="1" t="n">
        <v>734.8419889502767</v>
      </c>
      <c r="L412" s="1" t="n">
        <v>366.7059385637526</v>
      </c>
    </row>
    <row r="413">
      <c r="A413" s="2" t="n">
        <v>43553</v>
      </c>
      <c r="B413" s="1" t="n">
        <v>64292.2387794278</v>
      </c>
      <c r="C413" s="1" t="n">
        <v>9443.234739404807</v>
      </c>
      <c r="D413" s="1" t="n">
        <v>185849.455094008</v>
      </c>
      <c r="E413" s="1" t="n">
        <v>838.9561025002729</v>
      </c>
      <c r="F413" s="1" t="n">
        <v>3566.1757284111</v>
      </c>
      <c r="G413" s="1" t="n">
        <v>2367.196680988272</v>
      </c>
      <c r="H413" s="1" t="n">
        <v>385.5179185517745</v>
      </c>
      <c r="I413" s="1" t="n">
        <v>1047.5</v>
      </c>
      <c r="J413" s="1" t="n">
        <v>621.1535426106052</v>
      </c>
      <c r="K413" s="1" t="n">
        <v>747.6294659300189</v>
      </c>
      <c r="L413" s="1" t="n">
        <v>367.329338659311</v>
      </c>
    </row>
    <row r="414">
      <c r="A414" s="2" t="n">
        <v>43585</v>
      </c>
      <c r="B414" s="1" t="n">
        <v>65925.66900972019</v>
      </c>
      <c r="C414" s="1" t="n">
        <v>9894.784798358445</v>
      </c>
      <c r="D414" s="1" t="n">
        <v>192405.9036151941</v>
      </c>
      <c r="E414" s="1" t="n">
        <v>844.8573056652808</v>
      </c>
      <c r="F414" s="1" t="n">
        <v>3701.6538562357</v>
      </c>
      <c r="G414" s="1" t="n">
        <v>2367.196680988272</v>
      </c>
      <c r="H414" s="1" t="n">
        <v>376.6510064250837</v>
      </c>
      <c r="I414" s="1" t="n">
        <v>1047.5</v>
      </c>
      <c r="J414" s="1" t="n">
        <v>622.8927725299149</v>
      </c>
      <c r="K414" s="1" t="n">
        <v>747.6184162062619</v>
      </c>
      <c r="L414" s="1" t="n">
        <v>367.9170656011659</v>
      </c>
    </row>
    <row r="415">
      <c r="A415" s="2" t="n">
        <v>43616</v>
      </c>
      <c r="B415" s="1" t="n">
        <v>67027.2822685588</v>
      </c>
      <c r="C415" s="1" t="n">
        <v>9488.275715746604</v>
      </c>
      <c r="D415" s="1" t="n">
        <v>182615.9195798344</v>
      </c>
      <c r="E415" s="1" t="n">
        <v>857.7477308425933</v>
      </c>
      <c r="F415" s="1" t="n">
        <v>3451.562271027</v>
      </c>
      <c r="G415" s="1" t="n">
        <v>2367.196680988272</v>
      </c>
      <c r="H415" s="1" t="n">
        <v>375.3327279025959</v>
      </c>
      <c r="I415" s="1" t="n">
        <v>1047.5</v>
      </c>
      <c r="J415" s="1" t="n">
        <v>633.4819496629234</v>
      </c>
      <c r="K415" s="1" t="n">
        <v>757.9211786372013</v>
      </c>
      <c r="L415" s="1" t="n">
        <v>368.4689411995677</v>
      </c>
    </row>
    <row r="416">
      <c r="A416" s="2" t="n">
        <v>43644</v>
      </c>
      <c r="B416" s="1" t="n">
        <v>69326.9013031948</v>
      </c>
      <c r="C416" s="1" t="n">
        <v>9924.198112123899</v>
      </c>
      <c r="D416" s="1" t="n">
        <v>188748.0343240347</v>
      </c>
      <c r="E416" s="1" t="n">
        <v>860.5941634227479</v>
      </c>
      <c r="F416" s="1" t="n">
        <v>3558.767351548499</v>
      </c>
      <c r="G416" s="1" t="n">
        <v>2356.814585814811</v>
      </c>
      <c r="H416" s="1" t="n">
        <v>384.9412457369024</v>
      </c>
      <c r="I416" s="1" t="n">
        <v>1091.808</v>
      </c>
      <c r="J416" s="1" t="n">
        <v>640.0701619394177</v>
      </c>
      <c r="K416" s="1" t="n">
        <v>767.7016574585639</v>
      </c>
      <c r="L416" s="1" t="n">
        <v>368.9479508231271</v>
      </c>
    </row>
    <row r="417">
      <c r="A417" s="2" t="n">
        <v>43677</v>
      </c>
      <c r="B417" s="1" t="n">
        <v>71378.46670846789</v>
      </c>
      <c r="C417" s="1" t="n">
        <v>10226.67417296174</v>
      </c>
      <c r="D417" s="1" t="n">
        <v>190434.3104490234</v>
      </c>
      <c r="E417" s="1" t="n">
        <v>887.0010110310016</v>
      </c>
      <c r="F417" s="1" t="n">
        <v>3615.6344455824</v>
      </c>
      <c r="G417" s="1" t="n">
        <v>2356.814585814811</v>
      </c>
      <c r="H417" s="1" t="n">
        <v>389.3295759383031</v>
      </c>
      <c r="I417" s="1" t="n">
        <v>1091.808</v>
      </c>
      <c r="J417" s="1" t="n">
        <v>646.1508284778423</v>
      </c>
      <c r="K417" s="1" t="n">
        <v>772.9937384898716</v>
      </c>
      <c r="L417" s="1" t="n">
        <v>369.3906883641149</v>
      </c>
    </row>
    <row r="418">
      <c r="A418" s="2" t="n">
        <v>43707</v>
      </c>
      <c r="B418" s="1" t="n">
        <v>69796.9693263065</v>
      </c>
      <c r="C418" s="1" t="n">
        <v>10262.96820289378</v>
      </c>
      <c r="D418" s="1" t="n">
        <v>189944.6174945162</v>
      </c>
      <c r="E418" s="1" t="n">
        <v>932.2672570810673</v>
      </c>
      <c r="F418" s="1" t="n">
        <v>3490.83623273</v>
      </c>
      <c r="G418" s="1" t="n">
        <v>2356.814585814811</v>
      </c>
      <c r="H418" s="1" t="n">
        <v>392.2106148002466</v>
      </c>
      <c r="I418" s="1" t="n">
        <v>1091.808</v>
      </c>
      <c r="J418" s="1" t="n">
        <v>655.9077059878576</v>
      </c>
      <c r="K418" s="1" t="n">
        <v>790.025046040516</v>
      </c>
      <c r="L418" s="1" t="n">
        <v>369.6862009148062</v>
      </c>
    </row>
    <row r="419">
      <c r="A419" s="2" t="n">
        <v>43738</v>
      </c>
      <c r="B419" s="1" t="n">
        <v>71282.5497444269</v>
      </c>
      <c r="C419" s="1" t="n">
        <v>10496.98115071151</v>
      </c>
      <c r="D419" s="1" t="n">
        <v>192599.9994432906</v>
      </c>
      <c r="E419" s="1" t="n">
        <v>957.749637249811</v>
      </c>
      <c r="F419" s="1" t="n">
        <v>3548.209654864</v>
      </c>
      <c r="G419" s="1" t="n">
        <v>2421.755822715743</v>
      </c>
      <c r="H419" s="1" t="n">
        <v>396.8387000548895</v>
      </c>
      <c r="I419" s="1" t="n">
        <v>1105.892</v>
      </c>
      <c r="J419" s="1" t="n">
        <v>652.6937582285171</v>
      </c>
      <c r="K419" s="1" t="n">
        <v>785.6368324125235</v>
      </c>
      <c r="L419" s="1" t="n">
        <v>369.981949875538</v>
      </c>
    </row>
    <row r="420">
      <c r="A420" s="2" t="n">
        <v>43769</v>
      </c>
      <c r="B420" s="1" t="n">
        <v>71018.38518414</v>
      </c>
      <c r="C420" s="1" t="n">
        <v>10471.90532052483</v>
      </c>
      <c r="D420" s="1" t="n">
        <v>194214.8296434642</v>
      </c>
      <c r="E420" s="1" t="n">
        <v>954.2374671858576</v>
      </c>
      <c r="F420" s="1" t="n">
        <v>3516.7659902716</v>
      </c>
      <c r="G420" s="1" t="n">
        <v>2421.755822715743</v>
      </c>
      <c r="H420" s="1" t="n">
        <v>392.9893646643571</v>
      </c>
      <c r="I420" s="1" t="n">
        <v>1105.892</v>
      </c>
      <c r="J420" s="1" t="n">
        <v>649.4955588131974</v>
      </c>
      <c r="K420" s="1" t="n">
        <v>783.4298342541441</v>
      </c>
      <c r="L420" s="1" t="n">
        <v>370.2779354354384</v>
      </c>
    </row>
    <row r="421">
      <c r="A421" s="2" t="n">
        <v>43798</v>
      </c>
      <c r="B421" s="1" t="n">
        <v>73201.4489679423</v>
      </c>
      <c r="C421" s="1" t="n">
        <v>11007.38463148933</v>
      </c>
      <c r="D421" s="1" t="n">
        <v>198987.2804392014</v>
      </c>
      <c r="E421" s="1" t="n">
        <v>963.9902365862852</v>
      </c>
      <c r="F421" s="1" t="n">
        <v>3581.5685040523</v>
      </c>
      <c r="G421" s="1" t="n">
        <v>2421.755822715743</v>
      </c>
      <c r="H421" s="1" t="n">
        <v>400.5740594023792</v>
      </c>
      <c r="I421" s="1" t="n">
        <v>1105.892</v>
      </c>
      <c r="J421" s="1" t="n">
        <v>654.8214223954656</v>
      </c>
      <c r="K421" s="1" t="n">
        <v>781.857090239411</v>
      </c>
      <c r="L421" s="1" t="n">
        <v>370.5741577837867</v>
      </c>
    </row>
    <row r="422">
      <c r="A422" s="2" t="n">
        <v>43830</v>
      </c>
      <c r="B422" s="1" t="n">
        <v>71813.874446152</v>
      </c>
      <c r="C422" s="1" t="n">
        <v>10836.63718447064</v>
      </c>
      <c r="D422" s="1" t="n">
        <v>202577.8394709796</v>
      </c>
      <c r="E422" s="1" t="n">
        <v>919.9910785720554</v>
      </c>
      <c r="F422" s="1" t="n">
        <v>3687.1200314943</v>
      </c>
      <c r="G422" s="1" t="n">
        <v>2524.00124620516</v>
      </c>
      <c r="H422" s="1" t="n">
        <v>402.6971019172119</v>
      </c>
      <c r="I422" s="1" t="n">
        <v>1130.332</v>
      </c>
      <c r="J422" s="1" t="n">
        <v>644.0823510681799</v>
      </c>
      <c r="K422" s="1" t="n">
        <v>779.6419889502768</v>
      </c>
      <c r="L422" s="1" t="n">
        <v>370.8335596942353</v>
      </c>
    </row>
    <row r="423">
      <c r="A423" s="2" t="n">
        <v>43861</v>
      </c>
      <c r="B423" s="1" t="n">
        <v>75179.4100346388</v>
      </c>
      <c r="C423" s="1" t="n">
        <v>11353.50769643355</v>
      </c>
      <c r="D423" s="1" t="n">
        <v>205722.8683143528</v>
      </c>
      <c r="E423" s="1" t="n">
        <v>979.3533248613458</v>
      </c>
      <c r="F423" s="1" t="n">
        <v>3452.5268460984</v>
      </c>
      <c r="G423" s="1" t="n">
        <v>2524.00124620516</v>
      </c>
      <c r="H423" s="1" t="n">
        <v>424.7818342156731</v>
      </c>
      <c r="I423" s="1" t="n">
        <v>1130.332</v>
      </c>
      <c r="J423" s="1" t="n">
        <v>660.6300231039689</v>
      </c>
      <c r="K423" s="1" t="n">
        <v>793.4012051778246</v>
      </c>
      <c r="L423" s="1" t="n">
        <v>371.1365384522764</v>
      </c>
    </row>
    <row r="424">
      <c r="A424" s="2" t="n">
        <v>43889</v>
      </c>
      <c r="B424" s="1" t="n">
        <v>69106.33574431521</v>
      </c>
      <c r="C424" s="1" t="n">
        <v>10839.1054195722</v>
      </c>
      <c r="D424" s="1" t="n">
        <v>205424.859127558</v>
      </c>
      <c r="E424" s="1" t="n">
        <v>938.778032812073</v>
      </c>
      <c r="F424" s="1" t="n">
        <v>3284.0543791872</v>
      </c>
      <c r="G424" s="1" t="n">
        <v>2524.00124620516</v>
      </c>
      <c r="H424" s="1" t="n">
        <v>434.4728370196234</v>
      </c>
      <c r="I424" s="1" t="n">
        <v>1130.332</v>
      </c>
      <c r="J424" s="1" t="n">
        <v>666.7946401909378</v>
      </c>
      <c r="K424" s="1" t="n">
        <v>804.5802698366556</v>
      </c>
      <c r="L424" s="1" t="n">
        <v>371.4151660871579</v>
      </c>
    </row>
    <row r="425">
      <c r="A425" s="2" t="n">
        <v>43921</v>
      </c>
      <c r="B425" s="1" t="n">
        <v>54633.8260161968</v>
      </c>
      <c r="C425" s="1" t="n">
        <v>9959.888570009718</v>
      </c>
      <c r="D425" s="1" t="n">
        <v>188407.9988835714</v>
      </c>
      <c r="E425" s="1" t="n">
        <v>766.8408854090593</v>
      </c>
      <c r="F425" s="1" t="n">
        <v>2441.5373913162</v>
      </c>
      <c r="G425" s="1" t="n">
        <v>2572.147933896593</v>
      </c>
      <c r="H425" s="1" t="n">
        <v>453.7518044537414</v>
      </c>
      <c r="I425" s="1" t="n">
        <v>1057.312</v>
      </c>
      <c r="J425" s="1" t="n">
        <v>665.4077426810992</v>
      </c>
      <c r="K425" s="1" t="n">
        <v>803.4934431578309</v>
      </c>
      <c r="L425" s="1" t="n">
        <v>371.7833658283847</v>
      </c>
    </row>
    <row r="426">
      <c r="A426" s="2" t="n">
        <v>43951</v>
      </c>
      <c r="B426" s="1" t="n">
        <v>59847.1561082931</v>
      </c>
      <c r="C426" s="1" t="n">
        <v>10294.79452919149</v>
      </c>
      <c r="D426" s="1" t="n">
        <v>191662.340355365</v>
      </c>
      <c r="E426" s="1" t="n">
        <v>768.2264042284539</v>
      </c>
      <c r="F426" s="1" t="n">
        <v>2061.7337026524</v>
      </c>
      <c r="G426" s="1" t="n">
        <v>2572.147933896593</v>
      </c>
      <c r="H426" s="1" t="n">
        <v>398.8259406869694</v>
      </c>
      <c r="I426" s="1" t="n">
        <v>1057.312</v>
      </c>
      <c r="J426" s="1" t="n">
        <v>664.5520618473977</v>
      </c>
      <c r="K426" s="1" t="n">
        <v>809.4603521098443</v>
      </c>
      <c r="L426" s="1" t="n">
        <v>371.9646598035935</v>
      </c>
    </row>
    <row r="427">
      <c r="A427" s="2" t="n">
        <v>43980</v>
      </c>
      <c r="B427" s="1" t="n">
        <v>62861.7702675796</v>
      </c>
      <c r="C427" s="1" t="n">
        <v>10639.8046869541</v>
      </c>
      <c r="D427" s="1" t="n">
        <v>190274.3393877411</v>
      </c>
      <c r="E427" s="1" t="n">
        <v>764.7797890716869</v>
      </c>
      <c r="F427" s="1" t="n">
        <v>2366.4114837072</v>
      </c>
      <c r="G427" s="1" t="n">
        <v>2572.147933896593</v>
      </c>
      <c r="H427" s="1" t="n">
        <v>408.2674783242228</v>
      </c>
      <c r="I427" s="1" t="n">
        <v>1057.312</v>
      </c>
      <c r="J427" s="1" t="n">
        <v>666.4972315387332</v>
      </c>
      <c r="K427" s="1" t="n">
        <v>809.3044900870477</v>
      </c>
      <c r="L427" s="1" t="n">
        <v>371.9964010345491</v>
      </c>
    </row>
    <row r="428">
      <c r="A428" s="2" t="n">
        <v>44012</v>
      </c>
      <c r="B428" s="1" t="n">
        <v>64331.6749896697</v>
      </c>
      <c r="C428" s="1" t="n">
        <v>10504.85142710714</v>
      </c>
      <c r="D428" s="1" t="n">
        <v>195701.5516766121</v>
      </c>
      <c r="E428" s="1" t="n">
        <v>753.062535184898</v>
      </c>
      <c r="F428" s="1" t="n">
        <v>2397.661706991</v>
      </c>
      <c r="G428" s="1" t="n">
        <v>2533.859717422747</v>
      </c>
      <c r="H428" s="1" t="n">
        <v>407.4307158710151</v>
      </c>
      <c r="I428" s="1" t="n">
        <v>1095.376</v>
      </c>
      <c r="J428" s="1" t="n">
        <v>668.6354240892049</v>
      </c>
      <c r="K428" s="1" t="n">
        <v>811.6417721064902</v>
      </c>
      <c r="L428" s="1" t="n">
        <v>372.0254005140337</v>
      </c>
    </row>
    <row r="429">
      <c r="A429" s="2" t="n">
        <v>44043</v>
      </c>
      <c r="B429" s="1" t="n">
        <v>64941.705405788</v>
      </c>
      <c r="C429" s="1" t="n">
        <v>10430.57179699205</v>
      </c>
      <c r="D429" s="1" t="n">
        <v>203299.9292153689</v>
      </c>
      <c r="E429" s="1" t="n">
        <v>743.9134545446731</v>
      </c>
      <c r="F429" s="1" t="n">
        <v>2389.268766044</v>
      </c>
      <c r="G429" s="1" t="n">
        <v>2533.859717422747</v>
      </c>
      <c r="H429" s="1" t="n">
        <v>420.5606443803842</v>
      </c>
      <c r="I429" s="1" t="n">
        <v>1095.376</v>
      </c>
      <c r="J429" s="1" t="n">
        <v>671.1679405349618</v>
      </c>
      <c r="K429" s="1" t="n">
        <v>817.3230619170682</v>
      </c>
      <c r="L429" s="1" t="n">
        <v>372.056217093677</v>
      </c>
    </row>
    <row r="430">
      <c r="A430" s="2" t="n">
        <v>44074</v>
      </c>
      <c r="B430" s="1" t="n">
        <v>67348.08162486181</v>
      </c>
      <c r="C430" s="1" t="n">
        <v>10752.6784987029</v>
      </c>
      <c r="D430" s="1" t="n">
        <v>201476.7437767426</v>
      </c>
      <c r="E430" s="1" t="n">
        <v>732.2593690832682</v>
      </c>
      <c r="F430" s="1" t="n">
        <v>2423.1329520608</v>
      </c>
      <c r="G430" s="1" t="n">
        <v>2533.859717422747</v>
      </c>
      <c r="H430" s="1" t="n">
        <v>424.6256192519612</v>
      </c>
      <c r="I430" s="1" t="n">
        <v>1095.376</v>
      </c>
      <c r="J430" s="1" t="n">
        <v>668.4030294125671</v>
      </c>
      <c r="K430" s="1" t="n">
        <v>808.0498537278218</v>
      </c>
      <c r="L430" s="1" t="n">
        <v>372.0917416231006</v>
      </c>
    </row>
    <row r="431">
      <c r="A431" s="2" t="n">
        <v>44104</v>
      </c>
      <c r="B431" s="1" t="n">
        <v>65039.962346486</v>
      </c>
      <c r="C431" s="1" t="n">
        <v>10778.344700856</v>
      </c>
      <c r="D431" s="1" t="n">
        <v>204505.877301447</v>
      </c>
      <c r="E431" s="1" t="n">
        <v>735.027279517499</v>
      </c>
      <c r="F431" s="1" t="n">
        <v>2409.222345427</v>
      </c>
      <c r="G431" s="1" t="n">
        <v>2560.98175791194</v>
      </c>
      <c r="H431" s="1" t="n">
        <v>438.9403392998672</v>
      </c>
      <c r="I431" s="1" t="n">
        <v>1157.152</v>
      </c>
      <c r="J431" s="1" t="n">
        <v>676.1655365698318</v>
      </c>
      <c r="K431" s="1" t="n">
        <v>815.4044771566578</v>
      </c>
      <c r="L431" s="1" t="n">
        <v>372.1196297805116</v>
      </c>
    </row>
    <row r="432">
      <c r="A432" s="2" t="n">
        <v>44134</v>
      </c>
      <c r="B432" s="1" t="n">
        <v>66394.87403526111</v>
      </c>
      <c r="C432" s="1" t="n">
        <v>10667.88038139759</v>
      </c>
      <c r="D432" s="1" t="n">
        <v>211876.4158371914</v>
      </c>
      <c r="E432" s="1" t="n">
        <v>727.5200789637561</v>
      </c>
      <c r="F432" s="1" t="n">
        <v>2371.0672770326</v>
      </c>
      <c r="G432" s="1" t="n">
        <v>2560.98175791194</v>
      </c>
      <c r="H432" s="1" t="n">
        <v>441.2897280605138</v>
      </c>
      <c r="I432" s="1" t="n">
        <v>1157.152</v>
      </c>
      <c r="J432" s="1" t="n">
        <v>678.207015783979</v>
      </c>
      <c r="K432" s="1" t="n">
        <v>814.5164473277923</v>
      </c>
      <c r="L432" s="1" t="n">
        <v>372.1602631561576</v>
      </c>
    </row>
    <row r="433">
      <c r="A433" s="2" t="n">
        <v>44165</v>
      </c>
      <c r="B433" s="1" t="n">
        <v>73140.9360993235</v>
      </c>
      <c r="C433" s="1" t="n">
        <v>11388.40896666165</v>
      </c>
      <c r="D433" s="1" t="n">
        <v>217638.0938282517</v>
      </c>
      <c r="E433" s="1" t="n">
        <v>768.6763291648073</v>
      </c>
      <c r="F433" s="1" t="n">
        <v>2531.8137712461</v>
      </c>
      <c r="G433" s="1" t="n">
        <v>2560.98175791194</v>
      </c>
      <c r="H433" s="1" t="n">
        <v>434.2420704718622</v>
      </c>
      <c r="I433" s="1" t="n">
        <v>1157.152</v>
      </c>
      <c r="J433" s="1" t="n">
        <v>677.3416434259696</v>
      </c>
      <c r="K433" s="1" t="n">
        <v>815.9985522690148</v>
      </c>
      <c r="L433" s="1" t="n">
        <v>372.1853914107432</v>
      </c>
    </row>
    <row r="434">
      <c r="A434" s="2" t="n">
        <v>44196</v>
      </c>
      <c r="B434" s="1" t="n">
        <v>74424.5549822343</v>
      </c>
      <c r="C434" s="1" t="n">
        <v>11259.97031838637</v>
      </c>
      <c r="D434" s="1" t="n">
        <v>220526.8324043188</v>
      </c>
      <c r="E434" s="1" t="n">
        <v>758.1670596318967</v>
      </c>
      <c r="F434" s="1" t="n">
        <v>2561.9840245065</v>
      </c>
      <c r="G434" s="1" t="n">
        <v>2646.989209442903</v>
      </c>
      <c r="H434" s="1" t="n">
        <v>443.3915407837275</v>
      </c>
      <c r="I434" s="1" t="n">
        <v>1215.34</v>
      </c>
      <c r="J434" s="1" t="n">
        <v>675.565873503269</v>
      </c>
      <c r="K434" s="1" t="n">
        <v>815.1752091489313</v>
      </c>
      <c r="L434" s="1" t="n">
        <v>372.1955636421042</v>
      </c>
    </row>
    <row r="435">
      <c r="A435" s="2" t="n">
        <v>44225</v>
      </c>
      <c r="B435" s="1" t="n">
        <v>74648.99977998569</v>
      </c>
      <c r="C435" s="1" t="n">
        <v>11239.7905432711</v>
      </c>
      <c r="D435" s="1" t="n">
        <v>230290.043400289</v>
      </c>
      <c r="E435" s="1" t="n">
        <v>763.1404568875521</v>
      </c>
      <c r="F435" s="1" t="n">
        <v>2704.0705014276</v>
      </c>
      <c r="G435" s="1" t="n">
        <v>2646.989209442903</v>
      </c>
      <c r="H435" s="1" t="n">
        <v>459.4536679859505</v>
      </c>
      <c r="I435" s="1" t="n">
        <v>1215.34</v>
      </c>
      <c r="J435" s="1" t="n">
        <v>672.2917535411871</v>
      </c>
      <c r="K435" s="1" t="n">
        <v>811.13846214493</v>
      </c>
      <c r="L435" s="1" t="n">
        <v>372.1995763721934</v>
      </c>
    </row>
    <row r="436">
      <c r="A436" s="2" t="n">
        <v>44253</v>
      </c>
      <c r="B436" s="1" t="n">
        <v>75712.8157731707</v>
      </c>
      <c r="C436" s="1" t="n">
        <v>11437.53439723849</v>
      </c>
      <c r="D436" s="1" t="n">
        <v>230592.9296417908</v>
      </c>
      <c r="E436" s="1" t="n">
        <v>779.1410505816762</v>
      </c>
      <c r="F436" s="1" t="n">
        <v>2963.3828402309</v>
      </c>
      <c r="G436" s="1" t="n">
        <v>2646.989209442903</v>
      </c>
      <c r="H436" s="1" t="n">
        <v>460.0981466162021</v>
      </c>
      <c r="I436" s="1" t="n">
        <v>1215.34</v>
      </c>
      <c r="J436" s="1" t="n">
        <v>647.9298862184902</v>
      </c>
      <c r="K436" s="1" t="n">
        <v>790.1288701012468</v>
      </c>
      <c r="L436" s="1" t="n">
        <v>372.2000554793718</v>
      </c>
    </row>
    <row r="437">
      <c r="A437" s="2" t="n">
        <v>44286</v>
      </c>
      <c r="B437" s="1" t="n">
        <v>77108.7680808326</v>
      </c>
      <c r="C437" s="1" t="n">
        <v>12122.12441629424</v>
      </c>
      <c r="D437" s="1" t="n">
        <v>232408.7812982332</v>
      </c>
      <c r="E437" s="1" t="n">
        <v>825.6032182374208</v>
      </c>
      <c r="F437" s="1" t="n">
        <v>2947.327481248</v>
      </c>
      <c r="G437" s="1" t="n">
        <v>2797.764938655558</v>
      </c>
      <c r="H437" s="1" t="n">
        <v>467.0931417197332</v>
      </c>
      <c r="I437" s="1" t="n">
        <v>1245.724</v>
      </c>
      <c r="J437" s="1" t="n">
        <v>651.9655984657826</v>
      </c>
      <c r="K437" s="1" t="n">
        <v>790.8011673085759</v>
      </c>
      <c r="L437" s="1" t="n">
        <v>372.2077055346464</v>
      </c>
    </row>
    <row r="438">
      <c r="A438" s="2" t="n">
        <v>44316</v>
      </c>
      <c r="B438" s="1" t="n">
        <v>80128.73579585159</v>
      </c>
      <c r="C438" s="1" t="n">
        <v>12441.37460107981</v>
      </c>
      <c r="D438" s="1" t="n">
        <v>232864.2726495553</v>
      </c>
      <c r="E438" s="1" t="n">
        <v>867.162343268464</v>
      </c>
      <c r="F438" s="1" t="n">
        <v>3145.3101972495</v>
      </c>
      <c r="G438" s="1" t="n">
        <v>2797.764938655558</v>
      </c>
      <c r="H438" s="1" t="n">
        <v>473.9340807399784</v>
      </c>
      <c r="I438" s="1" t="n">
        <v>1245.724</v>
      </c>
      <c r="J438" s="1" t="n">
        <v>656.3687810097567</v>
      </c>
      <c r="K438" s="1" t="n">
        <v>791.5615569902498</v>
      </c>
      <c r="L438" s="1" t="n">
        <v>372.2192306434756</v>
      </c>
    </row>
    <row r="439">
      <c r="A439" s="2" t="n">
        <v>44347</v>
      </c>
      <c r="B439" s="1" t="n">
        <v>81695.4331432395</v>
      </c>
      <c r="C439" s="1" t="n">
        <v>12550.96401624987</v>
      </c>
      <c r="D439" s="1" t="n">
        <v>235569.2743492065</v>
      </c>
      <c r="E439" s="1" t="n">
        <v>874.652682471975</v>
      </c>
      <c r="F439" s="1" t="n">
        <v>3217.9600611444</v>
      </c>
      <c r="G439" s="1" t="n">
        <v>2797.764938655558</v>
      </c>
      <c r="H439" s="1" t="n">
        <v>494.7927806356845</v>
      </c>
      <c r="I439" s="1" t="n">
        <v>1245.724</v>
      </c>
      <c r="J439" s="1" t="n">
        <v>658.3129411673102</v>
      </c>
      <c r="K439" s="1" t="n">
        <v>792.6363433939687</v>
      </c>
      <c r="L439" s="1" t="n">
        <v>372.2325763265904</v>
      </c>
    </row>
    <row r="440">
      <c r="A440" s="2" t="n">
        <v>44377</v>
      </c>
      <c r="B440" s="1" t="n">
        <v>83786.3229070994</v>
      </c>
      <c r="C440" s="1" t="n">
        <v>13247.82173033912</v>
      </c>
      <c r="D440" s="1" t="n">
        <v>244987.9628600848</v>
      </c>
      <c r="E440" s="1" t="n">
        <v>925.1205215451077</v>
      </c>
      <c r="F440" s="1" t="n">
        <v>3460.2636531309</v>
      </c>
      <c r="G440" s="1" t="n">
        <v>2994.189571033725</v>
      </c>
      <c r="H440" s="1" t="n">
        <v>499.5117325230869</v>
      </c>
      <c r="I440" s="1" t="n">
        <v>1339.9</v>
      </c>
      <c r="J440" s="1" t="n">
        <v>663.3549566885924</v>
      </c>
      <c r="K440" s="1" t="n">
        <v>794.6067410305483</v>
      </c>
      <c r="L440" s="1" t="n">
        <v>372.2429803435763</v>
      </c>
    </row>
    <row r="441">
      <c r="A441" s="2" t="n">
        <v>44407</v>
      </c>
      <c r="B441" s="1" t="n">
        <v>84671.6184071664</v>
      </c>
      <c r="C441" s="1" t="n">
        <v>13766.0718392934</v>
      </c>
      <c r="D441" s="1" t="n">
        <v>235091.9172973039</v>
      </c>
      <c r="E441" s="1" t="n">
        <v>983.6221197853987</v>
      </c>
      <c r="F441" s="1" t="n">
        <v>3589.8089358213</v>
      </c>
      <c r="G441" s="1" t="n">
        <v>2994.189571033725</v>
      </c>
      <c r="H441" s="1" t="n">
        <v>512.0549683283184</v>
      </c>
      <c r="I441" s="1" t="n">
        <v>1339.9</v>
      </c>
      <c r="J441" s="1" t="n">
        <v>675.6506743409647</v>
      </c>
      <c r="K441" s="1" t="n">
        <v>807.875865137009</v>
      </c>
      <c r="L441" s="1" t="n">
        <v>372.2536364180307</v>
      </c>
    </row>
    <row r="442">
      <c r="A442" s="2" t="n">
        <v>44439</v>
      </c>
      <c r="B442" s="1" t="n">
        <v>86876.9218502341</v>
      </c>
      <c r="C442" s="1" t="n">
        <v>14219.6024981306</v>
      </c>
      <c r="D442" s="1" t="n">
        <v>241861.742912134</v>
      </c>
      <c r="E442" s="1" t="n">
        <v>1008.687913403621</v>
      </c>
      <c r="F442" s="1" t="n">
        <v>3527.3352357194</v>
      </c>
      <c r="G442" s="1" t="n">
        <v>2994.189571033725</v>
      </c>
      <c r="H442" s="1" t="n">
        <v>510.0769942322237</v>
      </c>
      <c r="I442" s="1" t="n">
        <v>1339.9</v>
      </c>
      <c r="J442" s="1" t="n">
        <v>676.1467592414849</v>
      </c>
      <c r="K442" s="1" t="n">
        <v>806.7965140136072</v>
      </c>
      <c r="L442" s="1" t="n">
        <v>372.2587039138374</v>
      </c>
    </row>
    <row r="443">
      <c r="A443" s="2" t="n">
        <v>44469</v>
      </c>
      <c r="B443" s="1" t="n">
        <v>85501.9086469475</v>
      </c>
      <c r="C443" s="1" t="n">
        <v>13862.80455018562</v>
      </c>
      <c r="D443" s="1" t="n">
        <v>237893.2101934512</v>
      </c>
      <c r="E443" s="1" t="n">
        <v>968.8565700027901</v>
      </c>
      <c r="F443" s="1" t="n">
        <v>3784.1612603256</v>
      </c>
      <c r="G443" s="1" t="n">
        <v>3154.049760445283</v>
      </c>
      <c r="H443" s="1" t="n">
        <v>510.5953939342982</v>
      </c>
      <c r="I443" s="1" t="n">
        <v>1500.688</v>
      </c>
      <c r="J443" s="1" t="n">
        <v>664.9996891263773</v>
      </c>
      <c r="K443" s="1" t="n">
        <v>796.3630863916778</v>
      </c>
      <c r="L443" s="1" t="n">
        <v>372.2615671746996</v>
      </c>
    </row>
    <row r="444">
      <c r="A444" s="2" t="n">
        <v>44498</v>
      </c>
      <c r="B444" s="1" t="n">
        <v>85629.59922884881</v>
      </c>
      <c r="C444" s="1" t="n">
        <v>14069.66336813675</v>
      </c>
      <c r="D444" s="1" t="n">
        <v>230861.2526023797</v>
      </c>
      <c r="E444" s="1" t="n">
        <v>986.9611920918985</v>
      </c>
      <c r="F444" s="1" t="n">
        <v>3850.2874575506</v>
      </c>
      <c r="G444" s="1" t="n">
        <v>3154.049760445283</v>
      </c>
      <c r="H444" s="1" t="n">
        <v>488.3916808107839</v>
      </c>
      <c r="I444" s="1" t="n">
        <v>1500.688</v>
      </c>
      <c r="J444" s="1" t="n">
        <v>641.9597053379523</v>
      </c>
      <c r="K444" s="1" t="n">
        <v>794.2086974741976</v>
      </c>
      <c r="L444" s="1" t="n">
        <v>372.2605585790868</v>
      </c>
    </row>
    <row r="445">
      <c r="A445" s="2" t="n">
        <v>44530</v>
      </c>
      <c r="B445" s="1" t="n">
        <v>85347.5078906562</v>
      </c>
      <c r="C445" s="1" t="n">
        <v>14690.34969609016</v>
      </c>
      <c r="D445" s="1" t="n">
        <v>236694.0373290725</v>
      </c>
      <c r="E445" s="1" t="n">
        <v>1039.45883584397</v>
      </c>
      <c r="F445" s="1" t="n">
        <v>3637.1737452564</v>
      </c>
      <c r="G445" s="1" t="n">
        <v>3154.049760445283</v>
      </c>
      <c r="H445" s="1" t="n">
        <v>512.6326646484453</v>
      </c>
      <c r="I445" s="1" t="n">
        <v>1500.688</v>
      </c>
      <c r="J445" s="1" t="n">
        <v>655.3265383331246</v>
      </c>
      <c r="K445" s="1" t="n">
        <v>800.6935102596851</v>
      </c>
      <c r="L445" s="1" t="n">
        <v>372.2788764051833</v>
      </c>
    </row>
    <row r="446">
      <c r="A446" s="2" t="n">
        <v>44561</v>
      </c>
      <c r="B446" s="1" t="n">
        <v>87626.0806408678</v>
      </c>
      <c r="C446" s="1" t="n">
        <v>14903.57164263597</v>
      </c>
      <c r="D446" s="1" t="n">
        <v>234372.6914649239</v>
      </c>
      <c r="E446" s="1" t="n">
        <v>1086.892126244403</v>
      </c>
      <c r="F446" s="1" t="n">
        <v>3816.4169645912</v>
      </c>
      <c r="G446" s="1" t="n">
        <v>3313.041300736466</v>
      </c>
      <c r="H446" s="1" t="n">
        <v>499.4334609353082</v>
      </c>
      <c r="I446" s="1" t="n">
        <v>1635.204</v>
      </c>
      <c r="J446" s="1" t="n">
        <v>654.9721919756101</v>
      </c>
      <c r="K446" s="1" t="n">
        <v>795.6496934761307</v>
      </c>
      <c r="L446" s="1" t="n">
        <v>372.2953563802744</v>
      </c>
    </row>
    <row r="447">
      <c r="A447" s="2" t="n">
        <v>44592</v>
      </c>
      <c r="B447" s="1" t="n">
        <v>81873.49306990131</v>
      </c>
      <c r="C447" s="1" t="n">
        <v>14624.13215140855</v>
      </c>
      <c r="D447" s="1" t="n">
        <v>237545.0398592464</v>
      </c>
      <c r="E447" s="1" t="n">
        <v>1050.923887130061</v>
      </c>
      <c r="F447" s="1" t="n">
        <v>4396.4644667753</v>
      </c>
      <c r="G447" s="1" t="n">
        <v>3313.041300736466</v>
      </c>
      <c r="H447" s="1" t="n">
        <v>512.0317925788942</v>
      </c>
      <c r="I447" s="1" t="n">
        <v>1635.204</v>
      </c>
      <c r="J447" s="1" t="n">
        <v>647.6013839257972</v>
      </c>
      <c r="K447" s="1" t="n">
        <v>784.1430804101392</v>
      </c>
      <c r="L447" s="1" t="n">
        <v>372.3131854790375</v>
      </c>
    </row>
    <row r="448">
      <c r="A448" s="2" t="n">
        <v>44620</v>
      </c>
      <c r="B448" s="1" t="n">
        <v>83287.8241799541</v>
      </c>
      <c r="C448" s="1" t="n">
        <v>13827.10764772531</v>
      </c>
      <c r="D448" s="1" t="n">
        <v>225170.8655031832</v>
      </c>
      <c r="E448" s="1" t="n">
        <v>995.1062864637885</v>
      </c>
      <c r="F448" s="1" t="n">
        <v>4643.149138644901</v>
      </c>
      <c r="G448" s="1" t="n">
        <v>3313.041300736466</v>
      </c>
      <c r="H448" s="1" t="n">
        <v>490.6346373756341</v>
      </c>
      <c r="I448" s="1" t="n">
        <v>1635.204</v>
      </c>
      <c r="J448" s="1" t="n">
        <v>637.9070329231206</v>
      </c>
      <c r="K448" s="1" t="n">
        <v>774.3842125087731</v>
      </c>
      <c r="L448" s="1" t="n">
        <v>372.3319406921755</v>
      </c>
    </row>
    <row r="449">
      <c r="A449" s="2" t="n">
        <v>44651</v>
      </c>
      <c r="B449" s="1" t="n">
        <v>89045.51616522401</v>
      </c>
      <c r="C449" s="1" t="n">
        <v>13784.79634825042</v>
      </c>
      <c r="D449" s="1" t="n">
        <v>213172.0864736189</v>
      </c>
      <c r="E449" s="1" t="n">
        <v>1017.815088740535</v>
      </c>
      <c r="F449" s="1" t="n">
        <v>4918.9387478682</v>
      </c>
      <c r="G449" s="1" t="n">
        <v>3414.298967044472</v>
      </c>
      <c r="H449" s="1" t="n">
        <v>468.1666919448858</v>
      </c>
      <c r="I449" s="1" t="n">
        <v>1698.322161246017</v>
      </c>
      <c r="J449" s="1" t="n">
        <v>612.8653455515628</v>
      </c>
      <c r="K449" s="1" t="n">
        <v>755.9508424055582</v>
      </c>
      <c r="L449" s="1" t="n">
        <v>372.3516186425458</v>
      </c>
    </row>
    <row r="450">
      <c r="A450" s="2" t="n">
        <v>44680</v>
      </c>
      <c r="B450" s="1" t="n">
        <v>88319.8008885728</v>
      </c>
      <c r="C450" s="1" t="n">
        <v>13568.07984531232</v>
      </c>
      <c r="D450" s="1" t="n">
        <v>217365.7495675702</v>
      </c>
      <c r="E450" s="1" t="n">
        <v>1038.448738497538</v>
      </c>
      <c r="F450" s="1" t="n">
        <v>5463.9989347384</v>
      </c>
      <c r="G450" s="1" t="n">
        <v>3414.298967044472</v>
      </c>
      <c r="H450" s="1" t="n">
        <v>477.9225812703507</v>
      </c>
      <c r="I450" s="1" t="n">
        <v>1698.322161246017</v>
      </c>
      <c r="J450" s="1" t="n">
        <v>601.7120163270062</v>
      </c>
      <c r="K450" s="1" t="n">
        <v>740.0954672063984</v>
      </c>
      <c r="L450" s="1" t="n">
        <v>372.2991354594735</v>
      </c>
    </row>
    <row r="451">
      <c r="A451" s="2" t="n">
        <v>44712</v>
      </c>
      <c r="B451" s="1" t="n">
        <v>85556.8851633928</v>
      </c>
      <c r="C451" s="1" t="n">
        <v>13420.195181569</v>
      </c>
      <c r="D451" s="1" t="n">
        <v>215026.0840263417</v>
      </c>
      <c r="E451" s="1" t="n">
        <v>975.9090478354969</v>
      </c>
      <c r="F451" s="1" t="n">
        <v>5687.3880770208</v>
      </c>
      <c r="G451" s="1" t="n">
        <v>3414.298967044472</v>
      </c>
      <c r="H451" s="1" t="n">
        <v>489.8932541423212</v>
      </c>
      <c r="I451" s="1" t="n">
        <v>1698.322161246017</v>
      </c>
      <c r="J451" s="1" t="n">
        <v>596.2573033956047</v>
      </c>
      <c r="K451" s="1" t="n">
        <v>736.8358604206466</v>
      </c>
      <c r="L451" s="1" t="n">
        <v>372.4176700477156</v>
      </c>
    </row>
    <row r="452">
      <c r="A452" s="2" t="n">
        <v>44742</v>
      </c>
      <c r="B452" s="1" t="n">
        <v>77550.90761471289</v>
      </c>
      <c r="C452" s="1" t="n">
        <v>12916.52454156461</v>
      </c>
      <c r="D452" s="1" t="n">
        <v>214284.2847727356</v>
      </c>
      <c r="E452" s="1" t="n">
        <v>943.9463210863397</v>
      </c>
      <c r="F452" s="1" t="n">
        <v>5479.556579479399</v>
      </c>
      <c r="G452" s="1" t="n">
        <v>3435.049507248392</v>
      </c>
      <c r="H452" s="1" t="n">
        <v>495.017802703728</v>
      </c>
      <c r="I452" s="1" t="n">
        <v>1519.329987050242</v>
      </c>
      <c r="J452" s="1" t="n">
        <v>585.514046793334</v>
      </c>
      <c r="K452" s="1" t="n">
        <v>720.5382498861767</v>
      </c>
      <c r="L452" s="1" t="n">
        <v>372.6015145544339</v>
      </c>
    </row>
    <row r="453">
      <c r="A453" s="2" t="n">
        <v>44771</v>
      </c>
      <c r="B453" s="1" t="n">
        <v>82468.65448300329</v>
      </c>
      <c r="C453" s="1" t="n">
        <v>13747.42158133056</v>
      </c>
      <c r="D453" s="1" t="n">
        <v>211578.7415343534</v>
      </c>
      <c r="E453" s="1" t="n">
        <v>1007.190251298012</v>
      </c>
      <c r="F453" s="1" t="n">
        <v>5397.569580369601</v>
      </c>
      <c r="G453" s="1" t="n">
        <v>3435.049507248392</v>
      </c>
      <c r="H453" s="1" t="n">
        <v>463.4336147597699</v>
      </c>
      <c r="I453" s="1" t="n">
        <v>1519.329987050242</v>
      </c>
      <c r="J453" s="1" t="n">
        <v>607.234368021808</v>
      </c>
      <c r="K453" s="1" t="n">
        <v>741.627228359128</v>
      </c>
      <c r="L453" s="1" t="n">
        <v>373.0749398091356</v>
      </c>
    </row>
    <row r="454">
      <c r="A454" s="2" t="n">
        <v>44804</v>
      </c>
      <c r="B454" s="1" t="n">
        <v>83524.4269542992</v>
      </c>
      <c r="C454" s="1" t="n">
        <v>13514.7378924191</v>
      </c>
      <c r="D454" s="1" t="n">
        <v>218041.7557674403</v>
      </c>
      <c r="E454" s="1" t="n">
        <v>970.8193772741432</v>
      </c>
      <c r="F454" s="1" t="n">
        <v>5346.8572333464</v>
      </c>
      <c r="G454" s="1" t="n">
        <v>3435.049507248392</v>
      </c>
      <c r="H454" s="1" t="n">
        <v>471.0463867638765</v>
      </c>
      <c r="I454" s="1" t="n">
        <v>1519.329987050242</v>
      </c>
      <c r="J454" s="1" t="n">
        <v>589.8895681116788</v>
      </c>
      <c r="K454" s="1" t="n">
        <v>721.8992375984791</v>
      </c>
      <c r="L454" s="1" t="n">
        <v>373.6368454207238</v>
      </c>
    </row>
    <row r="455">
      <c r="A455" s="2" t="n">
        <v>44834</v>
      </c>
      <c r="B455" s="1" t="n">
        <v>78174.0356785402</v>
      </c>
      <c r="C455" s="1" t="n">
        <v>13219.38163203392</v>
      </c>
      <c r="D455" s="1" t="n">
        <v>210797.7179999569</v>
      </c>
      <c r="E455" s="1" t="n">
        <v>916.0755412533046</v>
      </c>
      <c r="F455" s="1" t="n">
        <v>5256.3667583529</v>
      </c>
      <c r="G455" s="1" t="n">
        <v>3326.192881293078</v>
      </c>
      <c r="H455" s="1" t="n">
        <v>491.1525455777894</v>
      </c>
      <c r="I455" s="1" t="n">
        <v>1515.779703036098</v>
      </c>
      <c r="J455" s="1" t="n">
        <v>581.454913362297</v>
      </c>
      <c r="K455" s="1" t="n">
        <v>695.4125244092243</v>
      </c>
      <c r="L455" s="1" t="n">
        <v>374.1781250638348</v>
      </c>
    </row>
    <row r="456">
      <c r="A456" s="2" t="n">
        <v>44865</v>
      </c>
      <c r="B456" s="1" t="n">
        <v>82614.2748050979</v>
      </c>
      <c r="C456" s="1" t="n">
        <v>14244.90484039065</v>
      </c>
      <c r="D456" s="1" t="n">
        <v>206412.0978092918</v>
      </c>
      <c r="E456" s="1" t="n">
        <v>959.4092258760988</v>
      </c>
      <c r="F456" s="1" t="n">
        <v>5639.501392076</v>
      </c>
      <c r="G456" s="1" t="n">
        <v>3326.192881293078</v>
      </c>
      <c r="H456" s="1" t="n">
        <v>486.4755931535285</v>
      </c>
      <c r="I456" s="1" t="n">
        <v>1515.779703036098</v>
      </c>
      <c r="J456" s="1" t="n">
        <v>585.8700084049</v>
      </c>
      <c r="K456" s="1" t="n">
        <v>695.8354159179358</v>
      </c>
      <c r="L456" s="1" t="n">
        <v>375.0891457110793</v>
      </c>
    </row>
    <row r="457">
      <c r="A457" s="2" t="n">
        <v>44895</v>
      </c>
      <c r="B457" s="1" t="n">
        <v>87937.7419135322</v>
      </c>
      <c r="C457" s="1" t="n">
        <v>14377.16356362408</v>
      </c>
      <c r="D457" s="1" t="n">
        <v>220142.6416664821</v>
      </c>
      <c r="E457" s="1" t="n">
        <v>963.290856816026</v>
      </c>
      <c r="F457" s="1" t="n">
        <v>5292.9326099943</v>
      </c>
      <c r="G457" s="1" t="n">
        <v>3326.192881293078</v>
      </c>
      <c r="H457" s="1" t="n">
        <v>492.3589486382316</v>
      </c>
      <c r="I457" s="1" t="n">
        <v>1515.779703036098</v>
      </c>
      <c r="J457" s="1" t="n">
        <v>596.0899226945339</v>
      </c>
      <c r="K457" s="1" t="n">
        <v>707.911414916782</v>
      </c>
      <c r="L457" s="1" t="n">
        <v>376.0234233936736</v>
      </c>
    </row>
    <row r="458">
      <c r="A458" s="2" t="n">
        <v>44925</v>
      </c>
      <c r="B458" s="1" t="n">
        <v>85033.5239001443</v>
      </c>
      <c r="C458" s="1" t="n">
        <v>13482.1524523642</v>
      </c>
      <c r="D458" s="1" t="n">
        <v>213170.2488688136</v>
      </c>
      <c r="E458" s="1" t="n">
        <v>912.692780743294</v>
      </c>
      <c r="F458" s="1" t="n">
        <v>5154.855068999999</v>
      </c>
      <c r="G458" s="1" t="n">
        <v>3249.898055652786</v>
      </c>
      <c r="H458" s="1" t="n">
        <v>511.3757863469323</v>
      </c>
      <c r="I458" s="1" t="n">
        <v>1663.094629133354</v>
      </c>
      <c r="J458" s="1" t="n">
        <v>582.3850977891171</v>
      </c>
      <c r="K458" s="1" t="n">
        <v>695.4694974032958</v>
      </c>
      <c r="L458" s="1" t="n">
        <v>376.9696072197914</v>
      </c>
    </row>
    <row r="459">
      <c r="A459" s="2" t="n">
        <v>44957</v>
      </c>
      <c r="B459" s="1" t="n">
        <v>90505.7545667793</v>
      </c>
      <c r="C459" s="1" t="n">
        <v>13822.3154500646</v>
      </c>
      <c r="D459" s="1" t="n">
        <v>218596.6261396256</v>
      </c>
      <c r="E459" s="1" t="n">
        <v>954.8490021352146</v>
      </c>
      <c r="F459" s="1" t="n">
        <v>4956.6566497644</v>
      </c>
      <c r="G459" s="1" t="n">
        <v>3249.898055652786</v>
      </c>
      <c r="H459" s="1" t="n">
        <v>499.4665360304206</v>
      </c>
      <c r="I459" s="1" t="n">
        <v>1663.094629133354</v>
      </c>
      <c r="J459" s="1" t="n">
        <v>600.3701440238492</v>
      </c>
      <c r="K459" s="1" t="n">
        <v>706.6145449771853</v>
      </c>
      <c r="L459" s="1" t="n">
        <v>377.9659143654403</v>
      </c>
    </row>
    <row r="460">
      <c r="A460" s="2" t="n">
        <v>44985</v>
      </c>
      <c r="B460" s="1" t="n">
        <v>88258.4069485894</v>
      </c>
      <c r="C460" s="1" t="n">
        <v>14222.4633406432</v>
      </c>
      <c r="D460" s="1" t="n">
        <v>217804.0218796482</v>
      </c>
      <c r="E460" s="1" t="n">
        <v>963.2208623898152</v>
      </c>
      <c r="F460" s="1" t="n">
        <v>4981.211307352</v>
      </c>
      <c r="G460" s="1" t="n">
        <v>3249.898055652786</v>
      </c>
      <c r="H460" s="1" t="n">
        <v>521.8500191970002</v>
      </c>
      <c r="I460" s="1" t="n">
        <v>1663.094629133354</v>
      </c>
      <c r="J460" s="1" t="n">
        <v>591.3231060822501</v>
      </c>
      <c r="K460" s="1" t="n">
        <v>695.5994662190794</v>
      </c>
      <c r="L460" s="1" t="n">
        <v>378.8650504110743</v>
      </c>
    </row>
    <row r="461">
      <c r="A461" s="2" t="n">
        <v>45016</v>
      </c>
      <c r="B461" s="1" t="n">
        <v>88105.41315726579</v>
      </c>
      <c r="C461" s="1" t="n">
        <v>14686.25642283735</v>
      </c>
      <c r="D461" s="1" t="n">
        <v>224131.8574275845</v>
      </c>
      <c r="E461" s="1" t="n">
        <v>938.5475968329225</v>
      </c>
      <c r="F461" s="1" t="n">
        <v>4961.572101427199</v>
      </c>
      <c r="G461" s="1" t="n">
        <v>3243.587042161818</v>
      </c>
      <c r="H461" s="1" t="n">
        <v>535.7127636973835</v>
      </c>
      <c r="I461" s="1" t="n">
        <v>1731.157613657245</v>
      </c>
      <c r="J461" s="1" t="n">
        <v>611.6260418806663</v>
      </c>
      <c r="K461" s="1" t="n">
        <v>711.9384238521263</v>
      </c>
      <c r="L461" s="1" t="n">
        <v>379.9447601144778</v>
      </c>
    </row>
    <row r="462">
      <c r="A462" s="2" t="n">
        <v>45044</v>
      </c>
      <c r="B462" s="1" t="n">
        <v>89655.4093987058</v>
      </c>
      <c r="C462" s="1" t="n">
        <v>15130.21187704448</v>
      </c>
      <c r="D462" s="1" t="n">
        <v>225609.6610582724</v>
      </c>
      <c r="E462" s="1" t="n">
        <v>967.0218323181056</v>
      </c>
      <c r="F462" s="1" t="n">
        <v>4990.248943276199</v>
      </c>
      <c r="G462" s="1" t="n">
        <v>3243.587042161818</v>
      </c>
      <c r="H462" s="1" t="n">
        <v>548.366932298917</v>
      </c>
      <c r="I462" s="1" t="n">
        <v>1731.157613657245</v>
      </c>
      <c r="J462" s="1" t="n">
        <v>613.455922814087</v>
      </c>
      <c r="K462" s="1" t="n">
        <v>711.1839219972899</v>
      </c>
      <c r="L462" s="1" t="n">
        <v>381.1019217123184</v>
      </c>
    </row>
    <row r="463">
      <c r="A463" s="2" t="n">
        <v>45077</v>
      </c>
      <c r="B463" s="1" t="n">
        <v>87300.98107003651</v>
      </c>
      <c r="C463" s="1" t="n">
        <v>15429.00683036974</v>
      </c>
      <c r="D463" s="1" t="n">
        <v>228170.5330656208</v>
      </c>
      <c r="E463" s="1" t="n">
        <v>957.4484116026375</v>
      </c>
      <c r="F463" s="1" t="n">
        <v>4784.6681370464</v>
      </c>
      <c r="G463" s="1" t="n">
        <v>3243.587042161818</v>
      </c>
      <c r="H463" s="1" t="n">
        <v>504.0899729110615</v>
      </c>
      <c r="I463" s="1" t="n">
        <v>1731.157613657245</v>
      </c>
      <c r="J463" s="1" t="n">
        <v>605.336242604718</v>
      </c>
      <c r="K463" s="1" t="n">
        <v>709.7107083361454</v>
      </c>
      <c r="L463" s="1" t="n">
        <v>382.2270683795411</v>
      </c>
    </row>
    <row r="464">
      <c r="A464" s="2" t="n">
        <v>45107</v>
      </c>
      <c r="B464" s="1" t="n">
        <v>88991.4430389405</v>
      </c>
      <c r="C464" s="1" t="n">
        <v>15858.77831714721</v>
      </c>
      <c r="D464" s="1" t="n">
        <v>229684.1958408932</v>
      </c>
      <c r="E464" s="1" t="n">
        <v>960.0999010675093</v>
      </c>
      <c r="F464" s="1" t="n">
        <v>4855.924304686</v>
      </c>
      <c r="G464" s="1" t="n">
        <v>3344.001759040976</v>
      </c>
      <c r="H464" s="1" t="n">
        <v>538.318793495467</v>
      </c>
      <c r="I464" s="1" t="n">
        <v>1747.300967123275</v>
      </c>
      <c r="J464" s="1" t="n">
        <v>592.5866385639169</v>
      </c>
      <c r="K464" s="1" t="n">
        <v>708.0534107765998</v>
      </c>
      <c r="L464" s="1" t="n">
        <v>383.3803448886711</v>
      </c>
    </row>
    <row r="465">
      <c r="A465" s="2" t="n">
        <v>45138</v>
      </c>
      <c r="B465" s="1" t="n">
        <v>91651.8838833327</v>
      </c>
      <c r="C465" s="1" t="n">
        <v>16126.41658718514</v>
      </c>
      <c r="D465" s="1" t="n">
        <v>239077.0221429818</v>
      </c>
      <c r="E465" s="1" t="n">
        <v>976.625164252574</v>
      </c>
      <c r="F465" s="1" t="n">
        <v>5311.801991772601</v>
      </c>
      <c r="G465" s="1" t="n">
        <v>3344.001759040976</v>
      </c>
      <c r="H465" s="1" t="n">
        <v>548.2191574110268</v>
      </c>
      <c r="I465" s="1" t="n">
        <v>1747.300967123275</v>
      </c>
      <c r="J465" s="1" t="n">
        <v>595.8742862786789</v>
      </c>
      <c r="K465" s="1" t="n">
        <v>704.8096018902722</v>
      </c>
      <c r="L465" s="1" t="n">
        <v>384.8140936175972</v>
      </c>
    </row>
    <row r="466">
      <c r="A466" s="2" t="n">
        <v>45169</v>
      </c>
      <c r="B466" s="1" t="n">
        <v>90974.06518387811</v>
      </c>
      <c r="C466" s="1" t="n">
        <v>16491.19399986783</v>
      </c>
      <c r="D466" s="1" t="n">
        <v>237180.4382786557</v>
      </c>
      <c r="E466" s="1" t="n">
        <v>992.0283038187541</v>
      </c>
      <c r="F466" s="1" t="n">
        <v>5559.6728396958</v>
      </c>
      <c r="G466" s="1" t="n">
        <v>3344.001759040976</v>
      </c>
      <c r="H466" s="1" t="n">
        <v>568.3132016816385</v>
      </c>
      <c r="I466" s="1" t="n">
        <v>1747.300967123275</v>
      </c>
      <c r="J466" s="1" t="n">
        <v>600.6027406072433</v>
      </c>
      <c r="K466" s="1" t="n">
        <v>701.8505256635867</v>
      </c>
      <c r="L466" s="1" t="n">
        <v>386.2186563751823</v>
      </c>
    </row>
    <row r="467">
      <c r="A467" s="2" t="n">
        <v>45198</v>
      </c>
      <c r="B467" s="1" t="n">
        <v>88404.5124623015</v>
      </c>
      <c r="C467" s="1" t="n">
        <v>15943.04298037653</v>
      </c>
      <c r="D467" s="1" t="n">
        <v>233831.705012155</v>
      </c>
      <c r="E467" s="1" t="n">
        <v>936.1015782876201</v>
      </c>
      <c r="F467" s="1" t="n">
        <v>5808.679843017399</v>
      </c>
      <c r="G467" s="1" t="n">
        <v>3445.60009465645</v>
      </c>
      <c r="H467" s="1" t="n">
        <v>553.3462664247937</v>
      </c>
      <c r="I467" s="1" t="n">
        <v>1897.06806900557</v>
      </c>
      <c r="J467" s="1" t="n">
        <v>590.4003922054177</v>
      </c>
      <c r="K467" s="1" t="n">
        <v>689.0896202462294</v>
      </c>
      <c r="L467" s="1" t="n">
        <v>387.5214865210023</v>
      </c>
    </row>
    <row r="468">
      <c r="A468" s="2" t="n">
        <v>45230</v>
      </c>
      <c r="B468" s="1" t="n">
        <v>85000.0912622051</v>
      </c>
      <c r="C468" s="1" t="n">
        <v>15828.54277405231</v>
      </c>
      <c r="D468" s="1" t="n">
        <v>229815.5907185801</v>
      </c>
      <c r="E468" s="1" t="n">
        <v>913.3479435941695</v>
      </c>
      <c r="F468" s="1" t="n">
        <v>5673.282919979401</v>
      </c>
      <c r="G468" s="1" t="n">
        <v>3445.60009465645</v>
      </c>
      <c r="H468" s="1" t="n">
        <v>559.0680100696459</v>
      </c>
      <c r="I468" s="1" t="n">
        <v>1897.06806900557</v>
      </c>
      <c r="J468" s="1" t="n">
        <v>577.2740301571398</v>
      </c>
      <c r="K468" s="1" t="n">
        <v>684.951139533121</v>
      </c>
      <c r="L468" s="1" t="n">
        <v>388.8084055910744</v>
      </c>
    </row>
    <row r="469">
      <c r="A469" s="2" t="n">
        <v>45260</v>
      </c>
      <c r="B469" s="1" t="n">
        <v>89415.56147556131</v>
      </c>
      <c r="C469" s="1" t="n">
        <v>16376.48561420689</v>
      </c>
      <c r="D469" s="1" t="n">
        <v>233050.6533851756</v>
      </c>
      <c r="E469" s="1" t="n">
        <v>956.3903764612701</v>
      </c>
      <c r="F469" s="1" t="n">
        <v>5219.9894886366</v>
      </c>
      <c r="G469" s="1" t="n">
        <v>3445.60009465645</v>
      </c>
      <c r="H469" s="1" t="n">
        <v>546.7321943453632</v>
      </c>
      <c r="I469" s="1" t="n">
        <v>1897.06806900557</v>
      </c>
      <c r="J469" s="1" t="n">
        <v>596.5119078154486</v>
      </c>
      <c r="K469" s="1" t="n">
        <v>707.3933390793779</v>
      </c>
      <c r="L469" s="1" t="n">
        <v>390.1765631807463</v>
      </c>
    </row>
    <row r="470">
      <c r="A470" s="2" t="n">
        <v>45289</v>
      </c>
      <c r="B470" s="1" t="n">
        <v>96066.703069225</v>
      </c>
      <c r="C470" s="1" t="n">
        <v>16581.01595368657</v>
      </c>
      <c r="D470" s="1" t="n">
        <v>233658.1060871485</v>
      </c>
      <c r="E470" s="1" t="n">
        <v>1012.495226425403</v>
      </c>
      <c r="F470" s="1" t="n">
        <v>4904.497831382399</v>
      </c>
      <c r="G470" s="1" t="n">
        <v>3455.936894940418</v>
      </c>
      <c r="H470" s="1" t="n">
        <v>553.2299324845221</v>
      </c>
      <c r="I470" s="1" t="n">
        <v>2120.018769296364</v>
      </c>
      <c r="J470" s="1" t="n">
        <v>614.7838635510514</v>
      </c>
      <c r="K470" s="1" t="n">
        <v>727.2389408349877</v>
      </c>
      <c r="L470" s="1" t="n">
        <v>391.6161542911831</v>
      </c>
    </row>
    <row r="471">
      <c r="A471" s="2" t="n">
        <v>45322</v>
      </c>
      <c r="B471" s="1" t="n">
        <v>97093.0718294579</v>
      </c>
      <c r="C471" s="1" t="n">
        <v>17425.10369559348</v>
      </c>
      <c r="D471" s="1" t="n">
        <v>232801.4739711204</v>
      </c>
      <c r="E471" s="1" t="n">
        <v>1009.563326548081</v>
      </c>
      <c r="F471" s="1" t="n">
        <v>5288.6423968593</v>
      </c>
      <c r="G471" s="1" t="n">
        <v>3455.936894940418</v>
      </c>
      <c r="H471" s="1" t="n">
        <v>577.0992450688374</v>
      </c>
      <c r="I471" s="1" t="n">
        <v>2120.018769296364</v>
      </c>
      <c r="J471" s="1" t="n">
        <v>615.1999933760299</v>
      </c>
      <c r="K471" s="1" t="n">
        <v>720.3439912937577</v>
      </c>
      <c r="L471" s="1" t="n">
        <v>393.0629083432623</v>
      </c>
    </row>
    <row r="472">
      <c r="A472" s="2" t="n">
        <v>45351</v>
      </c>
      <c r="B472" s="1" t="n">
        <v>98227.8334866143</v>
      </c>
      <c r="C472" s="1" t="n">
        <v>18512.20471762219</v>
      </c>
      <c r="D472" s="1" t="n">
        <v>248426.7384101377</v>
      </c>
      <c r="E472" s="1" t="n">
        <v>1032.525672552042</v>
      </c>
      <c r="F472" s="1" t="n">
        <v>5415.864056376</v>
      </c>
      <c r="G472" s="1" t="n">
        <v>3455.936894940418</v>
      </c>
      <c r="H472" s="1" t="n">
        <v>593.8456780932153</v>
      </c>
      <c r="I472" s="1" t="n">
        <v>2120.018769296364</v>
      </c>
      <c r="J472" s="1" t="n">
        <v>613.484391666742</v>
      </c>
      <c r="K472" s="1" t="n">
        <v>714.0039264309692</v>
      </c>
      <c r="L472" s="1" t="n">
        <v>394.4157241864012</v>
      </c>
    </row>
    <row r="473">
      <c r="A473" s="2" t="n">
        <v>45380</v>
      </c>
      <c r="B473" s="1" t="n">
        <v>101304.463820083</v>
      </c>
      <c r="C473" s="1" t="n">
        <v>19113.77234327581</v>
      </c>
      <c r="D473" s="1" t="n">
        <v>255539.6519376745</v>
      </c>
      <c r="E473" s="1" t="n">
        <v>1060.607713144649</v>
      </c>
      <c r="F473" s="1" t="n">
        <v>5661.1050891072</v>
      </c>
      <c r="G473" s="1" t="n">
        <v>3466.304705625239</v>
      </c>
      <c r="H473" s="1" t="n">
        <v>604.9886535055391</v>
      </c>
      <c r="I473" s="1" t="n">
        <v>2375.860439687277</v>
      </c>
      <c r="J473" s="1" t="n">
        <v>620.8237022625535</v>
      </c>
      <c r="K473" s="1" t="n">
        <v>720.9033745365244</v>
      </c>
      <c r="L473" s="1" t="n">
        <v>395.8669097806367</v>
      </c>
    </row>
    <row r="474">
      <c r="A474" s="2" t="n">
        <v>45412</v>
      </c>
      <c r="B474" s="1" t="n">
        <v>98571.4640041277</v>
      </c>
      <c r="C474" s="1" t="n">
        <v>18590.57554698582</v>
      </c>
      <c r="D474" s="1" t="n">
        <v>260396.0211271811</v>
      </c>
      <c r="E474" s="1" t="n">
        <v>1004.053729616654</v>
      </c>
      <c r="F474" s="1" t="n">
        <v>5753.658124207</v>
      </c>
      <c r="G474" s="1" t="n">
        <v>3466.304705625239</v>
      </c>
      <c r="H474" s="1" t="n">
        <v>616.4424425431662</v>
      </c>
      <c r="I474" s="1" t="n">
        <v>2375.860439687277</v>
      </c>
      <c r="J474" s="1" t="n">
        <v>607.1584510813948</v>
      </c>
      <c r="K474" s="1" t="n">
        <v>710.7621286675165</v>
      </c>
      <c r="L474" s="1" t="n">
        <v>397.2622522761151</v>
      </c>
    </row>
    <row r="475">
      <c r="A475" s="2" t="n">
        <v>45443</v>
      </c>
      <c r="B475" s="1" t="n">
        <v>99431.12371534351</v>
      </c>
      <c r="C475" s="1" t="n">
        <v>18902.02513903124</v>
      </c>
      <c r="D475" s="1" t="n">
        <v>255535.1670750183</v>
      </c>
      <c r="E475" s="1" t="n">
        <v>1015.527647998407</v>
      </c>
      <c r="F475" s="1" t="n">
        <v>5511.006902408</v>
      </c>
      <c r="G475" s="1" t="n">
        <v>3466.304705625239</v>
      </c>
      <c r="H475" s="1" t="n">
        <v>613.667899955428</v>
      </c>
      <c r="I475" s="1" t="n">
        <v>2375.860439687277</v>
      </c>
      <c r="J475" s="1" t="n">
        <v>609.2732224481218</v>
      </c>
      <c r="K475" s="1" t="n">
        <v>708.5146856238625</v>
      </c>
      <c r="L475" s="1" t="n">
        <v>398.7521860679287</v>
      </c>
    </row>
    <row r="476">
      <c r="A476" s="2" t="n">
        <v>45471</v>
      </c>
      <c r="B476" s="1" t="n">
        <v>100125.060973291</v>
      </c>
      <c r="C476" s="1" t="n">
        <v>19265.9389250175</v>
      </c>
      <c r="D476" s="1" t="n">
        <v>265463.8247606321</v>
      </c>
      <c r="E476" s="1" t="n">
        <v>1027.098366364768</v>
      </c>
      <c r="F476" s="1" t="n">
        <v>5566.2094128846</v>
      </c>
      <c r="G476" s="1" t="n">
        <v>3476.703619742115</v>
      </c>
      <c r="H476" s="1" t="n">
        <v>611.8487123416619</v>
      </c>
      <c r="I476" s="1" t="n">
        <v>2341.28153846001</v>
      </c>
      <c r="J476" s="1" t="n">
        <v>614.619713358083</v>
      </c>
      <c r="K476" s="1" t="n">
        <v>716.5680287099026</v>
      </c>
      <c r="L476" s="1" t="n">
        <v>400.1484802600084</v>
      </c>
    </row>
    <row r="477">
      <c r="A477" s="2" t="n">
        <v>45504</v>
      </c>
      <c r="B477" s="1" t="n">
        <v>103970.654056247</v>
      </c>
      <c r="C477" s="1" t="n">
        <v>19954.09236472279</v>
      </c>
      <c r="D477" s="1" t="n">
        <v>273331.322989895</v>
      </c>
      <c r="E477" s="1" t="n">
        <v>1110.565698879163</v>
      </c>
      <c r="F477" s="1" t="n">
        <v>5492.238652992</v>
      </c>
      <c r="G477" s="1" t="n">
        <v>3476.703619742115</v>
      </c>
      <c r="H477" s="1" t="n">
        <v>615.6290794629714</v>
      </c>
      <c r="I477" s="1" t="n">
        <v>2341.28153846001</v>
      </c>
      <c r="J477" s="1" t="n">
        <v>624.9136921800643</v>
      </c>
      <c r="K477" s="1" t="n">
        <v>726.6747017889642</v>
      </c>
      <c r="L477" s="1" t="n">
        <v>401.6407130137893</v>
      </c>
    </row>
    <row r="478">
      <c r="A478" s="2" t="n">
        <v>45534</v>
      </c>
      <c r="B478" s="1" t="n">
        <v>104388.408760935</v>
      </c>
      <c r="C478" s="1" t="n">
        <v>19569.06345148613</v>
      </c>
      <c r="D478" s="1" t="n">
        <v>264205.0590313292</v>
      </c>
      <c r="E478" s="1" t="n">
        <v>1126.318139091986</v>
      </c>
      <c r="F478" s="1" t="n">
        <v>5194.737090582599</v>
      </c>
      <c r="G478" s="1" t="n">
        <v>3476.703619742115</v>
      </c>
      <c r="H478" s="1" t="n">
        <v>618.5495983762968</v>
      </c>
      <c r="I478" s="1" t="n">
        <v>2341.28153846001</v>
      </c>
      <c r="J478" s="1" t="n">
        <v>632.2409887731596</v>
      </c>
      <c r="K478" s="1" t="n">
        <v>736.6497389372275</v>
      </c>
      <c r="L478" s="1" t="n">
        <v>403.1593064834452</v>
      </c>
    </row>
    <row r="479">
      <c r="A479" s="2" t="n">
        <v>45565</v>
      </c>
      <c r="B479" s="1" t="n">
        <v>107989.161300065</v>
      </c>
      <c r="C479" s="1" t="n">
        <v>19433.86170289808</v>
      </c>
      <c r="D479" s="1" t="n">
        <v>272864.6558827085</v>
      </c>
      <c r="E479" s="1" t="n">
        <v>1132.384929367529</v>
      </c>
      <c r="F479" s="1" t="n">
        <v>5076.425079278</v>
      </c>
      <c r="G479" s="1" t="n">
        <v>3487.133730601341</v>
      </c>
      <c r="H479" s="1" t="n">
        <v>612.4268861366858</v>
      </c>
      <c r="I479" s="1" t="n">
        <v>2607.581492407181</v>
      </c>
      <c r="J479" s="1" t="n">
        <v>634.519250569089</v>
      </c>
      <c r="K479" s="1" t="n">
        <v>743.9898611116505</v>
      </c>
      <c r="L479" s="1" t="n">
        <v>404.6087137255313</v>
      </c>
    </row>
    <row r="480">
      <c r="A480" s="2" t="n">
        <v>45596</v>
      </c>
      <c r="B480" s="1" t="n">
        <v>106555.173450648</v>
      </c>
      <c r="C480" s="1" t="n">
        <v>20399.19376327448</v>
      </c>
      <c r="D480" s="1" t="n">
        <v>281066.0761791057</v>
      </c>
      <c r="E480" s="1" t="n">
        <v>1159.934778587371</v>
      </c>
      <c r="F480" s="1" t="n">
        <v>5401.212011195</v>
      </c>
      <c r="G480" s="1" t="n">
        <v>3487.133730601341</v>
      </c>
      <c r="H480" s="1" t="n">
        <v>628.0449910868799</v>
      </c>
      <c r="I480" s="1" t="n">
        <v>2607.581492407181</v>
      </c>
      <c r="J480" s="1" t="n">
        <v>622.1118722475748</v>
      </c>
      <c r="K480" s="1" t="n">
        <v>730.9946995725943</v>
      </c>
      <c r="L480" s="1" t="n">
        <v>406.1172048672436</v>
      </c>
    </row>
    <row r="481">
      <c r="A481" s="2" t="n">
        <v>45625</v>
      </c>
      <c r="B481" s="1" t="n">
        <v>110451.907578202</v>
      </c>
      <c r="C481" s="1" t="n">
        <v>21518.69122433148</v>
      </c>
      <c r="D481" s="1" t="n">
        <v>274878.8299510958</v>
      </c>
      <c r="E481" s="1" t="n">
        <v>1201.552486753685</v>
      </c>
      <c r="F481" s="1" t="n">
        <v>5433.9598952469</v>
      </c>
      <c r="G481" s="1" t="n">
        <v>3487.133730601341</v>
      </c>
      <c r="H481" s="1" t="n">
        <v>622.2187782293324</v>
      </c>
      <c r="I481" s="1" t="n">
        <v>2607.581492407181</v>
      </c>
      <c r="J481" s="1" t="n">
        <v>628.5042719876252</v>
      </c>
      <c r="K481" s="1" t="n">
        <v>736.6583655958747</v>
      </c>
      <c r="L481" s="1" t="n">
        <v>407.5871450992684</v>
      </c>
    </row>
    <row r="482">
      <c r="A482" s="2" t="n">
        <v>45657</v>
      </c>
      <c r="B482" s="1" t="n">
        <v>107060.396666839</v>
      </c>
      <c r="C482" s="1" t="n">
        <v>22214.89448553548</v>
      </c>
      <c r="D482" s="1" t="n">
        <v>292783.6846929817</v>
      </c>
      <c r="E482" s="1" t="n">
        <v>1183.387367905919</v>
      </c>
      <c r="F482" s="1" t="n">
        <v>5904.850198589999</v>
      </c>
      <c r="G482" s="1" t="n">
        <v>3504.569399254347</v>
      </c>
      <c r="H482" s="1" t="n">
        <v>632.9594683445822</v>
      </c>
      <c r="I482" s="1" t="n">
        <v>2669.599420313054</v>
      </c>
      <c r="J482" s="1" t="n">
        <v>631.359132267817</v>
      </c>
      <c r="K482" s="1" t="n">
        <v>732.8825220916634</v>
      </c>
      <c r="L482" s="1" t="n">
        <v>409.1154900556588</v>
      </c>
    </row>
    <row r="483">
      <c r="A483" s="2" t="n">
        <v>45688</v>
      </c>
      <c r="B483" s="1" t="n">
        <v>111754.474297281</v>
      </c>
      <c r="C483" s="1" t="n">
        <v>22818.37115693199</v>
      </c>
      <c r="D483" s="1" t="n">
        <v>295327.9958385784</v>
      </c>
      <c r="E483" s="1" t="n">
        <v>1193.099799386921</v>
      </c>
      <c r="F483" s="1" t="n">
        <v>6055.6745006528</v>
      </c>
      <c r="G483" s="1" t="n">
        <v>3504.569399254347</v>
      </c>
      <c r="H483" s="1" t="n">
        <v>632.6629689625188</v>
      </c>
      <c r="I483" s="1" t="n">
        <v>2669.599420313054</v>
      </c>
      <c r="J483" s="1" t="n">
        <v>632.9109488686149</v>
      </c>
      <c r="K483" s="1" t="n">
        <v>731.6122333748</v>
      </c>
      <c r="L483" s="1" t="n">
        <v>410.681342478026</v>
      </c>
    </row>
    <row r="484">
      <c r="A484" s="2" t="n">
        <v>45716</v>
      </c>
      <c r="B484" s="1" t="n">
        <v>107328.713116563</v>
      </c>
      <c r="C484" s="1" t="n">
        <v>22675.91795332842</v>
      </c>
      <c r="D484" s="1" t="n">
        <v>298464.9700614529</v>
      </c>
      <c r="E484" s="1" t="n">
        <v>1224.212039714319</v>
      </c>
      <c r="F484" s="1" t="n">
        <v>5992.5317805888</v>
      </c>
      <c r="G484" s="1" t="n">
        <v>3504.569399254347</v>
      </c>
      <c r="H484" s="1" t="n">
        <v>646.7170396723282</v>
      </c>
      <c r="I484" s="1" t="n">
        <v>2669.599420313054</v>
      </c>
      <c r="J484" s="1" t="n">
        <v>639.4744821201939</v>
      </c>
      <c r="K484" s="1" t="n">
        <v>740.1524269693986</v>
      </c>
      <c r="L484" s="1" t="n">
        <v>412.071736017123</v>
      </c>
    </row>
    <row r="485">
      <c r="A485" s="2" t="n">
        <v>45747</v>
      </c>
      <c r="B485" s="1" t="n">
        <v>103533.278449402</v>
      </c>
      <c r="C485" s="1" t="n">
        <v>21505.885301208</v>
      </c>
      <c r="D485" s="1" t="n">
        <v>298844.1649387337</v>
      </c>
      <c r="E485" s="1" t="n">
        <v>1187.943022865318</v>
      </c>
      <c r="F485" s="1" t="n">
        <v>6153.704334749999</v>
      </c>
      <c r="G485" s="1" t="n">
        <v>3522.092246250618</v>
      </c>
      <c r="H485" s="1" t="n">
        <v>647.9178621696852</v>
      </c>
      <c r="I485" s="1" t="n">
        <v>2503.973839199569</v>
      </c>
      <c r="J485" s="1" t="n">
        <v>640.3495816120491</v>
      </c>
      <c r="K485" s="1" t="n">
        <v>737.1159622052481</v>
      </c>
      <c r="L485" s="1" t="n">
        <v>413.5049781994814</v>
      </c>
    </row>
    <row r="486">
      <c r="A486" s="2" t="n">
        <v>45777</v>
      </c>
      <c r="B486" s="1" t="n">
        <v>107259.569108638</v>
      </c>
      <c r="C486" s="1" t="n">
        <v>20875.72296702246</v>
      </c>
      <c r="D486" s="1" t="n">
        <v>290510.1580120175</v>
      </c>
      <c r="E486" s="1" t="n">
        <v>1143.975780291058</v>
      </c>
      <c r="F486" s="1" t="n">
        <v>5487.5955414794</v>
      </c>
      <c r="G486" s="1" t="n">
        <v>3522.092246250618</v>
      </c>
      <c r="H486" s="1" t="n">
        <v>645.7756541342766</v>
      </c>
      <c r="I486" s="1" t="n">
        <v>2503.973839199569</v>
      </c>
      <c r="J486" s="1" t="n">
        <v>650.5517445448775</v>
      </c>
      <c r="K486" s="1" t="n">
        <v>743.7497171631143</v>
      </c>
      <c r="L486" s="1" t="n">
        <v>414.9651128250471</v>
      </c>
    </row>
    <row r="487">
      <c r="A487" s="2" t="n">
        <v>45807</v>
      </c>
      <c r="B487" s="1" t="n">
        <v>111763.240445895</v>
      </c>
      <c r="C487" s="1" t="n">
        <v>22000.31081344631</v>
      </c>
      <c r="D487" s="1" t="n">
        <v>297992.1234477743</v>
      </c>
      <c r="E487" s="1" t="n">
        <v>1167.489659601501</v>
      </c>
      <c r="F487" s="1" t="n">
        <v>5542.8155701832</v>
      </c>
      <c r="G487" s="1" t="n">
        <v>3522.092246250618</v>
      </c>
      <c r="H487" s="1" t="n">
        <v>674.5616019881322</v>
      </c>
      <c r="I487" s="1" t="n">
        <v>2503.973839199569</v>
      </c>
      <c r="J487" s="1" t="n">
        <v>650.6147216771201</v>
      </c>
      <c r="K487" s="1" t="n">
        <v>739.9356093999958</v>
      </c>
      <c r="L487" s="1" t="n">
        <v>416.3819157092981</v>
      </c>
    </row>
    <row r="488">
      <c r="A488" s="2" t="n">
        <v>45838</v>
      </c>
      <c r="B488" s="1" t="n">
        <v>113372.488907495</v>
      </c>
      <c r="C488" s="1" t="n">
        <v>22426.83096132076</v>
      </c>
      <c r="D488" s="1" t="n">
        <v>307275.6284783639</v>
      </c>
      <c r="E488" s="1" t="n">
        <v>1147.763458049686</v>
      </c>
      <c r="F488" s="1" t="n">
        <v>5686.8147176788</v>
      </c>
      <c r="G488" s="1" t="n">
        <v>3543.224799728122</v>
      </c>
      <c r="H488" s="1" t="n">
        <v>685.8118593298951</v>
      </c>
      <c r="I488" s="1" t="n">
        <v>2675.361221047552</v>
      </c>
      <c r="J488" s="1" t="n">
        <v>657.0994672681657</v>
      </c>
      <c r="K488" s="1" t="n">
        <v>744.8939799235144</v>
      </c>
      <c r="L488" s="1" t="n">
        <v>417.710405669989</v>
      </c>
    </row>
    <row r="489">
      <c r="A489" s="2" t="n">
        <v>45869</v>
      </c>
      <c r="B489" s="1" t="n">
        <v>116308.161923611</v>
      </c>
      <c r="C489" s="1" t="n">
        <v>23294.73967309728</v>
      </c>
      <c r="D489" s="1" t="n">
        <v>323529.5591900027</v>
      </c>
      <c r="E489" s="1" t="n">
        <v>1169.168010279684</v>
      </c>
      <c r="F489" s="1" t="n">
        <v>5997.6559343097</v>
      </c>
      <c r="G489" s="1" t="n">
        <v>3543.224799728122</v>
      </c>
      <c r="H489" s="1" t="n">
        <v>698.2909132825484</v>
      </c>
      <c r="I489" s="1" t="n">
        <v>2675.361221047552</v>
      </c>
      <c r="J489" s="1" t="n">
        <v>655.8959311426654</v>
      </c>
      <c r="K489" s="1" t="n">
        <v>743.1751314191428</v>
      </c>
      <c r="L489" s="1" t="n">
        <v>418.9690901561177</v>
      </c>
    </row>
    <row r="490">
      <c r="A490" s="2" t="n">
        <v>45898</v>
      </c>
      <c r="B490" s="1" t="n">
        <v>119975.952314622</v>
      </c>
      <c r="C490" s="1" t="n">
        <v>23394.7397512052</v>
      </c>
      <c r="D490" s="1" t="n">
        <v>323218.5481327869</v>
      </c>
      <c r="E490" s="1" t="n">
        <v>1193.017812388792</v>
      </c>
      <c r="F490" s="1" t="n">
        <v>5888.021464269</v>
      </c>
      <c r="G490" s="1" t="n">
        <v>3543.224799728122</v>
      </c>
      <c r="H490" s="1" t="n">
        <v>701.0527828776362</v>
      </c>
      <c r="I490" s="1" t="n">
        <v>2675.361221047552</v>
      </c>
      <c r="J490" s="1" t="n">
        <v>658.159540125049</v>
      </c>
      <c r="K490" s="1" t="n">
        <v>745.863605770596</v>
      </c>
      <c r="L490" s="1" t="n">
        <v>420.3053498133313</v>
      </c>
    </row>
    <row r="491">
      <c r="A491" s="2" t="n">
        <v>45930</v>
      </c>
      <c r="B491" s="1" t="n">
        <v>119327.104125293</v>
      </c>
      <c r="C491" s="1" t="n">
        <v>23858.87813786291</v>
      </c>
      <c r="D491" s="1" t="n">
        <v>341793.8938727709</v>
      </c>
      <c r="E491" s="1" t="n">
        <v>1188.111112678454</v>
      </c>
      <c r="F491" s="1" t="n">
        <v>5852.405576589</v>
      </c>
      <c r="G491" s="1" t="n">
        <v>3616.330689020113</v>
      </c>
      <c r="H491" s="1" t="n">
        <v>710.1730278168027</v>
      </c>
      <c r="I491" s="1" t="n">
        <v>2721.488764874245</v>
      </c>
      <c r="J491" s="1" t="n">
        <v>658.7254659077346</v>
      </c>
      <c r="K491" s="1" t="n">
        <v>750.4725040014047</v>
      </c>
      <c r="L491" s="1" t="n">
        <v>421.544438365004</v>
      </c>
    </row>
    <row r="492">
      <c r="A492" s="2" t="n">
        <v>45961</v>
      </c>
      <c r="B492" s="1" t="n">
        <v>119907.884388462</v>
      </c>
      <c r="C492" s="1" t="n">
        <v>24779.61320431022</v>
      </c>
      <c r="D492" s="1" t="n">
        <v>362018.8789953114</v>
      </c>
      <c r="E492" s="1" t="n">
        <v>1195.349484689715</v>
      </c>
      <c r="F492" s="1" t="n">
        <v>6004.8025792872</v>
      </c>
      <c r="G492" s="1" t="n">
        <v>3616.330689020113</v>
      </c>
      <c r="H492" s="1" t="n">
        <v>726.4064997365862</v>
      </c>
      <c r="I492" s="1" t="n">
        <v>2721.488764874245</v>
      </c>
      <c r="J492" s="1" t="n">
        <v>661.4983233610126</v>
      </c>
      <c r="K492" s="1" t="n">
        <v>755.8204237333423</v>
      </c>
      <c r="L492" s="1" t="n">
        <v>422.7874733005036</v>
      </c>
    </row>
    <row r="493">
      <c r="A493" s="2" t="n">
        <v>45989</v>
      </c>
      <c r="B493" s="1" t="n">
        <v>116899.756788864</v>
      </c>
      <c r="C493" s="1" t="n">
        <v>24805.10472169576</v>
      </c>
      <c r="D493" s="1" t="n">
        <v>355636.5401561203</v>
      </c>
      <c r="E493" s="1" t="n">
        <v>1214.267404553848</v>
      </c>
      <c r="F493" s="1" t="n">
        <v>5989.780268599799</v>
      </c>
      <c r="G493" s="1" t="n">
        <v>3616.330689020113</v>
      </c>
      <c r="H493" s="1" t="n">
        <v>725.7609561486993</v>
      </c>
      <c r="I493" s="1" t="n">
        <v>2721.488764874245</v>
      </c>
      <c r="J493" s="1" t="n">
        <v>654.9600964596018</v>
      </c>
      <c r="K493" s="1" t="n">
        <v>753.6995226579419</v>
      </c>
      <c r="L493" s="1" t="n">
        <v>424.0445526155276</v>
      </c>
    </row>
    <row r="494">
      <c r="A494" s="2" t="n">
        <v>46022</v>
      </c>
      <c r="B494" s="1" t="n">
        <v>118368.124930668</v>
      </c>
      <c r="C494" s="1" t="n">
        <v>24531.44103567273</v>
      </c>
      <c r="D494" s="1" t="n">
        <v>358983.6860275548</v>
      </c>
      <c r="E494" s="1" t="n">
        <v>1177.623200716833</v>
      </c>
      <c r="F494" s="1" t="n">
        <v>5872.7138429063</v>
      </c>
      <c r="G494" s="1" t="n">
        <v>3733.63671223087</v>
      </c>
      <c r="H494" s="1" t="n">
        <v>720.8291378579611</v>
      </c>
      <c r="I494" s="1" t="n">
        <v>2681.390490555608</v>
      </c>
      <c r="J494" s="1" t="n">
        <v>652.1173809243485</v>
      </c>
      <c r="K494" s="1" t="n">
        <v>751.7714115260193</v>
      </c>
      <c r="L494" s="1" t="n">
        <v>425.3578426913239</v>
      </c>
    </row>
    <row r="495">
      <c r="A495" s="2" t="n">
        <v>46052</v>
      </c>
      <c r="B495" s="1" t="n">
        <v>120285.104575661</v>
      </c>
      <c r="C495" s="1" t="n">
        <v>23753.59781877772</v>
      </c>
      <c r="D495" s="1" t="n">
        <v>371742.5055304031</v>
      </c>
      <c r="E495" s="1" t="n">
        <v>1146.55904264815</v>
      </c>
      <c r="F495" s="1" t="n">
        <v>6139.625746527</v>
      </c>
      <c r="G495" s="1" t="n">
        <v>3733.63671223087</v>
      </c>
      <c r="H495" s="1" t="n">
        <v>709.2497333050766</v>
      </c>
      <c r="I495" s="1" t="n">
        <v>2681.390490555608</v>
      </c>
      <c r="J495" s="1" t="n">
        <v>652.6308189971942</v>
      </c>
      <c r="K495" s="1" t="n">
        <v>751.4556652346766</v>
      </c>
      <c r="L495" s="1" t="n">
        <v>426.6510840297712</v>
      </c>
    </row>
    <row r="496">
      <c r="A496" s="2" t="n">
        <v>46080</v>
      </c>
      <c r="B496" s="1" t="n">
        <v>124297.147029884</v>
      </c>
      <c r="C496" s="1" t="n">
        <v>23580.76013177644</v>
      </c>
      <c r="D496" s="1" t="n">
        <v>383584.6408291594</v>
      </c>
      <c r="E496" s="1" t="n">
        <v>1197.034274618175</v>
      </c>
      <c r="F496" s="1" t="n">
        <v>6178.790612420999</v>
      </c>
      <c r="G496" s="1" t="n">
        <v>3733.63671223087</v>
      </c>
      <c r="H496" s="1" t="n">
        <v>712.619452375034</v>
      </c>
      <c r="I496" s="1" t="n">
        <v>2681.390490555608</v>
      </c>
      <c r="J496" s="1" t="n">
        <v>658.3693968160497</v>
      </c>
      <c r="K496" s="1" t="n">
        <v>764.0639502417658</v>
      </c>
      <c r="L496" s="1" t="n">
        <v>427.864060041456</v>
      </c>
    </row>
    <row r="497">
      <c r="A497" s="2" t="n">
        <v>46112</v>
      </c>
      <c r="B497" s="1" t="n">
        <v>115221.443554808</v>
      </c>
      <c r="C497" s="1" t="n">
        <v>23155.72750025486</v>
      </c>
      <c r="D497" s="1" t="n">
        <v>357162.6012907143</v>
      </c>
      <c r="E497" s="1" t="n">
        <v>1160.273281769242</v>
      </c>
      <c r="F497" s="1" t="n">
        <v>8006.1675260928</v>
      </c>
      <c r="G497" s="1" t="n">
        <v>3808.309446475486</v>
      </c>
      <c r="H497" s="1" t="n">
        <v>698.1464731695523</v>
      </c>
      <c r="I497" s="1" t="n">
        <v>2235.805681369883</v>
      </c>
      <c r="J497" s="1" t="n">
        <v>649.0440960592339</v>
      </c>
      <c r="K497" s="1" t="n">
        <v>746.80027301846</v>
      </c>
      <c r="L497" s="1" t="n">
        <v>429.2161616037138</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134"/>
  <sheetViews>
    <sheetView zoomScale="115" zoomScaleNormal="115" workbookViewId="0">
      <selection activeCell="A3" sqref="A3:E29"/>
    </sheetView>
  </sheetViews>
  <sheetFormatPr baseColWidth="10" defaultColWidth="9.1640625" defaultRowHeight="14"/>
  <cols>
    <col width="38" customWidth="1" style="408" min="1" max="1"/>
    <col width="18.6640625" customWidth="1" style="408" min="2" max="3"/>
    <col width="22" customWidth="1" style="39" min="4" max="4"/>
    <col width="20.33203125" customWidth="1" style="408" min="5" max="5"/>
    <col width="9.1640625" customWidth="1" style="408" min="6" max="6"/>
    <col width="9.1640625" customWidth="1" style="408" min="7" max="16384"/>
  </cols>
  <sheetData>
    <row r="1" ht="18" customHeight="1">
      <c r="A1" s="5" t="inlineStr">
        <is>
          <t>EPPIB - Total Portfolio Weightings and Measures</t>
        </is>
      </c>
      <c r="B1" s="6" t="n"/>
      <c r="C1" s="6" t="n"/>
      <c r="D1" s="7" t="n"/>
      <c r="E1" s="6" t="n"/>
    </row>
    <row r="2" ht="1.5" customHeight="1">
      <c r="A2" s="6" t="n"/>
      <c r="B2" s="6" t="n"/>
      <c r="C2" s="6" t="n"/>
      <c r="D2" s="9" t="n"/>
      <c r="E2" s="6" t="n"/>
    </row>
    <row r="3" ht="21" customHeight="1">
      <c r="A3" s="10" t="n"/>
      <c r="B3" s="405" t="inlineStr">
        <is>
          <t>EPPIB: Existing Assets</t>
        </is>
      </c>
      <c r="C3" s="406" t="n"/>
      <c r="D3" s="405" t="inlineStr">
        <is>
          <t>Benchmark</t>
        </is>
      </c>
      <c r="E3" s="407" t="inlineStr">
        <is>
          <t>Liquid Asset?</t>
        </is>
      </c>
    </row>
    <row r="4" ht="15" customHeight="1">
      <c r="A4" s="12" t="n"/>
      <c r="B4" s="13" t="inlineStr">
        <is>
          <t>Assets (A$m)</t>
        </is>
      </c>
      <c r="C4" s="13" t="inlineStr">
        <is>
          <t>% Weight</t>
        </is>
      </c>
      <c r="D4" s="14" t="inlineStr">
        <is>
          <t xml:space="preserve"> % Average Weights</t>
        </is>
      </c>
    </row>
    <row r="5" ht="19.5" customHeight="1">
      <c r="A5" s="12" t="inlineStr">
        <is>
          <t>Asset Classes</t>
        </is>
      </c>
      <c r="B5" s="6" t="n"/>
      <c r="C5" s="6" t="n"/>
      <c r="D5" s="7" t="n"/>
      <c r="E5" s="6" t="n"/>
    </row>
    <row r="6">
      <c r="A6" s="14" t="inlineStr">
        <is>
          <t>Equities</t>
        </is>
      </c>
      <c r="B6" s="15" t="n"/>
      <c r="C6" s="15" t="n"/>
      <c r="D6" s="16" t="n"/>
      <c r="E6" s="15" t="n"/>
    </row>
    <row r="7" ht="13.5" customHeight="1">
      <c r="A7" s="15" t="inlineStr">
        <is>
          <t xml:space="preserve">  - Australia</t>
        </is>
      </c>
      <c r="B7" s="17">
        <f>C7*$B$29</f>
        <v>1200</v>
      </c>
      <c r="C7" s="18" t="n">
        <v>0.4</v>
      </c>
      <c r="D7" s="19" t="n">
        <v>0.25</v>
      </c>
      <c r="E7" s="16" t="inlineStr">
        <is>
          <t>Yes</t>
        </is>
      </c>
    </row>
    <row r="8" ht="13.5" customHeight="1">
      <c r="A8" s="15" t="inlineStr">
        <is>
          <t xml:space="preserve">  - World</t>
        </is>
      </c>
      <c r="B8" s="17" t="n">
        <v>600</v>
      </c>
      <c r="C8" s="18" t="n">
        <v>0.2</v>
      </c>
      <c r="D8" s="19" t="n">
        <v>0.24</v>
      </c>
      <c r="E8" s="16" t="inlineStr">
        <is>
          <t>Yes</t>
        </is>
      </c>
    </row>
    <row r="9" ht="13.5" customHeight="1">
      <c r="A9" s="15" t="inlineStr">
        <is>
          <t xml:space="preserve">  - Emerging Markets</t>
        </is>
      </c>
      <c r="B9" s="20" t="n"/>
      <c r="C9" s="21" t="n"/>
      <c r="D9" s="21" t="n">
        <v>0.03</v>
      </c>
      <c r="E9" s="16" t="inlineStr">
        <is>
          <t>Yes</t>
        </is>
      </c>
    </row>
    <row r="10" ht="13.5" customHeight="1">
      <c r="A10" s="22" t="inlineStr">
        <is>
          <t>Total Equities</t>
        </is>
      </c>
      <c r="B10" s="23">
        <f>SUM(B7:B9)</f>
        <v>1800</v>
      </c>
      <c r="C10" s="24">
        <f>SUM(C7:C9)</f>
        <v>0.6</v>
      </c>
      <c r="D10" s="24">
        <f>SUM(D7:D9)</f>
        <v>0.52</v>
      </c>
      <c r="E10" s="24" t="n"/>
    </row>
    <row r="11" ht="5.25" customHeight="1">
      <c r="A11" s="15" t="n"/>
      <c r="B11" s="17" t="n"/>
      <c r="C11" s="25" t="n"/>
      <c r="D11" s="19" t="n"/>
      <c r="E11" s="19" t="n"/>
    </row>
    <row r="12" ht="14.25" customHeight="1">
      <c r="A12" s="14" t="inlineStr">
        <is>
          <t>Fixed Income</t>
        </is>
      </c>
      <c r="B12" s="17" t="n"/>
      <c r="C12" s="26" t="n"/>
      <c r="D12" s="19" t="n"/>
      <c r="E12" s="19" t="n"/>
    </row>
    <row r="13" ht="13.5" customHeight="1">
      <c r="A13" s="15" t="inlineStr">
        <is>
          <t xml:space="preserve">  - Australia</t>
        </is>
      </c>
      <c r="B13" s="17">
        <f>C13*$B$29</f>
        <v>450</v>
      </c>
      <c r="C13" s="18" t="n">
        <v>0.15</v>
      </c>
      <c r="D13" s="19" t="n">
        <v>0.14</v>
      </c>
      <c r="E13" s="16" t="inlineStr">
        <is>
          <t>Yes</t>
        </is>
      </c>
    </row>
    <row r="14" ht="13.5" customHeight="1">
      <c r="A14" s="15" t="inlineStr">
        <is>
          <t xml:space="preserve">  - World</t>
        </is>
      </c>
      <c r="B14" s="17">
        <f>C14*$B$29</f>
        <v>240</v>
      </c>
      <c r="C14" s="18" t="n">
        <v>0.08</v>
      </c>
      <c r="D14" s="19" t="n">
        <v>0.11</v>
      </c>
      <c r="E14" s="16" t="inlineStr">
        <is>
          <t>Yes</t>
        </is>
      </c>
    </row>
    <row r="15" ht="13.5" customHeight="1">
      <c r="A15" s="15" t="inlineStr">
        <is>
          <t xml:space="preserve">  - Australian Cash</t>
        </is>
      </c>
      <c r="B15" s="20">
        <f>C15*$B$29</f>
        <v>210</v>
      </c>
      <c r="C15" s="27" t="n">
        <v>0.07000000000000001</v>
      </c>
      <c r="D15" s="21" t="n">
        <v>0.03</v>
      </c>
      <c r="E15" s="16" t="inlineStr">
        <is>
          <t>Yes</t>
        </is>
      </c>
    </row>
    <row r="16" ht="13.5" customHeight="1">
      <c r="A16" s="22" t="inlineStr">
        <is>
          <t>Total Fixed Income</t>
        </is>
      </c>
      <c r="B16" s="23">
        <f>SUM(B13:B15)</f>
        <v>900</v>
      </c>
      <c r="C16" s="24">
        <f>SUM(C13:C15)</f>
        <v>0.3</v>
      </c>
      <c r="D16" s="24">
        <f>SUM(D13:D15)</f>
        <v>0.28</v>
      </c>
      <c r="E16" s="24" t="n"/>
    </row>
    <row r="17" ht="6" customHeight="1">
      <c r="A17" s="28" t="n"/>
      <c r="B17" s="17" t="n"/>
      <c r="C17" s="26" t="n"/>
      <c r="D17" s="19" t="n"/>
      <c r="E17" s="19" t="n"/>
    </row>
    <row r="18" ht="14.25" customHeight="1">
      <c r="A18" s="14" t="inlineStr">
        <is>
          <t>Property &amp; Infrastructure</t>
        </is>
      </c>
      <c r="B18" s="17" t="n"/>
      <c r="C18" s="26" t="n"/>
      <c r="D18" s="19" t="n"/>
      <c r="E18" s="19" t="n"/>
    </row>
    <row r="19" ht="13.5" customHeight="1">
      <c r="A19" s="15" t="inlineStr">
        <is>
          <t xml:space="preserve">  - Listed</t>
        </is>
      </c>
      <c r="B19" s="17">
        <f>C19*$B$29</f>
        <v>300</v>
      </c>
      <c r="C19" s="18" t="n">
        <v>0.1</v>
      </c>
      <c r="D19" s="19" t="n">
        <v>0.07000000000000001</v>
      </c>
      <c r="E19" s="16" t="inlineStr">
        <is>
          <t>Yes</t>
        </is>
      </c>
    </row>
    <row r="20" ht="13.5" customHeight="1">
      <c r="A20" s="15" t="inlineStr">
        <is>
          <t xml:space="preserve">  - Direct</t>
        </is>
      </c>
      <c r="B20" s="20" t="n"/>
      <c r="C20" s="27" t="n"/>
      <c r="D20" s="21" t="n">
        <v>0.05</v>
      </c>
      <c r="E20" s="16" t="inlineStr">
        <is>
          <t>No</t>
        </is>
      </c>
    </row>
    <row r="21" ht="13.5" customHeight="1">
      <c r="A21" s="22" t="inlineStr">
        <is>
          <t>Total Property &amp; Infrastructure</t>
        </is>
      </c>
      <c r="B21" s="23">
        <f>B19+B20</f>
        <v>300</v>
      </c>
      <c r="C21" s="24">
        <f>C19+C20</f>
        <v>0.1</v>
      </c>
      <c r="D21" s="24">
        <f>D19+D20</f>
        <v>0.12</v>
      </c>
      <c r="E21" s="24" t="n"/>
    </row>
    <row r="22" ht="6" customHeight="1">
      <c r="A22" s="15" t="n"/>
      <c r="B22" s="29" t="n"/>
      <c r="C22" s="26" t="n"/>
      <c r="D22" s="19" t="n"/>
      <c r="E22" s="19" t="n"/>
    </row>
    <row r="23" ht="14.25" customHeight="1">
      <c r="A23" s="14" t="inlineStr">
        <is>
          <t>Other Alternatives</t>
        </is>
      </c>
      <c r="B23" s="29" t="n"/>
      <c r="C23" s="26" t="n"/>
      <c r="D23" s="26" t="n"/>
      <c r="E23" s="15" t="n"/>
    </row>
    <row r="24" ht="13.5" customHeight="1">
      <c r="A24" s="15" t="inlineStr">
        <is>
          <t xml:space="preserve">  - Hedge Funds</t>
        </is>
      </c>
      <c r="B24" s="29" t="n"/>
      <c r="C24" s="26" t="n"/>
      <c r="D24" s="19" t="n">
        <v>0.03</v>
      </c>
      <c r="E24" s="16" t="inlineStr">
        <is>
          <t>No</t>
        </is>
      </c>
    </row>
    <row r="25" ht="13.5" customHeight="1">
      <c r="A25" s="15" t="inlineStr">
        <is>
          <t xml:space="preserve">  - Private Equity</t>
        </is>
      </c>
      <c r="B25" s="29" t="n"/>
      <c r="C25" s="26" t="n"/>
      <c r="D25" s="19" t="n">
        <v>0.03</v>
      </c>
      <c r="E25" s="16" t="inlineStr">
        <is>
          <t>No</t>
        </is>
      </c>
    </row>
    <row r="26" ht="13.5" customHeight="1">
      <c r="A26" s="15" t="inlineStr">
        <is>
          <t xml:space="preserve">  - Commodities</t>
        </is>
      </c>
      <c r="B26" s="30" t="n"/>
      <c r="C26" s="31" t="n"/>
      <c r="D26" s="21" t="n">
        <v>0.02</v>
      </c>
      <c r="E26" s="16" t="inlineStr">
        <is>
          <t>Yes</t>
        </is>
      </c>
    </row>
    <row r="27" ht="13.5" customHeight="1">
      <c r="A27" s="22" t="inlineStr">
        <is>
          <t>Total Other Alternatives</t>
        </is>
      </c>
      <c r="B27" s="32" t="n"/>
      <c r="C27" s="24" t="n"/>
      <c r="D27" s="24">
        <f>SUM(D24:D26)</f>
        <v>0.08</v>
      </c>
      <c r="E27" s="24" t="n"/>
    </row>
    <row r="28" ht="4.5" customHeight="1">
      <c r="A28" s="15" t="n"/>
      <c r="B28" s="33" t="n"/>
      <c r="C28" s="15" t="n"/>
      <c r="D28" s="19" t="n"/>
      <c r="E28" s="19" t="n"/>
    </row>
    <row r="29" ht="14.25" customHeight="1">
      <c r="A29" s="34" t="inlineStr">
        <is>
          <t>TOTAL</t>
        </is>
      </c>
      <c r="B29" s="35" t="n">
        <v>3000</v>
      </c>
      <c r="C29" s="36">
        <f>SUM(C10,C16,C21,C27)</f>
        <v>1</v>
      </c>
      <c r="D29" s="36">
        <f>D10+D16+D21+D27</f>
        <v>1</v>
      </c>
      <c r="E29" s="36" t="n"/>
    </row>
    <row r="30">
      <c r="A30" s="37" t="n"/>
      <c r="B30" s="37" t="n"/>
      <c r="C30" s="37" t="n"/>
      <c r="D30" s="38" t="n"/>
      <c r="E30" s="37" t="n"/>
    </row>
    <row r="31">
      <c r="A31" s="37" t="n"/>
      <c r="B31" s="37" t="n"/>
      <c r="C31" s="37" t="n"/>
      <c r="D31" s="38" t="n"/>
      <c r="E31" s="37" t="n"/>
    </row>
    <row r="32">
      <c r="A32" s="37" t="n"/>
      <c r="B32" s="37" t="n"/>
      <c r="C32" s="37" t="n"/>
      <c r="D32" s="38" t="n"/>
      <c r="E32" s="37" t="n"/>
    </row>
    <row r="33">
      <c r="A33" s="37" t="n"/>
      <c r="B33" s="37" t="n"/>
      <c r="C33" s="37" t="n"/>
      <c r="D33" s="38" t="n"/>
      <c r="E33" s="37" t="n"/>
    </row>
    <row r="34">
      <c r="A34" s="37" t="n"/>
      <c r="B34" s="37" t="n"/>
      <c r="C34" s="37" t="n"/>
      <c r="D34" s="38" t="n"/>
      <c r="E34" s="37" t="n"/>
    </row>
    <row r="35">
      <c r="A35" s="37" t="n"/>
      <c r="B35" s="37" t="n"/>
      <c r="C35" s="37" t="n"/>
      <c r="D35" s="38" t="n"/>
      <c r="E35" s="37" t="n"/>
    </row>
    <row r="36">
      <c r="A36" s="37" t="n"/>
      <c r="B36" s="37" t="n"/>
      <c r="C36" s="37" t="n"/>
      <c r="D36" s="38" t="n"/>
      <c r="E36" s="37" t="n"/>
    </row>
    <row r="37">
      <c r="A37" s="37" t="n"/>
      <c r="B37" s="37" t="n"/>
      <c r="C37" s="37" t="n"/>
      <c r="D37" s="38" t="n"/>
      <c r="E37" s="37" t="n"/>
    </row>
    <row r="38">
      <c r="A38" s="37" t="n"/>
      <c r="B38" s="37" t="n"/>
      <c r="C38" s="37" t="n"/>
      <c r="D38" s="38" t="n"/>
      <c r="E38" s="37" t="n"/>
    </row>
    <row r="39">
      <c r="A39" s="37" t="n"/>
      <c r="B39" s="37" t="n"/>
      <c r="C39" s="37" t="n"/>
      <c r="D39" s="38" t="n"/>
      <c r="E39" s="37" t="n"/>
    </row>
    <row r="40">
      <c r="A40" s="37" t="n"/>
      <c r="B40" s="37" t="n"/>
      <c r="C40" s="37" t="n"/>
      <c r="D40" s="38" t="n"/>
      <c r="E40" s="37" t="n"/>
    </row>
    <row r="41">
      <c r="A41" s="37" t="n"/>
      <c r="B41" s="37" t="n"/>
      <c r="C41" s="37" t="n"/>
      <c r="D41" s="38" t="n"/>
      <c r="E41" s="37" t="n"/>
    </row>
    <row r="42">
      <c r="A42" s="37" t="n"/>
      <c r="B42" s="37" t="n"/>
      <c r="C42" s="37" t="n"/>
      <c r="D42" s="38" t="n"/>
      <c r="E42" s="37" t="n"/>
    </row>
    <row r="43">
      <c r="A43" s="37" t="n"/>
      <c r="B43" s="37" t="n"/>
      <c r="C43" s="37" t="n"/>
      <c r="D43" s="38" t="n"/>
      <c r="E43" s="37" t="n"/>
    </row>
    <row r="44">
      <c r="A44" s="37" t="n"/>
      <c r="B44" s="37" t="n"/>
      <c r="C44" s="37" t="n"/>
      <c r="D44" s="38" t="n"/>
      <c r="E44" s="37" t="n"/>
    </row>
    <row r="45">
      <c r="A45" s="37" t="n"/>
      <c r="B45" s="37" t="n"/>
      <c r="C45" s="37" t="n"/>
      <c r="D45" s="38" t="n"/>
      <c r="E45" s="37" t="n"/>
    </row>
    <row r="46">
      <c r="A46" s="37" t="n"/>
      <c r="B46" s="37" t="n"/>
      <c r="C46" s="37" t="n"/>
      <c r="D46" s="38" t="n"/>
      <c r="E46" s="37" t="n"/>
    </row>
    <row r="47">
      <c r="A47" s="37" t="n"/>
      <c r="B47" s="37" t="n"/>
      <c r="C47" s="37" t="n"/>
      <c r="D47" s="38" t="n"/>
      <c r="E47" s="37" t="n"/>
    </row>
    <row r="48">
      <c r="A48" s="37" t="n"/>
      <c r="B48" s="37" t="n"/>
      <c r="C48" s="37" t="n"/>
      <c r="D48" s="38" t="n"/>
      <c r="E48" s="37" t="n"/>
    </row>
    <row r="49">
      <c r="A49" s="37" t="n"/>
      <c r="B49" s="37" t="n"/>
      <c r="C49" s="37" t="n"/>
      <c r="D49" s="38" t="n"/>
      <c r="E49" s="37" t="n"/>
    </row>
    <row r="50">
      <c r="A50" s="37" t="n"/>
      <c r="B50" s="37" t="n"/>
      <c r="C50" s="37" t="n"/>
      <c r="D50" s="38" t="n"/>
      <c r="E50" s="37" t="n"/>
    </row>
    <row r="51">
      <c r="A51" s="37" t="n"/>
      <c r="B51" s="37" t="n"/>
      <c r="C51" s="37" t="n"/>
      <c r="D51" s="38" t="n"/>
      <c r="E51" s="37" t="n"/>
    </row>
    <row r="52">
      <c r="A52" s="37" t="n"/>
      <c r="B52" s="37" t="n"/>
      <c r="C52" s="37" t="n"/>
      <c r="D52" s="38" t="n"/>
      <c r="E52" s="37" t="n"/>
    </row>
    <row r="53">
      <c r="A53" s="37" t="n"/>
      <c r="B53" s="37" t="n"/>
      <c r="C53" s="37" t="n"/>
      <c r="D53" s="38" t="n"/>
      <c r="E53" s="37" t="n"/>
    </row>
    <row r="54">
      <c r="A54" s="37" t="n"/>
      <c r="B54" s="37" t="n"/>
      <c r="C54" s="37" t="n"/>
      <c r="D54" s="38" t="n"/>
      <c r="E54" s="37" t="n"/>
    </row>
    <row r="55">
      <c r="A55" s="37" t="n"/>
      <c r="B55" s="37" t="n"/>
      <c r="C55" s="37" t="n"/>
      <c r="D55" s="38" t="n"/>
      <c r="E55" s="37" t="n"/>
    </row>
    <row r="56">
      <c r="A56" s="37" t="n"/>
      <c r="B56" s="37" t="n"/>
      <c r="C56" s="37" t="n"/>
      <c r="D56" s="38" t="n"/>
      <c r="E56" s="37" t="n"/>
    </row>
    <row r="57">
      <c r="A57" s="37" t="n"/>
      <c r="B57" s="37" t="n"/>
      <c r="C57" s="37" t="n"/>
      <c r="D57" s="38" t="n"/>
      <c r="E57" s="37" t="n"/>
    </row>
    <row r="58">
      <c r="A58" s="37" t="n"/>
      <c r="B58" s="37" t="n"/>
      <c r="C58" s="37" t="n"/>
      <c r="D58" s="38" t="n"/>
      <c r="E58" s="37" t="n"/>
    </row>
    <row r="59">
      <c r="A59" s="37" t="n"/>
      <c r="B59" s="37" t="n"/>
      <c r="C59" s="37" t="n"/>
      <c r="D59" s="38" t="n"/>
      <c r="E59" s="37" t="n"/>
    </row>
    <row r="60">
      <c r="A60" s="37" t="n"/>
      <c r="B60" s="37" t="n"/>
      <c r="C60" s="37" t="n"/>
      <c r="D60" s="38" t="n"/>
      <c r="E60" s="37" t="n"/>
    </row>
    <row r="61">
      <c r="A61" s="37" t="n"/>
      <c r="B61" s="37" t="n"/>
      <c r="C61" s="37" t="n"/>
      <c r="D61" s="38" t="n"/>
      <c r="E61" s="37" t="n"/>
    </row>
    <row r="62">
      <c r="A62" s="37" t="n"/>
      <c r="B62" s="37" t="n"/>
      <c r="C62" s="37" t="n"/>
      <c r="D62" s="38" t="n"/>
      <c r="E62" s="37" t="n"/>
    </row>
    <row r="63">
      <c r="A63" s="37" t="n"/>
      <c r="B63" s="37" t="n"/>
      <c r="C63" s="37" t="n"/>
      <c r="D63" s="38" t="n"/>
      <c r="E63" s="37" t="n"/>
    </row>
    <row r="64">
      <c r="A64" s="37" t="n"/>
      <c r="B64" s="37" t="n"/>
      <c r="C64" s="37" t="n"/>
      <c r="D64" s="38" t="n"/>
      <c r="E64" s="37" t="n"/>
    </row>
    <row r="65">
      <c r="A65" s="37" t="n"/>
      <c r="B65" s="37" t="n"/>
      <c r="C65" s="37" t="n"/>
      <c r="D65" s="38" t="n"/>
      <c r="E65" s="37" t="n"/>
    </row>
    <row r="66">
      <c r="A66" s="37" t="n"/>
      <c r="B66" s="37" t="n"/>
      <c r="C66" s="37" t="n"/>
      <c r="D66" s="38" t="n"/>
      <c r="E66" s="37" t="n"/>
    </row>
    <row r="67">
      <c r="A67" s="37" t="n"/>
      <c r="B67" s="37" t="n"/>
      <c r="C67" s="37" t="n"/>
      <c r="D67" s="38" t="n"/>
      <c r="E67" s="37" t="n"/>
    </row>
    <row r="68">
      <c r="A68" s="37" t="n"/>
      <c r="B68" s="37" t="n"/>
      <c r="C68" s="37" t="n"/>
      <c r="D68" s="38" t="n"/>
      <c r="E68" s="37" t="n"/>
    </row>
    <row r="69">
      <c r="A69" s="37" t="n"/>
      <c r="B69" s="37" t="n"/>
      <c r="C69" s="37" t="n"/>
      <c r="D69" s="38" t="n"/>
      <c r="E69" s="37" t="n"/>
    </row>
    <row r="70">
      <c r="A70" s="37" t="n"/>
      <c r="B70" s="37" t="n"/>
      <c r="C70" s="37" t="n"/>
      <c r="D70" s="38" t="n"/>
      <c r="E70" s="37" t="n"/>
    </row>
    <row r="71">
      <c r="A71" s="37" t="n"/>
      <c r="B71" s="37" t="n"/>
      <c r="C71" s="37" t="n"/>
      <c r="D71" s="38" t="n"/>
      <c r="E71" s="37" t="n"/>
    </row>
    <row r="72">
      <c r="A72" s="37" t="n"/>
      <c r="B72" s="37" t="n"/>
      <c r="C72" s="37" t="n"/>
      <c r="D72" s="38" t="n"/>
      <c r="E72" s="37" t="n"/>
    </row>
    <row r="73">
      <c r="A73" s="37" t="n"/>
      <c r="B73" s="37" t="n"/>
      <c r="C73" s="37" t="n"/>
      <c r="D73" s="38" t="n"/>
      <c r="E73" s="37" t="n"/>
    </row>
    <row r="74">
      <c r="A74" s="37" t="n"/>
      <c r="B74" s="37" t="n"/>
      <c r="C74" s="37" t="n"/>
      <c r="D74" s="38" t="n"/>
      <c r="E74" s="37" t="n"/>
    </row>
    <row r="75">
      <c r="A75" s="37" t="n"/>
      <c r="B75" s="37" t="n"/>
      <c r="C75" s="37" t="n"/>
      <c r="D75" s="38" t="n"/>
      <c r="E75" s="37" t="n"/>
    </row>
    <row r="76">
      <c r="A76" s="37" t="n"/>
      <c r="B76" s="37" t="n"/>
      <c r="C76" s="37" t="n"/>
      <c r="D76" s="38" t="n"/>
      <c r="E76" s="37" t="n"/>
    </row>
    <row r="77">
      <c r="A77" s="37" t="n"/>
      <c r="B77" s="37" t="n"/>
      <c r="C77" s="37" t="n"/>
      <c r="D77" s="38" t="n"/>
      <c r="E77" s="37" t="n"/>
    </row>
    <row r="78">
      <c r="A78" s="37" t="n"/>
      <c r="B78" s="37" t="n"/>
      <c r="C78" s="37" t="n"/>
      <c r="D78" s="38" t="n"/>
      <c r="E78" s="37" t="n"/>
    </row>
    <row r="79">
      <c r="A79" s="37" t="n"/>
      <c r="B79" s="37" t="n"/>
      <c r="C79" s="37" t="n"/>
      <c r="D79" s="38" t="n"/>
      <c r="E79" s="37" t="n"/>
    </row>
    <row r="80">
      <c r="A80" s="37" t="n"/>
      <c r="B80" s="37" t="n"/>
      <c r="C80" s="37" t="n"/>
      <c r="D80" s="38" t="n"/>
      <c r="E80" s="37" t="n"/>
    </row>
    <row r="81">
      <c r="A81" s="37" t="n"/>
      <c r="B81" s="37" t="n"/>
      <c r="C81" s="37" t="n"/>
      <c r="D81" s="38" t="n"/>
      <c r="E81" s="37" t="n"/>
    </row>
    <row r="82">
      <c r="A82" s="37" t="n"/>
      <c r="B82" s="37" t="n"/>
      <c r="C82" s="37" t="n"/>
      <c r="D82" s="38" t="n"/>
      <c r="E82" s="37" t="n"/>
    </row>
    <row r="83">
      <c r="A83" s="37" t="n"/>
      <c r="B83" s="37" t="n"/>
      <c r="C83" s="37" t="n"/>
      <c r="D83" s="38" t="n"/>
      <c r="E83" s="37" t="n"/>
    </row>
    <row r="84">
      <c r="A84" s="37" t="n"/>
      <c r="B84" s="37" t="n"/>
      <c r="C84" s="37" t="n"/>
      <c r="D84" s="38" t="n"/>
      <c r="E84" s="37" t="n"/>
    </row>
    <row r="85">
      <c r="A85" s="37" t="n"/>
      <c r="B85" s="37" t="n"/>
      <c r="C85" s="37" t="n"/>
      <c r="D85" s="38" t="n"/>
      <c r="E85" s="37" t="n"/>
    </row>
    <row r="86">
      <c r="A86" s="37" t="n"/>
      <c r="B86" s="37" t="n"/>
      <c r="C86" s="37" t="n"/>
      <c r="D86" s="38" t="n"/>
      <c r="E86" s="37" t="n"/>
    </row>
    <row r="87">
      <c r="A87" s="37" t="n"/>
      <c r="B87" s="37" t="n"/>
      <c r="C87" s="37" t="n"/>
      <c r="D87" s="38" t="n"/>
      <c r="E87" s="37" t="n"/>
    </row>
    <row r="88">
      <c r="A88" s="37" t="n"/>
      <c r="B88" s="37" t="n"/>
      <c r="C88" s="37" t="n"/>
      <c r="D88" s="38" t="n"/>
      <c r="E88" s="37" t="n"/>
    </row>
    <row r="89">
      <c r="A89" s="37" t="n"/>
      <c r="B89" s="37" t="n"/>
      <c r="C89" s="37" t="n"/>
      <c r="D89" s="38" t="n"/>
      <c r="E89" s="37" t="n"/>
    </row>
    <row r="90">
      <c r="A90" s="37" t="n"/>
      <c r="B90" s="37" t="n"/>
      <c r="C90" s="37" t="n"/>
      <c r="D90" s="38" t="n"/>
      <c r="E90" s="37" t="n"/>
    </row>
    <row r="91">
      <c r="A91" s="37" t="n"/>
      <c r="B91" s="37" t="n"/>
      <c r="C91" s="37" t="n"/>
      <c r="D91" s="38" t="n"/>
      <c r="E91" s="37" t="n"/>
    </row>
    <row r="92">
      <c r="A92" s="37" t="n"/>
      <c r="B92" s="37" t="n"/>
      <c r="C92" s="37" t="n"/>
      <c r="D92" s="38" t="n"/>
      <c r="E92" s="37" t="n"/>
    </row>
    <row r="93">
      <c r="A93" s="37" t="n"/>
      <c r="B93" s="37" t="n"/>
      <c r="C93" s="37" t="n"/>
      <c r="D93" s="38" t="n"/>
      <c r="E93" s="37" t="n"/>
    </row>
    <row r="94">
      <c r="A94" s="37" t="n"/>
      <c r="B94" s="37" t="n"/>
      <c r="C94" s="37" t="n"/>
      <c r="D94" s="38" t="n"/>
      <c r="E94" s="37" t="n"/>
    </row>
    <row r="95">
      <c r="A95" s="37" t="n"/>
      <c r="B95" s="37" t="n"/>
      <c r="C95" s="37" t="n"/>
      <c r="D95" s="38" t="n"/>
      <c r="E95" s="37" t="n"/>
    </row>
    <row r="96">
      <c r="A96" s="37" t="n"/>
      <c r="B96" s="37" t="n"/>
      <c r="C96" s="37" t="n"/>
      <c r="D96" s="38" t="n"/>
      <c r="E96" s="37" t="n"/>
    </row>
    <row r="97">
      <c r="A97" s="37" t="n"/>
      <c r="B97" s="37" t="n"/>
      <c r="C97" s="37" t="n"/>
      <c r="D97" s="38" t="n"/>
      <c r="E97" s="37" t="n"/>
    </row>
    <row r="98">
      <c r="A98" s="37" t="n"/>
      <c r="B98" s="37" t="n"/>
      <c r="C98" s="37" t="n"/>
      <c r="D98" s="38" t="n"/>
      <c r="E98" s="37" t="n"/>
    </row>
    <row r="99">
      <c r="A99" s="37" t="n"/>
      <c r="B99" s="37" t="n"/>
      <c r="C99" s="37" t="n"/>
      <c r="D99" s="38" t="n"/>
      <c r="E99" s="37" t="n"/>
    </row>
    <row r="100">
      <c r="A100" s="37" t="n"/>
      <c r="B100" s="37" t="n"/>
      <c r="C100" s="37" t="n"/>
      <c r="D100" s="38" t="n"/>
      <c r="E100" s="37" t="n"/>
    </row>
    <row r="101">
      <c r="A101" s="37" t="n"/>
      <c r="B101" s="37" t="n"/>
      <c r="C101" s="37" t="n"/>
      <c r="D101" s="38" t="n"/>
      <c r="E101" s="37" t="n"/>
    </row>
    <row r="102">
      <c r="A102" s="37" t="n"/>
      <c r="B102" s="37" t="n"/>
      <c r="C102" s="37" t="n"/>
      <c r="D102" s="38" t="n"/>
      <c r="E102" s="37" t="n"/>
    </row>
    <row r="103">
      <c r="A103" s="37" t="n"/>
      <c r="B103" s="37" t="n"/>
      <c r="C103" s="37" t="n"/>
      <c r="D103" s="38" t="n"/>
      <c r="E103" s="37" t="n"/>
    </row>
    <row r="104">
      <c r="A104" s="37" t="n"/>
      <c r="B104" s="37" t="n"/>
      <c r="C104" s="37" t="n"/>
      <c r="D104" s="38" t="n"/>
      <c r="E104" s="37" t="n"/>
    </row>
    <row r="105">
      <c r="A105" s="37" t="n"/>
      <c r="B105" s="37" t="n"/>
      <c r="C105" s="37" t="n"/>
      <c r="D105" s="38" t="n"/>
      <c r="E105" s="37" t="n"/>
    </row>
    <row r="106">
      <c r="A106" s="37" t="n"/>
      <c r="B106" s="37" t="n"/>
      <c r="C106" s="37" t="n"/>
      <c r="D106" s="38" t="n"/>
      <c r="E106" s="37" t="n"/>
    </row>
    <row r="107">
      <c r="A107" s="37" t="n"/>
      <c r="B107" s="37" t="n"/>
      <c r="C107" s="37" t="n"/>
      <c r="D107" s="38" t="n"/>
      <c r="E107" s="37" t="n"/>
    </row>
    <row r="108">
      <c r="A108" s="37" t="n"/>
      <c r="B108" s="37" t="n"/>
      <c r="C108" s="37" t="n"/>
      <c r="D108" s="38" t="n"/>
      <c r="E108" s="37" t="n"/>
    </row>
    <row r="109">
      <c r="A109" s="37" t="n"/>
      <c r="B109" s="37" t="n"/>
      <c r="C109" s="37" t="n"/>
      <c r="D109" s="38" t="n"/>
      <c r="E109" s="37" t="n"/>
    </row>
    <row r="110">
      <c r="A110" s="37" t="n"/>
      <c r="B110" s="37" t="n"/>
      <c r="C110" s="37" t="n"/>
      <c r="D110" s="38" t="n"/>
      <c r="E110" s="37" t="n"/>
    </row>
    <row r="111">
      <c r="A111" s="37" t="n"/>
      <c r="B111" s="37" t="n"/>
      <c r="C111" s="37" t="n"/>
      <c r="D111" s="38" t="n"/>
      <c r="E111" s="37" t="n"/>
    </row>
    <row r="112">
      <c r="A112" s="37" t="n"/>
      <c r="B112" s="37" t="n"/>
      <c r="C112" s="37" t="n"/>
      <c r="D112" s="38" t="n"/>
      <c r="E112" s="37" t="n"/>
    </row>
    <row r="113">
      <c r="A113" s="37" t="n"/>
      <c r="B113" s="37" t="n"/>
      <c r="C113" s="37" t="n"/>
      <c r="D113" s="38" t="n"/>
      <c r="E113" s="37" t="n"/>
    </row>
    <row r="114">
      <c r="A114" s="37" t="n"/>
      <c r="B114" s="37" t="n"/>
      <c r="C114" s="37" t="n"/>
      <c r="D114" s="38" t="n"/>
      <c r="E114" s="37" t="n"/>
    </row>
    <row r="115">
      <c r="A115" s="37" t="n"/>
      <c r="B115" s="37" t="n"/>
      <c r="C115" s="37" t="n"/>
      <c r="D115" s="38" t="n"/>
      <c r="E115" s="37" t="n"/>
    </row>
    <row r="116">
      <c r="A116" s="37" t="n"/>
      <c r="B116" s="37" t="n"/>
      <c r="C116" s="37" t="n"/>
      <c r="D116" s="38" t="n"/>
      <c r="E116" s="37" t="n"/>
    </row>
    <row r="117">
      <c r="A117" s="37" t="n"/>
      <c r="B117" s="37" t="n"/>
      <c r="C117" s="37" t="n"/>
      <c r="D117" s="38" t="n"/>
      <c r="E117" s="37" t="n"/>
    </row>
    <row r="118">
      <c r="A118" s="37" t="n"/>
      <c r="B118" s="37" t="n"/>
      <c r="C118" s="37" t="n"/>
      <c r="D118" s="38" t="n"/>
      <c r="E118" s="37" t="n"/>
    </row>
    <row r="119">
      <c r="A119" s="37" t="n"/>
      <c r="B119" s="37" t="n"/>
      <c r="C119" s="37" t="n"/>
      <c r="D119" s="38" t="n"/>
      <c r="E119" s="37" t="n"/>
    </row>
    <row r="120">
      <c r="A120" s="37" t="n"/>
      <c r="B120" s="37" t="n"/>
      <c r="C120" s="37" t="n"/>
      <c r="D120" s="38" t="n"/>
      <c r="E120" s="37" t="n"/>
    </row>
    <row r="121">
      <c r="A121" s="37" t="n"/>
      <c r="B121" s="37" t="n"/>
      <c r="C121" s="37" t="n"/>
      <c r="D121" s="38" t="n"/>
      <c r="E121" s="37" t="n"/>
    </row>
    <row r="122">
      <c r="A122" s="37" t="n"/>
      <c r="B122" s="37" t="n"/>
      <c r="C122" s="37" t="n"/>
      <c r="D122" s="38" t="n"/>
      <c r="E122" s="37" t="n"/>
    </row>
    <row r="123">
      <c r="A123" s="37" t="n"/>
      <c r="B123" s="37" t="n"/>
      <c r="C123" s="37" t="n"/>
      <c r="D123" s="38" t="n"/>
      <c r="E123" s="37" t="n"/>
    </row>
    <row r="124">
      <c r="A124" s="37" t="n"/>
      <c r="B124" s="37" t="n"/>
      <c r="C124" s="37" t="n"/>
      <c r="D124" s="38" t="n"/>
      <c r="E124" s="37" t="n"/>
    </row>
    <row r="125">
      <c r="A125" s="37" t="n"/>
      <c r="B125" s="37" t="n"/>
      <c r="C125" s="37" t="n"/>
      <c r="D125" s="38" t="n"/>
      <c r="E125" s="37" t="n"/>
    </row>
    <row r="126">
      <c r="A126" s="37" t="n"/>
      <c r="B126" s="37" t="n"/>
      <c r="C126" s="37" t="n"/>
      <c r="D126" s="38" t="n"/>
      <c r="E126" s="37" t="n"/>
    </row>
    <row r="127">
      <c r="A127" s="37" t="n"/>
      <c r="B127" s="37" t="n"/>
      <c r="C127" s="37" t="n"/>
      <c r="D127" s="38" t="n"/>
      <c r="E127" s="37" t="n"/>
    </row>
    <row r="128">
      <c r="A128" s="37" t="n"/>
      <c r="B128" s="37" t="n"/>
      <c r="C128" s="37" t="n"/>
      <c r="D128" s="38" t="n"/>
      <c r="E128" s="37" t="n"/>
    </row>
    <row r="129">
      <c r="A129" s="37" t="n"/>
      <c r="B129" s="37" t="n"/>
      <c r="C129" s="37" t="n"/>
      <c r="D129" s="38" t="n"/>
      <c r="E129" s="37" t="n"/>
    </row>
    <row r="130">
      <c r="A130" s="37" t="n"/>
      <c r="B130" s="37" t="n"/>
      <c r="C130" s="37" t="n"/>
      <c r="D130" s="38" t="n"/>
      <c r="E130" s="37" t="n"/>
    </row>
    <row r="131">
      <c r="A131" s="37" t="n"/>
      <c r="B131" s="37" t="n"/>
      <c r="C131" s="37" t="n"/>
      <c r="D131" s="38" t="n"/>
      <c r="E131" s="37" t="n"/>
    </row>
    <row r="132">
      <c r="A132" s="37" t="n"/>
      <c r="B132" s="37" t="n"/>
      <c r="C132" s="37" t="n"/>
      <c r="D132" s="38" t="n"/>
      <c r="E132" s="37" t="n"/>
    </row>
    <row r="133">
      <c r="A133" s="37" t="n"/>
      <c r="B133" s="37" t="n"/>
      <c r="C133" s="37" t="n"/>
      <c r="D133" s="38" t="n"/>
      <c r="E133" s="37" t="n"/>
    </row>
    <row r="134">
      <c r="A134" s="37" t="n"/>
      <c r="B134" s="37" t="n"/>
      <c r="C134" s="37" t="n"/>
      <c r="D134" s="38" t="n"/>
      <c r="E134" s="37" t="n"/>
    </row>
  </sheetData>
  <mergeCells count="2">
    <mergeCell ref="B3:C3"/>
    <mergeCell ref="E3:E4"/>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C19"/>
  <sheetViews>
    <sheetView zoomScale="145" zoomScaleNormal="145" workbookViewId="0">
      <selection activeCell="A4" sqref="A4:D19"/>
    </sheetView>
  </sheetViews>
  <sheetFormatPr baseColWidth="10" defaultColWidth="8.83203125" defaultRowHeight="15"/>
  <cols>
    <col width="43.1640625" customWidth="1" min="1" max="1"/>
    <col width="37.6640625" bestFit="1" customWidth="1" min="2" max="2"/>
  </cols>
  <sheetData>
    <row r="1" ht="17" customHeight="1">
      <c r="A1" s="40" t="inlineStr">
        <is>
          <t>Indicative Investment Management Fees</t>
        </is>
      </c>
      <c r="B1" s="41" t="n"/>
    </row>
    <row r="2">
      <c r="A2" s="41" t="n"/>
      <c r="B2" s="41" t="n"/>
    </row>
    <row r="3">
      <c r="A3" s="42" t="n"/>
      <c r="B3" s="42" t="n"/>
    </row>
    <row r="4">
      <c r="A4" s="43" t="inlineStr">
        <is>
          <t>Asset</t>
        </is>
      </c>
      <c r="B4" s="44" t="inlineStr">
        <is>
          <t>Management Fee (% per year)</t>
        </is>
      </c>
    </row>
    <row r="5">
      <c r="A5" s="45" t="inlineStr">
        <is>
          <t>Cash</t>
        </is>
      </c>
      <c r="B5" s="46" t="n">
        <v>0</v>
      </c>
    </row>
    <row r="6">
      <c r="A6" s="45" t="inlineStr">
        <is>
          <t>Australian Equities</t>
        </is>
      </c>
      <c r="B6" s="46" t="n">
        <v>0.001</v>
      </c>
    </row>
    <row r="7">
      <c r="A7" s="45" t="inlineStr">
        <is>
          <t>World Equities</t>
        </is>
      </c>
      <c r="B7" s="46" t="n">
        <v>0.0015</v>
      </c>
    </row>
    <row r="8">
      <c r="A8" s="45" t="inlineStr">
        <is>
          <t>Emerging Markets</t>
        </is>
      </c>
      <c r="B8" s="46" t="n">
        <v>0.002</v>
      </c>
    </row>
    <row r="9">
      <c r="A9" s="45" t="inlineStr">
        <is>
          <t>Listed Property</t>
        </is>
      </c>
      <c r="B9" s="46" t="n">
        <v>0.0015</v>
      </c>
    </row>
    <row r="10">
      <c r="A10" s="45" t="inlineStr">
        <is>
          <t>Australian Fixed Income</t>
        </is>
      </c>
      <c r="B10" s="46" t="n">
        <v>0.001</v>
      </c>
    </row>
    <row r="11">
      <c r="A11" s="45" t="inlineStr">
        <is>
          <t>World Fixed Income</t>
        </is>
      </c>
      <c r="B11" s="46" t="n">
        <v>0.0015</v>
      </c>
    </row>
    <row r="12">
      <c r="A12" s="45" t="n"/>
      <c r="B12" s="47" t="n"/>
    </row>
    <row r="13">
      <c r="A13" s="48" t="inlineStr">
        <is>
          <t>Alternatives</t>
        </is>
      </c>
      <c r="B13" s="49" t="n"/>
    </row>
    <row r="14">
      <c r="A14" s="45" t="inlineStr">
        <is>
          <t>Direct Property</t>
        </is>
      </c>
      <c r="B14" s="47" t="n">
        <v>0.012</v>
      </c>
    </row>
    <row r="15">
      <c r="A15" s="45" t="inlineStr">
        <is>
          <t>Hedge Funds</t>
        </is>
      </c>
      <c r="B15" s="47" t="n">
        <v>0.025</v>
      </c>
      <c r="C15" s="50" t="inlineStr">
        <is>
          <t>&lt; Includes incentive fees</t>
        </is>
      </c>
    </row>
    <row r="16">
      <c r="A16" s="45" t="inlineStr">
        <is>
          <t>Private Equity</t>
        </is>
      </c>
      <c r="B16" s="47" t="n">
        <v>0.03</v>
      </c>
      <c r="C16" s="50" t="inlineStr">
        <is>
          <t>&lt; Includes incentive fees</t>
        </is>
      </c>
    </row>
    <row r="17">
      <c r="A17" s="51" t="inlineStr">
        <is>
          <t>Commodity Futures Fund</t>
        </is>
      </c>
      <c r="B17" s="52" t="n">
        <v>0.0025</v>
      </c>
    </row>
    <row r="19">
      <c r="A19" s="43" t="inlineStr">
        <is>
          <t>Note: The data provided in the assignment are gross-of-fees. To compute investor specific return, relevant fees need to be subtracted.</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I1196"/>
  <sheetViews>
    <sheetView workbookViewId="0">
      <selection activeCell="A2" sqref="A2"/>
    </sheetView>
  </sheetViews>
  <sheetFormatPr baseColWidth="10" defaultColWidth="8.83203125" defaultRowHeight="15"/>
  <cols>
    <col width="16.33203125" bestFit="1" customWidth="1" min="1" max="1"/>
    <col width="42.1640625" bestFit="1" customWidth="1" min="2" max="2"/>
    <col width="16.33203125" bestFit="1" customWidth="1" min="4" max="4"/>
    <col width="78.5" bestFit="1" customWidth="1" style="1" min="5" max="5"/>
    <col width="16.33203125" bestFit="1" customWidth="1" style="2" min="7" max="7"/>
    <col width="40.5" bestFit="1" customWidth="1" min="8" max="8"/>
    <col width="30.1640625" bestFit="1" customWidth="1" min="9" max="9"/>
  </cols>
  <sheetData>
    <row r="1">
      <c r="A1" t="inlineStr">
        <is>
          <t>observation_date</t>
        </is>
      </c>
      <c r="B1" t="inlineStr">
        <is>
          <t xml:space="preserve">Spot Crude Oil Price: West Texas Intermediate </t>
        </is>
      </c>
      <c r="D1" t="inlineStr">
        <is>
          <t>observation_date</t>
        </is>
      </c>
      <c r="E1" s="1" t="inlineStr">
        <is>
          <t>Interest Rates: 3-Month or 90-Day Rates and Yields: Interbank Rates: Total for Australia</t>
        </is>
      </c>
      <c r="G1" s="2" t="inlineStr">
        <is>
          <t>observation_date</t>
        </is>
      </c>
      <c r="H1" t="inlineStr">
        <is>
          <t>US monthly total equity market excess return</t>
        </is>
      </c>
      <c r="I1" t="inlineStr">
        <is>
          <t>US monthly risk-free interest rate</t>
        </is>
      </c>
    </row>
    <row r="2">
      <c r="A2" s="2" t="n">
        <v>16803</v>
      </c>
      <c r="B2" t="n">
        <v>1.17</v>
      </c>
      <c r="D2" s="2" t="n">
        <v>24838</v>
      </c>
      <c r="E2" s="1" t="n">
        <v>5.1</v>
      </c>
      <c r="G2" s="2" t="n">
        <v>9709</v>
      </c>
      <c r="H2" t="n">
        <v>0.0289</v>
      </c>
      <c r="I2" t="n">
        <v>0.0022</v>
      </c>
    </row>
    <row r="3">
      <c r="A3" s="2" t="n">
        <v>16834</v>
      </c>
      <c r="B3" t="n">
        <v>1.17</v>
      </c>
      <c r="D3" s="2" t="n">
        <v>24869</v>
      </c>
      <c r="E3" s="1" t="n">
        <v>5.15</v>
      </c>
      <c r="G3" s="2" t="n">
        <v>9740</v>
      </c>
      <c r="H3" t="n">
        <v>0.0264</v>
      </c>
      <c r="I3" t="n">
        <v>0.0025</v>
      </c>
    </row>
    <row r="4">
      <c r="A4" s="2" t="n">
        <v>16862</v>
      </c>
      <c r="B4" t="n">
        <v>1.17</v>
      </c>
      <c r="D4" s="2" t="n">
        <v>24898</v>
      </c>
      <c r="E4" s="1" t="n">
        <v>5.15</v>
      </c>
      <c r="G4" s="2" t="n">
        <v>9770</v>
      </c>
      <c r="H4" t="n">
        <v>0.0038</v>
      </c>
      <c r="I4" t="n">
        <v>0.0023</v>
      </c>
    </row>
    <row r="5">
      <c r="A5" s="2" t="n">
        <v>16893</v>
      </c>
      <c r="B5" t="n">
        <v>1.27</v>
      </c>
      <c r="D5" s="2" t="n">
        <v>24929</v>
      </c>
      <c r="E5" s="1" t="n">
        <v>5.15</v>
      </c>
      <c r="G5" s="2" t="n">
        <v>9800</v>
      </c>
      <c r="H5" t="n">
        <v>-0.0327</v>
      </c>
      <c r="I5" t="n">
        <v>0.0032</v>
      </c>
    </row>
    <row r="6">
      <c r="A6" s="2" t="n">
        <v>16923</v>
      </c>
      <c r="B6" t="n">
        <v>1.27</v>
      </c>
      <c r="D6" s="2" t="n">
        <v>24959</v>
      </c>
      <c r="E6" s="1" t="n">
        <v>5.3</v>
      </c>
      <c r="G6" s="2" t="n">
        <v>9831</v>
      </c>
      <c r="H6" t="n">
        <v>0.0254</v>
      </c>
      <c r="I6" t="n">
        <v>0.0031</v>
      </c>
    </row>
    <row r="7">
      <c r="A7" s="2" t="n">
        <v>16954</v>
      </c>
      <c r="B7" t="n">
        <v>1.27</v>
      </c>
      <c r="D7" s="2" t="n">
        <v>24990</v>
      </c>
      <c r="E7" s="1" t="n">
        <v>5.5</v>
      </c>
      <c r="G7" s="2" t="n">
        <v>9862</v>
      </c>
      <c r="H7" t="n">
        <v>0.0262</v>
      </c>
      <c r="I7" t="n">
        <v>0.0028</v>
      </c>
    </row>
    <row r="8">
      <c r="A8" s="2" t="n">
        <v>16984</v>
      </c>
      <c r="B8" t="n">
        <v>1.27</v>
      </c>
      <c r="D8" s="2" t="n">
        <v>25020</v>
      </c>
      <c r="E8" s="1" t="n">
        <v>5.1</v>
      </c>
      <c r="G8" s="2" t="n">
        <v>9893</v>
      </c>
      <c r="H8" t="n">
        <v>-0.0005</v>
      </c>
      <c r="I8" t="n">
        <v>0.0025</v>
      </c>
    </row>
    <row r="9">
      <c r="A9" s="2" t="n">
        <v>17015</v>
      </c>
      <c r="B9" t="n">
        <v>1.52</v>
      </c>
      <c r="D9" s="2" t="n">
        <v>25051</v>
      </c>
      <c r="E9" s="1" t="n">
        <v>5.1</v>
      </c>
      <c r="G9" s="2" t="n">
        <v>9921</v>
      </c>
      <c r="H9" t="n">
        <v>0.0417</v>
      </c>
      <c r="I9" t="n">
        <v>0.0026</v>
      </c>
    </row>
    <row r="10">
      <c r="A10" s="2" t="n">
        <v>17046</v>
      </c>
      <c r="B10" t="n">
        <v>1.52</v>
      </c>
      <c r="D10" s="2" t="n">
        <v>25082</v>
      </c>
      <c r="E10" s="1" t="n">
        <v>5.05</v>
      </c>
      <c r="G10" s="2" t="n">
        <v>9952</v>
      </c>
      <c r="H10" t="n">
        <v>0.0014</v>
      </c>
      <c r="I10" t="n">
        <v>0.003</v>
      </c>
    </row>
    <row r="11">
      <c r="A11" s="2" t="n">
        <v>17076</v>
      </c>
      <c r="B11" t="n">
        <v>1.52</v>
      </c>
      <c r="D11" s="2" t="n">
        <v>25112</v>
      </c>
      <c r="E11" s="1" t="n">
        <v>5</v>
      </c>
      <c r="G11" s="2" t="n">
        <v>9982</v>
      </c>
      <c r="H11" t="n">
        <v>0.0047</v>
      </c>
      <c r="I11" t="n">
        <v>0.0025</v>
      </c>
    </row>
    <row r="12">
      <c r="A12" s="2" t="n">
        <v>17107</v>
      </c>
      <c r="B12" t="n">
        <v>1.52</v>
      </c>
      <c r="D12" s="2" t="n">
        <v>25143</v>
      </c>
      <c r="E12" s="1" t="n">
        <v>4.9</v>
      </c>
      <c r="G12" s="2" t="n">
        <v>10013</v>
      </c>
      <c r="H12" t="n">
        <v>0.0545</v>
      </c>
      <c r="I12" t="n">
        <v>0.003</v>
      </c>
    </row>
    <row r="13">
      <c r="A13" s="2" t="n">
        <v>17137</v>
      </c>
      <c r="B13" t="n">
        <v>1.62</v>
      </c>
      <c r="D13" s="2" t="n">
        <v>25173</v>
      </c>
      <c r="E13" s="1" t="n">
        <v>4.9</v>
      </c>
      <c r="G13" s="2" t="n">
        <v>10043</v>
      </c>
      <c r="H13" t="n">
        <v>-0.0238</v>
      </c>
      <c r="I13" t="n">
        <v>0.0026</v>
      </c>
    </row>
    <row r="14">
      <c r="A14" s="2" t="n">
        <v>17168</v>
      </c>
      <c r="B14" t="n">
        <v>1.62</v>
      </c>
      <c r="D14" s="2" t="n">
        <v>25204</v>
      </c>
      <c r="E14" s="1" t="n">
        <v>5.1</v>
      </c>
      <c r="G14" s="2" t="n">
        <v>10073</v>
      </c>
      <c r="H14" t="n">
        <v>0.0726</v>
      </c>
      <c r="I14" t="n">
        <v>0.003</v>
      </c>
    </row>
    <row r="15">
      <c r="A15" s="2" t="n">
        <v>17199</v>
      </c>
      <c r="B15" t="n">
        <v>1.62</v>
      </c>
      <c r="D15" s="2" t="n">
        <v>25235</v>
      </c>
      <c r="E15" s="1" t="n">
        <v>5.1</v>
      </c>
      <c r="G15" s="2" t="n">
        <v>10105</v>
      </c>
      <c r="H15" t="n">
        <v>0.0199</v>
      </c>
      <c r="I15" t="n">
        <v>0.0028</v>
      </c>
    </row>
    <row r="16">
      <c r="A16" s="2" t="n">
        <v>17227</v>
      </c>
      <c r="B16" t="n">
        <v>1.62</v>
      </c>
      <c r="D16" s="2" t="n">
        <v>25263</v>
      </c>
      <c r="E16" s="1" t="n">
        <v>5.15</v>
      </c>
      <c r="G16" s="2" t="n">
        <v>10135</v>
      </c>
      <c r="H16" t="n">
        <v>0.0477</v>
      </c>
      <c r="I16" t="n">
        <v>0.0021</v>
      </c>
    </row>
    <row r="17">
      <c r="A17" s="2" t="n">
        <v>17258</v>
      </c>
      <c r="B17" t="n">
        <v>1.87</v>
      </c>
      <c r="D17" s="2" t="n">
        <v>25294</v>
      </c>
      <c r="E17" s="1" t="n">
        <v>5.4</v>
      </c>
      <c r="G17" s="2" t="n">
        <v>10166</v>
      </c>
      <c r="H17" t="n">
        <v>-0.0429</v>
      </c>
      <c r="I17" t="n">
        <v>0.0025</v>
      </c>
    </row>
    <row r="18">
      <c r="A18" s="2" t="n">
        <v>17288</v>
      </c>
      <c r="B18" t="n">
        <v>1.87</v>
      </c>
      <c r="D18" s="2" t="n">
        <v>25324</v>
      </c>
      <c r="E18" s="1" t="n">
        <v>5.5</v>
      </c>
      <c r="G18" s="2" t="n">
        <v>10196</v>
      </c>
      <c r="H18" t="n">
        <v>0.06519999999999999</v>
      </c>
      <c r="I18" t="n">
        <v>0.0021</v>
      </c>
    </row>
    <row r="19">
      <c r="A19" s="2" t="n">
        <v>17319</v>
      </c>
      <c r="B19" t="n">
        <v>1.87</v>
      </c>
      <c r="D19" s="2" t="n">
        <v>25355</v>
      </c>
      <c r="E19" s="1" t="n">
        <v>5.9</v>
      </c>
      <c r="G19" s="2" t="n">
        <v>10227</v>
      </c>
      <c r="H19" t="n">
        <v>0.0209</v>
      </c>
      <c r="I19" t="n">
        <v>0.0022</v>
      </c>
    </row>
    <row r="20">
      <c r="A20" s="2" t="n">
        <v>17349</v>
      </c>
      <c r="B20" t="n">
        <v>1.87</v>
      </c>
      <c r="D20" s="2" t="n">
        <v>25385</v>
      </c>
      <c r="E20" s="1" t="n">
        <v>5.8</v>
      </c>
      <c r="G20" s="2" t="n">
        <v>10258</v>
      </c>
      <c r="H20" t="n">
        <v>-0.0057</v>
      </c>
      <c r="I20" t="n">
        <v>0.0025</v>
      </c>
    </row>
    <row r="21">
      <c r="A21" s="2" t="n">
        <v>17380</v>
      </c>
      <c r="B21" t="n">
        <v>1.87</v>
      </c>
      <c r="D21" s="2" t="n">
        <v>25416</v>
      </c>
      <c r="E21" s="1" t="n">
        <v>6.1</v>
      </c>
      <c r="G21" s="2" t="n">
        <v>10287</v>
      </c>
      <c r="H21" t="n">
        <v>-0.0169</v>
      </c>
      <c r="I21" t="n">
        <v>0.0033</v>
      </c>
    </row>
    <row r="22">
      <c r="A22" s="2" t="n">
        <v>17411</v>
      </c>
      <c r="B22" t="n">
        <v>1.87</v>
      </c>
      <c r="D22" s="2" t="n">
        <v>25447</v>
      </c>
      <c r="E22" s="1" t="n">
        <v>5.8</v>
      </c>
      <c r="G22" s="2" t="n">
        <v>10318</v>
      </c>
      <c r="H22" t="n">
        <v>0.08790000000000001</v>
      </c>
      <c r="I22" t="n">
        <v>0.0029</v>
      </c>
    </row>
    <row r="23">
      <c r="A23" s="2" t="n">
        <v>17441</v>
      </c>
      <c r="B23" t="n">
        <v>1.87</v>
      </c>
      <c r="D23" s="2" t="n">
        <v>25477</v>
      </c>
      <c r="E23" s="1" t="n">
        <v>5.6</v>
      </c>
      <c r="G23" s="2" t="n">
        <v>10348</v>
      </c>
      <c r="H23" t="n">
        <v>0.0425</v>
      </c>
      <c r="I23" t="n">
        <v>0.0022</v>
      </c>
    </row>
    <row r="24">
      <c r="A24" s="2" t="n">
        <v>17472</v>
      </c>
      <c r="B24" t="n">
        <v>2.07</v>
      </c>
      <c r="D24" s="2" t="n">
        <v>25508</v>
      </c>
      <c r="E24" s="1" t="n">
        <v>0</v>
      </c>
      <c r="G24" s="2" t="n">
        <v>10379</v>
      </c>
      <c r="H24" t="n">
        <v>0.0152</v>
      </c>
      <c r="I24" t="n">
        <v>0.0032</v>
      </c>
    </row>
    <row r="25">
      <c r="A25" s="2" t="n">
        <v>17502</v>
      </c>
      <c r="B25" t="n">
        <v>2.07</v>
      </c>
      <c r="D25" s="2" t="n">
        <v>25538</v>
      </c>
      <c r="E25" s="1" t="n">
        <v>5.65</v>
      </c>
      <c r="G25" s="2" t="n">
        <v>10409</v>
      </c>
      <c r="H25" t="n">
        <v>-0.049</v>
      </c>
      <c r="I25" t="n">
        <v>0.0031</v>
      </c>
    </row>
    <row r="26">
      <c r="A26" s="2" t="n">
        <v>17533</v>
      </c>
      <c r="B26" t="n">
        <v>2.57</v>
      </c>
      <c r="D26" s="2" t="n">
        <v>25569</v>
      </c>
      <c r="E26" s="1" t="n">
        <v>5.8</v>
      </c>
      <c r="G26" s="2" t="n">
        <v>10440</v>
      </c>
      <c r="H26" t="n">
        <v>0.0063</v>
      </c>
      <c r="I26" t="n">
        <v>0.0032</v>
      </c>
    </row>
    <row r="27">
      <c r="A27" s="2" t="n">
        <v>17564</v>
      </c>
      <c r="B27" t="n">
        <v>2.57</v>
      </c>
      <c r="D27" s="2" t="n">
        <v>25600</v>
      </c>
      <c r="E27" s="1" t="n">
        <v>6.3</v>
      </c>
      <c r="G27" s="2" t="n">
        <v>10471</v>
      </c>
      <c r="H27" t="n">
        <v>0.0669</v>
      </c>
      <c r="I27" t="n">
        <v>0.0032</v>
      </c>
    </row>
    <row r="28">
      <c r="A28" s="2" t="n">
        <v>17593</v>
      </c>
      <c r="B28" t="n">
        <v>2.57</v>
      </c>
      <c r="D28" s="2" t="n">
        <v>25628</v>
      </c>
      <c r="E28" s="1" t="n">
        <v>7.15</v>
      </c>
      <c r="G28" s="2" t="n">
        <v>10500</v>
      </c>
      <c r="H28" t="n">
        <v>0.0287</v>
      </c>
      <c r="I28" t="n">
        <v>0.0027</v>
      </c>
    </row>
    <row r="29">
      <c r="A29" s="2" t="n">
        <v>17624</v>
      </c>
      <c r="B29" t="n">
        <v>2.57</v>
      </c>
      <c r="D29" s="2" t="n">
        <v>25659</v>
      </c>
      <c r="E29" s="1" t="n">
        <v>8.6</v>
      </c>
      <c r="G29" s="2" t="n">
        <v>10532</v>
      </c>
      <c r="H29" t="n">
        <v>0.0131</v>
      </c>
      <c r="I29" t="n">
        <v>0.0041</v>
      </c>
    </row>
    <row r="30">
      <c r="A30" s="2" t="n">
        <v>17654</v>
      </c>
      <c r="B30" t="n">
        <v>2.57</v>
      </c>
      <c r="D30" s="2" t="n">
        <v>25689</v>
      </c>
      <c r="E30" s="1" t="n">
        <v>9.1</v>
      </c>
      <c r="G30" s="2" t="n">
        <v>10562</v>
      </c>
      <c r="H30" t="n">
        <v>0.1182</v>
      </c>
      <c r="I30" t="n">
        <v>0.0038</v>
      </c>
    </row>
    <row r="31">
      <c r="A31" s="2" t="n">
        <v>17685</v>
      </c>
      <c r="B31" t="n">
        <v>2.57</v>
      </c>
      <c r="D31" s="2" t="n">
        <v>25720</v>
      </c>
      <c r="E31" s="1" t="n">
        <v>8.699999999999999</v>
      </c>
      <c r="G31" s="2" t="n">
        <v>10593</v>
      </c>
      <c r="H31" t="n">
        <v>0.004</v>
      </c>
      <c r="I31" t="n">
        <v>0.0005999999999999999</v>
      </c>
    </row>
    <row r="32">
      <c r="A32" s="2" t="n">
        <v>17715</v>
      </c>
      <c r="B32" t="n">
        <v>2.57</v>
      </c>
      <c r="D32" s="2" t="n">
        <v>25750</v>
      </c>
      <c r="E32" s="1" t="n">
        <v>7.4</v>
      </c>
      <c r="G32" s="2" t="n">
        <v>10624</v>
      </c>
      <c r="H32" t="n">
        <v>0.0466</v>
      </c>
      <c r="I32" t="n">
        <v>0.0034</v>
      </c>
    </row>
    <row r="33">
      <c r="A33" s="2" t="n">
        <v>17746</v>
      </c>
      <c r="B33" t="n">
        <v>2.57</v>
      </c>
      <c r="D33" s="2" t="n">
        <v>25781</v>
      </c>
      <c r="E33" s="1" t="n">
        <v>6.8</v>
      </c>
      <c r="G33" s="2" t="n">
        <v>10652</v>
      </c>
      <c r="H33" t="n">
        <v>-0.0034</v>
      </c>
      <c r="I33" t="n">
        <v>0.0036</v>
      </c>
    </row>
    <row r="34">
      <c r="A34" s="2" t="n">
        <v>17777</v>
      </c>
      <c r="B34" t="n">
        <v>2.57</v>
      </c>
      <c r="D34" s="2" t="n">
        <v>25812</v>
      </c>
      <c r="E34" s="1" t="n">
        <v>6.35</v>
      </c>
      <c r="G34" s="2" t="n">
        <v>10680</v>
      </c>
      <c r="H34" t="n">
        <v>-0.008500000000000001</v>
      </c>
      <c r="I34" t="n">
        <v>0.0034</v>
      </c>
    </row>
    <row r="35">
      <c r="A35" s="2" t="n">
        <v>17807</v>
      </c>
      <c r="B35" t="n">
        <v>2.57</v>
      </c>
      <c r="D35" s="2" t="n">
        <v>25842</v>
      </c>
      <c r="E35" s="1" t="n">
        <v>6.4</v>
      </c>
      <c r="G35" s="2" t="n">
        <v>10713</v>
      </c>
      <c r="H35" t="n">
        <v>0.0147</v>
      </c>
      <c r="I35" t="n">
        <v>0.0036</v>
      </c>
    </row>
    <row r="36">
      <c r="A36" s="2" t="n">
        <v>17838</v>
      </c>
      <c r="B36" t="n">
        <v>2.57</v>
      </c>
      <c r="D36" s="2" t="n">
        <v>25873</v>
      </c>
      <c r="E36" s="1" t="n">
        <v>6.2</v>
      </c>
      <c r="G36" s="2" t="n">
        <v>10744</v>
      </c>
      <c r="H36" t="n">
        <v>-0.0638</v>
      </c>
      <c r="I36" t="n">
        <v>0.0044</v>
      </c>
    </row>
    <row r="37">
      <c r="A37" s="2" t="n">
        <v>17868</v>
      </c>
      <c r="B37" t="n">
        <v>2.57</v>
      </c>
      <c r="D37" s="2" t="n">
        <v>25903</v>
      </c>
      <c r="E37" s="1" t="n">
        <v>6.5</v>
      </c>
      <c r="G37" s="2" t="n">
        <v>10773</v>
      </c>
      <c r="H37" t="n">
        <v>0.097</v>
      </c>
      <c r="I37" t="n">
        <v>0.0052</v>
      </c>
    </row>
    <row r="38">
      <c r="A38" s="2" t="n">
        <v>17899</v>
      </c>
      <c r="B38" t="n">
        <v>2.57</v>
      </c>
      <c r="D38" s="2" t="n">
        <v>25934</v>
      </c>
      <c r="E38" s="1" t="n">
        <v>6.6</v>
      </c>
      <c r="G38" s="2" t="n">
        <v>10805</v>
      </c>
      <c r="H38" t="n">
        <v>0.0448</v>
      </c>
      <c r="I38" t="n">
        <v>0.0033</v>
      </c>
    </row>
    <row r="39">
      <c r="A39" s="2" t="n">
        <v>17930</v>
      </c>
      <c r="B39" t="n">
        <v>2.57</v>
      </c>
      <c r="D39" s="2" t="n">
        <v>25965</v>
      </c>
      <c r="E39" s="1" t="n">
        <v>7.6</v>
      </c>
      <c r="G39" s="2" t="n">
        <v>10835</v>
      </c>
      <c r="H39" t="n">
        <v>0.0814</v>
      </c>
      <c r="I39" t="n">
        <v>0.004</v>
      </c>
    </row>
    <row r="40">
      <c r="A40" s="2" t="n">
        <v>17958</v>
      </c>
      <c r="B40" t="n">
        <v>2.57</v>
      </c>
      <c r="D40" s="2" t="n">
        <v>25993</v>
      </c>
      <c r="E40" s="1" t="n">
        <v>8</v>
      </c>
      <c r="G40" s="2" t="n">
        <v>10866</v>
      </c>
      <c r="H40" t="n">
        <v>-0.0545</v>
      </c>
      <c r="I40" t="n">
        <v>0.0035</v>
      </c>
    </row>
    <row r="41">
      <c r="A41" s="2" t="n">
        <v>17989</v>
      </c>
      <c r="B41" t="n">
        <v>2.57</v>
      </c>
      <c r="D41" s="2" t="n">
        <v>26024</v>
      </c>
      <c r="E41" s="1" t="n">
        <v>7.8</v>
      </c>
      <c r="G41" s="2" t="n">
        <v>10897</v>
      </c>
      <c r="H41" t="n">
        <v>-0.2007</v>
      </c>
      <c r="I41" t="n">
        <v>0.0046</v>
      </c>
    </row>
    <row r="42">
      <c r="A42" s="2" t="n">
        <v>18019</v>
      </c>
      <c r="B42" t="n">
        <v>2.57</v>
      </c>
      <c r="D42" s="2" t="n">
        <v>26054</v>
      </c>
      <c r="E42" s="1" t="n">
        <v>7.8</v>
      </c>
      <c r="G42" s="2" t="n">
        <v>10924</v>
      </c>
      <c r="H42" t="n">
        <v>-0.1287</v>
      </c>
      <c r="I42" t="n">
        <v>0.0037</v>
      </c>
    </row>
    <row r="43">
      <c r="A43" s="2" t="n">
        <v>18050</v>
      </c>
      <c r="B43" t="n">
        <v>2.57</v>
      </c>
      <c r="D43" s="2" t="n">
        <v>26085</v>
      </c>
      <c r="E43" s="1" t="n">
        <v>8.15</v>
      </c>
      <c r="G43" s="2" t="n">
        <v>10958</v>
      </c>
      <c r="H43" t="n">
        <v>0.0128</v>
      </c>
      <c r="I43" t="n">
        <v>0.0037</v>
      </c>
    </row>
    <row r="44">
      <c r="A44" s="2" t="n">
        <v>18080</v>
      </c>
      <c r="B44" t="n">
        <v>2.57</v>
      </c>
      <c r="D44" s="2" t="n">
        <v>26115</v>
      </c>
      <c r="E44" s="1" t="n">
        <v>6.8</v>
      </c>
      <c r="G44" s="2" t="n">
        <v>10989</v>
      </c>
      <c r="H44" t="n">
        <v>0.0561</v>
      </c>
      <c r="I44" t="n">
        <v>0.0014</v>
      </c>
    </row>
    <row r="45">
      <c r="A45" s="2" t="n">
        <v>18111</v>
      </c>
      <c r="B45" t="n">
        <v>2.57</v>
      </c>
      <c r="D45" s="2" t="n">
        <v>26146</v>
      </c>
      <c r="E45" s="1" t="n">
        <v>6.7</v>
      </c>
      <c r="G45" s="2" t="n">
        <v>11017</v>
      </c>
      <c r="H45" t="n">
        <v>0.025</v>
      </c>
      <c r="I45" t="n">
        <v>0.003</v>
      </c>
    </row>
    <row r="46">
      <c r="A46" s="2" t="n">
        <v>18142</v>
      </c>
      <c r="B46" t="n">
        <v>2.57</v>
      </c>
      <c r="D46" s="2" t="n">
        <v>26177</v>
      </c>
      <c r="E46" s="1" t="n">
        <v>6.45</v>
      </c>
      <c r="G46" s="2" t="n">
        <v>11048</v>
      </c>
      <c r="H46" t="n">
        <v>0.0709</v>
      </c>
      <c r="I46" t="n">
        <v>0.0035</v>
      </c>
    </row>
    <row r="47">
      <c r="A47" s="2" t="n">
        <v>18172</v>
      </c>
      <c r="B47" t="n">
        <v>2.57</v>
      </c>
      <c r="D47" s="2" t="n">
        <v>26207</v>
      </c>
      <c r="E47" s="1" t="n">
        <v>6.3</v>
      </c>
      <c r="G47" s="2" t="n">
        <v>11078</v>
      </c>
      <c r="H47" t="n">
        <v>-0.0205</v>
      </c>
      <c r="I47" t="n">
        <v>0.0021</v>
      </c>
    </row>
    <row r="48">
      <c r="A48" s="2" t="n">
        <v>18203</v>
      </c>
      <c r="B48" t="n">
        <v>2.57</v>
      </c>
      <c r="D48" s="2" t="n">
        <v>26238</v>
      </c>
      <c r="E48" s="1" t="n">
        <v>6</v>
      </c>
      <c r="G48" s="2" t="n">
        <v>11107</v>
      </c>
      <c r="H48" t="n">
        <v>-0.0166</v>
      </c>
      <c r="I48" t="n">
        <v>0.0026</v>
      </c>
    </row>
    <row r="49">
      <c r="A49" s="2" t="n">
        <v>18233</v>
      </c>
      <c r="B49" t="n">
        <v>2.57</v>
      </c>
      <c r="D49" s="2" t="n">
        <v>26268</v>
      </c>
      <c r="E49" s="1" t="n">
        <v>5.9</v>
      </c>
      <c r="G49" s="2" t="n">
        <v>11139</v>
      </c>
      <c r="H49" t="n">
        <v>-0.1608</v>
      </c>
      <c r="I49" t="n">
        <v>0.0027</v>
      </c>
    </row>
    <row r="50">
      <c r="A50" s="2" t="n">
        <v>18264</v>
      </c>
      <c r="B50" t="n">
        <v>2.57</v>
      </c>
      <c r="D50" s="2" t="n">
        <v>26299</v>
      </c>
      <c r="E50" s="1" t="n">
        <v>5.6</v>
      </c>
      <c r="G50" s="2" t="n">
        <v>11170</v>
      </c>
      <c r="H50" t="n">
        <v>0.0412</v>
      </c>
      <c r="I50" t="n">
        <v>0.002</v>
      </c>
    </row>
    <row r="51">
      <c r="A51" s="2" t="n">
        <v>18295</v>
      </c>
      <c r="B51" t="n">
        <v>2.57</v>
      </c>
      <c r="D51" s="2" t="n">
        <v>26330</v>
      </c>
      <c r="E51" s="1" t="n">
        <v>5.5</v>
      </c>
      <c r="G51" s="2" t="n">
        <v>11199</v>
      </c>
      <c r="H51" t="n">
        <v>0.003</v>
      </c>
      <c r="I51" t="n">
        <v>0.0009</v>
      </c>
    </row>
    <row r="52">
      <c r="A52" s="2" t="n">
        <v>18323</v>
      </c>
      <c r="B52" t="n">
        <v>2.57</v>
      </c>
      <c r="D52" s="2" t="n">
        <v>26359</v>
      </c>
      <c r="E52" s="1" t="n">
        <v>5.5</v>
      </c>
      <c r="G52" s="2" t="n">
        <v>11231</v>
      </c>
      <c r="H52" t="n">
        <v>-0.1281</v>
      </c>
      <c r="I52" t="n">
        <v>0.0022</v>
      </c>
    </row>
    <row r="53">
      <c r="A53" s="2" t="n">
        <v>18354</v>
      </c>
      <c r="B53" t="n">
        <v>2.57</v>
      </c>
      <c r="D53" s="2" t="n">
        <v>26390</v>
      </c>
      <c r="E53" s="1" t="n">
        <v>5.5</v>
      </c>
      <c r="G53" s="2" t="n">
        <v>11262</v>
      </c>
      <c r="H53" t="n">
        <v>-0.0878</v>
      </c>
      <c r="I53" t="n">
        <v>0.0009</v>
      </c>
    </row>
    <row r="54">
      <c r="A54" s="2" t="n">
        <v>18384</v>
      </c>
      <c r="B54" t="n">
        <v>2.57</v>
      </c>
      <c r="D54" s="2" t="n">
        <v>26420</v>
      </c>
      <c r="E54" s="1" t="n">
        <v>5.6</v>
      </c>
      <c r="G54" s="2" t="n">
        <v>11291</v>
      </c>
      <c r="H54" t="n">
        <v>-0.0304</v>
      </c>
      <c r="I54" t="n">
        <v>0.0013</v>
      </c>
    </row>
    <row r="55">
      <c r="A55" s="2" t="n">
        <v>18415</v>
      </c>
      <c r="B55" t="n">
        <v>2.57</v>
      </c>
      <c r="D55" s="2" t="n">
        <v>26451</v>
      </c>
      <c r="E55" s="1" t="n">
        <v>5.75</v>
      </c>
      <c r="G55" s="2" t="n">
        <v>11323</v>
      </c>
      <c r="H55" t="n">
        <v>-0.0786</v>
      </c>
      <c r="I55" t="n">
        <v>0.0014</v>
      </c>
    </row>
    <row r="56">
      <c r="A56" s="2" t="n">
        <v>18445</v>
      </c>
      <c r="B56" t="n">
        <v>2.57</v>
      </c>
      <c r="D56" s="2" t="n">
        <v>26481</v>
      </c>
      <c r="E56" s="1" t="n">
        <v>4.6</v>
      </c>
      <c r="G56" s="2" t="n">
        <v>11354</v>
      </c>
      <c r="H56" t="n">
        <v>0.0625</v>
      </c>
      <c r="I56" t="n">
        <v>0.0015</v>
      </c>
    </row>
    <row r="57">
      <c r="A57" s="2" t="n">
        <v>18476</v>
      </c>
      <c r="B57" t="n">
        <v>2.57</v>
      </c>
      <c r="D57" s="2" t="n">
        <v>26512</v>
      </c>
      <c r="E57" s="1" t="n">
        <v>4.6</v>
      </c>
      <c r="G57" s="2" t="n">
        <v>11382</v>
      </c>
      <c r="H57" t="n">
        <v>0.1088</v>
      </c>
      <c r="I57" t="n">
        <v>0.0004</v>
      </c>
    </row>
    <row r="58">
      <c r="A58" s="2" t="n">
        <v>18507</v>
      </c>
      <c r="B58" t="n">
        <v>2.57</v>
      </c>
      <c r="D58" s="2" t="n">
        <v>26543</v>
      </c>
      <c r="E58" s="1" t="n">
        <v>4.5</v>
      </c>
      <c r="G58" s="2" t="n">
        <v>11413</v>
      </c>
      <c r="H58" t="n">
        <v>-0.0635</v>
      </c>
      <c r="I58" t="n">
        <v>0.0013</v>
      </c>
    </row>
    <row r="59">
      <c r="A59" s="2" t="n">
        <v>18537</v>
      </c>
      <c r="B59" t="n">
        <v>2.57</v>
      </c>
      <c r="D59" s="2" t="n">
        <v>26573</v>
      </c>
      <c r="E59" s="1" t="n">
        <v>4.3</v>
      </c>
      <c r="G59" s="2" t="n">
        <v>11443</v>
      </c>
      <c r="H59" t="n">
        <v>-0.1</v>
      </c>
      <c r="I59" t="n">
        <v>0.0008</v>
      </c>
    </row>
    <row r="60">
      <c r="A60" s="2" t="n">
        <v>18568</v>
      </c>
      <c r="B60" t="n">
        <v>2.57</v>
      </c>
      <c r="D60" s="2" t="n">
        <v>26604</v>
      </c>
      <c r="E60" s="1" t="n">
        <v>5.1</v>
      </c>
      <c r="G60" s="2" t="n">
        <v>11472</v>
      </c>
      <c r="H60" t="n">
        <v>-0.1329</v>
      </c>
      <c r="I60" t="n">
        <v>0.0009</v>
      </c>
    </row>
    <row r="61">
      <c r="A61" s="2" t="n">
        <v>18598</v>
      </c>
      <c r="B61" t="n">
        <v>2.57</v>
      </c>
      <c r="D61" s="2" t="n">
        <v>26634</v>
      </c>
      <c r="E61" s="1" t="n">
        <v>4.45</v>
      </c>
      <c r="G61" s="2" t="n">
        <v>11504</v>
      </c>
      <c r="H61" t="n">
        <v>0.1393</v>
      </c>
      <c r="I61" t="n">
        <v>0.0008</v>
      </c>
    </row>
    <row r="62">
      <c r="A62" s="2" t="n">
        <v>18629</v>
      </c>
      <c r="B62" t="n">
        <v>2.57</v>
      </c>
      <c r="D62" s="2" t="n">
        <v>26665</v>
      </c>
      <c r="E62" s="1" t="n">
        <v>4.7</v>
      </c>
      <c r="G62" s="2" t="n">
        <v>11535</v>
      </c>
      <c r="H62" t="n">
        <v>-0.0663</v>
      </c>
      <c r="I62" t="n">
        <v>0.0005999999999999999</v>
      </c>
    </row>
    <row r="63">
      <c r="A63" s="2" t="n">
        <v>18660</v>
      </c>
      <c r="B63" t="n">
        <v>2.57</v>
      </c>
      <c r="D63" s="2" t="n">
        <v>26696</v>
      </c>
      <c r="E63" s="1" t="n">
        <v>4.8</v>
      </c>
      <c r="G63" s="2" t="n">
        <v>11566</v>
      </c>
      <c r="H63" t="n">
        <v>0.004</v>
      </c>
      <c r="I63" t="n">
        <v>0.0003</v>
      </c>
    </row>
    <row r="64">
      <c r="A64" s="2" t="n">
        <v>18688</v>
      </c>
      <c r="B64" t="n">
        <v>2.57</v>
      </c>
      <c r="D64" s="2" t="n">
        <v>26724</v>
      </c>
      <c r="E64" s="1" t="n">
        <v>5.45</v>
      </c>
      <c r="G64" s="2" t="n">
        <v>11596</v>
      </c>
      <c r="H64" t="n">
        <v>-0.2874</v>
      </c>
      <c r="I64" t="n">
        <v>0.0003</v>
      </c>
    </row>
    <row r="65">
      <c r="A65" s="2" t="n">
        <v>18719</v>
      </c>
      <c r="B65" t="n">
        <v>2.57</v>
      </c>
      <c r="D65" s="2" t="n">
        <v>26755</v>
      </c>
      <c r="E65" s="1" t="n">
        <v>5.8</v>
      </c>
      <c r="G65" s="2" t="n">
        <v>11627</v>
      </c>
      <c r="H65" t="n">
        <v>0.0799</v>
      </c>
      <c r="I65" t="n">
        <v>0.001</v>
      </c>
    </row>
    <row r="66">
      <c r="A66" s="2" t="n">
        <v>18749</v>
      </c>
      <c r="B66" t="n">
        <v>2.57</v>
      </c>
      <c r="D66" s="2" t="n">
        <v>26785</v>
      </c>
      <c r="E66" s="1" t="n">
        <v>6.4</v>
      </c>
      <c r="G66" s="2" t="n">
        <v>11657</v>
      </c>
      <c r="H66" t="n">
        <v>-0.0914</v>
      </c>
      <c r="I66" t="n">
        <v>0.0017</v>
      </c>
    </row>
    <row r="67">
      <c r="A67" s="2" t="n">
        <v>18780</v>
      </c>
      <c r="B67" t="n">
        <v>2.57</v>
      </c>
      <c r="D67" s="2" t="n">
        <v>26816</v>
      </c>
      <c r="E67" s="1" t="n">
        <v>6.4</v>
      </c>
      <c r="G67" s="2" t="n">
        <v>11688</v>
      </c>
      <c r="H67" t="n">
        <v>-0.1352</v>
      </c>
      <c r="I67" t="n">
        <v>0.0012</v>
      </c>
    </row>
    <row r="68">
      <c r="A68" s="2" t="n">
        <v>18810</v>
      </c>
      <c r="B68" t="n">
        <v>2.57</v>
      </c>
      <c r="D68" s="2" t="n">
        <v>26846</v>
      </c>
      <c r="E68" s="1" t="n">
        <v>6.5</v>
      </c>
      <c r="G68" s="2" t="n">
        <v>11718</v>
      </c>
      <c r="H68" t="n">
        <v>-0.0157</v>
      </c>
      <c r="I68" t="n">
        <v>0.0023</v>
      </c>
    </row>
    <row r="69">
      <c r="A69" s="2" t="n">
        <v>18841</v>
      </c>
      <c r="B69" t="n">
        <v>2.57</v>
      </c>
      <c r="D69" s="2" t="n">
        <v>26877</v>
      </c>
      <c r="E69" s="1" t="n">
        <v>6.4</v>
      </c>
      <c r="G69" s="2" t="n">
        <v>11748</v>
      </c>
      <c r="H69" t="n">
        <v>0.0545</v>
      </c>
      <c r="I69" t="n">
        <v>0.0023</v>
      </c>
    </row>
    <row r="70">
      <c r="A70" s="2" t="n">
        <v>18872</v>
      </c>
      <c r="B70" t="n">
        <v>2.57</v>
      </c>
      <c r="D70" s="2" t="n">
        <v>26908</v>
      </c>
      <c r="E70" s="1" t="n">
        <v>9.25</v>
      </c>
      <c r="G70" s="2" t="n">
        <v>11779</v>
      </c>
      <c r="H70" t="n">
        <v>-0.113</v>
      </c>
      <c r="I70" t="n">
        <v>0.0016</v>
      </c>
    </row>
    <row r="71">
      <c r="A71" s="2" t="n">
        <v>18902</v>
      </c>
      <c r="B71" t="n">
        <v>2.57</v>
      </c>
      <c r="D71" s="2" t="n">
        <v>26938</v>
      </c>
      <c r="E71" s="1" t="n">
        <v>9.65</v>
      </c>
      <c r="G71" s="2" t="n">
        <v>11809</v>
      </c>
      <c r="H71" t="n">
        <v>-0.1794</v>
      </c>
      <c r="I71" t="n">
        <v>0.0011</v>
      </c>
    </row>
    <row r="72">
      <c r="A72" s="2" t="n">
        <v>18933</v>
      </c>
      <c r="B72" t="n">
        <v>2.57</v>
      </c>
      <c r="D72" s="2" t="n">
        <v>26969</v>
      </c>
      <c r="E72" s="1" t="n">
        <v>9.199999999999999</v>
      </c>
      <c r="G72" s="2" t="n">
        <v>11840</v>
      </c>
      <c r="H72" t="n">
        <v>-0.2051</v>
      </c>
      <c r="I72" t="n">
        <v>0.0005999999999999999</v>
      </c>
    </row>
    <row r="73">
      <c r="A73" s="2" t="n">
        <v>18963</v>
      </c>
      <c r="B73" t="n">
        <v>2.57</v>
      </c>
      <c r="D73" s="2" t="n">
        <v>26999</v>
      </c>
      <c r="E73" s="1" t="n">
        <v>9.25</v>
      </c>
      <c r="G73" s="2" t="n">
        <v>11870</v>
      </c>
      <c r="H73" t="n">
        <v>-0.0077</v>
      </c>
      <c r="I73" t="n">
        <v>0.0002</v>
      </c>
    </row>
    <row r="74">
      <c r="A74" s="2" t="n">
        <v>18994</v>
      </c>
      <c r="B74" t="n">
        <v>2.57</v>
      </c>
      <c r="D74" s="2" t="n">
        <v>27030</v>
      </c>
      <c r="E74" s="1" t="n">
        <v>9.25</v>
      </c>
      <c r="G74" s="2" t="n">
        <v>11900</v>
      </c>
      <c r="H74" t="n">
        <v>0.3361</v>
      </c>
      <c r="I74" t="n">
        <v>0.0002</v>
      </c>
    </row>
    <row r="75">
      <c r="A75" s="2" t="n">
        <v>19025</v>
      </c>
      <c r="B75" t="n">
        <v>2.57</v>
      </c>
      <c r="D75" s="2" t="n">
        <v>27061</v>
      </c>
      <c r="E75" s="1" t="n">
        <v>9.5</v>
      </c>
      <c r="G75" s="2" t="n">
        <v>11932</v>
      </c>
      <c r="H75" t="n">
        <v>0.3712</v>
      </c>
      <c r="I75" t="n">
        <v>0.0003</v>
      </c>
    </row>
    <row r="76">
      <c r="A76" s="2" t="n">
        <v>19054</v>
      </c>
      <c r="B76" t="n">
        <v>2.57</v>
      </c>
      <c r="D76" s="2" t="n">
        <v>27089</v>
      </c>
      <c r="E76" s="1" t="n">
        <v>10.1</v>
      </c>
      <c r="G76" s="2" t="n">
        <v>11962</v>
      </c>
      <c r="H76" t="n">
        <v>-0.0294</v>
      </c>
      <c r="I76" t="n">
        <v>0.0003</v>
      </c>
    </row>
    <row r="77">
      <c r="A77" s="2" t="n">
        <v>19085</v>
      </c>
      <c r="B77" t="n">
        <v>2.57</v>
      </c>
      <c r="D77" s="2" t="n">
        <v>27120</v>
      </c>
      <c r="E77" s="1" t="n">
        <v>16.25</v>
      </c>
      <c r="G77" s="2" t="n">
        <v>11993</v>
      </c>
      <c r="H77" t="n">
        <v>-0.1315</v>
      </c>
      <c r="I77" t="n">
        <v>0.0002</v>
      </c>
    </row>
    <row r="78">
      <c r="A78" s="2" t="n">
        <v>19115</v>
      </c>
      <c r="B78" t="n">
        <v>2.57</v>
      </c>
      <c r="D78" s="2" t="n">
        <v>27150</v>
      </c>
      <c r="E78" s="1" t="n">
        <v>21.75</v>
      </c>
      <c r="G78" s="2" t="n">
        <v>12023</v>
      </c>
      <c r="H78" t="n">
        <v>-0.0588</v>
      </c>
      <c r="I78" t="n">
        <v>0.0002</v>
      </c>
    </row>
    <row r="79">
      <c r="A79" s="2" t="n">
        <v>19146</v>
      </c>
      <c r="B79" t="n">
        <v>2.57</v>
      </c>
      <c r="D79" s="2" t="n">
        <v>27181</v>
      </c>
      <c r="E79" s="1" t="n">
        <v>18.8</v>
      </c>
      <c r="G79" s="2" t="n">
        <v>12054</v>
      </c>
      <c r="H79" t="n">
        <v>0.0442</v>
      </c>
      <c r="I79" t="n">
        <v>0.0001</v>
      </c>
    </row>
    <row r="80">
      <c r="A80" s="2" t="n">
        <v>19176</v>
      </c>
      <c r="B80" t="n">
        <v>2.57</v>
      </c>
      <c r="D80" s="2" t="n">
        <v>27211</v>
      </c>
      <c r="E80" s="1" t="n">
        <v>15</v>
      </c>
      <c r="G80" s="2" t="n">
        <v>12085</v>
      </c>
      <c r="H80" t="n">
        <v>0.0124</v>
      </c>
      <c r="I80" t="n">
        <v>0.0001</v>
      </c>
    </row>
    <row r="81">
      <c r="A81" s="2" t="n">
        <v>19207</v>
      </c>
      <c r="B81" t="n">
        <v>2.57</v>
      </c>
      <c r="D81" s="2" t="n">
        <v>27242</v>
      </c>
      <c r="E81" s="1" t="n">
        <v>14.2</v>
      </c>
      <c r="G81" s="2" t="n">
        <v>12113</v>
      </c>
      <c r="H81" t="n">
        <v>-0.1529</v>
      </c>
      <c r="I81" t="n">
        <v>-0.0003</v>
      </c>
    </row>
    <row r="82">
      <c r="A82" s="2" t="n">
        <v>19238</v>
      </c>
      <c r="B82" t="n">
        <v>2.57</v>
      </c>
      <c r="D82" s="2" t="n">
        <v>27273</v>
      </c>
      <c r="E82" s="1" t="n">
        <v>12.6</v>
      </c>
      <c r="G82" s="2" t="n">
        <v>12144</v>
      </c>
      <c r="H82" t="n">
        <v>0.0306</v>
      </c>
      <c r="I82" t="n">
        <v>0.0004</v>
      </c>
    </row>
    <row r="83">
      <c r="A83" s="2" t="n">
        <v>19268</v>
      </c>
      <c r="B83" t="n">
        <v>2.57</v>
      </c>
      <c r="D83" s="2" t="n">
        <v>27303</v>
      </c>
      <c r="E83" s="1" t="n">
        <v>10.4</v>
      </c>
      <c r="G83" s="2" t="n">
        <v>12173</v>
      </c>
      <c r="H83" t="n">
        <v>0.3881</v>
      </c>
      <c r="I83" t="n">
        <v>0.001</v>
      </c>
    </row>
    <row r="84">
      <c r="A84" s="2" t="n">
        <v>19299</v>
      </c>
      <c r="B84" t="n">
        <v>2.57</v>
      </c>
      <c r="D84" s="2" t="n">
        <v>27334</v>
      </c>
      <c r="E84" s="1" t="n">
        <v>10.3</v>
      </c>
      <c r="G84" s="2" t="n">
        <v>12205</v>
      </c>
      <c r="H84" t="n">
        <v>0.2143</v>
      </c>
      <c r="I84" t="n">
        <v>0.0004</v>
      </c>
    </row>
    <row r="85">
      <c r="A85" s="2" t="n">
        <v>19329</v>
      </c>
      <c r="B85" t="n">
        <v>2.57</v>
      </c>
      <c r="D85" s="2" t="n">
        <v>27364</v>
      </c>
      <c r="E85" s="1" t="n">
        <v>9.75</v>
      </c>
      <c r="G85" s="2" t="n">
        <v>12235</v>
      </c>
      <c r="H85" t="n">
        <v>0.131</v>
      </c>
      <c r="I85" t="n">
        <v>0.0002</v>
      </c>
    </row>
    <row r="86">
      <c r="A86" s="2" t="n">
        <v>19360</v>
      </c>
      <c r="B86" t="n">
        <v>2.57</v>
      </c>
      <c r="D86" s="2" t="n">
        <v>27395</v>
      </c>
      <c r="E86" s="1" t="n">
        <v>8.949999999999999</v>
      </c>
      <c r="G86" s="2" t="n">
        <v>12266</v>
      </c>
      <c r="H86" t="n">
        <v>-0.0964</v>
      </c>
      <c r="I86" t="n">
        <v>0.0002</v>
      </c>
    </row>
    <row r="87">
      <c r="A87" s="2" t="n">
        <v>19391</v>
      </c>
      <c r="B87" t="n">
        <v>2.57</v>
      </c>
      <c r="D87" s="2" t="n">
        <v>27426</v>
      </c>
      <c r="E87" s="1" t="n">
        <v>9</v>
      </c>
      <c r="G87" s="2" t="n">
        <v>12297</v>
      </c>
      <c r="H87" t="n">
        <v>0.1204</v>
      </c>
      <c r="I87" t="n">
        <v>0.0003</v>
      </c>
    </row>
    <row r="88">
      <c r="A88" s="2" t="n">
        <v>19419</v>
      </c>
      <c r="B88" t="n">
        <v>2.57</v>
      </c>
      <c r="D88" s="2" t="n">
        <v>27454</v>
      </c>
      <c r="E88" s="1" t="n">
        <v>8.75</v>
      </c>
      <c r="G88" s="2" t="n">
        <v>12327</v>
      </c>
      <c r="H88" t="n">
        <v>-0.1065</v>
      </c>
      <c r="I88" t="n">
        <v>0.0002</v>
      </c>
    </row>
    <row r="89">
      <c r="A89" s="2" t="n">
        <v>19450</v>
      </c>
      <c r="B89" t="n">
        <v>2.57</v>
      </c>
      <c r="D89" s="2" t="n">
        <v>27485</v>
      </c>
      <c r="E89" s="1" t="n">
        <v>9.800000000000001</v>
      </c>
      <c r="G89" s="2" t="n">
        <v>12358</v>
      </c>
      <c r="H89" t="n">
        <v>-0.08359999999999999</v>
      </c>
      <c r="I89" t="n">
        <v>0.0001</v>
      </c>
    </row>
    <row r="90">
      <c r="A90" s="2" t="n">
        <v>19480</v>
      </c>
      <c r="B90" t="n">
        <v>2.57</v>
      </c>
      <c r="D90" s="2" t="n">
        <v>27515</v>
      </c>
      <c r="E90" s="1" t="n">
        <v>8.9</v>
      </c>
      <c r="G90" s="2" t="n">
        <v>12387</v>
      </c>
      <c r="H90" t="n">
        <v>0.0997</v>
      </c>
      <c r="I90" t="n">
        <v>0.0002</v>
      </c>
    </row>
    <row r="91">
      <c r="A91" s="2" t="n">
        <v>19511</v>
      </c>
      <c r="B91" t="n">
        <v>2.82</v>
      </c>
      <c r="D91" s="2" t="n">
        <v>27546</v>
      </c>
      <c r="E91" s="1" t="n">
        <v>8.800000000000001</v>
      </c>
      <c r="G91" s="2" t="n">
        <v>12418</v>
      </c>
      <c r="H91" t="n">
        <v>0.0182</v>
      </c>
      <c r="I91" t="n">
        <v>0.0002</v>
      </c>
    </row>
    <row r="92">
      <c r="A92" s="2" t="n">
        <v>19541</v>
      </c>
      <c r="B92" t="n">
        <v>2.82</v>
      </c>
      <c r="D92" s="2" t="n">
        <v>27576</v>
      </c>
      <c r="E92" s="1" t="n">
        <v>8.15</v>
      </c>
      <c r="G92" s="2" t="n">
        <v>12450</v>
      </c>
      <c r="H92" t="n">
        <v>0.126</v>
      </c>
      <c r="I92" t="n">
        <v>0.0005</v>
      </c>
    </row>
    <row r="93">
      <c r="A93" s="2" t="n">
        <v>19572</v>
      </c>
      <c r="B93" t="n">
        <v>2.82</v>
      </c>
      <c r="D93" s="2" t="n">
        <v>27607</v>
      </c>
      <c r="E93" s="1" t="n">
        <v>8.15</v>
      </c>
      <c r="G93" s="2" t="n">
        <v>12478</v>
      </c>
      <c r="H93" t="n">
        <v>-0.0251</v>
      </c>
      <c r="I93" t="n">
        <v>0.0002</v>
      </c>
    </row>
    <row r="94">
      <c r="A94" s="2" t="n">
        <v>19603</v>
      </c>
      <c r="B94" t="n">
        <v>2.82</v>
      </c>
      <c r="D94" s="2" t="n">
        <v>27638</v>
      </c>
      <c r="E94" s="1" t="n">
        <v>8.1</v>
      </c>
      <c r="G94" s="2" t="n">
        <v>12509</v>
      </c>
      <c r="H94" t="n">
        <v>0.0009</v>
      </c>
      <c r="I94" t="n">
        <v>0.0002</v>
      </c>
    </row>
    <row r="95">
      <c r="A95" s="2" t="n">
        <v>19633</v>
      </c>
      <c r="B95" t="n">
        <v>2.82</v>
      </c>
      <c r="D95" s="2" t="n">
        <v>27668</v>
      </c>
      <c r="E95" s="1" t="n">
        <v>7.95</v>
      </c>
      <c r="G95" s="2" t="n">
        <v>12539</v>
      </c>
      <c r="H95" t="n">
        <v>-0.0179</v>
      </c>
      <c r="I95" t="n">
        <v>0.0001</v>
      </c>
    </row>
    <row r="96">
      <c r="A96" s="2" t="n">
        <v>19664</v>
      </c>
      <c r="B96" t="n">
        <v>2.82</v>
      </c>
      <c r="D96" s="2" t="n">
        <v>27699</v>
      </c>
      <c r="E96" s="1" t="n">
        <v>8.050000000000001</v>
      </c>
      <c r="G96" s="2" t="n">
        <v>12570</v>
      </c>
      <c r="H96" t="n">
        <v>-0.0726</v>
      </c>
      <c r="I96" t="n">
        <v>0.0001</v>
      </c>
    </row>
    <row r="97">
      <c r="A97" s="2" t="n">
        <v>19694</v>
      </c>
      <c r="B97" t="n">
        <v>2.82</v>
      </c>
      <c r="D97" s="2" t="n">
        <v>27729</v>
      </c>
      <c r="E97" s="1" t="n">
        <v>7.7</v>
      </c>
      <c r="G97" s="2" t="n">
        <v>12600</v>
      </c>
      <c r="H97" t="n">
        <v>0.0271</v>
      </c>
      <c r="I97" t="n">
        <v>0.0001</v>
      </c>
    </row>
    <row r="98">
      <c r="A98" s="2" t="n">
        <v>19725</v>
      </c>
      <c r="B98" t="n">
        <v>2.82</v>
      </c>
      <c r="D98" s="2" t="n">
        <v>27760</v>
      </c>
      <c r="E98" s="1" t="n">
        <v>7.65</v>
      </c>
      <c r="G98" s="2" t="n">
        <v>12631</v>
      </c>
      <c r="H98" t="n">
        <v>-0.1094</v>
      </c>
      <c r="I98" t="n">
        <v>0.0001</v>
      </c>
    </row>
    <row r="99">
      <c r="A99" s="2" t="n">
        <v>19756</v>
      </c>
      <c r="B99" t="n">
        <v>2.82</v>
      </c>
      <c r="D99" s="2" t="n">
        <v>27791</v>
      </c>
      <c r="E99" s="1" t="n">
        <v>8.35</v>
      </c>
      <c r="G99" s="2" t="n">
        <v>12662</v>
      </c>
      <c r="H99" t="n">
        <v>0.0558</v>
      </c>
      <c r="I99" t="n">
        <v>0.0001</v>
      </c>
    </row>
    <row r="100">
      <c r="A100" s="2" t="n">
        <v>19784</v>
      </c>
      <c r="B100" t="n">
        <v>2.82</v>
      </c>
      <c r="D100" s="2" t="n">
        <v>27820</v>
      </c>
      <c r="E100" s="1" t="n">
        <v>8.4</v>
      </c>
      <c r="G100" s="2" t="n">
        <v>12691</v>
      </c>
      <c r="H100" t="n">
        <v>-0.0024</v>
      </c>
      <c r="I100" t="n">
        <v>0.0001</v>
      </c>
    </row>
    <row r="101">
      <c r="A101" s="2" t="n">
        <v>19815</v>
      </c>
      <c r="B101" t="n">
        <v>2.82</v>
      </c>
      <c r="D101" s="2" t="n">
        <v>27851</v>
      </c>
      <c r="E101" s="1" t="n">
        <v>9.609999999999999</v>
      </c>
      <c r="G101" s="2" t="n">
        <v>12723</v>
      </c>
      <c r="H101" t="n">
        <v>-0.0166</v>
      </c>
      <c r="I101" t="n">
        <v>0.0001</v>
      </c>
    </row>
    <row r="102">
      <c r="A102" s="2" t="n">
        <v>19845</v>
      </c>
      <c r="B102" t="n">
        <v>2.82</v>
      </c>
      <c r="D102" s="2" t="n">
        <v>27881</v>
      </c>
      <c r="E102" s="1" t="n">
        <v>10.24</v>
      </c>
      <c r="G102" s="2" t="n">
        <v>12753</v>
      </c>
      <c r="H102" t="n">
        <v>0.0833</v>
      </c>
      <c r="I102" t="n">
        <v>0.0001</v>
      </c>
    </row>
    <row r="103">
      <c r="A103" s="2" t="n">
        <v>19876</v>
      </c>
      <c r="B103" t="n">
        <v>2.82</v>
      </c>
      <c r="D103" s="2" t="n">
        <v>27912</v>
      </c>
      <c r="E103" s="1" t="n">
        <v>10.27</v>
      </c>
      <c r="G103" s="2" t="n">
        <v>12784</v>
      </c>
      <c r="H103" t="n">
        <v>0.0036</v>
      </c>
      <c r="I103" t="n">
        <v>0.0001</v>
      </c>
    </row>
    <row r="104">
      <c r="A104" s="2" t="n">
        <v>19906</v>
      </c>
      <c r="B104" t="n">
        <v>2.82</v>
      </c>
      <c r="D104" s="2" t="n">
        <v>27942</v>
      </c>
      <c r="E104" s="1" t="n">
        <v>9.67</v>
      </c>
      <c r="G104" s="2" t="n">
        <v>12815</v>
      </c>
      <c r="H104" t="n">
        <v>-0.0346</v>
      </c>
      <c r="I104" t="n">
        <v>0.0001</v>
      </c>
    </row>
    <row r="105">
      <c r="A105" s="2" t="n">
        <v>19937</v>
      </c>
      <c r="B105" t="n">
        <v>2.82</v>
      </c>
      <c r="D105" s="2" t="n">
        <v>27973</v>
      </c>
      <c r="E105" s="1" t="n">
        <v>9.359999999999999</v>
      </c>
      <c r="G105" s="2" t="n">
        <v>12843</v>
      </c>
      <c r="H105" t="n">
        <v>-0.0196</v>
      </c>
      <c r="I105" t="n">
        <v>0.0002</v>
      </c>
    </row>
    <row r="106">
      <c r="A106" s="2" t="n">
        <v>19968</v>
      </c>
      <c r="B106" t="n">
        <v>2.82</v>
      </c>
      <c r="D106" s="2" t="n">
        <v>28004</v>
      </c>
      <c r="E106" s="1" t="n">
        <v>9.31</v>
      </c>
      <c r="G106" s="2" t="n">
        <v>12873</v>
      </c>
      <c r="H106" t="n">
        <v>-0.0371</v>
      </c>
      <c r="I106" t="n">
        <v>0.0001</v>
      </c>
    </row>
    <row r="107">
      <c r="A107" s="2" t="n">
        <v>19998</v>
      </c>
      <c r="B107" t="n">
        <v>2.82</v>
      </c>
      <c r="D107" s="2" t="n">
        <v>28034</v>
      </c>
      <c r="E107" s="1" t="n">
        <v>9.06</v>
      </c>
      <c r="G107" s="2" t="n">
        <v>12904</v>
      </c>
      <c r="H107" t="n">
        <v>0.0906</v>
      </c>
      <c r="I107" t="n">
        <v>0.0001</v>
      </c>
    </row>
    <row r="108">
      <c r="A108" s="2" t="n">
        <v>20029</v>
      </c>
      <c r="B108" t="n">
        <v>2.82</v>
      </c>
      <c r="D108" s="2" t="n">
        <v>28065</v>
      </c>
      <c r="E108" s="1" t="n">
        <v>9.52</v>
      </c>
      <c r="G108" s="2" t="n">
        <v>12935</v>
      </c>
      <c r="H108" t="n">
        <v>0.0346</v>
      </c>
      <c r="I108" t="n">
        <v>0.0001</v>
      </c>
    </row>
    <row r="109">
      <c r="A109" s="2" t="n">
        <v>20059</v>
      </c>
      <c r="B109" t="n">
        <v>2.82</v>
      </c>
      <c r="D109" s="2" t="n">
        <v>28095</v>
      </c>
      <c r="E109" s="1" t="n">
        <v>9.44</v>
      </c>
      <c r="G109" s="2" t="n">
        <v>12964</v>
      </c>
      <c r="H109" t="n">
        <v>0.0593</v>
      </c>
      <c r="I109" t="n">
        <v>0.0001</v>
      </c>
    </row>
    <row r="110">
      <c r="A110" s="2" t="n">
        <v>20090</v>
      </c>
      <c r="B110" t="n">
        <v>2.82</v>
      </c>
      <c r="D110" s="2" t="n">
        <v>28126</v>
      </c>
      <c r="E110" s="1" t="n">
        <v>8.93</v>
      </c>
      <c r="G110" s="2" t="n">
        <v>12996</v>
      </c>
      <c r="H110" t="n">
        <v>0.07539999999999999</v>
      </c>
      <c r="I110" t="n">
        <v>0.0001</v>
      </c>
    </row>
    <row r="111">
      <c r="A111" s="2" t="n">
        <v>20121</v>
      </c>
      <c r="B111" t="n">
        <v>2.82</v>
      </c>
      <c r="D111" s="2" t="n">
        <v>28157</v>
      </c>
      <c r="E111" s="1" t="n">
        <v>9.31</v>
      </c>
      <c r="G111" s="2" t="n">
        <v>13027</v>
      </c>
      <c r="H111" t="n">
        <v>0.0265</v>
      </c>
      <c r="I111" t="n">
        <v>0.0001</v>
      </c>
    </row>
    <row r="112">
      <c r="A112" s="2" t="n">
        <v>20149</v>
      </c>
      <c r="B112" t="n">
        <v>2.82</v>
      </c>
      <c r="D112" s="2" t="n">
        <v>28185</v>
      </c>
      <c r="E112" s="1" t="n">
        <v>9.73</v>
      </c>
      <c r="G112" s="2" t="n">
        <v>13057</v>
      </c>
      <c r="H112" t="n">
        <v>0.0262</v>
      </c>
      <c r="I112" t="n">
        <v>0.0001</v>
      </c>
    </row>
    <row r="113">
      <c r="A113" s="2" t="n">
        <v>20180</v>
      </c>
      <c r="B113" t="n">
        <v>2.82</v>
      </c>
      <c r="D113" s="2" t="n">
        <v>28216</v>
      </c>
      <c r="E113" s="1" t="n">
        <v>10.86</v>
      </c>
      <c r="G113" s="2" t="n">
        <v>13088</v>
      </c>
      <c r="H113" t="n">
        <v>0.0703</v>
      </c>
      <c r="I113" t="n">
        <v>0.0001</v>
      </c>
    </row>
    <row r="114">
      <c r="A114" s="2" t="n">
        <v>20210</v>
      </c>
      <c r="B114" t="n">
        <v>2.82</v>
      </c>
      <c r="D114" s="2" t="n">
        <v>28246</v>
      </c>
      <c r="E114" s="1" t="n">
        <v>10.94</v>
      </c>
      <c r="G114" s="2" t="n">
        <v>13118</v>
      </c>
      <c r="H114" t="n">
        <v>0.0487</v>
      </c>
      <c r="I114" t="n">
        <v>0.0002</v>
      </c>
    </row>
    <row r="115">
      <c r="A115" s="2" t="n">
        <v>20241</v>
      </c>
      <c r="B115" t="n">
        <v>2.82</v>
      </c>
      <c r="D115" s="2" t="n">
        <v>28277</v>
      </c>
      <c r="E115" s="1" t="n">
        <v>10.95</v>
      </c>
      <c r="G115" s="2" t="n">
        <v>13149</v>
      </c>
      <c r="H115" t="n">
        <v>0.0455</v>
      </c>
      <c r="I115" t="n">
        <v>0.0001</v>
      </c>
    </row>
    <row r="116">
      <c r="A116" s="2" t="n">
        <v>20271</v>
      </c>
      <c r="B116" t="n">
        <v>2.82</v>
      </c>
      <c r="D116" s="2" t="n">
        <v>28307</v>
      </c>
      <c r="E116" s="1" t="n">
        <v>10.72</v>
      </c>
      <c r="G116" s="2" t="n">
        <v>13180</v>
      </c>
      <c r="H116" t="n">
        <v>0.0689</v>
      </c>
      <c r="I116" t="n">
        <v>0.0001</v>
      </c>
    </row>
    <row r="117">
      <c r="A117" s="2" t="n">
        <v>20302</v>
      </c>
      <c r="B117" t="n">
        <v>2.82</v>
      </c>
      <c r="D117" s="2" t="n">
        <v>28338</v>
      </c>
      <c r="E117" s="1" t="n">
        <v>10.9</v>
      </c>
      <c r="G117" s="2" t="n">
        <v>13209</v>
      </c>
      <c r="H117" t="n">
        <v>0.0249</v>
      </c>
      <c r="I117" t="n">
        <v>0.0001</v>
      </c>
    </row>
    <row r="118">
      <c r="A118" s="2" t="n">
        <v>20333</v>
      </c>
      <c r="B118" t="n">
        <v>2.82</v>
      </c>
      <c r="D118" s="2" t="n">
        <v>28369</v>
      </c>
      <c r="E118" s="1" t="n">
        <v>10.43</v>
      </c>
      <c r="G118" s="2" t="n">
        <v>13240</v>
      </c>
      <c r="H118" t="n">
        <v>0.009599999999999999</v>
      </c>
      <c r="I118" t="n">
        <v>0.0002</v>
      </c>
    </row>
    <row r="119">
      <c r="A119" s="2" t="n">
        <v>20363</v>
      </c>
      <c r="B119" t="n">
        <v>2.82</v>
      </c>
      <c r="D119" s="2" t="n">
        <v>28399</v>
      </c>
      <c r="E119" s="1" t="n">
        <v>10.02</v>
      </c>
      <c r="G119" s="2" t="n">
        <v>13270</v>
      </c>
      <c r="H119" t="n">
        <v>-0.0814</v>
      </c>
      <c r="I119" t="n">
        <v>0.0002</v>
      </c>
    </row>
    <row r="120">
      <c r="A120" s="2" t="n">
        <v>20394</v>
      </c>
      <c r="B120" t="n">
        <v>2.82</v>
      </c>
      <c r="D120" s="2" t="n">
        <v>28430</v>
      </c>
      <c r="E120" s="1" t="n">
        <v>10.01</v>
      </c>
      <c r="G120" s="2" t="n">
        <v>13299</v>
      </c>
      <c r="H120" t="n">
        <v>0.0519</v>
      </c>
      <c r="I120" t="n">
        <v>0.0002</v>
      </c>
    </row>
    <row r="121">
      <c r="A121" s="2" t="n">
        <v>20424</v>
      </c>
      <c r="B121" t="n">
        <v>2.82</v>
      </c>
      <c r="D121" s="2" t="n">
        <v>28460</v>
      </c>
      <c r="E121" s="1" t="n">
        <v>9.75</v>
      </c>
      <c r="G121" s="2" t="n">
        <v>13331</v>
      </c>
      <c r="H121" t="n">
        <v>0.024</v>
      </c>
      <c r="I121" t="n">
        <v>0.0003</v>
      </c>
    </row>
    <row r="122">
      <c r="A122" s="2" t="n">
        <v>20455</v>
      </c>
      <c r="B122" t="n">
        <v>2.82</v>
      </c>
      <c r="D122" s="2" t="n">
        <v>28491</v>
      </c>
      <c r="E122" s="1" t="n">
        <v>9.49</v>
      </c>
      <c r="G122" s="2" t="n">
        <v>13362</v>
      </c>
      <c r="H122" t="n">
        <v>0.0668</v>
      </c>
      <c r="I122" t="n">
        <v>0.0001</v>
      </c>
    </row>
    <row r="123">
      <c r="A123" s="2" t="n">
        <v>20486</v>
      </c>
      <c r="B123" t="n">
        <v>2.82</v>
      </c>
      <c r="D123" s="2" t="n">
        <v>28522</v>
      </c>
      <c r="E123" s="1" t="n">
        <v>9.550000000000001</v>
      </c>
      <c r="G123" s="2" t="n">
        <v>13393</v>
      </c>
      <c r="H123" t="n">
        <v>0.009900000000000001</v>
      </c>
      <c r="I123" t="n">
        <v>0.0002</v>
      </c>
    </row>
    <row r="124">
      <c r="A124" s="2" t="n">
        <v>20515</v>
      </c>
      <c r="B124" t="n">
        <v>2.82</v>
      </c>
      <c r="D124" s="2" t="n">
        <v>28550</v>
      </c>
      <c r="E124" s="1" t="n">
        <v>10.04</v>
      </c>
      <c r="G124" s="2" t="n">
        <v>13423</v>
      </c>
      <c r="H124" t="n">
        <v>0.0097</v>
      </c>
      <c r="I124" t="n">
        <v>0.0001</v>
      </c>
    </row>
    <row r="125">
      <c r="A125" s="2" t="n">
        <v>20546</v>
      </c>
      <c r="B125" t="n">
        <v>2.82</v>
      </c>
      <c r="D125" s="2" t="n">
        <v>28581</v>
      </c>
      <c r="E125" s="1" t="n">
        <v>10.86</v>
      </c>
      <c r="G125" s="2" t="n">
        <v>13454</v>
      </c>
      <c r="H125" t="n">
        <v>0.07099999999999999</v>
      </c>
      <c r="I125" t="n">
        <v>0.0002</v>
      </c>
    </row>
    <row r="126">
      <c r="A126" s="2" t="n">
        <v>20576</v>
      </c>
      <c r="B126" t="n">
        <v>2.82</v>
      </c>
      <c r="D126" s="2" t="n">
        <v>28611</v>
      </c>
      <c r="E126" s="1" t="n">
        <v>10.6</v>
      </c>
      <c r="G126" s="2" t="n">
        <v>13484</v>
      </c>
      <c r="H126" t="n">
        <v>0.0326</v>
      </c>
      <c r="I126" t="n">
        <v>0.0001</v>
      </c>
    </row>
    <row r="127">
      <c r="A127" s="2" t="n">
        <v>20607</v>
      </c>
      <c r="B127" t="n">
        <v>2.82</v>
      </c>
      <c r="D127" s="2" t="n">
        <v>28642</v>
      </c>
      <c r="E127" s="1" t="n">
        <v>10.63</v>
      </c>
      <c r="G127" s="2" t="n">
        <v>13515</v>
      </c>
      <c r="H127" t="n">
        <v>0.002</v>
      </c>
      <c r="I127" t="n">
        <v>0</v>
      </c>
    </row>
    <row r="128">
      <c r="A128" s="2" t="n">
        <v>20637</v>
      </c>
      <c r="B128" t="n">
        <v>2.82</v>
      </c>
      <c r="D128" s="2" t="n">
        <v>28672</v>
      </c>
      <c r="E128" s="1" t="n">
        <v>9.84</v>
      </c>
      <c r="G128" s="2" t="n">
        <v>13545</v>
      </c>
      <c r="H128" t="n">
        <v>0.0335</v>
      </c>
      <c r="I128" t="n">
        <v>0.0001</v>
      </c>
    </row>
    <row r="129">
      <c r="A129" s="2" t="n">
        <v>20668</v>
      </c>
      <c r="B129" t="n">
        <v>2.82</v>
      </c>
      <c r="D129" s="2" t="n">
        <v>28703</v>
      </c>
      <c r="E129" s="1" t="n">
        <v>9.699999999999999</v>
      </c>
      <c r="G129" s="2" t="n">
        <v>13573</v>
      </c>
      <c r="H129" t="n">
        <v>0.0108</v>
      </c>
      <c r="I129" t="n">
        <v>0.0002</v>
      </c>
    </row>
    <row r="130">
      <c r="A130" s="2" t="n">
        <v>20699</v>
      </c>
      <c r="B130" t="n">
        <v>2.82</v>
      </c>
      <c r="D130" s="2" t="n">
        <v>28734</v>
      </c>
      <c r="E130" s="1" t="n">
        <v>9.720000000000001</v>
      </c>
      <c r="G130" s="2" t="n">
        <v>13605</v>
      </c>
      <c r="H130" t="n">
        <v>-0.0026</v>
      </c>
      <c r="I130" t="n">
        <v>0.0001</v>
      </c>
    </row>
    <row r="131">
      <c r="A131" s="2" t="n">
        <v>20729</v>
      </c>
      <c r="B131" t="n">
        <v>2.82</v>
      </c>
      <c r="D131" s="2" t="n">
        <v>28764</v>
      </c>
      <c r="E131" s="1" t="n">
        <v>9.74</v>
      </c>
      <c r="G131" s="2" t="n">
        <v>13635</v>
      </c>
      <c r="H131" t="n">
        <v>-0.0736</v>
      </c>
      <c r="I131" t="n">
        <v>0.0003</v>
      </c>
    </row>
    <row r="132">
      <c r="A132" s="2" t="n">
        <v>20760</v>
      </c>
      <c r="B132" t="n">
        <v>2.82</v>
      </c>
      <c r="D132" s="2" t="n">
        <v>28795</v>
      </c>
      <c r="E132" s="1" t="n">
        <v>9.19</v>
      </c>
      <c r="G132" s="2" t="n">
        <v>13663</v>
      </c>
      <c r="H132" t="n">
        <v>-0.0083</v>
      </c>
      <c r="I132" t="n">
        <v>0.0005999999999999999</v>
      </c>
    </row>
    <row r="133">
      <c r="A133" s="2" t="n">
        <v>20790</v>
      </c>
      <c r="B133" t="n">
        <v>2.82</v>
      </c>
      <c r="D133" s="2" t="n">
        <v>28825</v>
      </c>
      <c r="E133" s="1" t="n">
        <v>8.76</v>
      </c>
      <c r="G133" s="2" t="n">
        <v>13696</v>
      </c>
      <c r="H133" t="n">
        <v>-0.0423</v>
      </c>
      <c r="I133" t="n">
        <v>0.0003</v>
      </c>
    </row>
    <row r="134">
      <c r="A134" s="2" t="n">
        <v>20821</v>
      </c>
      <c r="B134" t="n">
        <v>2.82</v>
      </c>
      <c r="D134" s="2" t="n">
        <v>28856</v>
      </c>
      <c r="E134" s="1" t="n">
        <v>8.51</v>
      </c>
      <c r="G134" s="2" t="n">
        <v>13727</v>
      </c>
      <c r="H134" t="n">
        <v>0.0891</v>
      </c>
      <c r="I134" t="n">
        <v>0.0003</v>
      </c>
    </row>
    <row r="135">
      <c r="A135" s="2" t="n">
        <v>20852</v>
      </c>
      <c r="B135" t="n">
        <v>3.07</v>
      </c>
      <c r="D135" s="2" t="n">
        <v>28887</v>
      </c>
      <c r="E135" s="1" t="n">
        <v>8.6</v>
      </c>
      <c r="G135" s="2" t="n">
        <v>13758</v>
      </c>
      <c r="H135" t="n">
        <v>-0.0488</v>
      </c>
      <c r="I135" t="n">
        <v>0.0002</v>
      </c>
    </row>
    <row r="136">
      <c r="A136" s="2" t="n">
        <v>20880</v>
      </c>
      <c r="B136" t="n">
        <v>3.07</v>
      </c>
      <c r="D136" s="2" t="n">
        <v>28915</v>
      </c>
      <c r="E136" s="1" t="n">
        <v>9.16</v>
      </c>
      <c r="G136" s="2" t="n">
        <v>13788</v>
      </c>
      <c r="H136" t="n">
        <v>-0.1362</v>
      </c>
      <c r="I136" t="n">
        <v>0.0004</v>
      </c>
    </row>
    <row r="137">
      <c r="A137" s="2" t="n">
        <v>20911</v>
      </c>
      <c r="B137" t="n">
        <v>3.07</v>
      </c>
      <c r="D137" s="2" t="n">
        <v>28946</v>
      </c>
      <c r="E137" s="1" t="n">
        <v>10.42</v>
      </c>
      <c r="G137" s="2" t="n">
        <v>13818</v>
      </c>
      <c r="H137" t="n">
        <v>-0.0959</v>
      </c>
      <c r="I137" t="n">
        <v>0.0002</v>
      </c>
    </row>
    <row r="138">
      <c r="A138" s="2" t="n">
        <v>20941</v>
      </c>
      <c r="B138" t="n">
        <v>3.07</v>
      </c>
      <c r="D138" s="2" t="n">
        <v>28976</v>
      </c>
      <c r="E138" s="1" t="n">
        <v>10.54</v>
      </c>
      <c r="G138" s="2" t="n">
        <v>13849</v>
      </c>
      <c r="H138" t="n">
        <v>-0.0833</v>
      </c>
      <c r="I138" t="n">
        <v>0.0002</v>
      </c>
    </row>
    <row r="139">
      <c r="A139" s="2" t="n">
        <v>20972</v>
      </c>
      <c r="B139" t="n">
        <v>3.07</v>
      </c>
      <c r="D139" s="2" t="n">
        <v>29007</v>
      </c>
      <c r="E139" s="1" t="n">
        <v>10.26</v>
      </c>
      <c r="G139" s="2" t="n">
        <v>13880</v>
      </c>
      <c r="H139" t="n">
        <v>-0.0429</v>
      </c>
      <c r="I139" t="n">
        <v>0</v>
      </c>
    </row>
    <row r="140">
      <c r="A140" s="2" t="n">
        <v>21002</v>
      </c>
      <c r="B140" t="n">
        <v>3.07</v>
      </c>
      <c r="D140" s="2" t="n">
        <v>29037</v>
      </c>
      <c r="E140" s="1" t="n">
        <v>9.859999999999999</v>
      </c>
      <c r="G140" s="2" t="n">
        <v>13911</v>
      </c>
      <c r="H140" t="n">
        <v>0.0048</v>
      </c>
      <c r="I140" t="n">
        <v>0</v>
      </c>
    </row>
    <row r="141">
      <c r="A141" s="2" t="n">
        <v>21033</v>
      </c>
      <c r="B141" t="n">
        <v>3.07</v>
      </c>
      <c r="D141" s="2" t="n">
        <v>29068</v>
      </c>
      <c r="E141" s="1" t="n">
        <v>9.779999999999999</v>
      </c>
      <c r="G141" s="2" t="n">
        <v>13939</v>
      </c>
      <c r="H141" t="n">
        <v>0.0585</v>
      </c>
      <c r="I141" t="n">
        <v>0</v>
      </c>
    </row>
    <row r="142">
      <c r="A142" s="2" t="n">
        <v>21064</v>
      </c>
      <c r="B142" t="n">
        <v>3.07</v>
      </c>
      <c r="D142" s="2" t="n">
        <v>29099</v>
      </c>
      <c r="E142" s="1" t="n">
        <v>9.869999999999999</v>
      </c>
      <c r="G142" s="2" t="n">
        <v>13970</v>
      </c>
      <c r="H142" t="n">
        <v>-0.2391</v>
      </c>
      <c r="I142" t="n">
        <v>-0.0001</v>
      </c>
    </row>
    <row r="143">
      <c r="A143" s="2" t="n">
        <v>21094</v>
      </c>
      <c r="B143" t="n">
        <v>3.07</v>
      </c>
      <c r="D143" s="2" t="n">
        <v>29129</v>
      </c>
      <c r="E143" s="1" t="n">
        <v>10.04</v>
      </c>
      <c r="G143" s="2" t="n">
        <v>14000</v>
      </c>
      <c r="H143" t="n">
        <v>0.1448</v>
      </c>
      <c r="I143" t="n">
        <v>0.0001</v>
      </c>
    </row>
    <row r="144">
      <c r="A144" s="2" t="n">
        <v>21125</v>
      </c>
      <c r="B144" t="n">
        <v>3.07</v>
      </c>
      <c r="D144" s="2" t="n">
        <v>29160</v>
      </c>
      <c r="E144" s="1" t="n">
        <v>10.12</v>
      </c>
      <c r="G144" s="2" t="n">
        <v>14031</v>
      </c>
      <c r="H144" t="n">
        <v>-0.0386</v>
      </c>
      <c r="I144" t="n">
        <v>0</v>
      </c>
    </row>
    <row r="145">
      <c r="A145" s="2" t="n">
        <v>21155</v>
      </c>
      <c r="B145" t="n">
        <v>3</v>
      </c>
      <c r="D145" s="2" t="n">
        <v>29190</v>
      </c>
      <c r="E145" s="1" t="n">
        <v>10.12</v>
      </c>
      <c r="G145" s="2" t="n">
        <v>14061</v>
      </c>
      <c r="H145" t="n">
        <v>0.2389</v>
      </c>
      <c r="I145" t="n">
        <v>0</v>
      </c>
    </row>
    <row r="146">
      <c r="A146" s="2" t="n">
        <v>21186</v>
      </c>
      <c r="B146" t="n">
        <v>3.07</v>
      </c>
      <c r="D146" s="2" t="n">
        <v>29221</v>
      </c>
      <c r="E146" s="1" t="n">
        <v>10.03</v>
      </c>
      <c r="G146" s="2" t="n">
        <v>14091</v>
      </c>
      <c r="H146" t="n">
        <v>0.0733</v>
      </c>
      <c r="I146" t="n">
        <v>-0.0001</v>
      </c>
    </row>
    <row r="147">
      <c r="A147" s="2" t="n">
        <v>21217</v>
      </c>
      <c r="B147" t="n">
        <v>3.07</v>
      </c>
      <c r="D147" s="2" t="n">
        <v>29252</v>
      </c>
      <c r="E147" s="1" t="n">
        <v>10.06</v>
      </c>
      <c r="G147" s="2" t="n">
        <v>14123</v>
      </c>
      <c r="H147" t="n">
        <v>-0.0268</v>
      </c>
      <c r="I147" t="n">
        <v>0</v>
      </c>
    </row>
    <row r="148">
      <c r="A148" s="2" t="n">
        <v>21245</v>
      </c>
      <c r="B148" t="n">
        <v>3.07</v>
      </c>
      <c r="D148" s="2" t="n">
        <v>29281</v>
      </c>
      <c r="E148" s="1" t="n">
        <v>11.47</v>
      </c>
      <c r="G148" s="2" t="n">
        <v>14153</v>
      </c>
      <c r="H148" t="n">
        <v>0.0083</v>
      </c>
      <c r="I148" t="n">
        <v>0.0002</v>
      </c>
    </row>
    <row r="149">
      <c r="A149" s="2" t="n">
        <v>21276</v>
      </c>
      <c r="B149" t="n">
        <v>3.07</v>
      </c>
      <c r="D149" s="2" t="n">
        <v>29312</v>
      </c>
      <c r="E149" s="1" t="n">
        <v>13.28</v>
      </c>
      <c r="G149" s="2" t="n">
        <v>14184</v>
      </c>
      <c r="H149" t="n">
        <v>0.078</v>
      </c>
      <c r="I149" t="n">
        <v>0.0001</v>
      </c>
    </row>
    <row r="150">
      <c r="A150" s="2" t="n">
        <v>21306</v>
      </c>
      <c r="B150" t="n">
        <v>3.07</v>
      </c>
      <c r="D150" s="2" t="n">
        <v>29342</v>
      </c>
      <c r="E150" s="1" t="n">
        <v>13.83</v>
      </c>
      <c r="G150" s="2" t="n">
        <v>14214</v>
      </c>
      <c r="H150" t="n">
        <v>-0.0174</v>
      </c>
      <c r="I150" t="n">
        <v>-0.0005999999999999999</v>
      </c>
    </row>
    <row r="151">
      <c r="A151" s="2" t="n">
        <v>21337</v>
      </c>
      <c r="B151" t="n">
        <v>3.07</v>
      </c>
      <c r="D151" s="2" t="n">
        <v>29373</v>
      </c>
      <c r="E151" s="1" t="n">
        <v>13.83</v>
      </c>
      <c r="G151" s="2" t="n">
        <v>14245</v>
      </c>
      <c r="H151" t="n">
        <v>0.0416</v>
      </c>
      <c r="I151" t="n">
        <v>0</v>
      </c>
    </row>
    <row r="152">
      <c r="A152" s="2" t="n">
        <v>21367</v>
      </c>
      <c r="B152" t="n">
        <v>3.07</v>
      </c>
      <c r="D152" s="2" t="n">
        <v>29403</v>
      </c>
      <c r="E152" s="1" t="n">
        <v>12.87</v>
      </c>
      <c r="G152" s="2" t="n">
        <v>14276</v>
      </c>
      <c r="H152" t="n">
        <v>-0.0597</v>
      </c>
      <c r="I152" t="n">
        <v>-0.0001</v>
      </c>
    </row>
    <row r="153">
      <c r="A153" s="2" t="n">
        <v>21398</v>
      </c>
      <c r="B153" t="n">
        <v>3.07</v>
      </c>
      <c r="D153" s="2" t="n">
        <v>29434</v>
      </c>
      <c r="E153" s="1" t="n">
        <v>12.33</v>
      </c>
      <c r="G153" s="2" t="n">
        <v>14304</v>
      </c>
      <c r="H153" t="n">
        <v>0.0351</v>
      </c>
      <c r="I153" t="n">
        <v>0.0001</v>
      </c>
    </row>
    <row r="154">
      <c r="A154" s="2" t="n">
        <v>21429</v>
      </c>
      <c r="B154" t="n">
        <v>3.07</v>
      </c>
      <c r="D154" s="2" t="n">
        <v>29465</v>
      </c>
      <c r="E154" s="1" t="n">
        <v>11.69</v>
      </c>
      <c r="G154" s="2" t="n">
        <v>14335</v>
      </c>
      <c r="H154" t="n">
        <v>-0.1203</v>
      </c>
      <c r="I154" t="n">
        <v>-0.0001</v>
      </c>
    </row>
    <row r="155">
      <c r="A155" s="2" t="n">
        <v>21459</v>
      </c>
      <c r="B155" t="n">
        <v>3.07</v>
      </c>
      <c r="D155" s="2" t="n">
        <v>29495</v>
      </c>
      <c r="E155" s="1" t="n">
        <v>11.22</v>
      </c>
      <c r="G155" s="2" t="n">
        <v>14364</v>
      </c>
      <c r="H155" t="n">
        <v>-0.0018</v>
      </c>
      <c r="I155" t="n">
        <v>0</v>
      </c>
    </row>
    <row r="156">
      <c r="A156" s="2" t="n">
        <v>21490</v>
      </c>
      <c r="B156" t="n">
        <v>3</v>
      </c>
      <c r="D156" s="2" t="n">
        <v>29526</v>
      </c>
      <c r="E156" s="1" t="n">
        <v>11.27</v>
      </c>
      <c r="G156" s="2" t="n">
        <v>14396</v>
      </c>
      <c r="H156" t="n">
        <v>0.06809999999999999</v>
      </c>
      <c r="I156" t="n">
        <v>0.0001</v>
      </c>
    </row>
    <row r="157">
      <c r="A157" s="2" t="n">
        <v>21520</v>
      </c>
      <c r="B157" t="n">
        <v>3</v>
      </c>
      <c r="D157" s="2" t="n">
        <v>29556</v>
      </c>
      <c r="E157" s="1" t="n">
        <v>12.45</v>
      </c>
      <c r="G157" s="2" t="n">
        <v>14426</v>
      </c>
      <c r="H157" t="n">
        <v>-0.0533</v>
      </c>
      <c r="I157" t="n">
        <v>0.0001</v>
      </c>
    </row>
    <row r="158">
      <c r="A158" s="2" t="n">
        <v>21551</v>
      </c>
      <c r="B158" t="n">
        <v>3</v>
      </c>
      <c r="D158" s="2" t="n">
        <v>29587</v>
      </c>
      <c r="E158" s="1" t="n">
        <v>12.61</v>
      </c>
      <c r="G158" s="2" t="n">
        <v>14457</v>
      </c>
      <c r="H158" t="n">
        <v>0.1022</v>
      </c>
      <c r="I158" t="n">
        <v>0</v>
      </c>
    </row>
    <row r="159">
      <c r="A159" s="2" t="n">
        <v>21582</v>
      </c>
      <c r="B159" t="n">
        <v>3</v>
      </c>
      <c r="D159" s="2" t="n">
        <v>29618</v>
      </c>
      <c r="E159" s="1" t="n">
        <v>13.36</v>
      </c>
      <c r="G159" s="2" t="n">
        <v>14488</v>
      </c>
      <c r="H159" t="n">
        <v>-0.0668</v>
      </c>
      <c r="I159" t="n">
        <v>-0.0001</v>
      </c>
    </row>
    <row r="160">
      <c r="A160" s="2" t="n">
        <v>21610</v>
      </c>
      <c r="B160" t="n">
        <v>2.97</v>
      </c>
      <c r="D160" s="2" t="n">
        <v>29646</v>
      </c>
      <c r="E160" s="1" t="n">
        <v>14.63</v>
      </c>
      <c r="G160" s="2" t="n">
        <v>14518</v>
      </c>
      <c r="H160" t="n">
        <v>0.1689</v>
      </c>
      <c r="I160" t="n">
        <v>0.0001</v>
      </c>
    </row>
    <row r="161">
      <c r="A161" s="2" t="n">
        <v>21641</v>
      </c>
      <c r="B161" t="n">
        <v>2.97</v>
      </c>
      <c r="D161" s="2" t="n">
        <v>29677</v>
      </c>
      <c r="E161" s="1" t="n">
        <v>16.69</v>
      </c>
      <c r="G161" s="2" t="n">
        <v>14549</v>
      </c>
      <c r="H161" t="n">
        <v>-0.0053</v>
      </c>
      <c r="I161" t="n">
        <v>0</v>
      </c>
    </row>
    <row r="162">
      <c r="A162" s="2" t="n">
        <v>21671</v>
      </c>
      <c r="B162" t="n">
        <v>2.97</v>
      </c>
      <c r="D162" s="2" t="n">
        <v>29707</v>
      </c>
      <c r="E162" s="1" t="n">
        <v>16.28</v>
      </c>
      <c r="G162" s="2" t="n">
        <v>14579</v>
      </c>
      <c r="H162" t="n">
        <v>-0.0365</v>
      </c>
      <c r="I162" t="n">
        <v>0</v>
      </c>
    </row>
    <row r="163">
      <c r="A163" s="2" t="n">
        <v>21702</v>
      </c>
      <c r="B163" t="n">
        <v>2.97</v>
      </c>
      <c r="D163" s="2" t="n">
        <v>29738</v>
      </c>
      <c r="E163" s="1" t="n">
        <v>15.58</v>
      </c>
      <c r="G163" s="2" t="n">
        <v>14609</v>
      </c>
      <c r="H163" t="n">
        <v>0.0293</v>
      </c>
      <c r="I163" t="n">
        <v>0</v>
      </c>
    </row>
    <row r="164">
      <c r="A164" s="2" t="n">
        <v>21732</v>
      </c>
      <c r="B164" t="n">
        <v>2.97</v>
      </c>
      <c r="D164" s="2" t="n">
        <v>29768</v>
      </c>
      <c r="E164" s="1" t="n">
        <v>15.39</v>
      </c>
      <c r="G164" s="2" t="n">
        <v>14641</v>
      </c>
      <c r="H164" t="n">
        <v>-0.0241</v>
      </c>
      <c r="I164" t="n">
        <v>0</v>
      </c>
    </row>
    <row r="165">
      <c r="A165" s="2" t="n">
        <v>21763</v>
      </c>
      <c r="B165" t="n">
        <v>2.97</v>
      </c>
      <c r="D165" s="2" t="n">
        <v>29799</v>
      </c>
      <c r="E165" s="1" t="n">
        <v>15.72</v>
      </c>
      <c r="G165" s="2" t="n">
        <v>14670</v>
      </c>
      <c r="H165" t="n">
        <v>0.0144</v>
      </c>
      <c r="I165" t="n">
        <v>0</v>
      </c>
    </row>
    <row r="166">
      <c r="A166" s="2" t="n">
        <v>21794</v>
      </c>
      <c r="B166" t="n">
        <v>2.97</v>
      </c>
      <c r="D166" s="2" t="n">
        <v>29830</v>
      </c>
      <c r="E166" s="1" t="n">
        <v>15.35</v>
      </c>
      <c r="G166" s="2" t="n">
        <v>14700</v>
      </c>
      <c r="H166" t="n">
        <v>0.0205</v>
      </c>
      <c r="I166" t="n">
        <v>0</v>
      </c>
    </row>
    <row r="167">
      <c r="A167" s="2" t="n">
        <v>21824</v>
      </c>
      <c r="B167" t="n">
        <v>2.97</v>
      </c>
      <c r="D167" s="2" t="n">
        <v>29860</v>
      </c>
      <c r="E167" s="1" t="n">
        <v>14.69</v>
      </c>
      <c r="G167" s="2" t="n">
        <v>14731</v>
      </c>
      <c r="H167" t="n">
        <v>0.0022</v>
      </c>
      <c r="I167" t="n">
        <v>0</v>
      </c>
    </row>
    <row r="168">
      <c r="A168" s="2" t="n">
        <v>21855</v>
      </c>
      <c r="B168" t="n">
        <v>2.97</v>
      </c>
      <c r="D168" s="2" t="n">
        <v>29891</v>
      </c>
      <c r="E168" s="1" t="n">
        <v>14.62</v>
      </c>
      <c r="G168" s="2" t="n">
        <v>14762</v>
      </c>
      <c r="H168" t="n">
        <v>-0.22</v>
      </c>
      <c r="I168" t="n">
        <v>-0.0002</v>
      </c>
    </row>
    <row r="169">
      <c r="A169" s="2" t="n">
        <v>21885</v>
      </c>
      <c r="B169" t="n">
        <v>2.97</v>
      </c>
      <c r="D169" s="2" t="n">
        <v>29921</v>
      </c>
      <c r="E169" s="1" t="n">
        <v>15.54</v>
      </c>
      <c r="G169" s="2" t="n">
        <v>14791</v>
      </c>
      <c r="H169" t="n">
        <v>0.0669</v>
      </c>
      <c r="I169" t="n">
        <v>0</v>
      </c>
    </row>
    <row r="170">
      <c r="A170" s="2" t="n">
        <v>21916</v>
      </c>
      <c r="B170" t="n">
        <v>2.97</v>
      </c>
      <c r="D170" s="2" t="n">
        <v>29952</v>
      </c>
      <c r="E170" s="1" t="n">
        <v>16.21</v>
      </c>
      <c r="G170" s="2" t="n">
        <v>14823</v>
      </c>
      <c r="H170" t="n">
        <v>0.0317</v>
      </c>
      <c r="I170" t="n">
        <v>0.0001</v>
      </c>
    </row>
    <row r="171">
      <c r="A171" s="2" t="n">
        <v>21947</v>
      </c>
      <c r="B171" t="n">
        <v>2.97</v>
      </c>
      <c r="D171" s="2" t="n">
        <v>29983</v>
      </c>
      <c r="E171" s="1" t="n">
        <v>17.12</v>
      </c>
      <c r="G171" s="2" t="n">
        <v>14854</v>
      </c>
      <c r="H171" t="n">
        <v>0.0221</v>
      </c>
      <c r="I171" t="n">
        <v>-0.0001</v>
      </c>
    </row>
    <row r="172">
      <c r="A172" s="2" t="n">
        <v>21976</v>
      </c>
      <c r="B172" t="n">
        <v>2.97</v>
      </c>
      <c r="D172" s="2" t="n">
        <v>30011</v>
      </c>
      <c r="E172" s="1" t="n">
        <v>18.89</v>
      </c>
      <c r="G172" s="2" t="n">
        <v>14884</v>
      </c>
      <c r="H172" t="n">
        <v>0.0239</v>
      </c>
      <c r="I172" t="n">
        <v>0</v>
      </c>
    </row>
    <row r="173">
      <c r="A173" s="2" t="n">
        <v>22007</v>
      </c>
      <c r="B173" t="n">
        <v>2.97</v>
      </c>
      <c r="D173" s="2" t="n">
        <v>30042</v>
      </c>
      <c r="E173" s="1" t="n">
        <v>21.39</v>
      </c>
      <c r="G173" s="2" t="n">
        <v>14915</v>
      </c>
      <c r="H173" t="n">
        <v>0.0303</v>
      </c>
      <c r="I173" t="n">
        <v>0</v>
      </c>
    </row>
    <row r="174">
      <c r="A174" s="2" t="n">
        <v>22037</v>
      </c>
      <c r="B174" t="n">
        <v>2.97</v>
      </c>
      <c r="D174" s="2" t="n">
        <v>30072</v>
      </c>
      <c r="E174" s="1" t="n">
        <v>18.45</v>
      </c>
      <c r="G174" s="2" t="n">
        <v>14945</v>
      </c>
      <c r="H174" t="n">
        <v>-0.0165</v>
      </c>
      <c r="I174" t="n">
        <v>0</v>
      </c>
    </row>
    <row r="175">
      <c r="A175" s="2" t="n">
        <v>22068</v>
      </c>
      <c r="B175" t="n">
        <v>2.97</v>
      </c>
      <c r="D175" s="2" t="n">
        <v>30103</v>
      </c>
      <c r="E175" s="1" t="n">
        <v>18.57</v>
      </c>
      <c r="G175" s="2" t="n">
        <v>14976</v>
      </c>
      <c r="H175" t="n">
        <v>0.0069</v>
      </c>
      <c r="I175" t="n">
        <v>0</v>
      </c>
    </row>
    <row r="176">
      <c r="A176" s="2" t="n">
        <v>22098</v>
      </c>
      <c r="B176" t="n">
        <v>2.97</v>
      </c>
      <c r="D176" s="2" t="n">
        <v>30133</v>
      </c>
      <c r="E176" s="1" t="n">
        <v>17.29</v>
      </c>
      <c r="G176" s="2" t="n">
        <v>15007</v>
      </c>
      <c r="H176" t="n">
        <v>-0.0418</v>
      </c>
      <c r="I176" t="n">
        <v>-0.0001</v>
      </c>
    </row>
    <row r="177">
      <c r="A177" s="2" t="n">
        <v>22129</v>
      </c>
      <c r="B177" t="n">
        <v>2.97</v>
      </c>
      <c r="D177" s="2" t="n">
        <v>30164</v>
      </c>
      <c r="E177" s="1" t="n">
        <v>17.17</v>
      </c>
      <c r="G177" s="2" t="n">
        <v>15035</v>
      </c>
      <c r="H177" t="n">
        <v>-0.0143</v>
      </c>
      <c r="I177" t="n">
        <v>-0.0001</v>
      </c>
    </row>
    <row r="178">
      <c r="A178" s="2" t="n">
        <v>22160</v>
      </c>
      <c r="B178" t="n">
        <v>2.97</v>
      </c>
      <c r="D178" s="2" t="n">
        <v>30195</v>
      </c>
      <c r="E178" s="1" t="n">
        <v>15.46</v>
      </c>
      <c r="G178" s="2" t="n">
        <v>15066</v>
      </c>
      <c r="H178" t="n">
        <v>0.008399999999999999</v>
      </c>
      <c r="I178" t="n">
        <v>0.0001</v>
      </c>
    </row>
    <row r="179">
      <c r="A179" s="2" t="n">
        <v>22190</v>
      </c>
      <c r="B179" t="n">
        <v>2.97</v>
      </c>
      <c r="D179" s="2" t="n">
        <v>30225</v>
      </c>
      <c r="E179" s="1" t="n">
        <v>14.57</v>
      </c>
      <c r="G179" s="2" t="n">
        <v>15096</v>
      </c>
      <c r="H179" t="n">
        <v>-0.0546</v>
      </c>
      <c r="I179" t="n">
        <v>-0.0001</v>
      </c>
    </row>
    <row r="180">
      <c r="A180" s="2" t="n">
        <v>22221</v>
      </c>
      <c r="B180" t="n">
        <v>2.97</v>
      </c>
      <c r="D180" s="2" t="n">
        <v>30256</v>
      </c>
      <c r="E180" s="1" t="n">
        <v>14.76</v>
      </c>
      <c r="G180" s="2" t="n">
        <v>15127</v>
      </c>
      <c r="H180" t="n">
        <v>0.0137</v>
      </c>
      <c r="I180" t="n">
        <v>0</v>
      </c>
    </row>
    <row r="181">
      <c r="A181" s="2" t="n">
        <v>22251</v>
      </c>
      <c r="B181" t="n">
        <v>2.97</v>
      </c>
      <c r="D181" s="2" t="n">
        <v>30286</v>
      </c>
      <c r="E181" s="1" t="n">
        <v>12.13</v>
      </c>
      <c r="G181" s="2" t="n">
        <v>15157</v>
      </c>
      <c r="H181" t="n">
        <v>0.0583</v>
      </c>
      <c r="I181" t="n">
        <v>0</v>
      </c>
    </row>
    <row r="182">
      <c r="A182" s="2" t="n">
        <v>22282</v>
      </c>
      <c r="B182" t="n">
        <v>2.97</v>
      </c>
      <c r="D182" s="2" t="n">
        <v>30317</v>
      </c>
      <c r="E182" s="1" t="n">
        <v>10.65</v>
      </c>
      <c r="G182" s="2" t="n">
        <v>15188</v>
      </c>
      <c r="H182" t="n">
        <v>0.0587</v>
      </c>
      <c r="I182" t="n">
        <v>0.0003</v>
      </c>
    </row>
    <row r="183">
      <c r="A183" s="2" t="n">
        <v>22313</v>
      </c>
      <c r="B183" t="n">
        <v>2.97</v>
      </c>
      <c r="D183" s="2" t="n">
        <v>30348</v>
      </c>
      <c r="E183" s="1" t="n">
        <v>13.77</v>
      </c>
      <c r="G183" s="2" t="n">
        <v>15218</v>
      </c>
      <c r="H183" t="n">
        <v>-0.0017</v>
      </c>
      <c r="I183" t="n">
        <v>0.0001</v>
      </c>
    </row>
    <row r="184">
      <c r="A184" s="2" t="n">
        <v>22341</v>
      </c>
      <c r="B184" t="n">
        <v>2.97</v>
      </c>
      <c r="D184" s="2" t="n">
        <v>30376</v>
      </c>
      <c r="E184" s="1" t="n">
        <v>15.26</v>
      </c>
      <c r="G184" s="2" t="n">
        <v>15249</v>
      </c>
      <c r="H184" t="n">
        <v>-0.008800000000000001</v>
      </c>
      <c r="I184" t="n">
        <v>0.0001</v>
      </c>
    </row>
    <row r="185">
      <c r="A185" s="2" t="n">
        <v>22372</v>
      </c>
      <c r="B185" t="n">
        <v>2.97</v>
      </c>
      <c r="D185" s="2" t="n">
        <v>30407</v>
      </c>
      <c r="E185" s="1" t="n">
        <v>13.92</v>
      </c>
      <c r="G185" s="2" t="n">
        <v>15280</v>
      </c>
      <c r="H185" t="n">
        <v>-0.0526</v>
      </c>
      <c r="I185" t="n">
        <v>0</v>
      </c>
    </row>
    <row r="186">
      <c r="A186" s="2" t="n">
        <v>22402</v>
      </c>
      <c r="B186" t="n">
        <v>2.97</v>
      </c>
      <c r="D186" s="2" t="n">
        <v>30437</v>
      </c>
      <c r="E186" s="1" t="n">
        <v>12.15</v>
      </c>
      <c r="G186" s="2" t="n">
        <v>15309</v>
      </c>
      <c r="H186" t="n">
        <v>-0.0195</v>
      </c>
      <c r="I186" t="n">
        <v>0</v>
      </c>
    </row>
    <row r="187">
      <c r="A187" s="2" t="n">
        <v>22433</v>
      </c>
      <c r="B187" t="n">
        <v>2.97</v>
      </c>
      <c r="D187" s="2" t="n">
        <v>30468</v>
      </c>
      <c r="E187" s="1" t="n">
        <v>14.24</v>
      </c>
      <c r="G187" s="2" t="n">
        <v>15341</v>
      </c>
      <c r="H187" t="n">
        <v>-0.0488</v>
      </c>
      <c r="I187" t="n">
        <v>0.0001</v>
      </c>
    </row>
    <row r="188">
      <c r="A188" s="2" t="n">
        <v>22463</v>
      </c>
      <c r="B188" t="n">
        <v>2.97</v>
      </c>
      <c r="D188" s="2" t="n">
        <v>30498</v>
      </c>
      <c r="E188" s="1" t="n">
        <v>12.8</v>
      </c>
      <c r="G188" s="2" t="n">
        <v>15372</v>
      </c>
      <c r="H188" t="n">
        <v>0.007900000000000001</v>
      </c>
      <c r="I188" t="n">
        <v>0.0002</v>
      </c>
    </row>
    <row r="189">
      <c r="A189" s="2" t="n">
        <v>22494</v>
      </c>
      <c r="B189" t="n">
        <v>2.97</v>
      </c>
      <c r="D189" s="2" t="n">
        <v>30529</v>
      </c>
      <c r="E189" s="1" t="n">
        <v>12.16</v>
      </c>
      <c r="G189" s="2" t="n">
        <v>15400</v>
      </c>
      <c r="H189" t="n">
        <v>-0.0246</v>
      </c>
      <c r="I189" t="n">
        <v>0.0001</v>
      </c>
    </row>
    <row r="190">
      <c r="A190" s="2" t="n">
        <v>22525</v>
      </c>
      <c r="B190" t="n">
        <v>2.97</v>
      </c>
      <c r="D190" s="2" t="n">
        <v>30560</v>
      </c>
      <c r="E190" s="1" t="n">
        <v>11.06</v>
      </c>
      <c r="G190" s="2" t="n">
        <v>15431</v>
      </c>
      <c r="H190" t="n">
        <v>-0.066</v>
      </c>
      <c r="I190" t="n">
        <v>0.0001</v>
      </c>
    </row>
    <row r="191">
      <c r="A191" s="2" t="n">
        <v>22555</v>
      </c>
      <c r="B191" t="n">
        <v>2.97</v>
      </c>
      <c r="D191" s="2" t="n">
        <v>30590</v>
      </c>
      <c r="E191" s="1" t="n">
        <v>10.94</v>
      </c>
      <c r="G191" s="2" t="n">
        <v>15461</v>
      </c>
      <c r="H191" t="n">
        <v>-0.0437</v>
      </c>
      <c r="I191" t="n">
        <v>0.0001</v>
      </c>
    </row>
    <row r="192">
      <c r="A192" s="2" t="n">
        <v>22586</v>
      </c>
      <c r="B192" t="n">
        <v>2.97</v>
      </c>
      <c r="D192" s="2" t="n">
        <v>30621</v>
      </c>
      <c r="E192" s="1" t="n">
        <v>10.55</v>
      </c>
      <c r="G192" s="2" t="n">
        <v>15490</v>
      </c>
      <c r="H192" t="n">
        <v>0.0596</v>
      </c>
      <c r="I192" t="n">
        <v>0.0003</v>
      </c>
    </row>
    <row r="193">
      <c r="A193" s="2" t="n">
        <v>22616</v>
      </c>
      <c r="B193" t="n">
        <v>2.97</v>
      </c>
      <c r="D193" s="2" t="n">
        <v>30651</v>
      </c>
      <c r="E193" s="1" t="n">
        <v>8.890000000000001</v>
      </c>
      <c r="G193" s="2" t="n">
        <v>15522</v>
      </c>
      <c r="H193" t="n">
        <v>0.0268</v>
      </c>
      <c r="I193" t="n">
        <v>0.0002</v>
      </c>
    </row>
    <row r="194">
      <c r="A194" s="2" t="n">
        <v>22647</v>
      </c>
      <c r="B194" t="n">
        <v>2.97</v>
      </c>
      <c r="D194" s="2" t="n">
        <v>30682</v>
      </c>
      <c r="E194" s="1" t="n">
        <v>9.76</v>
      </c>
      <c r="G194" s="2" t="n">
        <v>15553</v>
      </c>
      <c r="H194" t="n">
        <v>0.0351</v>
      </c>
      <c r="I194" t="n">
        <v>0.0003</v>
      </c>
    </row>
    <row r="195">
      <c r="A195" s="2" t="n">
        <v>22678</v>
      </c>
      <c r="B195" t="n">
        <v>2.97</v>
      </c>
      <c r="D195" s="2" t="n">
        <v>30713</v>
      </c>
      <c r="E195" s="1" t="n">
        <v>12.04</v>
      </c>
      <c r="G195" s="2" t="n">
        <v>15584</v>
      </c>
      <c r="H195" t="n">
        <v>0.018</v>
      </c>
      <c r="I195" t="n">
        <v>0.0003</v>
      </c>
    </row>
    <row r="196">
      <c r="A196" s="2" t="n">
        <v>22706</v>
      </c>
      <c r="B196" t="n">
        <v>2.97</v>
      </c>
      <c r="D196" s="2" t="n">
        <v>30742</v>
      </c>
      <c r="E196" s="1" t="n">
        <v>13.77</v>
      </c>
      <c r="G196" s="2" t="n">
        <v>15614</v>
      </c>
      <c r="H196" t="n">
        <v>0.0262</v>
      </c>
      <c r="I196" t="n">
        <v>0.0003</v>
      </c>
    </row>
    <row r="197">
      <c r="A197" s="2" t="n">
        <v>22737</v>
      </c>
      <c r="B197" t="n">
        <v>2.97</v>
      </c>
      <c r="D197" s="2" t="n">
        <v>30773</v>
      </c>
      <c r="E197" s="1" t="n">
        <v>13.88</v>
      </c>
      <c r="G197" s="2" t="n">
        <v>15645</v>
      </c>
      <c r="H197" t="n">
        <v>0.0682</v>
      </c>
      <c r="I197" t="n">
        <v>0.0003</v>
      </c>
    </row>
    <row r="198">
      <c r="A198" s="2" t="n">
        <v>22767</v>
      </c>
      <c r="B198" t="n">
        <v>2.97</v>
      </c>
      <c r="D198" s="2" t="n">
        <v>30803</v>
      </c>
      <c r="E198" s="1" t="n">
        <v>13.78</v>
      </c>
      <c r="G198" s="2" t="n">
        <v>15675</v>
      </c>
      <c r="H198" t="n">
        <v>0.0013</v>
      </c>
      <c r="I198" t="n">
        <v>0.0003</v>
      </c>
    </row>
    <row r="199">
      <c r="A199" s="2" t="n">
        <v>22798</v>
      </c>
      <c r="B199" t="n">
        <v>2.97</v>
      </c>
      <c r="D199" s="2" t="n">
        <v>30834</v>
      </c>
      <c r="E199" s="1" t="n">
        <v>12.81</v>
      </c>
      <c r="G199" s="2" t="n">
        <v>15706</v>
      </c>
      <c r="H199" t="n">
        <v>0.0514</v>
      </c>
      <c r="I199" t="n">
        <v>0.0003</v>
      </c>
    </row>
    <row r="200">
      <c r="A200" s="2" t="n">
        <v>22828</v>
      </c>
      <c r="B200" t="n">
        <v>2.97</v>
      </c>
      <c r="D200" s="2" t="n">
        <v>30864</v>
      </c>
      <c r="E200" s="1" t="n">
        <v>12.3</v>
      </c>
      <c r="G200" s="2" t="n">
        <v>15736</v>
      </c>
      <c r="H200" t="n">
        <v>0.0713</v>
      </c>
      <c r="I200" t="n">
        <v>0.0003</v>
      </c>
    </row>
    <row r="201">
      <c r="A201" s="2" t="n">
        <v>22859</v>
      </c>
      <c r="B201" t="n">
        <v>2.97</v>
      </c>
      <c r="D201" s="2" t="n">
        <v>30895</v>
      </c>
      <c r="E201" s="1" t="n">
        <v>11.56</v>
      </c>
      <c r="G201" s="2" t="n">
        <v>15764</v>
      </c>
      <c r="H201" t="n">
        <v>0.0616</v>
      </c>
      <c r="I201" t="n">
        <v>0.0003</v>
      </c>
    </row>
    <row r="202">
      <c r="A202" s="2" t="n">
        <v>22890</v>
      </c>
      <c r="B202" t="n">
        <v>2.97</v>
      </c>
      <c r="D202" s="2" t="n">
        <v>30926</v>
      </c>
      <c r="E202" s="1" t="n">
        <v>10.53</v>
      </c>
      <c r="G202" s="2" t="n">
        <v>15796</v>
      </c>
      <c r="H202" t="n">
        <v>0.0603</v>
      </c>
      <c r="I202" t="n">
        <v>0.0003</v>
      </c>
    </row>
    <row r="203">
      <c r="A203" s="2" t="n">
        <v>22920</v>
      </c>
      <c r="B203" t="n">
        <v>2.97</v>
      </c>
      <c r="D203" s="2" t="n">
        <v>30956</v>
      </c>
      <c r="E203" s="1" t="n">
        <v>11.17</v>
      </c>
      <c r="G203" s="2" t="n">
        <v>15826</v>
      </c>
      <c r="H203" t="n">
        <v>0.0081</v>
      </c>
      <c r="I203" t="n">
        <v>0.0003</v>
      </c>
    </row>
    <row r="204">
      <c r="A204" s="2" t="n">
        <v>22951</v>
      </c>
      <c r="B204" t="n">
        <v>2.97</v>
      </c>
      <c r="D204" s="2" t="n">
        <v>30987</v>
      </c>
      <c r="E204" s="1" t="n">
        <v>11.26</v>
      </c>
      <c r="G204" s="2" t="n">
        <v>15855</v>
      </c>
      <c r="H204" t="n">
        <v>0.0575</v>
      </c>
      <c r="I204" t="n">
        <v>0.0002</v>
      </c>
    </row>
    <row r="205">
      <c r="A205" s="2" t="n">
        <v>22981</v>
      </c>
      <c r="B205" t="n">
        <v>2.97</v>
      </c>
      <c r="D205" s="2" t="n">
        <v>31017</v>
      </c>
      <c r="E205" s="1" t="n">
        <v>12.34</v>
      </c>
      <c r="G205" s="2" t="n">
        <v>15887</v>
      </c>
      <c r="H205" t="n">
        <v>0.0182</v>
      </c>
      <c r="I205" t="n">
        <v>0.0003</v>
      </c>
    </row>
    <row r="206">
      <c r="A206" s="2" t="n">
        <v>23012</v>
      </c>
      <c r="B206" t="n">
        <v>2.97</v>
      </c>
      <c r="D206" s="2" t="n">
        <v>31048</v>
      </c>
      <c r="E206" s="1" t="n">
        <v>13.35</v>
      </c>
      <c r="G206" s="2" t="n">
        <v>15918</v>
      </c>
      <c r="H206" t="n">
        <v>-0.0478</v>
      </c>
      <c r="I206" t="n">
        <v>0.0003</v>
      </c>
    </row>
    <row r="207">
      <c r="A207" s="2" t="n">
        <v>23043</v>
      </c>
      <c r="B207" t="n">
        <v>2.97</v>
      </c>
      <c r="D207" s="2" t="n">
        <v>31079</v>
      </c>
      <c r="E207" s="1" t="n">
        <v>13.81</v>
      </c>
      <c r="G207" s="2" t="n">
        <v>15949</v>
      </c>
      <c r="H207" t="n">
        <v>0.013</v>
      </c>
      <c r="I207" t="n">
        <v>0.0003</v>
      </c>
    </row>
    <row r="208">
      <c r="A208" s="2" t="n">
        <v>23071</v>
      </c>
      <c r="B208" t="n">
        <v>2.97</v>
      </c>
      <c r="D208" s="2" t="n">
        <v>31107</v>
      </c>
      <c r="E208" s="1" t="n">
        <v>15.29</v>
      </c>
      <c r="G208" s="2" t="n">
        <v>15979</v>
      </c>
      <c r="H208" t="n">
        <v>0.024</v>
      </c>
      <c r="I208" t="n">
        <v>0.0003</v>
      </c>
    </row>
    <row r="209">
      <c r="A209" s="2" t="n">
        <v>23102</v>
      </c>
      <c r="B209" t="n">
        <v>2.97</v>
      </c>
      <c r="D209" s="2" t="n">
        <v>31138</v>
      </c>
      <c r="E209" s="1" t="n">
        <v>15.79</v>
      </c>
      <c r="G209" s="2" t="n">
        <v>16009</v>
      </c>
      <c r="H209" t="n">
        <v>-0.0115</v>
      </c>
      <c r="I209" t="n">
        <v>0.0003</v>
      </c>
    </row>
    <row r="210">
      <c r="A210" s="2" t="n">
        <v>23132</v>
      </c>
      <c r="B210" t="n">
        <v>2.97</v>
      </c>
      <c r="D210" s="2" t="n">
        <v>31168</v>
      </c>
      <c r="E210" s="1" t="n">
        <v>15.53</v>
      </c>
      <c r="G210" s="2" t="n">
        <v>16040</v>
      </c>
      <c r="H210" t="n">
        <v>-0.0593</v>
      </c>
      <c r="I210" t="n">
        <v>0.0003</v>
      </c>
    </row>
    <row r="211">
      <c r="A211" s="2" t="n">
        <v>23163</v>
      </c>
      <c r="B211" t="n">
        <v>2.97</v>
      </c>
      <c r="D211" s="2" t="n">
        <v>31199</v>
      </c>
      <c r="E211" s="1" t="n">
        <v>15.75</v>
      </c>
      <c r="G211" s="2" t="n">
        <v>16071</v>
      </c>
      <c r="H211" t="n">
        <v>0.06370000000000001</v>
      </c>
      <c r="I211" t="n">
        <v>0.0003</v>
      </c>
    </row>
    <row r="212">
      <c r="A212" s="2" t="n">
        <v>23193</v>
      </c>
      <c r="B212" t="n">
        <v>2.97</v>
      </c>
      <c r="D212" s="2" t="n">
        <v>31229</v>
      </c>
      <c r="E212" s="1" t="n">
        <v>15.14</v>
      </c>
      <c r="G212" s="2" t="n">
        <v>16102</v>
      </c>
      <c r="H212" t="n">
        <v>0.0174</v>
      </c>
      <c r="I212" t="n">
        <v>0.0003</v>
      </c>
    </row>
    <row r="213">
      <c r="A213" s="2" t="n">
        <v>23224</v>
      </c>
      <c r="B213" t="n">
        <v>2.97</v>
      </c>
      <c r="D213" s="2" t="n">
        <v>31260</v>
      </c>
      <c r="E213" s="1" t="n">
        <v>16.25</v>
      </c>
      <c r="G213" s="2" t="n">
        <v>16131</v>
      </c>
      <c r="H213" t="n">
        <v>0.0037</v>
      </c>
      <c r="I213" t="n">
        <v>0.0003</v>
      </c>
    </row>
    <row r="214">
      <c r="A214" s="2" t="n">
        <v>23255</v>
      </c>
      <c r="B214" t="n">
        <v>2.97</v>
      </c>
      <c r="D214" s="2" t="n">
        <v>31291</v>
      </c>
      <c r="E214" s="1" t="n">
        <v>16.78</v>
      </c>
      <c r="G214" s="2" t="n">
        <v>16162</v>
      </c>
      <c r="H214" t="n">
        <v>0.0246</v>
      </c>
      <c r="I214" t="n">
        <v>0.0002</v>
      </c>
    </row>
    <row r="215">
      <c r="A215" s="2" t="n">
        <v>23285</v>
      </c>
      <c r="B215" t="n">
        <v>2.97</v>
      </c>
      <c r="D215" s="2" t="n">
        <v>31321</v>
      </c>
      <c r="E215" s="1" t="n">
        <v>16.36</v>
      </c>
      <c r="G215" s="2" t="n">
        <v>16191</v>
      </c>
      <c r="H215" t="n">
        <v>-0.0169</v>
      </c>
      <c r="I215" t="n">
        <v>0.0003</v>
      </c>
    </row>
    <row r="216">
      <c r="A216" s="2" t="n">
        <v>23316</v>
      </c>
      <c r="B216" t="n">
        <v>2.97</v>
      </c>
      <c r="D216" s="2" t="n">
        <v>31352</v>
      </c>
      <c r="E216" s="1" t="n">
        <v>18.18</v>
      </c>
      <c r="G216" s="2" t="n">
        <v>16223</v>
      </c>
      <c r="H216" t="n">
        <v>0.0508</v>
      </c>
      <c r="I216" t="n">
        <v>0.0003</v>
      </c>
    </row>
    <row r="217">
      <c r="A217" s="2" t="n">
        <v>23346</v>
      </c>
      <c r="B217" t="n">
        <v>2.97</v>
      </c>
      <c r="D217" s="2" t="n">
        <v>31382</v>
      </c>
      <c r="E217" s="1" t="n">
        <v>19.56</v>
      </c>
      <c r="G217" s="2" t="n">
        <v>16253</v>
      </c>
      <c r="H217" t="n">
        <v>0.0551</v>
      </c>
      <c r="I217" t="n">
        <v>0.0003</v>
      </c>
    </row>
    <row r="218">
      <c r="A218" s="2" t="n">
        <v>23377</v>
      </c>
      <c r="B218" t="n">
        <v>2.97</v>
      </c>
      <c r="D218" s="2" t="n">
        <v>31413</v>
      </c>
      <c r="E218" s="1" t="n">
        <v>18.97</v>
      </c>
      <c r="G218" s="2" t="n">
        <v>16284</v>
      </c>
      <c r="H218" t="n">
        <v>-0.0149</v>
      </c>
      <c r="I218" t="n">
        <v>0.0003</v>
      </c>
    </row>
    <row r="219">
      <c r="A219" s="2" t="n">
        <v>23408</v>
      </c>
      <c r="B219" t="n">
        <v>2.97</v>
      </c>
      <c r="D219" s="2" t="n">
        <v>31444</v>
      </c>
      <c r="E219" s="1" t="n">
        <v>18.29</v>
      </c>
      <c r="G219" s="2" t="n">
        <v>16315</v>
      </c>
      <c r="H219" t="n">
        <v>0.0156</v>
      </c>
      <c r="I219" t="n">
        <v>0.0003</v>
      </c>
    </row>
    <row r="220">
      <c r="A220" s="2" t="n">
        <v>23437</v>
      </c>
      <c r="B220" t="n">
        <v>2.97</v>
      </c>
      <c r="D220" s="2" t="n">
        <v>31472</v>
      </c>
      <c r="E220" s="1" t="n">
        <v>16.44</v>
      </c>
      <c r="G220" s="2" t="n">
        <v>16345</v>
      </c>
      <c r="H220" t="n">
        <v>0.0002</v>
      </c>
      <c r="I220" t="n">
        <v>0.0002</v>
      </c>
    </row>
    <row r="221">
      <c r="A221" s="2" t="n">
        <v>23468</v>
      </c>
      <c r="B221" t="n">
        <v>2.97</v>
      </c>
      <c r="D221" s="2" t="n">
        <v>31503</v>
      </c>
      <c r="E221" s="1" t="n">
        <v>15.76</v>
      </c>
      <c r="G221" s="2" t="n">
        <v>16376</v>
      </c>
      <c r="H221" t="n">
        <v>0.0016</v>
      </c>
      <c r="I221" t="n">
        <v>0.0003</v>
      </c>
    </row>
    <row r="222">
      <c r="A222" s="2" t="n">
        <v>23498</v>
      </c>
      <c r="B222" t="n">
        <v>2.97</v>
      </c>
      <c r="D222" s="2" t="n">
        <v>31533</v>
      </c>
      <c r="E222" s="1" t="n">
        <v>14.73</v>
      </c>
      <c r="G222" s="2" t="n">
        <v>16406</v>
      </c>
      <c r="H222" t="n">
        <v>0.0171</v>
      </c>
      <c r="I222" t="n">
        <v>0.0003</v>
      </c>
    </row>
    <row r="223">
      <c r="A223" s="2" t="n">
        <v>23529</v>
      </c>
      <c r="B223" t="n">
        <v>2.97</v>
      </c>
      <c r="D223" s="2" t="n">
        <v>31564</v>
      </c>
      <c r="E223" s="1" t="n">
        <v>14.68</v>
      </c>
      <c r="G223" s="2" t="n">
        <v>16436</v>
      </c>
      <c r="H223" t="n">
        <v>0.0404</v>
      </c>
      <c r="I223" t="n">
        <v>0.0002</v>
      </c>
    </row>
    <row r="224">
      <c r="A224" s="2" t="n">
        <v>23559</v>
      </c>
      <c r="B224" t="n">
        <v>2.92</v>
      </c>
      <c r="D224" s="2" t="n">
        <v>31594</v>
      </c>
      <c r="E224" s="1" t="n">
        <v>14.85</v>
      </c>
      <c r="G224" s="2" t="n">
        <v>16468</v>
      </c>
      <c r="H224" t="n">
        <v>0.0201</v>
      </c>
      <c r="I224" t="n">
        <v>0.0003</v>
      </c>
    </row>
    <row r="225">
      <c r="A225" s="2" t="n">
        <v>23590</v>
      </c>
      <c r="B225" t="n">
        <v>2.92</v>
      </c>
      <c r="D225" s="2" t="n">
        <v>31625</v>
      </c>
      <c r="E225" s="1" t="n">
        <v>17.37</v>
      </c>
      <c r="G225" s="2" t="n">
        <v>16496</v>
      </c>
      <c r="H225" t="n">
        <v>0.0623</v>
      </c>
      <c r="I225" t="n">
        <v>0.0002</v>
      </c>
    </row>
    <row r="226">
      <c r="A226" s="2" t="n">
        <v>23621</v>
      </c>
      <c r="B226" t="n">
        <v>2.92</v>
      </c>
      <c r="D226" s="2" t="n">
        <v>31656</v>
      </c>
      <c r="E226" s="1" t="n">
        <v>18.08</v>
      </c>
      <c r="G226" s="2" t="n">
        <v>16527</v>
      </c>
      <c r="H226" t="n">
        <v>-0.0391</v>
      </c>
      <c r="I226" t="n">
        <v>0.0002</v>
      </c>
    </row>
    <row r="227">
      <c r="A227" s="2" t="n">
        <v>23651</v>
      </c>
      <c r="B227" t="n">
        <v>2.92</v>
      </c>
      <c r="D227" s="2" t="n">
        <v>31686</v>
      </c>
      <c r="E227" s="1" t="n">
        <v>16.82</v>
      </c>
      <c r="G227" s="2" t="n">
        <v>16557</v>
      </c>
      <c r="H227" t="n">
        <v>0.078</v>
      </c>
      <c r="I227" t="n">
        <v>0.0003</v>
      </c>
    </row>
    <row r="228">
      <c r="A228" s="2" t="n">
        <v>23682</v>
      </c>
      <c r="B228" t="n">
        <v>2.92</v>
      </c>
      <c r="D228" s="2" t="n">
        <v>31717</v>
      </c>
      <c r="E228" s="1" t="n">
        <v>15.9</v>
      </c>
      <c r="G228" s="2" t="n">
        <v>16588</v>
      </c>
      <c r="H228" t="n">
        <v>0.0174</v>
      </c>
      <c r="I228" t="n">
        <v>0.0003</v>
      </c>
    </row>
    <row r="229">
      <c r="A229" s="2" t="n">
        <v>23712</v>
      </c>
      <c r="B229" t="n">
        <v>2.92</v>
      </c>
      <c r="D229" s="2" t="n">
        <v>31747</v>
      </c>
      <c r="E229" s="1" t="n">
        <v>15.53</v>
      </c>
      <c r="G229" s="2" t="n">
        <v>16618</v>
      </c>
      <c r="H229" t="n">
        <v>0.0039</v>
      </c>
      <c r="I229" t="n">
        <v>0.0002</v>
      </c>
    </row>
    <row r="230">
      <c r="A230" s="2" t="n">
        <v>23743</v>
      </c>
      <c r="B230" t="n">
        <v>2.92</v>
      </c>
      <c r="D230" s="2" t="n">
        <v>31778</v>
      </c>
      <c r="E230" s="1" t="n">
        <v>15.86</v>
      </c>
      <c r="G230" s="2" t="n">
        <v>16649</v>
      </c>
      <c r="H230" t="n">
        <v>-0.0217</v>
      </c>
      <c r="I230" t="n">
        <v>0.0003</v>
      </c>
    </row>
    <row r="231">
      <c r="A231" s="2" t="n">
        <v>23774</v>
      </c>
      <c r="B231" t="n">
        <v>2.92</v>
      </c>
      <c r="D231" s="2" t="n">
        <v>31809</v>
      </c>
      <c r="E231" s="1" t="n">
        <v>16.7</v>
      </c>
      <c r="G231" s="2" t="n">
        <v>16680</v>
      </c>
      <c r="H231" t="n">
        <v>0.0622</v>
      </c>
      <c r="I231" t="n">
        <v>0.0003</v>
      </c>
    </row>
    <row r="232">
      <c r="A232" s="2" t="n">
        <v>23802</v>
      </c>
      <c r="B232" t="n">
        <v>2.92</v>
      </c>
      <c r="D232" s="2" t="n">
        <v>31837</v>
      </c>
      <c r="E232" s="1" t="n">
        <v>16.41</v>
      </c>
      <c r="G232" s="2" t="n">
        <v>16709</v>
      </c>
      <c r="H232" t="n">
        <v>0.0477</v>
      </c>
      <c r="I232" t="n">
        <v>0.0003</v>
      </c>
    </row>
    <row r="233">
      <c r="A233" s="2" t="n">
        <v>23833</v>
      </c>
      <c r="B233" t="n">
        <v>2.92</v>
      </c>
      <c r="D233" s="2" t="n">
        <v>31868</v>
      </c>
      <c r="E233" s="1" t="n">
        <v>15.08</v>
      </c>
      <c r="G233" s="2" t="n">
        <v>16741</v>
      </c>
      <c r="H233" t="n">
        <v>0.0389</v>
      </c>
      <c r="I233" t="n">
        <v>0.0003</v>
      </c>
    </row>
    <row r="234">
      <c r="A234" s="2" t="n">
        <v>23863</v>
      </c>
      <c r="B234" t="n">
        <v>2.92</v>
      </c>
      <c r="D234" s="2" t="n">
        <v>31898</v>
      </c>
      <c r="E234" s="1" t="n">
        <v>14.14</v>
      </c>
      <c r="G234" s="2" t="n">
        <v>16771</v>
      </c>
      <c r="H234" t="n">
        <v>0.054</v>
      </c>
      <c r="I234" t="n">
        <v>0.0002</v>
      </c>
    </row>
    <row r="235">
      <c r="A235" s="2" t="n">
        <v>23894</v>
      </c>
      <c r="B235" t="n">
        <v>2.92</v>
      </c>
      <c r="D235" s="2" t="n">
        <v>31929</v>
      </c>
      <c r="E235" s="1" t="n">
        <v>13.68</v>
      </c>
      <c r="G235" s="2" t="n">
        <v>16802</v>
      </c>
      <c r="H235" t="n">
        <v>0.0119</v>
      </c>
      <c r="I235" t="n">
        <v>0.0003</v>
      </c>
    </row>
    <row r="236">
      <c r="A236" s="2" t="n">
        <v>23924</v>
      </c>
      <c r="B236" t="n">
        <v>2.92</v>
      </c>
      <c r="D236" s="2" t="n">
        <v>31959</v>
      </c>
      <c r="E236" s="1" t="n">
        <v>12.99</v>
      </c>
      <c r="G236" s="2" t="n">
        <v>16833</v>
      </c>
      <c r="H236" t="n">
        <v>0.0624</v>
      </c>
      <c r="I236" t="n">
        <v>0.0003</v>
      </c>
    </row>
    <row r="237">
      <c r="A237" s="2" t="n">
        <v>23955</v>
      </c>
      <c r="B237" t="n">
        <v>2.92</v>
      </c>
      <c r="D237" s="2" t="n">
        <v>31990</v>
      </c>
      <c r="E237" s="1" t="n">
        <v>12.54</v>
      </c>
      <c r="G237" s="2" t="n">
        <v>16861</v>
      </c>
      <c r="H237" t="n">
        <v>-0.0584</v>
      </c>
      <c r="I237" t="n">
        <v>0.0003</v>
      </c>
    </row>
    <row r="238">
      <c r="A238" s="2" t="n">
        <v>23986</v>
      </c>
      <c r="B238" t="n">
        <v>2.92</v>
      </c>
      <c r="D238" s="2" t="n">
        <v>32021</v>
      </c>
      <c r="E238" s="1" t="n">
        <v>11.7</v>
      </c>
      <c r="G238" s="2" t="n">
        <v>16891</v>
      </c>
      <c r="H238" t="n">
        <v>0.0588</v>
      </c>
      <c r="I238" t="n">
        <v>0.0003</v>
      </c>
    </row>
    <row r="239">
      <c r="A239" s="2" t="n">
        <v>24016</v>
      </c>
      <c r="B239" t="n">
        <v>2.92</v>
      </c>
      <c r="D239" s="2" t="n">
        <v>32051</v>
      </c>
      <c r="E239" s="1" t="n">
        <v>11.99</v>
      </c>
      <c r="G239" s="2" t="n">
        <v>16922</v>
      </c>
      <c r="H239" t="n">
        <v>0.0423</v>
      </c>
      <c r="I239" t="n">
        <v>0.0003</v>
      </c>
    </row>
    <row r="240">
      <c r="A240" s="2" t="n">
        <v>24047</v>
      </c>
      <c r="B240" t="n">
        <v>2.92</v>
      </c>
      <c r="D240" s="2" t="n">
        <v>32082</v>
      </c>
      <c r="E240" s="1" t="n">
        <v>12.45</v>
      </c>
      <c r="G240" s="2" t="n">
        <v>16953</v>
      </c>
      <c r="H240" t="n">
        <v>0.0394</v>
      </c>
      <c r="I240" t="n">
        <v>0.0003</v>
      </c>
    </row>
    <row r="241">
      <c r="A241" s="2" t="n">
        <v>24077</v>
      </c>
      <c r="B241" t="n">
        <v>2.92</v>
      </c>
      <c r="D241" s="2" t="n">
        <v>32112</v>
      </c>
      <c r="E241" s="1" t="n">
        <v>11.46</v>
      </c>
      <c r="G241" s="2" t="n">
        <v>16981</v>
      </c>
      <c r="H241" t="n">
        <v>-0.0389</v>
      </c>
      <c r="I241" t="n">
        <v>0.0003</v>
      </c>
    </row>
    <row r="242">
      <c r="A242" s="2" t="n">
        <v>24108</v>
      </c>
      <c r="B242" t="n">
        <v>2.92</v>
      </c>
      <c r="D242" s="2" t="n">
        <v>32143</v>
      </c>
      <c r="E242" s="1" t="n">
        <v>11.05</v>
      </c>
      <c r="G242" s="2" t="n">
        <v>17014</v>
      </c>
      <c r="H242" t="n">
        <v>-0.0269</v>
      </c>
      <c r="I242" t="n">
        <v>0.0003</v>
      </c>
    </row>
    <row r="243">
      <c r="A243" s="2" t="n">
        <v>24139</v>
      </c>
      <c r="B243" t="n">
        <v>2.92</v>
      </c>
      <c r="D243" s="2" t="n">
        <v>32174</v>
      </c>
      <c r="E243" s="1" t="n">
        <v>10.95</v>
      </c>
      <c r="G243" s="2" t="n">
        <v>17044</v>
      </c>
      <c r="H243" t="n">
        <v>-0.0646</v>
      </c>
      <c r="I243" t="n">
        <v>0.0003</v>
      </c>
    </row>
    <row r="244">
      <c r="A244" s="2" t="n">
        <v>24167</v>
      </c>
      <c r="B244" t="n">
        <v>2.92</v>
      </c>
      <c r="D244" s="2" t="n">
        <v>32203</v>
      </c>
      <c r="E244" s="1" t="n">
        <v>10.95</v>
      </c>
      <c r="G244" s="2" t="n">
        <v>17075</v>
      </c>
      <c r="H244" t="n">
        <v>-0.1018</v>
      </c>
      <c r="I244" t="n">
        <v>0.0003</v>
      </c>
    </row>
    <row r="245">
      <c r="A245" s="2" t="n">
        <v>24198</v>
      </c>
      <c r="B245" t="n">
        <v>2.92</v>
      </c>
      <c r="D245" s="2" t="n">
        <v>32234</v>
      </c>
      <c r="E245" s="1" t="n">
        <v>11.39</v>
      </c>
      <c r="G245" s="2" t="n">
        <v>17106</v>
      </c>
      <c r="H245" t="n">
        <v>-0.0144</v>
      </c>
      <c r="I245" t="n">
        <v>0.0003</v>
      </c>
    </row>
    <row r="246">
      <c r="A246" s="2" t="n">
        <v>24228</v>
      </c>
      <c r="B246" t="n">
        <v>2.92</v>
      </c>
      <c r="D246" s="2" t="n">
        <v>32264</v>
      </c>
      <c r="E246" s="1" t="n">
        <v>12.28</v>
      </c>
      <c r="G246" s="2" t="n">
        <v>17136</v>
      </c>
      <c r="H246" t="n">
        <v>-0.0002</v>
      </c>
      <c r="I246" t="n">
        <v>0.0003</v>
      </c>
    </row>
    <row r="247">
      <c r="A247" s="2" t="n">
        <v>24259</v>
      </c>
      <c r="B247" t="n">
        <v>2.92</v>
      </c>
      <c r="D247" s="2" t="n">
        <v>32295</v>
      </c>
      <c r="E247" s="1" t="n">
        <v>13.1</v>
      </c>
      <c r="G247" s="2" t="n">
        <v>17167</v>
      </c>
      <c r="H247" t="n">
        <v>0.0497</v>
      </c>
      <c r="I247" t="n">
        <v>0.0003</v>
      </c>
    </row>
    <row r="248">
      <c r="A248" s="2" t="n">
        <v>24289</v>
      </c>
      <c r="B248" t="n">
        <v>2.92</v>
      </c>
      <c r="D248" s="2" t="n">
        <v>32325</v>
      </c>
      <c r="E248" s="1" t="n">
        <v>13.08</v>
      </c>
      <c r="G248" s="2" t="n">
        <v>17198</v>
      </c>
      <c r="H248" t="n">
        <v>0.0125</v>
      </c>
      <c r="I248" t="n">
        <v>0.0003</v>
      </c>
    </row>
    <row r="249">
      <c r="A249" s="2" t="n">
        <v>24320</v>
      </c>
      <c r="B249" t="n">
        <v>2.92</v>
      </c>
      <c r="D249" s="2" t="n">
        <v>32356</v>
      </c>
      <c r="E249" s="1" t="n">
        <v>13.32</v>
      </c>
      <c r="G249" s="2" t="n">
        <v>17226</v>
      </c>
      <c r="H249" t="n">
        <v>-0.0109</v>
      </c>
      <c r="I249" t="n">
        <v>0.0003</v>
      </c>
    </row>
    <row r="250">
      <c r="A250" s="2" t="n">
        <v>24351</v>
      </c>
      <c r="B250" t="n">
        <v>2.97</v>
      </c>
      <c r="D250" s="2" t="n">
        <v>32387</v>
      </c>
      <c r="E250" s="1" t="n">
        <v>13.64</v>
      </c>
      <c r="G250" s="2" t="n">
        <v>17257</v>
      </c>
      <c r="H250" t="n">
        <v>-0.0168</v>
      </c>
      <c r="I250" t="n">
        <v>0.0003</v>
      </c>
    </row>
    <row r="251">
      <c r="A251" s="2" t="n">
        <v>24381</v>
      </c>
      <c r="B251" t="n">
        <v>2.97</v>
      </c>
      <c r="D251" s="2" t="n">
        <v>32417</v>
      </c>
      <c r="E251" s="1" t="n">
        <v>14</v>
      </c>
      <c r="G251" s="2" t="n">
        <v>17287</v>
      </c>
      <c r="H251" t="n">
        <v>-0.048</v>
      </c>
      <c r="I251" t="n">
        <v>0.0003</v>
      </c>
    </row>
    <row r="252">
      <c r="A252" s="2" t="n">
        <v>24412</v>
      </c>
      <c r="B252" t="n">
        <v>2.97</v>
      </c>
      <c r="D252" s="2" t="n">
        <v>32448</v>
      </c>
      <c r="E252" s="1" t="n">
        <v>14.73</v>
      </c>
      <c r="G252" s="2" t="n">
        <v>17316</v>
      </c>
      <c r="H252" t="n">
        <v>-0.009599999999999999</v>
      </c>
      <c r="I252" t="n">
        <v>0.0003</v>
      </c>
    </row>
    <row r="253">
      <c r="A253" s="2" t="n">
        <v>24442</v>
      </c>
      <c r="B253" t="n">
        <v>2.97</v>
      </c>
      <c r="D253" s="2" t="n">
        <v>32478</v>
      </c>
      <c r="E253" s="1" t="n">
        <v>15.11</v>
      </c>
      <c r="G253" s="2" t="n">
        <v>17348</v>
      </c>
      <c r="H253" t="n">
        <v>0.053</v>
      </c>
      <c r="I253" t="n">
        <v>0.0003</v>
      </c>
    </row>
    <row r="254">
      <c r="A254" s="2" t="n">
        <v>24473</v>
      </c>
      <c r="B254" t="n">
        <v>2.97</v>
      </c>
      <c r="D254" s="2" t="n">
        <v>32509</v>
      </c>
      <c r="E254" s="1" t="n">
        <v>15.56</v>
      </c>
      <c r="G254" s="2" t="n">
        <v>17379</v>
      </c>
      <c r="H254" t="n">
        <v>0.0413</v>
      </c>
      <c r="I254" t="n">
        <v>0.0003</v>
      </c>
    </row>
    <row r="255">
      <c r="A255" s="2" t="n">
        <v>24504</v>
      </c>
      <c r="B255" t="n">
        <v>3</v>
      </c>
      <c r="D255" s="2" t="n">
        <v>32540</v>
      </c>
      <c r="E255" s="1" t="n">
        <v>16.54</v>
      </c>
      <c r="G255" s="2" t="n">
        <v>17408</v>
      </c>
      <c r="H255" t="n">
        <v>-0.0174</v>
      </c>
      <c r="I255" t="n">
        <v>0.0003</v>
      </c>
    </row>
    <row r="256">
      <c r="A256" s="2" t="n">
        <v>24532</v>
      </c>
      <c r="B256" t="n">
        <v>3</v>
      </c>
      <c r="D256" s="2" t="n">
        <v>32568</v>
      </c>
      <c r="E256" s="1" t="n">
        <v>17.25</v>
      </c>
      <c r="G256" s="2" t="n">
        <v>17440</v>
      </c>
      <c r="H256" t="n">
        <v>-0.0054</v>
      </c>
      <c r="I256" t="n">
        <v>0.0005999999999999999</v>
      </c>
    </row>
    <row r="257">
      <c r="A257" s="2" t="n">
        <v>24563</v>
      </c>
      <c r="B257" t="n">
        <v>3</v>
      </c>
      <c r="D257" s="2" t="n">
        <v>32599</v>
      </c>
      <c r="E257" s="1" t="n">
        <v>17.46</v>
      </c>
      <c r="G257" s="2" t="n">
        <v>17471</v>
      </c>
      <c r="H257" t="n">
        <v>0.0247</v>
      </c>
      <c r="I257" t="n">
        <v>0.0005999999999999999</v>
      </c>
    </row>
    <row r="258">
      <c r="A258" s="2" t="n">
        <v>24593</v>
      </c>
      <c r="B258" t="n">
        <v>3</v>
      </c>
      <c r="D258" s="2" t="n">
        <v>32629</v>
      </c>
      <c r="E258" s="1" t="n">
        <v>17.52</v>
      </c>
      <c r="G258" s="2" t="n">
        <v>17500</v>
      </c>
      <c r="H258" t="n">
        <v>-0.0199</v>
      </c>
      <c r="I258" t="n">
        <v>0.0005999999999999999</v>
      </c>
    </row>
    <row r="259">
      <c r="A259" s="2" t="n">
        <v>24624</v>
      </c>
      <c r="B259" t="n">
        <v>3</v>
      </c>
      <c r="D259" s="2" t="n">
        <v>32660</v>
      </c>
      <c r="E259" s="1" t="n">
        <v>18.37</v>
      </c>
      <c r="G259" s="2" t="n">
        <v>17532</v>
      </c>
      <c r="H259" t="n">
        <v>0.0301</v>
      </c>
      <c r="I259" t="n">
        <v>0.0008</v>
      </c>
    </row>
    <row r="260">
      <c r="A260" s="2" t="n">
        <v>24654</v>
      </c>
      <c r="B260" t="n">
        <v>3</v>
      </c>
      <c r="D260" s="2" t="n">
        <v>32690</v>
      </c>
      <c r="E260" s="1" t="n">
        <v>18.06</v>
      </c>
      <c r="G260" s="2" t="n">
        <v>17563</v>
      </c>
      <c r="H260" t="n">
        <v>-0.0393</v>
      </c>
      <c r="I260" t="n">
        <v>0.0007</v>
      </c>
    </row>
    <row r="261">
      <c r="A261" s="2" t="n">
        <v>24685</v>
      </c>
      <c r="B261" t="n">
        <v>3.07</v>
      </c>
      <c r="D261" s="2" t="n">
        <v>32721</v>
      </c>
      <c r="E261" s="1" t="n">
        <v>17.96</v>
      </c>
      <c r="G261" s="2" t="n">
        <v>17591</v>
      </c>
      <c r="H261" t="n">
        <v>-0.0438</v>
      </c>
      <c r="I261" t="n">
        <v>0.0007</v>
      </c>
    </row>
    <row r="262">
      <c r="A262" s="2" t="n">
        <v>24716</v>
      </c>
      <c r="B262" t="n">
        <v>3.07</v>
      </c>
      <c r="D262" s="2" t="n">
        <v>32752</v>
      </c>
      <c r="E262" s="1" t="n">
        <v>18.12</v>
      </c>
      <c r="G262" s="2" t="n">
        <v>17623</v>
      </c>
      <c r="H262" t="n">
        <v>0.08110000000000001</v>
      </c>
      <c r="I262" t="n">
        <v>0.0009</v>
      </c>
    </row>
    <row r="263">
      <c r="A263" s="2" t="n">
        <v>24746</v>
      </c>
      <c r="B263" t="n">
        <v>3.07</v>
      </c>
      <c r="D263" s="2" t="n">
        <v>32782</v>
      </c>
      <c r="E263" s="1" t="n">
        <v>18.36</v>
      </c>
      <c r="G263" s="2" t="n">
        <v>17653</v>
      </c>
      <c r="H263" t="n">
        <v>0.0365</v>
      </c>
      <c r="I263" t="n">
        <v>0.0008</v>
      </c>
    </row>
    <row r="264">
      <c r="A264" s="2" t="n">
        <v>24777</v>
      </c>
      <c r="B264" t="n">
        <v>3.07</v>
      </c>
      <c r="D264" s="2" t="n">
        <v>32813</v>
      </c>
      <c r="E264" s="1" t="n">
        <v>18.25</v>
      </c>
      <c r="G264" s="2" t="n">
        <v>17681</v>
      </c>
      <c r="H264" t="n">
        <v>0.0732</v>
      </c>
      <c r="I264" t="n">
        <v>0.0008</v>
      </c>
    </row>
    <row r="265">
      <c r="A265" s="2" t="n">
        <v>24807</v>
      </c>
      <c r="B265" t="n">
        <v>3.07</v>
      </c>
      <c r="D265" s="2" t="n">
        <v>32843</v>
      </c>
      <c r="E265" s="1" t="n">
        <v>17.89</v>
      </c>
      <c r="G265" s="2" t="n">
        <v>17714</v>
      </c>
      <c r="H265" t="n">
        <v>-0.0011</v>
      </c>
      <c r="I265" t="n">
        <v>0.0009</v>
      </c>
    </row>
    <row r="266">
      <c r="A266" s="2" t="n">
        <v>24838</v>
      </c>
      <c r="B266" t="n">
        <v>3.07</v>
      </c>
      <c r="D266" s="2" t="n">
        <v>32874</v>
      </c>
      <c r="E266" s="1" t="n">
        <v>17.33</v>
      </c>
      <c r="G266" s="2" t="n">
        <v>17744</v>
      </c>
      <c r="H266" t="n">
        <v>-0.0508</v>
      </c>
      <c r="I266" t="n">
        <v>0.0008</v>
      </c>
    </row>
    <row r="267">
      <c r="A267" s="2" t="n">
        <v>24869</v>
      </c>
      <c r="B267" t="n">
        <v>3.07</v>
      </c>
      <c r="D267" s="2" t="n">
        <v>32905</v>
      </c>
      <c r="E267" s="1" t="n">
        <v>16.2</v>
      </c>
      <c r="G267" s="2" t="n">
        <v>17776</v>
      </c>
      <c r="H267" t="n">
        <v>0.0024</v>
      </c>
      <c r="I267" t="n">
        <v>0.0009</v>
      </c>
    </row>
    <row r="268">
      <c r="A268" s="2" t="n">
        <v>24898</v>
      </c>
      <c r="B268" t="n">
        <v>3.07</v>
      </c>
      <c r="D268" s="2" t="n">
        <v>32933</v>
      </c>
      <c r="E268" s="1" t="n">
        <v>15.84</v>
      </c>
      <c r="G268" s="2" t="n">
        <v>17806</v>
      </c>
      <c r="H268" t="n">
        <v>-0.0299</v>
      </c>
      <c r="I268" t="n">
        <v>0.0004</v>
      </c>
    </row>
    <row r="269">
      <c r="A269" s="2" t="n">
        <v>24929</v>
      </c>
      <c r="B269" t="n">
        <v>3.07</v>
      </c>
      <c r="D269" s="2" t="n">
        <v>32964</v>
      </c>
      <c r="E269" s="1" t="n">
        <v>15.14</v>
      </c>
      <c r="G269" s="2" t="n">
        <v>17836</v>
      </c>
      <c r="H269" t="n">
        <v>0.0596</v>
      </c>
      <c r="I269" t="n">
        <v>0.0004</v>
      </c>
    </row>
    <row r="270">
      <c r="A270" s="2" t="n">
        <v>24959</v>
      </c>
      <c r="B270" t="n">
        <v>3.07</v>
      </c>
      <c r="D270" s="2" t="n">
        <v>32994</v>
      </c>
      <c r="E270" s="1" t="n">
        <v>15.05</v>
      </c>
      <c r="G270" s="2" t="n">
        <v>17867</v>
      </c>
      <c r="H270" t="n">
        <v>-0.0934</v>
      </c>
      <c r="I270" t="n">
        <v>0.0004</v>
      </c>
    </row>
    <row r="271">
      <c r="A271" s="2" t="n">
        <v>24990</v>
      </c>
      <c r="B271" t="n">
        <v>3.07</v>
      </c>
      <c r="D271" s="2" t="n">
        <v>33025</v>
      </c>
      <c r="E271" s="1" t="n">
        <v>15.02</v>
      </c>
      <c r="G271" s="2" t="n">
        <v>17898</v>
      </c>
      <c r="H271" t="n">
        <v>0.0326</v>
      </c>
      <c r="I271" t="n">
        <v>0.0004</v>
      </c>
    </row>
    <row r="272">
      <c r="A272" s="2" t="n">
        <v>25020</v>
      </c>
      <c r="B272" t="n">
        <v>3.07</v>
      </c>
      <c r="D272" s="2" t="n">
        <v>33055</v>
      </c>
      <c r="E272" s="1" t="n">
        <v>14.83</v>
      </c>
      <c r="G272" s="2" t="n">
        <v>17929</v>
      </c>
      <c r="H272" t="n">
        <v>0.0023</v>
      </c>
      <c r="I272" t="n">
        <v>0.001</v>
      </c>
    </row>
    <row r="273">
      <c r="A273" s="2" t="n">
        <v>25051</v>
      </c>
      <c r="B273" t="n">
        <v>3.07</v>
      </c>
      <c r="D273" s="2" t="n">
        <v>33086</v>
      </c>
      <c r="E273" s="1" t="n">
        <v>13.92</v>
      </c>
      <c r="G273" s="2" t="n">
        <v>17957</v>
      </c>
      <c r="H273" t="n">
        <v>-0.0293</v>
      </c>
      <c r="I273" t="n">
        <v>0.0009</v>
      </c>
    </row>
    <row r="274">
      <c r="A274" s="2" t="n">
        <v>25082</v>
      </c>
      <c r="B274" t="n">
        <v>3.07</v>
      </c>
      <c r="D274" s="2" t="n">
        <v>33117</v>
      </c>
      <c r="E274" s="1" t="n">
        <v>13.52</v>
      </c>
      <c r="G274" s="2" t="n">
        <v>17988</v>
      </c>
      <c r="H274" t="n">
        <v>0.0405</v>
      </c>
      <c r="I274" t="n">
        <v>0.001</v>
      </c>
    </row>
    <row r="275">
      <c r="A275" s="2" t="n">
        <v>25112</v>
      </c>
      <c r="B275" t="n">
        <v>3.07</v>
      </c>
      <c r="D275" s="2" t="n">
        <v>33147</v>
      </c>
      <c r="E275" s="1" t="n">
        <v>13.07</v>
      </c>
      <c r="G275" s="2" t="n">
        <v>18018</v>
      </c>
      <c r="H275" t="n">
        <v>-0.0187</v>
      </c>
      <c r="I275" t="n">
        <v>0.0009</v>
      </c>
    </row>
    <row r="276">
      <c r="A276" s="2" t="n">
        <v>25143</v>
      </c>
      <c r="B276" t="n">
        <v>3.07</v>
      </c>
      <c r="D276" s="2" t="n">
        <v>33178</v>
      </c>
      <c r="E276" s="1" t="n">
        <v>12.41</v>
      </c>
      <c r="G276" s="2" t="n">
        <v>18049</v>
      </c>
      <c r="H276" t="n">
        <v>-0.0298</v>
      </c>
      <c r="I276" t="n">
        <v>0.001</v>
      </c>
    </row>
    <row r="277">
      <c r="A277" s="2" t="n">
        <v>25173</v>
      </c>
      <c r="B277" t="n">
        <v>3.07</v>
      </c>
      <c r="D277" s="2" t="n">
        <v>33208</v>
      </c>
      <c r="E277" s="1" t="n">
        <v>12.19</v>
      </c>
      <c r="G277" s="2" t="n">
        <v>18079</v>
      </c>
      <c r="H277" t="n">
        <v>0.001</v>
      </c>
      <c r="I277" t="n">
        <v>0.001</v>
      </c>
    </row>
    <row r="278">
      <c r="A278" s="2" t="n">
        <v>25204</v>
      </c>
      <c r="B278" t="n">
        <v>3.07</v>
      </c>
      <c r="D278" s="2" t="n">
        <v>33239</v>
      </c>
      <c r="E278" s="1" t="n">
        <v>11.93</v>
      </c>
      <c r="G278" s="2" t="n">
        <v>18108</v>
      </c>
      <c r="H278" t="n">
        <v>0.0554</v>
      </c>
      <c r="I278" t="n">
        <v>0.0009</v>
      </c>
    </row>
    <row r="279">
      <c r="A279" s="2" t="n">
        <v>25235</v>
      </c>
      <c r="B279" t="n">
        <v>3.07</v>
      </c>
      <c r="D279" s="2" t="n">
        <v>33270</v>
      </c>
      <c r="E279" s="1" t="n">
        <v>11.62</v>
      </c>
      <c r="G279" s="2" t="n">
        <v>18141</v>
      </c>
      <c r="H279" t="n">
        <v>0.0259</v>
      </c>
      <c r="I279" t="n">
        <v>0.0009</v>
      </c>
    </row>
    <row r="280">
      <c r="A280" s="2" t="n">
        <v>25263</v>
      </c>
      <c r="B280" t="n">
        <v>3.25</v>
      </c>
      <c r="D280" s="2" t="n">
        <v>33298</v>
      </c>
      <c r="E280" s="1" t="n">
        <v>11.49</v>
      </c>
      <c r="G280" s="2" t="n">
        <v>18171</v>
      </c>
      <c r="H280" t="n">
        <v>0.0309</v>
      </c>
      <c r="I280" t="n">
        <v>0.0009</v>
      </c>
    </row>
    <row r="281">
      <c r="A281" s="2" t="n">
        <v>25294</v>
      </c>
      <c r="B281" t="n">
        <v>3.35</v>
      </c>
      <c r="D281" s="2" t="n">
        <v>33329</v>
      </c>
      <c r="E281" s="1" t="n">
        <v>11.36</v>
      </c>
      <c r="G281" s="2" t="n">
        <v>18202</v>
      </c>
      <c r="H281" t="n">
        <v>0.0314</v>
      </c>
      <c r="I281" t="n">
        <v>0.0009</v>
      </c>
    </row>
    <row r="282">
      <c r="A282" s="2" t="n">
        <v>25324</v>
      </c>
      <c r="B282" t="n">
        <v>3.35</v>
      </c>
      <c r="D282" s="2" t="n">
        <v>33359</v>
      </c>
      <c r="E282" s="1" t="n">
        <v>10.72</v>
      </c>
      <c r="G282" s="2" t="n">
        <v>18232</v>
      </c>
      <c r="H282" t="n">
        <v>0.0181</v>
      </c>
      <c r="I282" t="n">
        <v>0.0008</v>
      </c>
    </row>
    <row r="283">
      <c r="A283" s="2" t="n">
        <v>25355</v>
      </c>
      <c r="B283" t="n">
        <v>3.35</v>
      </c>
      <c r="D283" s="2" t="n">
        <v>33390</v>
      </c>
      <c r="E283" s="1" t="n">
        <v>10.39</v>
      </c>
      <c r="G283" s="2" t="n">
        <v>18263</v>
      </c>
      <c r="H283" t="n">
        <v>0.0514</v>
      </c>
      <c r="I283" t="n">
        <v>0.0009</v>
      </c>
    </row>
    <row r="284">
      <c r="A284" s="2" t="n">
        <v>25385</v>
      </c>
      <c r="B284" t="n">
        <v>3.35</v>
      </c>
      <c r="D284" s="2" t="n">
        <v>33420</v>
      </c>
      <c r="E284" s="1" t="n">
        <v>10.34</v>
      </c>
      <c r="G284" s="2" t="n">
        <v>18294</v>
      </c>
      <c r="H284" t="n">
        <v>0.017</v>
      </c>
      <c r="I284" t="n">
        <v>0.0009</v>
      </c>
    </row>
    <row r="285">
      <c r="A285" s="2" t="n">
        <v>25416</v>
      </c>
      <c r="B285" t="n">
        <v>3.35</v>
      </c>
      <c r="D285" s="2" t="n">
        <v>33451</v>
      </c>
      <c r="E285" s="1" t="n">
        <v>10.13</v>
      </c>
      <c r="G285" s="2" t="n">
        <v>18322</v>
      </c>
      <c r="H285" t="n">
        <v>0.0148</v>
      </c>
      <c r="I285" t="n">
        <v>0.0009</v>
      </c>
    </row>
    <row r="286">
      <c r="A286" s="2" t="n">
        <v>25447</v>
      </c>
      <c r="B286" t="n">
        <v>3.35</v>
      </c>
      <c r="D286" s="2" t="n">
        <v>33482</v>
      </c>
      <c r="E286" s="1" t="n">
        <v>9.58</v>
      </c>
      <c r="G286" s="2" t="n">
        <v>18353</v>
      </c>
      <c r="H286" t="n">
        <v>0.0126</v>
      </c>
      <c r="I286" t="n">
        <v>0.001</v>
      </c>
    </row>
    <row r="287">
      <c r="A287" s="2" t="n">
        <v>25477</v>
      </c>
      <c r="B287" t="n">
        <v>3.35</v>
      </c>
      <c r="D287" s="2" t="n">
        <v>33512</v>
      </c>
      <c r="E287" s="1" t="n">
        <v>8.970000000000001</v>
      </c>
      <c r="G287" s="2" t="n">
        <v>18382</v>
      </c>
      <c r="H287" t="n">
        <v>0.0394</v>
      </c>
      <c r="I287" t="n">
        <v>0.0009</v>
      </c>
    </row>
    <row r="288">
      <c r="A288" s="2" t="n">
        <v>25508</v>
      </c>
      <c r="B288" t="n">
        <v>3.35</v>
      </c>
      <c r="D288" s="2" t="n">
        <v>33543</v>
      </c>
      <c r="E288" s="1" t="n">
        <v>8.34</v>
      </c>
      <c r="G288" s="2" t="n">
        <v>18414</v>
      </c>
      <c r="H288" t="n">
        <v>0.0432</v>
      </c>
      <c r="I288" t="n">
        <v>0.001</v>
      </c>
    </row>
    <row r="289">
      <c r="A289" s="2" t="n">
        <v>25538</v>
      </c>
      <c r="B289" t="n">
        <v>3.35</v>
      </c>
      <c r="D289" s="2" t="n">
        <v>33573</v>
      </c>
      <c r="E289" s="1" t="n">
        <v>7.84</v>
      </c>
      <c r="G289" s="2" t="n">
        <v>18444</v>
      </c>
      <c r="H289" t="n">
        <v>-0.0596</v>
      </c>
      <c r="I289" t="n">
        <v>0.001</v>
      </c>
    </row>
    <row r="290">
      <c r="A290" s="2" t="n">
        <v>25569</v>
      </c>
      <c r="B290" t="n">
        <v>3.35</v>
      </c>
      <c r="D290" s="2" t="n">
        <v>33604</v>
      </c>
      <c r="E290" s="1" t="n">
        <v>7.45</v>
      </c>
      <c r="G290" s="2" t="n">
        <v>18475</v>
      </c>
      <c r="H290" t="n">
        <v>0.0137</v>
      </c>
      <c r="I290" t="n">
        <v>0.001</v>
      </c>
    </row>
    <row r="291">
      <c r="A291" s="2" t="n">
        <v>25600</v>
      </c>
      <c r="B291" t="n">
        <v>3.35</v>
      </c>
      <c r="D291" s="2" t="n">
        <v>33635</v>
      </c>
      <c r="E291" s="1" t="n">
        <v>7.52</v>
      </c>
      <c r="G291" s="2" t="n">
        <v>18506</v>
      </c>
      <c r="H291" t="n">
        <v>0.0486</v>
      </c>
      <c r="I291" t="n">
        <v>0.001</v>
      </c>
    </row>
    <row r="292">
      <c r="A292" s="2" t="n">
        <v>25628</v>
      </c>
      <c r="B292" t="n">
        <v>3.35</v>
      </c>
      <c r="D292" s="2" t="n">
        <v>33664</v>
      </c>
      <c r="E292" s="1" t="n">
        <v>7.51</v>
      </c>
      <c r="G292" s="2" t="n">
        <v>18535</v>
      </c>
      <c r="H292" t="n">
        <v>0.0482</v>
      </c>
      <c r="I292" t="n">
        <v>0.001</v>
      </c>
    </row>
    <row r="293">
      <c r="A293" s="2" t="n">
        <v>25659</v>
      </c>
      <c r="B293" t="n">
        <v>3.35</v>
      </c>
      <c r="D293" s="2" t="n">
        <v>33695</v>
      </c>
      <c r="E293" s="1" t="n">
        <v>7.18</v>
      </c>
      <c r="G293" s="2" t="n">
        <v>18567</v>
      </c>
      <c r="H293" t="n">
        <v>-0.0019</v>
      </c>
      <c r="I293" t="n">
        <v>0.0012</v>
      </c>
    </row>
    <row r="294">
      <c r="A294" s="2" t="n">
        <v>25689</v>
      </c>
      <c r="B294" t="n">
        <v>3.35</v>
      </c>
      <c r="D294" s="2" t="n">
        <v>33725</v>
      </c>
      <c r="E294" s="1" t="n">
        <v>6.56</v>
      </c>
      <c r="G294" s="2" t="n">
        <v>18597</v>
      </c>
      <c r="H294" t="n">
        <v>0.0274</v>
      </c>
      <c r="I294" t="n">
        <v>0.0011</v>
      </c>
    </row>
    <row r="295">
      <c r="A295" s="2" t="n">
        <v>25720</v>
      </c>
      <c r="B295" t="n">
        <v>3.35</v>
      </c>
      <c r="D295" s="2" t="n">
        <v>33756</v>
      </c>
      <c r="E295" s="1" t="n">
        <v>6.42</v>
      </c>
      <c r="G295" s="2" t="n">
        <v>18627</v>
      </c>
      <c r="H295" t="n">
        <v>0.0557</v>
      </c>
      <c r="I295" t="n">
        <v>0.0011</v>
      </c>
    </row>
    <row r="296">
      <c r="A296" s="2" t="n">
        <v>25750</v>
      </c>
      <c r="B296" t="n">
        <v>3.31</v>
      </c>
      <c r="D296" s="2" t="n">
        <v>33786</v>
      </c>
      <c r="E296" s="1" t="n">
        <v>5.64</v>
      </c>
      <c r="G296" s="2" t="n">
        <v>18659</v>
      </c>
      <c r="H296" t="n">
        <v>0.057</v>
      </c>
      <c r="I296" t="n">
        <v>0.0013</v>
      </c>
    </row>
    <row r="297">
      <c r="A297" s="2" t="n">
        <v>25781</v>
      </c>
      <c r="B297" t="n">
        <v>3.31</v>
      </c>
      <c r="D297" s="2" t="n">
        <v>33817</v>
      </c>
      <c r="E297" s="1" t="n">
        <v>5.73</v>
      </c>
      <c r="G297" s="2" t="n">
        <v>18687</v>
      </c>
      <c r="H297" t="n">
        <v>0.014</v>
      </c>
      <c r="I297" t="n">
        <v>0.001</v>
      </c>
    </row>
    <row r="298">
      <c r="A298" s="2" t="n">
        <v>25812</v>
      </c>
      <c r="B298" t="n">
        <v>3.31</v>
      </c>
      <c r="D298" s="2" t="n">
        <v>33848</v>
      </c>
      <c r="E298" s="1" t="n">
        <v>5.94</v>
      </c>
      <c r="G298" s="2" t="n">
        <v>18718</v>
      </c>
      <c r="H298" t="n">
        <v>-0.0216</v>
      </c>
      <c r="I298" t="n">
        <v>0.0011</v>
      </c>
    </row>
    <row r="299">
      <c r="A299" s="2" t="n">
        <v>25842</v>
      </c>
      <c r="B299" t="n">
        <v>3.31</v>
      </c>
      <c r="D299" s="2" t="n">
        <v>33878</v>
      </c>
      <c r="E299" s="1" t="n">
        <v>5.86</v>
      </c>
      <c r="G299" s="2" t="n">
        <v>18748</v>
      </c>
      <c r="H299" t="n">
        <v>0.0486</v>
      </c>
      <c r="I299" t="n">
        <v>0.0013</v>
      </c>
    </row>
    <row r="300">
      <c r="A300" s="2" t="n">
        <v>25873</v>
      </c>
      <c r="B300" t="n">
        <v>3.31</v>
      </c>
      <c r="D300" s="2" t="n">
        <v>33909</v>
      </c>
      <c r="E300" s="1" t="n">
        <v>5.88</v>
      </c>
      <c r="G300" s="2" t="n">
        <v>18779</v>
      </c>
      <c r="H300" t="n">
        <v>-0.0236</v>
      </c>
      <c r="I300" t="n">
        <v>0.0012</v>
      </c>
    </row>
    <row r="301">
      <c r="A301" s="2" t="n">
        <v>25903</v>
      </c>
      <c r="B301" t="n">
        <v>3.56</v>
      </c>
      <c r="D301" s="2" t="n">
        <v>33939</v>
      </c>
      <c r="E301" s="1" t="n">
        <v>5.9</v>
      </c>
      <c r="G301" s="2" t="n">
        <v>18808</v>
      </c>
      <c r="H301" t="n">
        <v>-0.0263</v>
      </c>
      <c r="I301" t="n">
        <v>0.0012</v>
      </c>
    </row>
    <row r="302">
      <c r="A302" s="2" t="n">
        <v>25934</v>
      </c>
      <c r="B302" t="n">
        <v>3.56</v>
      </c>
      <c r="D302" s="2" t="n">
        <v>33970</v>
      </c>
      <c r="E302" s="1" t="n">
        <v>5.88</v>
      </c>
      <c r="G302" s="2" t="n">
        <v>18840</v>
      </c>
      <c r="H302" t="n">
        <v>0.06950000000000001</v>
      </c>
      <c r="I302" t="n">
        <v>0.0013</v>
      </c>
    </row>
    <row r="303">
      <c r="A303" s="2" t="n">
        <v>25965</v>
      </c>
      <c r="B303" t="n">
        <v>3.56</v>
      </c>
      <c r="D303" s="2" t="n">
        <v>34001</v>
      </c>
      <c r="E303" s="1" t="n">
        <v>5.82</v>
      </c>
      <c r="G303" s="2" t="n">
        <v>18871</v>
      </c>
      <c r="H303" t="n">
        <v>0.0429</v>
      </c>
      <c r="I303" t="n">
        <v>0.0013</v>
      </c>
    </row>
    <row r="304">
      <c r="A304" s="2" t="n">
        <v>25993</v>
      </c>
      <c r="B304" t="n">
        <v>3.56</v>
      </c>
      <c r="D304" s="2" t="n">
        <v>34029</v>
      </c>
      <c r="E304" s="1" t="n">
        <v>5.38</v>
      </c>
      <c r="G304" s="2" t="n">
        <v>18899</v>
      </c>
      <c r="H304" t="n">
        <v>0.007</v>
      </c>
      <c r="I304" t="n">
        <v>0.0012</v>
      </c>
    </row>
    <row r="305">
      <c r="A305" s="2" t="n">
        <v>26024</v>
      </c>
      <c r="B305" t="n">
        <v>3.56</v>
      </c>
      <c r="D305" s="2" t="n">
        <v>34060</v>
      </c>
      <c r="E305" s="1" t="n">
        <v>5.27</v>
      </c>
      <c r="G305" s="2" t="n">
        <v>18932</v>
      </c>
      <c r="H305" t="n">
        <v>-0.0253</v>
      </c>
      <c r="I305" t="n">
        <v>0.0016</v>
      </c>
    </row>
    <row r="306">
      <c r="A306" s="2" t="n">
        <v>26054</v>
      </c>
      <c r="B306" t="n">
        <v>3.56</v>
      </c>
      <c r="D306" s="2" t="n">
        <v>34090</v>
      </c>
      <c r="E306" s="1" t="n">
        <v>5.15</v>
      </c>
      <c r="G306" s="2" t="n">
        <v>18962</v>
      </c>
      <c r="H306" t="n">
        <v>0.0058</v>
      </c>
      <c r="I306" t="n">
        <v>0.0011</v>
      </c>
    </row>
    <row r="307">
      <c r="A307" s="2" t="n">
        <v>26085</v>
      </c>
      <c r="B307" t="n">
        <v>3.56</v>
      </c>
      <c r="D307" s="2" t="n">
        <v>34121</v>
      </c>
      <c r="E307" s="1" t="n">
        <v>5.22</v>
      </c>
      <c r="G307" s="2" t="n">
        <v>18993</v>
      </c>
      <c r="H307" t="n">
        <v>0.0333</v>
      </c>
      <c r="I307" t="n">
        <v>0.0012</v>
      </c>
    </row>
    <row r="308">
      <c r="A308" s="2" t="n">
        <v>26115</v>
      </c>
      <c r="B308" t="n">
        <v>3.56</v>
      </c>
      <c r="D308" s="2" t="n">
        <v>34151</v>
      </c>
      <c r="E308" s="1" t="n">
        <v>5.05</v>
      </c>
      <c r="G308" s="2" t="n">
        <v>19024</v>
      </c>
      <c r="H308" t="n">
        <v>0.0145</v>
      </c>
      <c r="I308" t="n">
        <v>0.0015</v>
      </c>
    </row>
    <row r="309">
      <c r="A309" s="2" t="n">
        <v>26146</v>
      </c>
      <c r="B309" t="n">
        <v>3.56</v>
      </c>
      <c r="D309" s="2" t="n">
        <v>34182</v>
      </c>
      <c r="E309" s="1" t="n">
        <v>4.78</v>
      </c>
      <c r="G309" s="2" t="n">
        <v>19053</v>
      </c>
      <c r="H309" t="n">
        <v>-0.0264</v>
      </c>
      <c r="I309" t="n">
        <v>0.0012</v>
      </c>
    </row>
    <row r="310">
      <c r="A310" s="2" t="n">
        <v>26177</v>
      </c>
      <c r="B310" t="n">
        <v>3.56</v>
      </c>
      <c r="D310" s="2" t="n">
        <v>34213</v>
      </c>
      <c r="E310" s="1" t="n">
        <v>4.86</v>
      </c>
      <c r="G310" s="2" t="n">
        <v>19084</v>
      </c>
      <c r="H310" t="n">
        <v>0.0444</v>
      </c>
      <c r="I310" t="n">
        <v>0.0011</v>
      </c>
    </row>
    <row r="311">
      <c r="A311" s="2" t="n">
        <v>26207</v>
      </c>
      <c r="B311" t="n">
        <v>3.56</v>
      </c>
      <c r="D311" s="2" t="n">
        <v>34243</v>
      </c>
      <c r="E311" s="1" t="n">
        <v>4.81</v>
      </c>
      <c r="G311" s="2" t="n">
        <v>19114</v>
      </c>
      <c r="H311" t="n">
        <v>-0.0497</v>
      </c>
      <c r="I311" t="n">
        <v>0.0012</v>
      </c>
    </row>
    <row r="312">
      <c r="A312" s="2" t="n">
        <v>26238</v>
      </c>
      <c r="B312" t="n">
        <v>3.56</v>
      </c>
      <c r="D312" s="2" t="n">
        <v>34274</v>
      </c>
      <c r="E312" s="1" t="n">
        <v>4.78</v>
      </c>
      <c r="G312" s="2" t="n">
        <v>19143</v>
      </c>
      <c r="H312" t="n">
        <v>0.032</v>
      </c>
      <c r="I312" t="n">
        <v>0.0013</v>
      </c>
    </row>
    <row r="313">
      <c r="A313" s="2" t="n">
        <v>26268</v>
      </c>
      <c r="B313" t="n">
        <v>3.56</v>
      </c>
      <c r="D313" s="2" t="n">
        <v>34304</v>
      </c>
      <c r="E313" s="1" t="n">
        <v>4.82</v>
      </c>
      <c r="G313" s="2" t="n">
        <v>19175</v>
      </c>
      <c r="H313" t="n">
        <v>0.0384</v>
      </c>
      <c r="I313" t="n">
        <v>0.0015</v>
      </c>
    </row>
    <row r="314">
      <c r="A314" s="2" t="n">
        <v>26299</v>
      </c>
      <c r="B314" t="n">
        <v>3.56</v>
      </c>
      <c r="D314" s="2" t="n">
        <v>34335</v>
      </c>
      <c r="E314" s="1" t="n">
        <v>4.81</v>
      </c>
      <c r="G314" s="2" t="n">
        <v>19206</v>
      </c>
      <c r="H314" t="n">
        <v>0.0091</v>
      </c>
      <c r="I314" t="n">
        <v>0.0015</v>
      </c>
    </row>
    <row r="315">
      <c r="A315" s="2" t="n">
        <v>26330</v>
      </c>
      <c r="B315" t="n">
        <v>3.56</v>
      </c>
      <c r="D315" s="2" t="n">
        <v>34366</v>
      </c>
      <c r="E315" s="1" t="n">
        <v>4.8</v>
      </c>
      <c r="G315" s="2" t="n">
        <v>19235</v>
      </c>
      <c r="H315" t="n">
        <v>-0.0077</v>
      </c>
      <c r="I315" t="n">
        <v>0.0015</v>
      </c>
    </row>
    <row r="316">
      <c r="A316" s="2" t="n">
        <v>26359</v>
      </c>
      <c r="B316" t="n">
        <v>3.56</v>
      </c>
      <c r="D316" s="2" t="n">
        <v>34394</v>
      </c>
      <c r="E316" s="1" t="n">
        <v>4.88</v>
      </c>
      <c r="G316" s="2" t="n">
        <v>19267</v>
      </c>
      <c r="H316" t="n">
        <v>-0.0204</v>
      </c>
      <c r="I316" t="n">
        <v>0.0016</v>
      </c>
    </row>
    <row r="317">
      <c r="A317" s="2" t="n">
        <v>26390</v>
      </c>
      <c r="B317" t="n">
        <v>3.56</v>
      </c>
      <c r="D317" s="2" t="n">
        <v>34425</v>
      </c>
      <c r="E317" s="1" t="n">
        <v>4.92</v>
      </c>
      <c r="G317" s="2" t="n">
        <v>19298</v>
      </c>
      <c r="H317" t="n">
        <v>-0.0066</v>
      </c>
      <c r="I317" t="n">
        <v>0.0014</v>
      </c>
    </row>
    <row r="318">
      <c r="A318" s="2" t="n">
        <v>26420</v>
      </c>
      <c r="B318" t="n">
        <v>3.56</v>
      </c>
      <c r="D318" s="2" t="n">
        <v>34455</v>
      </c>
      <c r="E318" s="1" t="n">
        <v>4.85</v>
      </c>
      <c r="G318" s="2" t="n">
        <v>19326</v>
      </c>
      <c r="H318" t="n">
        <v>0.0596</v>
      </c>
      <c r="I318" t="n">
        <v>0.001</v>
      </c>
    </row>
    <row r="319">
      <c r="A319" s="2" t="n">
        <v>26451</v>
      </c>
      <c r="B319" t="n">
        <v>3.56</v>
      </c>
      <c r="D319" s="2" t="n">
        <v>34486</v>
      </c>
      <c r="E319" s="1" t="n">
        <v>5.12</v>
      </c>
      <c r="G319" s="2" t="n">
        <v>19359</v>
      </c>
      <c r="H319" t="n">
        <v>0.0293</v>
      </c>
      <c r="I319" t="n">
        <v>0.0016</v>
      </c>
    </row>
    <row r="320">
      <c r="A320" s="2" t="n">
        <v>26481</v>
      </c>
      <c r="B320" t="n">
        <v>3.56</v>
      </c>
      <c r="D320" s="2" t="n">
        <v>34516</v>
      </c>
      <c r="E320" s="1" t="n">
        <v>5.41</v>
      </c>
      <c r="G320" s="2" t="n">
        <v>19389</v>
      </c>
      <c r="H320" t="n">
        <v>-0.0034</v>
      </c>
      <c r="I320" t="n">
        <v>0.0016</v>
      </c>
    </row>
    <row r="321">
      <c r="A321" s="2" t="n">
        <v>26512</v>
      </c>
      <c r="B321" t="n">
        <v>3.56</v>
      </c>
      <c r="D321" s="2" t="n">
        <v>34547</v>
      </c>
      <c r="E321" s="1" t="n">
        <v>5.6</v>
      </c>
      <c r="G321" s="2" t="n">
        <v>19417</v>
      </c>
      <c r="H321" t="n">
        <v>-0.0027</v>
      </c>
      <c r="I321" t="n">
        <v>0.0014</v>
      </c>
    </row>
    <row r="322">
      <c r="A322" s="2" t="n">
        <v>26543</v>
      </c>
      <c r="B322" t="n">
        <v>3.56</v>
      </c>
      <c r="D322" s="2" t="n">
        <v>34578</v>
      </c>
      <c r="E322" s="1" t="n">
        <v>5.93</v>
      </c>
      <c r="G322" s="2" t="n">
        <v>19449</v>
      </c>
      <c r="H322" t="n">
        <v>-0.0144</v>
      </c>
      <c r="I322" t="n">
        <v>0.0018</v>
      </c>
    </row>
    <row r="323">
      <c r="A323" s="2" t="n">
        <v>26573</v>
      </c>
      <c r="B323" t="n">
        <v>3.56</v>
      </c>
      <c r="D323" s="2" t="n">
        <v>34608</v>
      </c>
      <c r="E323" s="1" t="n">
        <v>6.45</v>
      </c>
      <c r="G323" s="2" t="n">
        <v>19479</v>
      </c>
      <c r="H323" t="n">
        <v>-0.0283</v>
      </c>
      <c r="I323" t="n">
        <v>0.0016</v>
      </c>
    </row>
    <row r="324">
      <c r="A324" s="2" t="n">
        <v>26604</v>
      </c>
      <c r="B324" t="n">
        <v>3.56</v>
      </c>
      <c r="D324" s="2" t="n">
        <v>34639</v>
      </c>
      <c r="E324" s="1" t="n">
        <v>7.16</v>
      </c>
      <c r="G324" s="2" t="n">
        <v>19508</v>
      </c>
      <c r="H324" t="n">
        <v>0.0051</v>
      </c>
      <c r="I324" t="n">
        <v>0.0017</v>
      </c>
    </row>
    <row r="325">
      <c r="A325" s="2" t="n">
        <v>26634</v>
      </c>
      <c r="B325" t="n">
        <v>3.56</v>
      </c>
      <c r="D325" s="2" t="n">
        <v>34669</v>
      </c>
      <c r="E325" s="1" t="n">
        <v>7.95</v>
      </c>
      <c r="G325" s="2" t="n">
        <v>19540</v>
      </c>
      <c r="H325" t="n">
        <v>-0.0189</v>
      </c>
      <c r="I325" t="n">
        <v>0.0018</v>
      </c>
    </row>
    <row r="326">
      <c r="A326" s="2" t="n">
        <v>26665</v>
      </c>
      <c r="B326" t="n">
        <v>3.56</v>
      </c>
      <c r="D326" s="2" t="n">
        <v>34700</v>
      </c>
      <c r="E326" s="1" t="n">
        <v>8.369999999999999</v>
      </c>
      <c r="G326" s="2" t="n">
        <v>19571</v>
      </c>
      <c r="H326" t="n">
        <v>0.024</v>
      </c>
      <c r="I326" t="n">
        <v>0.0015</v>
      </c>
    </row>
    <row r="327">
      <c r="A327" s="2" t="n">
        <v>26696</v>
      </c>
      <c r="B327" t="n">
        <v>3.56</v>
      </c>
      <c r="D327" s="2" t="n">
        <v>34731</v>
      </c>
      <c r="E327" s="1" t="n">
        <v>8.08</v>
      </c>
      <c r="G327" s="2" t="n">
        <v>19602</v>
      </c>
      <c r="H327" t="n">
        <v>-0.0456</v>
      </c>
      <c r="I327" t="n">
        <v>0.0017</v>
      </c>
    </row>
    <row r="328">
      <c r="A328" s="2" t="n">
        <v>26724</v>
      </c>
      <c r="B328" t="n">
        <v>3.56</v>
      </c>
      <c r="D328" s="2" t="n">
        <v>34759</v>
      </c>
      <c r="E328" s="1" t="n">
        <v>8.130000000000001</v>
      </c>
      <c r="G328" s="2" t="n">
        <v>19632</v>
      </c>
      <c r="H328" t="n">
        <v>0.0021</v>
      </c>
      <c r="I328" t="n">
        <v>0.0016</v>
      </c>
    </row>
    <row r="329">
      <c r="A329" s="2" t="n">
        <v>26755</v>
      </c>
      <c r="B329" t="n">
        <v>3.56</v>
      </c>
      <c r="D329" s="2" t="n">
        <v>34790</v>
      </c>
      <c r="E329" s="1" t="n">
        <v>7.89</v>
      </c>
      <c r="G329" s="2" t="n">
        <v>19662</v>
      </c>
      <c r="H329" t="n">
        <v>0.046</v>
      </c>
      <c r="I329" t="n">
        <v>0.0013</v>
      </c>
    </row>
    <row r="330">
      <c r="A330" s="2" t="n">
        <v>26785</v>
      </c>
      <c r="B330" t="n">
        <v>3.56</v>
      </c>
      <c r="D330" s="2" t="n">
        <v>34820</v>
      </c>
      <c r="E330" s="1" t="n">
        <v>7.7</v>
      </c>
      <c r="G330" s="2" t="n">
        <v>19693</v>
      </c>
      <c r="H330" t="n">
        <v>0.0284</v>
      </c>
      <c r="I330" t="n">
        <v>0.0008</v>
      </c>
    </row>
    <row r="331">
      <c r="A331" s="2" t="n">
        <v>26816</v>
      </c>
      <c r="B331" t="n">
        <v>3.56</v>
      </c>
      <c r="D331" s="2" t="n">
        <v>34851</v>
      </c>
      <c r="E331" s="1" t="n">
        <v>7.55</v>
      </c>
      <c r="G331" s="2" t="n">
        <v>19724</v>
      </c>
      <c r="H331" t="n">
        <v>0.0002</v>
      </c>
      <c r="I331" t="n">
        <v>0.0013</v>
      </c>
    </row>
    <row r="332">
      <c r="A332" s="2" t="n">
        <v>26846</v>
      </c>
      <c r="B332" t="n">
        <v>3.56</v>
      </c>
      <c r="D332" s="2" t="n">
        <v>34881</v>
      </c>
      <c r="E332" s="1" t="n">
        <v>7.56</v>
      </c>
      <c r="G332" s="2" t="n">
        <v>19753</v>
      </c>
      <c r="H332" t="n">
        <v>0.0513</v>
      </c>
      <c r="I332" t="n">
        <v>0.0011</v>
      </c>
    </row>
    <row r="333">
      <c r="A333" s="2" t="n">
        <v>26877</v>
      </c>
      <c r="B333" t="n">
        <v>4.31</v>
      </c>
      <c r="D333" s="2" t="n">
        <v>34912</v>
      </c>
      <c r="E333" s="1" t="n">
        <v>7.58</v>
      </c>
      <c r="G333" s="2" t="n">
        <v>19781</v>
      </c>
      <c r="H333" t="n">
        <v>0.0167</v>
      </c>
      <c r="I333" t="n">
        <v>0.0007</v>
      </c>
    </row>
    <row r="334">
      <c r="A334" s="2" t="n">
        <v>26908</v>
      </c>
      <c r="B334" t="n">
        <v>4.31</v>
      </c>
      <c r="D334" s="2" t="n">
        <v>34943</v>
      </c>
      <c r="E334" s="1" t="n">
        <v>7.49</v>
      </c>
      <c r="G334" s="2" t="n">
        <v>19814</v>
      </c>
      <c r="H334" t="n">
        <v>0.0366</v>
      </c>
      <c r="I334" t="n">
        <v>0.0008</v>
      </c>
    </row>
    <row r="335">
      <c r="A335" s="2" t="n">
        <v>26938</v>
      </c>
      <c r="B335" t="n">
        <v>4.31</v>
      </c>
      <c r="D335" s="2" t="n">
        <v>34973</v>
      </c>
      <c r="E335" s="1" t="n">
        <v>7.47</v>
      </c>
      <c r="G335" s="2" t="n">
        <v>19844</v>
      </c>
      <c r="H335" t="n">
        <v>0.0427</v>
      </c>
      <c r="I335" t="n">
        <v>0.0009</v>
      </c>
    </row>
    <row r="336">
      <c r="A336" s="2" t="n">
        <v>26969</v>
      </c>
      <c r="B336" t="n">
        <v>4.31</v>
      </c>
      <c r="D336" s="2" t="n">
        <v>35004</v>
      </c>
      <c r="E336" s="1" t="n">
        <v>7.46</v>
      </c>
      <c r="G336" s="2" t="n">
        <v>19872</v>
      </c>
      <c r="H336" t="n">
        <v>0.031</v>
      </c>
      <c r="I336" t="n">
        <v>0.0005</v>
      </c>
    </row>
    <row r="337">
      <c r="A337" s="2" t="n">
        <v>26999</v>
      </c>
      <c r="B337" t="n">
        <v>4.31</v>
      </c>
      <c r="D337" s="2" t="n">
        <v>35034</v>
      </c>
      <c r="E337" s="1" t="n">
        <v>7.43</v>
      </c>
      <c r="G337" s="2" t="n">
        <v>19905</v>
      </c>
      <c r="H337" t="n">
        <v>0.0108</v>
      </c>
      <c r="I337" t="n">
        <v>0.0005999999999999999</v>
      </c>
    </row>
    <row r="338">
      <c r="A338" s="2" t="n">
        <v>27030</v>
      </c>
      <c r="B338" t="n">
        <v>10.11</v>
      </c>
      <c r="D338" s="2" t="n">
        <v>35065</v>
      </c>
      <c r="E338" s="1" t="n">
        <v>7.46</v>
      </c>
      <c r="G338" s="2" t="n">
        <v>19935</v>
      </c>
      <c r="H338" t="n">
        <v>0.05</v>
      </c>
      <c r="I338" t="n">
        <v>0.0005</v>
      </c>
    </row>
    <row r="339">
      <c r="A339" s="2" t="n">
        <v>27061</v>
      </c>
      <c r="B339" t="n">
        <v>10.11</v>
      </c>
      <c r="D339" s="2" t="n">
        <v>35096</v>
      </c>
      <c r="E339" s="1" t="n">
        <v>7.47</v>
      </c>
      <c r="G339" s="2" t="n">
        <v>19967</v>
      </c>
      <c r="H339" t="n">
        <v>-0.0235</v>
      </c>
      <c r="I339" t="n">
        <v>0.0005</v>
      </c>
    </row>
    <row r="340">
      <c r="A340" s="2" t="n">
        <v>27089</v>
      </c>
      <c r="B340" t="n">
        <v>10.11</v>
      </c>
      <c r="D340" s="2" t="n">
        <v>35125</v>
      </c>
      <c r="E340" s="1" t="n">
        <v>7.53</v>
      </c>
      <c r="G340" s="2" t="n">
        <v>19997</v>
      </c>
      <c r="H340" t="n">
        <v>0.064</v>
      </c>
      <c r="I340" t="n">
        <v>0.0009</v>
      </c>
    </row>
    <row r="341">
      <c r="A341" s="2" t="n">
        <v>27120</v>
      </c>
      <c r="B341" t="n">
        <v>10.11</v>
      </c>
      <c r="D341" s="2" t="n">
        <v>35156</v>
      </c>
      <c r="E341" s="1" t="n">
        <v>7.57</v>
      </c>
      <c r="G341" s="2" t="n">
        <v>20026</v>
      </c>
      <c r="H341" t="n">
        <v>-0.0167</v>
      </c>
      <c r="I341" t="n">
        <v>0.0007</v>
      </c>
    </row>
    <row r="342">
      <c r="A342" s="2" t="n">
        <v>27150</v>
      </c>
      <c r="B342" t="n">
        <v>10.11</v>
      </c>
      <c r="D342" s="2" t="n">
        <v>35186</v>
      </c>
      <c r="E342" s="1" t="n">
        <v>7.55</v>
      </c>
      <c r="G342" s="2" t="n">
        <v>20058</v>
      </c>
      <c r="H342" t="n">
        <v>0.0941</v>
      </c>
      <c r="I342" t="n">
        <v>0.0005999999999999999</v>
      </c>
    </row>
    <row r="343">
      <c r="A343" s="2" t="n">
        <v>27181</v>
      </c>
      <c r="B343" t="n">
        <v>10.11</v>
      </c>
      <c r="D343" s="2" t="n">
        <v>35217</v>
      </c>
      <c r="E343" s="1" t="n">
        <v>7.57</v>
      </c>
      <c r="G343" s="2" t="n">
        <v>20089</v>
      </c>
      <c r="H343" t="n">
        <v>0.0549</v>
      </c>
      <c r="I343" t="n">
        <v>0.0008</v>
      </c>
    </row>
    <row r="344">
      <c r="A344" s="2" t="n">
        <v>27211</v>
      </c>
      <c r="B344" t="n">
        <v>10.11</v>
      </c>
      <c r="D344" s="2" t="n">
        <v>35247</v>
      </c>
      <c r="E344" s="1" t="n">
        <v>7.56</v>
      </c>
      <c r="G344" s="2" t="n">
        <v>20120</v>
      </c>
      <c r="H344" t="n">
        <v>0.006</v>
      </c>
      <c r="I344" t="n">
        <v>0.0008</v>
      </c>
    </row>
    <row r="345">
      <c r="A345" s="2" t="n">
        <v>27242</v>
      </c>
      <c r="B345" t="n">
        <v>10.11</v>
      </c>
      <c r="D345" s="2" t="n">
        <v>35278</v>
      </c>
      <c r="E345" s="1" t="n">
        <v>6.92</v>
      </c>
      <c r="G345" s="2" t="n">
        <v>20148</v>
      </c>
      <c r="H345" t="n">
        <v>0.0302</v>
      </c>
      <c r="I345" t="n">
        <v>0.0009</v>
      </c>
    </row>
    <row r="346">
      <c r="A346" s="2" t="n">
        <v>27273</v>
      </c>
      <c r="B346" t="n">
        <v>10.11</v>
      </c>
      <c r="D346" s="2" t="n">
        <v>35309</v>
      </c>
      <c r="E346" s="1" t="n">
        <v>6.91</v>
      </c>
      <c r="G346" s="2" t="n">
        <v>20179</v>
      </c>
      <c r="H346" t="n">
        <v>-0.0015</v>
      </c>
      <c r="I346" t="n">
        <v>0.001</v>
      </c>
    </row>
    <row r="347">
      <c r="A347" s="2" t="n">
        <v>27303</v>
      </c>
      <c r="B347" t="n">
        <v>11.16</v>
      </c>
      <c r="D347" s="2" t="n">
        <v>35339</v>
      </c>
      <c r="E347" s="1" t="n">
        <v>6.7</v>
      </c>
      <c r="G347" s="2" t="n">
        <v>20208</v>
      </c>
      <c r="H347" t="n">
        <v>0.0311</v>
      </c>
      <c r="I347" t="n">
        <v>0.001</v>
      </c>
    </row>
    <row r="348">
      <c r="A348" s="2" t="n">
        <v>27334</v>
      </c>
      <c r="B348" t="n">
        <v>11.16</v>
      </c>
      <c r="D348" s="2" t="n">
        <v>35370</v>
      </c>
      <c r="E348" s="1" t="n">
        <v>6.45</v>
      </c>
      <c r="G348" s="2" t="n">
        <v>20240</v>
      </c>
      <c r="H348" t="n">
        <v>0.0094</v>
      </c>
      <c r="I348" t="n">
        <v>0.0014</v>
      </c>
    </row>
    <row r="349">
      <c r="A349" s="2" t="n">
        <v>27364</v>
      </c>
      <c r="B349" t="n">
        <v>11.16</v>
      </c>
      <c r="D349" s="2" t="n">
        <v>35400</v>
      </c>
      <c r="E349" s="1" t="n">
        <v>6.13</v>
      </c>
      <c r="G349" s="2" t="n">
        <v>20270</v>
      </c>
      <c r="H349" t="n">
        <v>0.0655</v>
      </c>
      <c r="I349" t="n">
        <v>0.001</v>
      </c>
    </row>
    <row r="350">
      <c r="A350" s="2" t="n">
        <v>27395</v>
      </c>
      <c r="B350" t="n">
        <v>11.16</v>
      </c>
      <c r="D350" s="2" t="n">
        <v>35431</v>
      </c>
      <c r="E350" s="1" t="n">
        <v>5.82</v>
      </c>
      <c r="G350" s="2" t="n">
        <v>20299</v>
      </c>
      <c r="H350" t="n">
        <v>0.0189</v>
      </c>
      <c r="I350" t="n">
        <v>0.001</v>
      </c>
    </row>
    <row r="351">
      <c r="A351" s="2" t="n">
        <v>27426</v>
      </c>
      <c r="B351" t="n">
        <v>11.16</v>
      </c>
      <c r="D351" s="2" t="n">
        <v>35462</v>
      </c>
      <c r="E351" s="1" t="n">
        <v>5.91</v>
      </c>
      <c r="G351" s="2" t="n">
        <v>20332</v>
      </c>
      <c r="H351" t="n">
        <v>0.0022</v>
      </c>
      <c r="I351" t="n">
        <v>0.0016</v>
      </c>
    </row>
    <row r="352">
      <c r="A352" s="2" t="n">
        <v>27454</v>
      </c>
      <c r="B352" t="n">
        <v>11.16</v>
      </c>
      <c r="D352" s="2" t="n">
        <v>35490</v>
      </c>
      <c r="E352" s="1" t="n">
        <v>6.05</v>
      </c>
      <c r="G352" s="2" t="n">
        <v>20362</v>
      </c>
      <c r="H352" t="n">
        <v>-0.0037</v>
      </c>
      <c r="I352" t="n">
        <v>0.0016</v>
      </c>
    </row>
    <row r="353">
      <c r="A353" s="2" t="n">
        <v>27485</v>
      </c>
      <c r="B353" t="n">
        <v>11.16</v>
      </c>
      <c r="D353" s="2" t="n">
        <v>35521</v>
      </c>
      <c r="E353" s="1" t="n">
        <v>6.04</v>
      </c>
      <c r="G353" s="2" t="n">
        <v>20393</v>
      </c>
      <c r="H353" t="n">
        <v>-0.0267</v>
      </c>
      <c r="I353" t="n">
        <v>0.0018</v>
      </c>
    </row>
    <row r="354">
      <c r="A354" s="2" t="n">
        <v>27515</v>
      </c>
      <c r="B354" t="n">
        <v>11.16</v>
      </c>
      <c r="D354" s="2" t="n">
        <v>35551</v>
      </c>
      <c r="E354" s="1" t="n">
        <v>5.87</v>
      </c>
      <c r="G354" s="2" t="n">
        <v>20423</v>
      </c>
      <c r="H354" t="n">
        <v>0.0704</v>
      </c>
      <c r="I354" t="n">
        <v>0.0017</v>
      </c>
    </row>
    <row r="355">
      <c r="A355" s="2" t="n">
        <v>27546</v>
      </c>
      <c r="B355" t="n">
        <v>11.16</v>
      </c>
      <c r="D355" s="2" t="n">
        <v>35582</v>
      </c>
      <c r="E355" s="1" t="n">
        <v>5.35</v>
      </c>
      <c r="G355" s="2" t="n">
        <v>20453</v>
      </c>
      <c r="H355" t="n">
        <v>0.0149</v>
      </c>
      <c r="I355" t="n">
        <v>0.0018</v>
      </c>
    </row>
    <row r="356">
      <c r="A356" s="2" t="n">
        <v>27576</v>
      </c>
      <c r="B356" t="n">
        <v>11.16</v>
      </c>
      <c r="D356" s="2" t="n">
        <v>35612</v>
      </c>
      <c r="E356" s="1" t="n">
        <v>5.19</v>
      </c>
      <c r="G356" s="2" t="n">
        <v>20485</v>
      </c>
      <c r="H356" t="n">
        <v>-0.0303</v>
      </c>
      <c r="I356" t="n">
        <v>0.0022</v>
      </c>
    </row>
    <row r="357">
      <c r="A357" s="2" t="n">
        <v>27607</v>
      </c>
      <c r="B357" t="n">
        <v>11.16</v>
      </c>
      <c r="D357" s="2" t="n">
        <v>35643</v>
      </c>
      <c r="E357" s="1" t="n">
        <v>4.9</v>
      </c>
      <c r="G357" s="2" t="n">
        <v>20514</v>
      </c>
      <c r="H357" t="n">
        <v>0.0378</v>
      </c>
      <c r="I357" t="n">
        <v>0.0019</v>
      </c>
    </row>
    <row r="358">
      <c r="A358" s="2" t="n">
        <v>27638</v>
      </c>
      <c r="B358" t="n">
        <v>11.16</v>
      </c>
      <c r="D358" s="2" t="n">
        <v>35674</v>
      </c>
      <c r="E358" s="1" t="n">
        <v>4.77</v>
      </c>
      <c r="G358" s="2" t="n">
        <v>20543</v>
      </c>
      <c r="H358" t="n">
        <v>0.0664</v>
      </c>
      <c r="I358" t="n">
        <v>0.0015</v>
      </c>
    </row>
    <row r="359">
      <c r="A359" s="2" t="n">
        <v>27668</v>
      </c>
      <c r="B359" t="n">
        <v>11.16</v>
      </c>
      <c r="D359" s="2" t="n">
        <v>35704</v>
      </c>
      <c r="E359" s="1" t="n">
        <v>4.83</v>
      </c>
      <c r="G359" s="2" t="n">
        <v>20575</v>
      </c>
      <c r="H359" t="n">
        <v>0.0028</v>
      </c>
      <c r="I359" t="n">
        <v>0.0019</v>
      </c>
    </row>
    <row r="360">
      <c r="A360" s="2" t="n">
        <v>27699</v>
      </c>
      <c r="B360" t="n">
        <v>11.16</v>
      </c>
      <c r="D360" s="2" t="n">
        <v>35735</v>
      </c>
      <c r="E360" s="1" t="n">
        <v>4.95</v>
      </c>
      <c r="G360" s="2" t="n">
        <v>20606</v>
      </c>
      <c r="H360" t="n">
        <v>-0.0522</v>
      </c>
      <c r="I360" t="n">
        <v>0.0023</v>
      </c>
    </row>
    <row r="361">
      <c r="A361" s="2" t="n">
        <v>27729</v>
      </c>
      <c r="B361" t="n">
        <v>11.16</v>
      </c>
      <c r="D361" s="2" t="n">
        <v>35765</v>
      </c>
      <c r="E361" s="1" t="n">
        <v>5.07</v>
      </c>
      <c r="G361" s="2" t="n">
        <v>20635</v>
      </c>
      <c r="H361" t="n">
        <v>0.0347</v>
      </c>
      <c r="I361" t="n">
        <v>0.002</v>
      </c>
    </row>
    <row r="362">
      <c r="A362" s="2" t="n">
        <v>27760</v>
      </c>
      <c r="B362" t="n">
        <v>11.16</v>
      </c>
      <c r="D362" s="2" t="n">
        <v>35796</v>
      </c>
      <c r="E362" s="1" t="n">
        <v>4.99</v>
      </c>
      <c r="G362" s="2" t="n">
        <v>20667</v>
      </c>
      <c r="H362" t="n">
        <v>0.0484</v>
      </c>
      <c r="I362" t="n">
        <v>0.0022</v>
      </c>
    </row>
    <row r="363">
      <c r="A363" s="2" t="n">
        <v>27791</v>
      </c>
      <c r="B363" t="n">
        <v>12.03</v>
      </c>
      <c r="D363" s="2" t="n">
        <v>35827</v>
      </c>
      <c r="E363" s="1" t="n">
        <v>4.97</v>
      </c>
      <c r="G363" s="2" t="n">
        <v>20698</v>
      </c>
      <c r="H363" t="n">
        <v>-0.0319</v>
      </c>
      <c r="I363" t="n">
        <v>0.0017</v>
      </c>
    </row>
    <row r="364">
      <c r="A364" s="2" t="n">
        <v>27820</v>
      </c>
      <c r="B364" t="n">
        <v>12.1</v>
      </c>
      <c r="D364" s="2" t="n">
        <v>35855</v>
      </c>
      <c r="E364" s="1" t="n">
        <v>4.96</v>
      </c>
      <c r="G364" s="2" t="n">
        <v>20726</v>
      </c>
      <c r="H364" t="n">
        <v>-0.0514</v>
      </c>
      <c r="I364" t="n">
        <v>0.0018</v>
      </c>
    </row>
    <row r="365">
      <c r="A365" s="2" t="n">
        <v>27851</v>
      </c>
      <c r="B365" t="n">
        <v>12.17</v>
      </c>
      <c r="D365" s="2" t="n">
        <v>35886</v>
      </c>
      <c r="E365" s="1" t="n">
        <v>4.92</v>
      </c>
      <c r="G365" s="2" t="n">
        <v>20759</v>
      </c>
      <c r="H365" t="n">
        <v>0.0052</v>
      </c>
      <c r="I365" t="n">
        <v>0.0025</v>
      </c>
    </row>
    <row r="366">
      <c r="A366" s="2" t="n">
        <v>27881</v>
      </c>
      <c r="B366" t="n">
        <v>12.17</v>
      </c>
      <c r="D366" s="2" t="n">
        <v>35916</v>
      </c>
      <c r="E366" s="1" t="n">
        <v>4.96</v>
      </c>
      <c r="G366" s="2" t="n">
        <v>20789</v>
      </c>
      <c r="H366" t="n">
        <v>0.0035</v>
      </c>
      <c r="I366" t="n">
        <v>0.002</v>
      </c>
    </row>
    <row r="367">
      <c r="A367" s="2" t="n">
        <v>27912</v>
      </c>
      <c r="B367" t="n">
        <v>12.17</v>
      </c>
      <c r="D367" s="2" t="n">
        <v>35947</v>
      </c>
      <c r="E367" s="1" t="n">
        <v>5.32</v>
      </c>
      <c r="G367" s="2" t="n">
        <v>20820</v>
      </c>
      <c r="H367" t="n">
        <v>0.0316</v>
      </c>
      <c r="I367" t="n">
        <v>0.0024</v>
      </c>
    </row>
    <row r="368">
      <c r="A368" s="2" t="n">
        <v>27942</v>
      </c>
      <c r="B368" t="n">
        <v>12.17</v>
      </c>
      <c r="D368" s="2" t="n">
        <v>35977</v>
      </c>
      <c r="E368" s="1" t="n">
        <v>5.17</v>
      </c>
      <c r="G368" s="2" t="n">
        <v>20851</v>
      </c>
      <c r="H368" t="n">
        <v>-0.0357</v>
      </c>
      <c r="I368" t="n">
        <v>0.0027</v>
      </c>
    </row>
    <row r="369">
      <c r="A369" s="2" t="n">
        <v>27973</v>
      </c>
      <c r="B369" t="n">
        <v>12.17</v>
      </c>
      <c r="D369" s="2" t="n">
        <v>36008</v>
      </c>
      <c r="E369" s="1" t="n">
        <v>5.19</v>
      </c>
      <c r="G369" s="2" t="n">
        <v>20879</v>
      </c>
      <c r="H369" t="n">
        <v>-0.0207</v>
      </c>
      <c r="I369" t="n">
        <v>0.0024</v>
      </c>
    </row>
    <row r="370">
      <c r="A370" s="2" t="n">
        <v>28004</v>
      </c>
      <c r="B370" t="n">
        <v>13.9</v>
      </c>
      <c r="D370" s="2" t="n">
        <v>36039</v>
      </c>
      <c r="E370" s="1" t="n">
        <v>5.03</v>
      </c>
      <c r="G370" s="2" t="n">
        <v>20908</v>
      </c>
      <c r="H370" t="n">
        <v>0.0213</v>
      </c>
      <c r="I370" t="n">
        <v>0.0023</v>
      </c>
    </row>
    <row r="371">
      <c r="A371" s="2" t="n">
        <v>28034</v>
      </c>
      <c r="B371" t="n">
        <v>13.9</v>
      </c>
      <c r="D371" s="2" t="n">
        <v>36069</v>
      </c>
      <c r="E371" s="1" t="n">
        <v>4.83</v>
      </c>
      <c r="G371" s="2" t="n">
        <v>20940</v>
      </c>
      <c r="H371" t="n">
        <v>0.0426</v>
      </c>
      <c r="I371" t="n">
        <v>0.0025</v>
      </c>
    </row>
    <row r="372">
      <c r="A372" s="2" t="n">
        <v>28065</v>
      </c>
      <c r="B372" t="n">
        <v>13.9</v>
      </c>
      <c r="D372" s="2" t="n">
        <v>36100</v>
      </c>
      <c r="E372" s="1" t="n">
        <v>4.88</v>
      </c>
      <c r="G372" s="2" t="n">
        <v>20971</v>
      </c>
      <c r="H372" t="n">
        <v>0.0346</v>
      </c>
      <c r="I372" t="n">
        <v>0.0026</v>
      </c>
    </row>
    <row r="373">
      <c r="A373" s="2" t="n">
        <v>28095</v>
      </c>
      <c r="B373" t="n">
        <v>13.9</v>
      </c>
      <c r="D373" s="2" t="n">
        <v>36130</v>
      </c>
      <c r="E373" s="1" t="n">
        <v>4.8</v>
      </c>
      <c r="G373" s="2" t="n">
        <v>20999</v>
      </c>
      <c r="H373" t="n">
        <v>-0.0075</v>
      </c>
      <c r="I373" t="n">
        <v>0.0024</v>
      </c>
    </row>
    <row r="374">
      <c r="A374" s="2" t="n">
        <v>28126</v>
      </c>
      <c r="B374" t="n">
        <v>13.9</v>
      </c>
      <c r="D374" s="2" t="n">
        <v>36161</v>
      </c>
      <c r="E374" s="1" t="n">
        <v>4.79</v>
      </c>
      <c r="G374" s="2" t="n">
        <v>21032</v>
      </c>
      <c r="H374" t="n">
        <v>0.0066</v>
      </c>
      <c r="I374" t="n">
        <v>0.003</v>
      </c>
    </row>
    <row r="375">
      <c r="A375" s="2" t="n">
        <v>28157</v>
      </c>
      <c r="B375" t="n">
        <v>13.9</v>
      </c>
      <c r="D375" s="2" t="n">
        <v>36192</v>
      </c>
      <c r="E375" s="1" t="n">
        <v>4.77</v>
      </c>
      <c r="G375" s="2" t="n">
        <v>21062</v>
      </c>
      <c r="H375" t="n">
        <v>-0.0512</v>
      </c>
      <c r="I375" t="n">
        <v>0.0025</v>
      </c>
    </row>
    <row r="376">
      <c r="A376" s="2" t="n">
        <v>28185</v>
      </c>
      <c r="B376" t="n">
        <v>13.9</v>
      </c>
      <c r="D376" s="2" t="n">
        <v>36220</v>
      </c>
      <c r="E376" s="1" t="n">
        <v>4.81</v>
      </c>
      <c r="G376" s="2" t="n">
        <v>21093</v>
      </c>
      <c r="H376" t="n">
        <v>-0.0599</v>
      </c>
      <c r="I376" t="n">
        <v>0.0026</v>
      </c>
    </row>
    <row r="377">
      <c r="A377" s="2" t="n">
        <v>28216</v>
      </c>
      <c r="B377" t="n">
        <v>13.9</v>
      </c>
      <c r="D377" s="2" t="n">
        <v>36251</v>
      </c>
      <c r="E377" s="1" t="n">
        <v>4.76</v>
      </c>
      <c r="G377" s="2" t="n">
        <v>21124</v>
      </c>
      <c r="H377" t="n">
        <v>-0.0432</v>
      </c>
      <c r="I377" t="n">
        <v>0.0029</v>
      </c>
    </row>
    <row r="378">
      <c r="A378" s="2" t="n">
        <v>28246</v>
      </c>
      <c r="B378" t="n">
        <v>13.9</v>
      </c>
      <c r="D378" s="2" t="n">
        <v>36281</v>
      </c>
      <c r="E378" s="1" t="n">
        <v>4.86</v>
      </c>
      <c r="G378" s="2" t="n">
        <v>21153</v>
      </c>
      <c r="H378" t="n">
        <v>0.0231</v>
      </c>
      <c r="I378" t="n">
        <v>0.0028</v>
      </c>
    </row>
    <row r="379">
      <c r="A379" s="2" t="n">
        <v>28277</v>
      </c>
      <c r="B379" t="n">
        <v>13.9</v>
      </c>
      <c r="D379" s="2" t="n">
        <v>36312</v>
      </c>
      <c r="E379" s="1" t="n">
        <v>4.93</v>
      </c>
      <c r="G379" s="2" t="n">
        <v>21185</v>
      </c>
      <c r="H379" t="n">
        <v>-0.039</v>
      </c>
      <c r="I379" t="n">
        <v>0.0024</v>
      </c>
    </row>
    <row r="380">
      <c r="A380" s="2" t="n">
        <v>28307</v>
      </c>
      <c r="B380" t="n">
        <v>13.9</v>
      </c>
      <c r="D380" s="2" t="n">
        <v>36342</v>
      </c>
      <c r="E380" s="1" t="n">
        <v>4.89</v>
      </c>
      <c r="G380" s="2" t="n">
        <v>21216</v>
      </c>
      <c r="H380" t="n">
        <v>0.0465</v>
      </c>
      <c r="I380" t="n">
        <v>0.0028</v>
      </c>
    </row>
    <row r="381">
      <c r="A381" s="2" t="n">
        <v>28338</v>
      </c>
      <c r="B381" t="n">
        <v>14.85</v>
      </c>
      <c r="D381" s="2" t="n">
        <v>36373</v>
      </c>
      <c r="E381" s="1" t="n">
        <v>4.92</v>
      </c>
      <c r="G381" s="2" t="n">
        <v>21244</v>
      </c>
      <c r="H381" t="n">
        <v>-0.0153</v>
      </c>
      <c r="I381" t="n">
        <v>0.0012</v>
      </c>
    </row>
    <row r="382">
      <c r="A382" s="2" t="n">
        <v>28369</v>
      </c>
      <c r="B382" t="n">
        <v>14.85</v>
      </c>
      <c r="D382" s="2" t="n">
        <v>36404</v>
      </c>
      <c r="E382" s="1" t="n">
        <v>5.01</v>
      </c>
      <c r="G382" s="2" t="n">
        <v>21275</v>
      </c>
      <c r="H382" t="n">
        <v>0.0327</v>
      </c>
      <c r="I382" t="n">
        <v>0.0009</v>
      </c>
    </row>
    <row r="383">
      <c r="A383" s="2" t="n">
        <v>28399</v>
      </c>
      <c r="B383" t="n">
        <v>14.85</v>
      </c>
      <c r="D383" s="2" t="n">
        <v>36434</v>
      </c>
      <c r="E383" s="1" t="n">
        <v>5.31</v>
      </c>
      <c r="G383" s="2" t="n">
        <v>21305</v>
      </c>
      <c r="H383" t="n">
        <v>0.0309</v>
      </c>
      <c r="I383" t="n">
        <v>0.0008</v>
      </c>
    </row>
    <row r="384">
      <c r="A384" s="2" t="n">
        <v>28430</v>
      </c>
      <c r="B384" t="n">
        <v>14.85</v>
      </c>
      <c r="D384" s="2" t="n">
        <v>36465</v>
      </c>
      <c r="E384" s="1" t="n">
        <v>5.44</v>
      </c>
      <c r="G384" s="2" t="n">
        <v>21334</v>
      </c>
      <c r="H384" t="n">
        <v>0.0232</v>
      </c>
      <c r="I384" t="n">
        <v>0.0011</v>
      </c>
    </row>
    <row r="385">
      <c r="A385" s="2" t="n">
        <v>28460</v>
      </c>
      <c r="B385" t="n">
        <v>14.85</v>
      </c>
      <c r="D385" s="2" t="n">
        <v>36495</v>
      </c>
      <c r="E385" s="1" t="n">
        <v>5.65</v>
      </c>
      <c r="G385" s="2" t="n">
        <v>21366</v>
      </c>
      <c r="H385" t="n">
        <v>0.0293</v>
      </c>
      <c r="I385" t="n">
        <v>0.0003</v>
      </c>
    </row>
    <row r="386">
      <c r="A386" s="2" t="n">
        <v>28491</v>
      </c>
      <c r="B386" t="n">
        <v>14.85</v>
      </c>
      <c r="D386" s="2" t="n">
        <v>36526</v>
      </c>
      <c r="E386" s="1" t="n">
        <v>5.66</v>
      </c>
      <c r="G386" s="2" t="n">
        <v>21397</v>
      </c>
      <c r="H386" t="n">
        <v>0.0439</v>
      </c>
      <c r="I386" t="n">
        <v>0.0007</v>
      </c>
    </row>
    <row r="387">
      <c r="A387" s="2" t="n">
        <v>28522</v>
      </c>
      <c r="B387" t="n">
        <v>14.85</v>
      </c>
      <c r="D387" s="2" t="n">
        <v>36557</v>
      </c>
      <c r="E387" s="1" t="n">
        <v>5.8</v>
      </c>
      <c r="G387" s="2" t="n">
        <v>21426</v>
      </c>
      <c r="H387" t="n">
        <v>0.019</v>
      </c>
      <c r="I387" t="n">
        <v>0.0004</v>
      </c>
    </row>
    <row r="388">
      <c r="A388" s="2" t="n">
        <v>28550</v>
      </c>
      <c r="B388" t="n">
        <v>14.85</v>
      </c>
      <c r="D388" s="2" t="n">
        <v>36586</v>
      </c>
      <c r="E388" s="1" t="n">
        <v>5.89</v>
      </c>
      <c r="G388" s="2" t="n">
        <v>21458</v>
      </c>
      <c r="H388" t="n">
        <v>0.0466</v>
      </c>
      <c r="I388" t="n">
        <v>0.0019</v>
      </c>
    </row>
    <row r="389">
      <c r="A389" s="2" t="n">
        <v>28581</v>
      </c>
      <c r="B389" t="n">
        <v>14.85</v>
      </c>
      <c r="D389" s="2" t="n">
        <v>36617</v>
      </c>
      <c r="E389" s="1" t="n">
        <v>6.04</v>
      </c>
      <c r="G389" s="2" t="n">
        <v>21489</v>
      </c>
      <c r="H389" t="n">
        <v>0.0253</v>
      </c>
      <c r="I389" t="n">
        <v>0.0018</v>
      </c>
    </row>
    <row r="390">
      <c r="A390" s="2" t="n">
        <v>28611</v>
      </c>
      <c r="B390" t="n">
        <v>14.85</v>
      </c>
      <c r="D390" s="2" t="n">
        <v>36647</v>
      </c>
      <c r="E390" s="1" t="n">
        <v>6.31</v>
      </c>
      <c r="G390" s="2" t="n">
        <v>21517</v>
      </c>
      <c r="H390" t="n">
        <v>0.0301</v>
      </c>
      <c r="I390" t="n">
        <v>0.0011</v>
      </c>
    </row>
    <row r="391">
      <c r="A391" s="2" t="n">
        <v>28642</v>
      </c>
      <c r="B391" t="n">
        <v>14.85</v>
      </c>
      <c r="D391" s="2" t="n">
        <v>36678</v>
      </c>
      <c r="E391" s="1" t="n">
        <v>6.23</v>
      </c>
      <c r="G391" s="2" t="n">
        <v>21550</v>
      </c>
      <c r="H391" t="n">
        <v>0.0516</v>
      </c>
      <c r="I391" t="n">
        <v>0.0022</v>
      </c>
    </row>
    <row r="392">
      <c r="A392" s="2" t="n">
        <v>28672</v>
      </c>
      <c r="B392" t="n">
        <v>14.85</v>
      </c>
      <c r="D392" s="2" t="n">
        <v>36708</v>
      </c>
      <c r="E392" s="1" t="n">
        <v>6.2</v>
      </c>
      <c r="G392" s="2" t="n">
        <v>21580</v>
      </c>
      <c r="H392" t="n">
        <v>0.0071</v>
      </c>
      <c r="I392" t="n">
        <v>0.0021</v>
      </c>
    </row>
    <row r="393">
      <c r="A393" s="2" t="n">
        <v>28703</v>
      </c>
      <c r="B393" t="n">
        <v>14.85</v>
      </c>
      <c r="D393" s="2" t="n">
        <v>36739</v>
      </c>
      <c r="E393" s="1" t="n">
        <v>6.49</v>
      </c>
      <c r="G393" s="2" t="n">
        <v>21608</v>
      </c>
      <c r="H393" t="n">
        <v>0.0095</v>
      </c>
      <c r="I393" t="n">
        <v>0.0019</v>
      </c>
    </row>
    <row r="394">
      <c r="A394" s="2" t="n">
        <v>28734</v>
      </c>
      <c r="B394" t="n">
        <v>14.85</v>
      </c>
      <c r="D394" s="2" t="n">
        <v>36770</v>
      </c>
      <c r="E394" s="1" t="n">
        <v>6.57</v>
      </c>
      <c r="G394" s="2" t="n">
        <v>21640</v>
      </c>
      <c r="H394" t="n">
        <v>0.0028</v>
      </c>
      <c r="I394" t="n">
        <v>0.0022</v>
      </c>
    </row>
    <row r="395">
      <c r="A395" s="2" t="n">
        <v>28764</v>
      </c>
      <c r="B395" t="n">
        <v>14.85</v>
      </c>
      <c r="D395" s="2" t="n">
        <v>36800</v>
      </c>
      <c r="E395" s="1" t="n">
        <v>6.41</v>
      </c>
      <c r="G395" s="2" t="n">
        <v>21670</v>
      </c>
      <c r="H395" t="n">
        <v>0.0366</v>
      </c>
      <c r="I395" t="n">
        <v>0.002</v>
      </c>
    </row>
    <row r="396">
      <c r="A396" s="2" t="n">
        <v>28795</v>
      </c>
      <c r="B396" t="n">
        <v>14.85</v>
      </c>
      <c r="D396" s="2" t="n">
        <v>36831</v>
      </c>
      <c r="E396" s="1" t="n">
        <v>6.33</v>
      </c>
      <c r="G396" s="2" t="n">
        <v>21699</v>
      </c>
      <c r="H396" t="n">
        <v>0.0173</v>
      </c>
      <c r="I396" t="n">
        <v>0.0022</v>
      </c>
    </row>
    <row r="397">
      <c r="A397" s="2" t="n">
        <v>28825</v>
      </c>
      <c r="B397" t="n">
        <v>14.85</v>
      </c>
      <c r="D397" s="2" t="n">
        <v>36861</v>
      </c>
      <c r="E397" s="1" t="n">
        <v>6.2</v>
      </c>
      <c r="G397" s="2" t="n">
        <v>21731</v>
      </c>
      <c r="H397" t="n">
        <v>-0.0024</v>
      </c>
      <c r="I397" t="n">
        <v>0.0024</v>
      </c>
    </row>
    <row r="398">
      <c r="A398" s="2" t="n">
        <v>28856</v>
      </c>
      <c r="B398" t="n">
        <v>14.85</v>
      </c>
      <c r="D398" s="2" t="n">
        <v>36892</v>
      </c>
      <c r="E398" s="1" t="n">
        <v>5.91</v>
      </c>
      <c r="G398" s="2" t="n">
        <v>21762</v>
      </c>
      <c r="H398" t="n">
        <v>0.0318</v>
      </c>
      <c r="I398" t="n">
        <v>0.0025</v>
      </c>
    </row>
    <row r="399">
      <c r="A399" s="2" t="n">
        <v>28887</v>
      </c>
      <c r="B399" t="n">
        <v>15.85</v>
      </c>
      <c r="D399" s="2" t="n">
        <v>36923</v>
      </c>
      <c r="E399" s="1" t="n">
        <v>5.59</v>
      </c>
      <c r="G399" s="2" t="n">
        <v>21793</v>
      </c>
      <c r="H399" t="n">
        <v>-0.0138</v>
      </c>
      <c r="I399" t="n">
        <v>0.0019</v>
      </c>
    </row>
    <row r="400">
      <c r="A400" s="2" t="n">
        <v>28915</v>
      </c>
      <c r="B400" t="n">
        <v>15.85</v>
      </c>
      <c r="D400" s="2" t="n">
        <v>36951</v>
      </c>
      <c r="E400" s="1" t="n">
        <v>5.14</v>
      </c>
      <c r="G400" s="2" t="n">
        <v>21823</v>
      </c>
      <c r="H400" t="n">
        <v>-0.0481</v>
      </c>
      <c r="I400" t="n">
        <v>0.0031</v>
      </c>
    </row>
    <row r="401">
      <c r="A401" s="2" t="n">
        <v>28946</v>
      </c>
      <c r="B401" t="n">
        <v>15.85</v>
      </c>
      <c r="D401" s="2" t="n">
        <v>36982</v>
      </c>
      <c r="E401" s="1" t="n">
        <v>4.86</v>
      </c>
      <c r="G401" s="2" t="n">
        <v>21853</v>
      </c>
      <c r="H401" t="n">
        <v>0.0128</v>
      </c>
      <c r="I401" t="n">
        <v>0.003</v>
      </c>
    </row>
    <row r="402">
      <c r="A402" s="2" t="n">
        <v>28976</v>
      </c>
      <c r="B402" t="n">
        <v>18.1</v>
      </c>
      <c r="D402" s="2" t="n">
        <v>37012</v>
      </c>
      <c r="E402" s="1" t="n">
        <v>4.89</v>
      </c>
      <c r="G402" s="2" t="n">
        <v>21884</v>
      </c>
      <c r="H402" t="n">
        <v>0.016</v>
      </c>
      <c r="I402" t="n">
        <v>0.0026</v>
      </c>
    </row>
    <row r="403">
      <c r="A403" s="2" t="n">
        <v>29007</v>
      </c>
      <c r="B403" t="n">
        <v>19.1</v>
      </c>
      <c r="D403" s="2" t="n">
        <v>37043</v>
      </c>
      <c r="E403" s="1" t="n">
        <v>4.97</v>
      </c>
      <c r="G403" s="2" t="n">
        <v>21915</v>
      </c>
      <c r="H403" t="n">
        <v>0.0246</v>
      </c>
      <c r="I403" t="n">
        <v>0.0034</v>
      </c>
    </row>
    <row r="404">
      <c r="A404" s="2" t="n">
        <v>29037</v>
      </c>
      <c r="B404" t="n">
        <v>21.75</v>
      </c>
      <c r="D404" s="2" t="n">
        <v>37073</v>
      </c>
      <c r="E404" s="1" t="n">
        <v>5.04</v>
      </c>
      <c r="G404" s="2" t="n">
        <v>21944</v>
      </c>
      <c r="H404" t="n">
        <v>-0.0698</v>
      </c>
      <c r="I404" t="n">
        <v>0.0033</v>
      </c>
    </row>
    <row r="405">
      <c r="A405" s="2" t="n">
        <v>29068</v>
      </c>
      <c r="B405" t="n">
        <v>26.5</v>
      </c>
      <c r="D405" s="2" t="n">
        <v>37104</v>
      </c>
      <c r="E405" s="1" t="n">
        <v>4.95</v>
      </c>
      <c r="G405" s="2" t="n">
        <v>21975</v>
      </c>
      <c r="H405" t="n">
        <v>0.0116</v>
      </c>
      <c r="I405" t="n">
        <v>0.0029</v>
      </c>
    </row>
    <row r="406">
      <c r="A406" s="2" t="n">
        <v>29099</v>
      </c>
      <c r="B406" t="n">
        <v>28.5</v>
      </c>
      <c r="D406" s="2" t="n">
        <v>37135</v>
      </c>
      <c r="E406" s="1" t="n">
        <v>4.55</v>
      </c>
      <c r="G406" s="2" t="n">
        <v>22006</v>
      </c>
      <c r="H406" t="n">
        <v>-0.0163</v>
      </c>
      <c r="I406" t="n">
        <v>0.0035</v>
      </c>
    </row>
    <row r="407">
      <c r="A407" s="2" t="n">
        <v>29129</v>
      </c>
      <c r="B407" t="n">
        <v>29</v>
      </c>
      <c r="D407" s="2" t="n">
        <v>37165</v>
      </c>
      <c r="E407" s="1" t="n">
        <v>4.36</v>
      </c>
      <c r="G407" s="2" t="n">
        <v>22035</v>
      </c>
      <c r="H407" t="n">
        <v>-0.0171</v>
      </c>
      <c r="I407" t="n">
        <v>0.0019</v>
      </c>
    </row>
    <row r="408">
      <c r="A408" s="2" t="n">
        <v>29160</v>
      </c>
      <c r="B408" t="n">
        <v>31</v>
      </c>
      <c r="D408" s="2" t="n">
        <v>37196</v>
      </c>
      <c r="E408" s="1" t="n">
        <v>4.28</v>
      </c>
      <c r="G408" s="2" t="n">
        <v>22067</v>
      </c>
      <c r="H408" t="n">
        <v>0.0312</v>
      </c>
      <c r="I408" t="n">
        <v>0.0027</v>
      </c>
    </row>
    <row r="409">
      <c r="A409" s="2" t="n">
        <v>29190</v>
      </c>
      <c r="B409" t="n">
        <v>32.5</v>
      </c>
      <c r="D409" s="2" t="n">
        <v>37226</v>
      </c>
      <c r="E409" s="1" t="n">
        <v>4.25</v>
      </c>
      <c r="G409" s="2" t="n">
        <v>22097</v>
      </c>
      <c r="H409" t="n">
        <v>0.0208</v>
      </c>
      <c r="I409" t="n">
        <v>0.0024</v>
      </c>
    </row>
    <row r="410">
      <c r="A410" s="2" t="n">
        <v>29221</v>
      </c>
      <c r="B410" t="n">
        <v>32.5</v>
      </c>
      <c r="D410" s="2" t="n">
        <v>37257</v>
      </c>
      <c r="E410" s="1" t="n">
        <v>4.26</v>
      </c>
      <c r="G410" s="2" t="n">
        <v>22126</v>
      </c>
      <c r="H410" t="n">
        <v>-0.0237</v>
      </c>
      <c r="I410" t="n">
        <v>0.0013</v>
      </c>
    </row>
    <row r="411">
      <c r="A411" s="2" t="n">
        <v>29252</v>
      </c>
      <c r="B411" t="n">
        <v>37</v>
      </c>
      <c r="D411" s="2" t="n">
        <v>37288</v>
      </c>
      <c r="E411" s="1" t="n">
        <v>4.31</v>
      </c>
      <c r="G411" s="2" t="n">
        <v>22159</v>
      </c>
      <c r="H411" t="n">
        <v>0.03</v>
      </c>
      <c r="I411" t="n">
        <v>0.0017</v>
      </c>
    </row>
    <row r="412">
      <c r="A412" s="2" t="n">
        <v>29281</v>
      </c>
      <c r="B412" t="n">
        <v>38</v>
      </c>
      <c r="D412" s="2" t="n">
        <v>37316</v>
      </c>
      <c r="E412" s="1" t="n">
        <v>4.46</v>
      </c>
      <c r="G412" s="2" t="n">
        <v>22189</v>
      </c>
      <c r="H412" t="n">
        <v>-0.06</v>
      </c>
      <c r="I412" t="n">
        <v>0.0016</v>
      </c>
    </row>
    <row r="413">
      <c r="A413" s="2" t="n">
        <v>29312</v>
      </c>
      <c r="B413" t="n">
        <v>39.5</v>
      </c>
      <c r="D413" s="2" t="n">
        <v>37347</v>
      </c>
      <c r="E413" s="1" t="n">
        <v>4.59</v>
      </c>
      <c r="G413" s="2" t="n">
        <v>22220</v>
      </c>
      <c r="H413" t="n">
        <v>-0.0071</v>
      </c>
      <c r="I413" t="n">
        <v>0.0022</v>
      </c>
    </row>
    <row r="414">
      <c r="A414" s="2" t="n">
        <v>29342</v>
      </c>
      <c r="B414" t="n">
        <v>39.5</v>
      </c>
      <c r="D414" s="2" t="n">
        <v>37377</v>
      </c>
      <c r="E414" s="1" t="n">
        <v>4.84</v>
      </c>
      <c r="G414" s="2" t="n">
        <v>22250</v>
      </c>
      <c r="H414" t="n">
        <v>0.0469</v>
      </c>
      <c r="I414" t="n">
        <v>0.0013</v>
      </c>
    </row>
    <row r="415">
      <c r="A415" s="2" t="n">
        <v>29373</v>
      </c>
      <c r="B415" t="n">
        <v>39.5</v>
      </c>
      <c r="D415" s="2" t="n">
        <v>37408</v>
      </c>
      <c r="E415" s="1" t="n">
        <v>5.07</v>
      </c>
      <c r="G415" s="2" t="n">
        <v>22280</v>
      </c>
      <c r="H415" t="n">
        <v>0.0473</v>
      </c>
      <c r="I415" t="n">
        <v>0.0016</v>
      </c>
    </row>
    <row r="416">
      <c r="A416" s="2" t="n">
        <v>29403</v>
      </c>
      <c r="B416" t="n">
        <v>39.5</v>
      </c>
      <c r="D416" s="2" t="n">
        <v>37438</v>
      </c>
      <c r="E416" s="1" t="n">
        <v>4.98</v>
      </c>
      <c r="G416" s="2" t="n">
        <v>22312</v>
      </c>
      <c r="H416" t="n">
        <v>0.062</v>
      </c>
      <c r="I416" t="n">
        <v>0.0019</v>
      </c>
    </row>
    <row r="417">
      <c r="A417" s="2" t="n">
        <v>29434</v>
      </c>
      <c r="B417" t="n">
        <v>38</v>
      </c>
      <c r="D417" s="2" t="n">
        <v>37469</v>
      </c>
      <c r="E417" s="1" t="n">
        <v>4.96</v>
      </c>
      <c r="G417" s="2" t="n">
        <v>22340</v>
      </c>
      <c r="H417" t="n">
        <v>0.0357</v>
      </c>
      <c r="I417" t="n">
        <v>0.0014</v>
      </c>
    </row>
    <row r="418">
      <c r="A418" s="2" t="n">
        <v>29465</v>
      </c>
      <c r="B418" t="n">
        <v>36</v>
      </c>
      <c r="D418" s="2" t="n">
        <v>37500</v>
      </c>
      <c r="E418" s="1" t="n">
        <v>4.92</v>
      </c>
      <c r="G418" s="2" t="n">
        <v>22370</v>
      </c>
      <c r="H418" t="n">
        <v>0.0289</v>
      </c>
      <c r="I418" t="n">
        <v>0.002</v>
      </c>
    </row>
    <row r="419">
      <c r="A419" s="2" t="n">
        <v>29495</v>
      </c>
      <c r="B419" t="n">
        <v>36</v>
      </c>
      <c r="D419" s="2" t="n">
        <v>37530</v>
      </c>
      <c r="E419" s="1" t="n">
        <v>4.9</v>
      </c>
      <c r="G419" s="2" t="n">
        <v>22399</v>
      </c>
      <c r="H419" t="n">
        <v>0.0029</v>
      </c>
      <c r="I419" t="n">
        <v>0.0017</v>
      </c>
    </row>
    <row r="420">
      <c r="A420" s="2" t="n">
        <v>29526</v>
      </c>
      <c r="B420" t="n">
        <v>36</v>
      </c>
      <c r="D420" s="2" t="n">
        <v>37561</v>
      </c>
      <c r="E420" s="1" t="n">
        <v>4.84</v>
      </c>
      <c r="G420" s="2" t="n">
        <v>22432</v>
      </c>
      <c r="H420" t="n">
        <v>0.024</v>
      </c>
      <c r="I420" t="n">
        <v>0.0018</v>
      </c>
    </row>
    <row r="421">
      <c r="A421" s="2" t="n">
        <v>29556</v>
      </c>
      <c r="B421" t="n">
        <v>37</v>
      </c>
      <c r="D421" s="2" t="n">
        <v>37591</v>
      </c>
      <c r="E421" s="1" t="n">
        <v>4.83</v>
      </c>
      <c r="G421" s="2" t="n">
        <v>22462</v>
      </c>
      <c r="H421" t="n">
        <v>-0.0308</v>
      </c>
      <c r="I421" t="n">
        <v>0.002</v>
      </c>
    </row>
    <row r="422">
      <c r="A422" s="2" t="n">
        <v>29587</v>
      </c>
      <c r="B422" t="n">
        <v>38</v>
      </c>
      <c r="D422" s="2" t="n">
        <v>37622</v>
      </c>
      <c r="E422" s="1" t="n">
        <v>4.8</v>
      </c>
      <c r="G422" s="2" t="n">
        <v>22493</v>
      </c>
      <c r="H422" t="n">
        <v>0.0283</v>
      </c>
      <c r="I422" t="n">
        <v>0.0018</v>
      </c>
    </row>
    <row r="423">
      <c r="A423" s="2" t="n">
        <v>29618</v>
      </c>
      <c r="B423" t="n">
        <v>38</v>
      </c>
      <c r="D423" s="2" t="n">
        <v>37653</v>
      </c>
      <c r="E423" s="1" t="n">
        <v>4.75</v>
      </c>
      <c r="G423" s="2" t="n">
        <v>22524</v>
      </c>
      <c r="H423" t="n">
        <v>0.0257</v>
      </c>
      <c r="I423" t="n">
        <v>0.0014</v>
      </c>
    </row>
    <row r="424">
      <c r="A424" s="2" t="n">
        <v>29646</v>
      </c>
      <c r="B424" t="n">
        <v>38</v>
      </c>
      <c r="D424" s="2" t="n">
        <v>37681</v>
      </c>
      <c r="E424" s="1" t="n">
        <v>4.76</v>
      </c>
      <c r="G424" s="2" t="n">
        <v>22553</v>
      </c>
      <c r="H424" t="n">
        <v>-0.0215</v>
      </c>
      <c r="I424" t="n">
        <v>0.0017</v>
      </c>
    </row>
    <row r="425">
      <c r="A425" s="2" t="n">
        <v>29677</v>
      </c>
      <c r="B425" t="n">
        <v>38</v>
      </c>
      <c r="D425" s="2" t="n">
        <v>37712</v>
      </c>
      <c r="E425" s="1" t="n">
        <v>4.79</v>
      </c>
      <c r="G425" s="2" t="n">
        <v>22585</v>
      </c>
      <c r="H425" t="n">
        <v>0.0258</v>
      </c>
      <c r="I425" t="n">
        <v>0.0019</v>
      </c>
    </row>
    <row r="426">
      <c r="A426" s="2" t="n">
        <v>29707</v>
      </c>
      <c r="B426" t="n">
        <v>38</v>
      </c>
      <c r="D426" s="2" t="n">
        <v>37742</v>
      </c>
      <c r="E426" s="1" t="n">
        <v>4.78</v>
      </c>
      <c r="G426" s="2" t="n">
        <v>22615</v>
      </c>
      <c r="H426" t="n">
        <v>0.0445</v>
      </c>
      <c r="I426" t="n">
        <v>0.0015</v>
      </c>
    </row>
    <row r="427">
      <c r="A427" s="2" t="n">
        <v>29738</v>
      </c>
      <c r="B427" t="n">
        <v>36</v>
      </c>
      <c r="D427" s="2" t="n">
        <v>37773</v>
      </c>
      <c r="E427" s="1" t="n">
        <v>4.67</v>
      </c>
      <c r="G427" s="2" t="n">
        <v>22644</v>
      </c>
      <c r="H427" t="n">
        <v>-0.0017</v>
      </c>
      <c r="I427" t="n">
        <v>0.0019</v>
      </c>
    </row>
    <row r="428">
      <c r="A428" s="2" t="n">
        <v>29768</v>
      </c>
      <c r="B428" t="n">
        <v>36</v>
      </c>
      <c r="D428" s="2" t="n">
        <v>37803</v>
      </c>
      <c r="E428" s="1" t="n">
        <v>4.72</v>
      </c>
      <c r="G428" s="2" t="n">
        <v>22677</v>
      </c>
      <c r="H428" t="n">
        <v>-0.0387</v>
      </c>
      <c r="I428" t="n">
        <v>0.0024</v>
      </c>
    </row>
    <row r="429">
      <c r="A429" s="2" t="n">
        <v>29799</v>
      </c>
      <c r="B429" t="n">
        <v>36</v>
      </c>
      <c r="D429" s="2" t="n">
        <v>37834</v>
      </c>
      <c r="E429" s="1" t="n">
        <v>4.82</v>
      </c>
      <c r="G429" s="2" t="n">
        <v>22705</v>
      </c>
      <c r="H429" t="n">
        <v>0.0181</v>
      </c>
      <c r="I429" t="n">
        <v>0.002</v>
      </c>
    </row>
    <row r="430">
      <c r="A430" s="2" t="n">
        <v>29830</v>
      </c>
      <c r="B430" t="n">
        <v>36</v>
      </c>
      <c r="D430" s="2" t="n">
        <v>37865</v>
      </c>
      <c r="E430" s="1" t="n">
        <v>4.91</v>
      </c>
      <c r="G430" s="2" t="n">
        <v>22735</v>
      </c>
      <c r="H430" t="n">
        <v>-0.0068</v>
      </c>
      <c r="I430" t="n">
        <v>0.002</v>
      </c>
    </row>
    <row r="431">
      <c r="A431" s="2" t="n">
        <v>29860</v>
      </c>
      <c r="B431" t="n">
        <v>35</v>
      </c>
      <c r="D431" s="2" t="n">
        <v>37895</v>
      </c>
      <c r="E431" s="1" t="n">
        <v>4.97</v>
      </c>
      <c r="G431" s="2" t="n">
        <v>22766</v>
      </c>
      <c r="H431" t="n">
        <v>-0.0659</v>
      </c>
      <c r="I431" t="n">
        <v>0.0022</v>
      </c>
    </row>
    <row r="432">
      <c r="A432" s="2" t="n">
        <v>29891</v>
      </c>
      <c r="B432" t="n">
        <v>36</v>
      </c>
      <c r="D432" s="2" t="n">
        <v>37926</v>
      </c>
      <c r="E432" s="1" t="n">
        <v>5.31</v>
      </c>
      <c r="G432" s="2" t="n">
        <v>22797</v>
      </c>
      <c r="H432" t="n">
        <v>-0.0866</v>
      </c>
      <c r="I432" t="n">
        <v>0.0024</v>
      </c>
    </row>
    <row r="433">
      <c r="A433" s="2" t="n">
        <v>29921</v>
      </c>
      <c r="B433" t="n">
        <v>35</v>
      </c>
      <c r="D433" s="2" t="n">
        <v>37956</v>
      </c>
      <c r="E433" s="1" t="n">
        <v>5.47</v>
      </c>
      <c r="G433" s="2" t="n">
        <v>22826</v>
      </c>
      <c r="H433" t="n">
        <v>-0.08500000000000001</v>
      </c>
      <c r="I433" t="n">
        <v>0.002</v>
      </c>
    </row>
    <row r="434">
      <c r="A434" s="2" t="n">
        <v>29952</v>
      </c>
      <c r="B434" t="n">
        <v>33.85</v>
      </c>
      <c r="D434" s="2" t="n">
        <v>37987</v>
      </c>
      <c r="E434" s="1" t="n">
        <v>5.55</v>
      </c>
      <c r="G434" s="2" t="n">
        <v>22858</v>
      </c>
      <c r="H434" t="n">
        <v>0.06270000000000001</v>
      </c>
      <c r="I434" t="n">
        <v>0.0027</v>
      </c>
    </row>
    <row r="435">
      <c r="A435" s="2" t="n">
        <v>29983</v>
      </c>
      <c r="B435" t="n">
        <v>31.56</v>
      </c>
      <c r="D435" s="2" t="n">
        <v>38018</v>
      </c>
      <c r="E435" s="1" t="n">
        <v>5.57</v>
      </c>
      <c r="G435" s="2" t="n">
        <v>22889</v>
      </c>
      <c r="H435" t="n">
        <v>0.0213</v>
      </c>
      <c r="I435" t="n">
        <v>0.0023</v>
      </c>
    </row>
    <row r="436">
      <c r="A436" s="2" t="n">
        <v>30011</v>
      </c>
      <c r="B436" t="n">
        <v>28.48</v>
      </c>
      <c r="D436" s="2" t="n">
        <v>38047</v>
      </c>
      <c r="E436" s="1" t="n">
        <v>5.51</v>
      </c>
      <c r="G436" s="2" t="n">
        <v>22917</v>
      </c>
      <c r="H436" t="n">
        <v>-0.0522</v>
      </c>
      <c r="I436" t="n">
        <v>0.0021</v>
      </c>
    </row>
    <row r="437">
      <c r="A437" s="2" t="n">
        <v>30042</v>
      </c>
      <c r="B437" t="n">
        <v>33.45</v>
      </c>
      <c r="D437" s="2" t="n">
        <v>38078</v>
      </c>
      <c r="E437" s="1" t="n">
        <v>5.54</v>
      </c>
      <c r="G437" s="2" t="n">
        <v>22950</v>
      </c>
      <c r="H437" t="n">
        <v>-0.0005</v>
      </c>
      <c r="I437" t="n">
        <v>0.0026</v>
      </c>
    </row>
    <row r="438">
      <c r="A438" s="2" t="n">
        <v>30072</v>
      </c>
      <c r="B438" t="n">
        <v>35.93</v>
      </c>
      <c r="D438" s="2" t="n">
        <v>38108</v>
      </c>
      <c r="E438" s="1" t="n">
        <v>5.51</v>
      </c>
      <c r="G438" s="2" t="n">
        <v>22980</v>
      </c>
      <c r="H438" t="n">
        <v>0.1089</v>
      </c>
      <c r="I438" t="n">
        <v>0.002</v>
      </c>
    </row>
    <row r="439">
      <c r="A439" s="2" t="n">
        <v>30103</v>
      </c>
      <c r="B439" t="n">
        <v>35.07</v>
      </c>
      <c r="D439" s="2" t="n">
        <v>38139</v>
      </c>
      <c r="E439" s="1" t="n">
        <v>5.49</v>
      </c>
      <c r="G439" s="2" t="n">
        <v>23011</v>
      </c>
      <c r="H439" t="n">
        <v>0.0101</v>
      </c>
      <c r="I439" t="n">
        <v>0.0023</v>
      </c>
    </row>
    <row r="440">
      <c r="A440" s="2" t="n">
        <v>30133</v>
      </c>
      <c r="B440" t="n">
        <v>34.16</v>
      </c>
      <c r="D440" s="2" t="n">
        <v>38169</v>
      </c>
      <c r="E440" s="1" t="n">
        <v>5.46</v>
      </c>
      <c r="G440" s="2" t="n">
        <v>23042</v>
      </c>
      <c r="H440" t="n">
        <v>0.0494</v>
      </c>
      <c r="I440" t="n">
        <v>0.0025</v>
      </c>
    </row>
    <row r="441">
      <c r="A441" s="2" t="n">
        <v>30164</v>
      </c>
      <c r="B441" t="n">
        <v>33.95</v>
      </c>
      <c r="D441" s="2" t="n">
        <v>38200</v>
      </c>
      <c r="E441" s="1" t="n">
        <v>5.44</v>
      </c>
      <c r="G441" s="2" t="n">
        <v>23070</v>
      </c>
      <c r="H441" t="n">
        <v>-0.024</v>
      </c>
      <c r="I441" t="n">
        <v>0.0023</v>
      </c>
    </row>
    <row r="442">
      <c r="A442" s="2" t="n">
        <v>30195</v>
      </c>
      <c r="B442" t="n">
        <v>35.63</v>
      </c>
      <c r="D442" s="2" t="n">
        <v>38231</v>
      </c>
      <c r="E442" s="1" t="n">
        <v>5.42</v>
      </c>
      <c r="G442" s="2" t="n">
        <v>23099</v>
      </c>
      <c r="H442" t="n">
        <v>0.0308</v>
      </c>
      <c r="I442" t="n">
        <v>0.0023</v>
      </c>
    </row>
    <row r="443">
      <c r="A443" s="2" t="n">
        <v>30225</v>
      </c>
      <c r="B443" t="n">
        <v>35.68</v>
      </c>
      <c r="D443" s="2" t="n">
        <v>38261</v>
      </c>
      <c r="E443" s="1" t="n">
        <v>5.41</v>
      </c>
      <c r="G443" s="2" t="n">
        <v>23131</v>
      </c>
      <c r="H443" t="n">
        <v>0.0451</v>
      </c>
      <c r="I443" t="n">
        <v>0.0025</v>
      </c>
    </row>
    <row r="444">
      <c r="A444" s="2" t="n">
        <v>30256</v>
      </c>
      <c r="B444" t="n">
        <v>34.15</v>
      </c>
      <c r="D444" s="2" t="n">
        <v>38292</v>
      </c>
      <c r="E444" s="1" t="n">
        <v>5.43</v>
      </c>
      <c r="G444" s="2" t="n">
        <v>23162</v>
      </c>
      <c r="H444" t="n">
        <v>0.0176</v>
      </c>
      <c r="I444" t="n">
        <v>0.0024</v>
      </c>
    </row>
    <row r="445">
      <c r="A445" s="2" t="n">
        <v>30286</v>
      </c>
      <c r="B445" t="n">
        <v>31.72</v>
      </c>
      <c r="D445" s="2" t="n">
        <v>38322</v>
      </c>
      <c r="E445" s="1" t="n">
        <v>5.41</v>
      </c>
      <c r="G445" s="2" t="n">
        <v>23190</v>
      </c>
      <c r="H445" t="n">
        <v>-0.02</v>
      </c>
      <c r="I445" t="n">
        <v>0.0023</v>
      </c>
    </row>
    <row r="446">
      <c r="A446" s="2" t="n">
        <v>30317</v>
      </c>
      <c r="B446" t="n">
        <v>31.19</v>
      </c>
      <c r="D446" s="2" t="n">
        <v>38353</v>
      </c>
      <c r="E446" s="1" t="n">
        <v>5.42</v>
      </c>
      <c r="G446" s="2" t="n">
        <v>23223</v>
      </c>
      <c r="H446" t="n">
        <v>-0.0039</v>
      </c>
      <c r="I446" t="n">
        <v>0.0027</v>
      </c>
    </row>
    <row r="447">
      <c r="A447" s="2" t="n">
        <v>30348</v>
      </c>
      <c r="B447" t="n">
        <v>28.95</v>
      </c>
      <c r="D447" s="2" t="n">
        <v>38384</v>
      </c>
      <c r="E447" s="1" t="n">
        <v>5.63</v>
      </c>
      <c r="G447" s="2" t="n">
        <v>23253</v>
      </c>
      <c r="H447" t="n">
        <v>0.0508</v>
      </c>
      <c r="I447" t="n">
        <v>0.0025</v>
      </c>
    </row>
    <row r="448">
      <c r="A448" s="2" t="n">
        <v>30376</v>
      </c>
      <c r="B448" t="n">
        <v>28.82</v>
      </c>
      <c r="D448" s="2" t="n">
        <v>38412</v>
      </c>
      <c r="E448" s="1" t="n">
        <v>5.81</v>
      </c>
      <c r="G448" s="2" t="n">
        <v>23284</v>
      </c>
      <c r="H448" t="n">
        <v>-0.0157</v>
      </c>
      <c r="I448" t="n">
        <v>0.0027</v>
      </c>
    </row>
    <row r="449">
      <c r="A449" s="2" t="n">
        <v>30407</v>
      </c>
      <c r="B449" t="n">
        <v>30.61</v>
      </c>
      <c r="D449" s="2" t="n">
        <v>38443</v>
      </c>
      <c r="E449" s="1" t="n">
        <v>5.75</v>
      </c>
      <c r="G449" s="2" t="n">
        <v>23315</v>
      </c>
      <c r="H449" t="n">
        <v>0.0254</v>
      </c>
      <c r="I449" t="n">
        <v>0.0029</v>
      </c>
    </row>
    <row r="450">
      <c r="A450" s="2" t="n">
        <v>30437</v>
      </c>
      <c r="B450" t="n">
        <v>30</v>
      </c>
      <c r="D450" s="2" t="n">
        <v>38473</v>
      </c>
      <c r="E450" s="1" t="n">
        <v>5.68</v>
      </c>
      <c r="G450" s="2" t="n">
        <v>23344</v>
      </c>
      <c r="H450" t="n">
        <v>-0.0086</v>
      </c>
      <c r="I450" t="n">
        <v>0.0027</v>
      </c>
    </row>
    <row r="451">
      <c r="A451" s="2" t="n">
        <v>30468</v>
      </c>
      <c r="B451" t="n">
        <v>31</v>
      </c>
      <c r="D451" s="2" t="n">
        <v>38504</v>
      </c>
      <c r="E451" s="1" t="n">
        <v>5.66</v>
      </c>
      <c r="G451" s="2" t="n">
        <v>23376</v>
      </c>
      <c r="H451" t="n">
        <v>0.0183</v>
      </c>
      <c r="I451" t="n">
        <v>0.0029</v>
      </c>
    </row>
    <row r="452">
      <c r="A452" s="2" t="n">
        <v>30498</v>
      </c>
      <c r="B452" t="n">
        <v>31.66</v>
      </c>
      <c r="D452" s="2" t="n">
        <v>38534</v>
      </c>
      <c r="E452" s="1" t="n">
        <v>5.65</v>
      </c>
      <c r="G452" s="2" t="n">
        <v>23407</v>
      </c>
      <c r="H452" t="n">
        <v>0.0224</v>
      </c>
      <c r="I452" t="n">
        <v>0.003</v>
      </c>
    </row>
    <row r="453">
      <c r="A453" s="2" t="n">
        <v>30529</v>
      </c>
      <c r="B453" t="n">
        <v>31.91</v>
      </c>
      <c r="D453" s="2" t="n">
        <v>38565</v>
      </c>
      <c r="E453" s="1" t="n">
        <v>5.62</v>
      </c>
      <c r="G453" s="2" t="n">
        <v>23435</v>
      </c>
      <c r="H453" t="n">
        <v>0.0155</v>
      </c>
      <c r="I453" t="n">
        <v>0.0026</v>
      </c>
    </row>
    <row r="454">
      <c r="A454" s="2" t="n">
        <v>30560</v>
      </c>
      <c r="B454" t="n">
        <v>31.11</v>
      </c>
      <c r="D454" s="2" t="n">
        <v>38596</v>
      </c>
      <c r="E454" s="1" t="n">
        <v>5.62</v>
      </c>
      <c r="G454" s="2" t="n">
        <v>23467</v>
      </c>
      <c r="H454" t="n">
        <v>0.0141</v>
      </c>
      <c r="I454" t="n">
        <v>0.0031</v>
      </c>
    </row>
    <row r="455">
      <c r="A455" s="2" t="n">
        <v>30590</v>
      </c>
      <c r="B455" t="n">
        <v>30.41</v>
      </c>
      <c r="D455" s="2" t="n">
        <v>38626</v>
      </c>
      <c r="E455" s="1" t="n">
        <v>5.63</v>
      </c>
      <c r="G455" s="2" t="n">
        <v>23497</v>
      </c>
      <c r="H455" t="n">
        <v>0.001</v>
      </c>
      <c r="I455" t="n">
        <v>0.0029</v>
      </c>
    </row>
    <row r="456">
      <c r="A456" s="2" t="n">
        <v>30621</v>
      </c>
      <c r="B456" t="n">
        <v>29.84</v>
      </c>
      <c r="D456" s="2" t="n">
        <v>38657</v>
      </c>
      <c r="E456" s="1" t="n">
        <v>5.63</v>
      </c>
      <c r="G456" s="2" t="n">
        <v>23525</v>
      </c>
      <c r="H456" t="n">
        <v>0.0141</v>
      </c>
      <c r="I456" t="n">
        <v>0.0026</v>
      </c>
    </row>
    <row r="457">
      <c r="A457" s="2" t="n">
        <v>30651</v>
      </c>
      <c r="B457" t="n">
        <v>29.24</v>
      </c>
      <c r="D457" s="2" t="n">
        <v>38687</v>
      </c>
      <c r="E457" s="1" t="n">
        <v>5.63</v>
      </c>
      <c r="G457" s="2" t="n">
        <v>23558</v>
      </c>
      <c r="H457" t="n">
        <v>0.0127</v>
      </c>
      <c r="I457" t="n">
        <v>0.003</v>
      </c>
    </row>
    <row r="458">
      <c r="A458" s="2" t="n">
        <v>30682</v>
      </c>
      <c r="B458" t="n">
        <v>29.69</v>
      </c>
      <c r="D458" s="2" t="n">
        <v>38718</v>
      </c>
      <c r="E458" s="1" t="n">
        <v>5.63</v>
      </c>
      <c r="G458" s="2" t="n">
        <v>23589</v>
      </c>
      <c r="H458" t="n">
        <v>0.0174</v>
      </c>
      <c r="I458" t="n">
        <v>0.003</v>
      </c>
    </row>
    <row r="459">
      <c r="A459" s="2" t="n">
        <v>30713</v>
      </c>
      <c r="B459" t="n">
        <v>30.145</v>
      </c>
      <c r="D459" s="2" t="n">
        <v>38749</v>
      </c>
      <c r="E459" s="1" t="n">
        <v>5.61</v>
      </c>
      <c r="G459" s="2" t="n">
        <v>23620</v>
      </c>
      <c r="H459" t="n">
        <v>-0.0144</v>
      </c>
      <c r="I459" t="n">
        <v>0.0028</v>
      </c>
    </row>
    <row r="460">
      <c r="A460" s="2" t="n">
        <v>30742</v>
      </c>
      <c r="B460" t="n">
        <v>30.761</v>
      </c>
      <c r="D460" s="2" t="n">
        <v>38777</v>
      </c>
      <c r="E460" s="1" t="n">
        <v>5.61</v>
      </c>
      <c r="G460" s="2" t="n">
        <v>23650</v>
      </c>
      <c r="H460" t="n">
        <v>0.0269</v>
      </c>
      <c r="I460" t="n">
        <v>0.0028</v>
      </c>
    </row>
    <row r="461">
      <c r="A461" s="2" t="n">
        <v>30773</v>
      </c>
      <c r="B461" t="n">
        <v>30.618</v>
      </c>
      <c r="D461" s="2" t="n">
        <v>38808</v>
      </c>
      <c r="E461" s="1" t="n">
        <v>5.69</v>
      </c>
      <c r="G461" s="2" t="n">
        <v>23680</v>
      </c>
      <c r="H461" t="n">
        <v>0.006</v>
      </c>
      <c r="I461" t="n">
        <v>0.0029</v>
      </c>
    </row>
    <row r="462">
      <c r="A462" s="2" t="n">
        <v>30803</v>
      </c>
      <c r="B462" t="n">
        <v>30.52</v>
      </c>
      <c r="D462" s="2" t="n">
        <v>38838</v>
      </c>
      <c r="E462" s="1" t="n">
        <v>5.87</v>
      </c>
      <c r="G462" s="2" t="n">
        <v>23711</v>
      </c>
      <c r="H462" t="n">
        <v>-0.0001</v>
      </c>
      <c r="I462" t="n">
        <v>0.0029</v>
      </c>
    </row>
    <row r="463">
      <c r="A463" s="2" t="n">
        <v>30834</v>
      </c>
      <c r="B463" t="n">
        <v>29.967</v>
      </c>
      <c r="D463" s="2" t="n">
        <v>38869</v>
      </c>
      <c r="E463" s="1" t="n">
        <v>5.96</v>
      </c>
      <c r="G463" s="2" t="n">
        <v>23742</v>
      </c>
      <c r="H463" t="n">
        <v>0.0004</v>
      </c>
      <c r="I463" t="n">
        <v>0.0031</v>
      </c>
    </row>
    <row r="464">
      <c r="A464" s="2" t="n">
        <v>30864</v>
      </c>
      <c r="B464" t="n">
        <v>28.752</v>
      </c>
      <c r="D464" s="2" t="n">
        <v>38899</v>
      </c>
      <c r="E464" s="1" t="n">
        <v>6.05</v>
      </c>
      <c r="G464" s="2" t="n">
        <v>23771</v>
      </c>
      <c r="H464" t="n">
        <v>0.0354</v>
      </c>
      <c r="I464" t="n">
        <v>0.0028</v>
      </c>
    </row>
    <row r="465">
      <c r="A465" s="2" t="n">
        <v>30895</v>
      </c>
      <c r="B465" t="n">
        <v>29.25</v>
      </c>
      <c r="D465" s="2" t="n">
        <v>38930</v>
      </c>
      <c r="E465" s="1" t="n">
        <v>6.19</v>
      </c>
      <c r="G465" s="2" t="n">
        <v>23799</v>
      </c>
      <c r="H465" t="n">
        <v>0.0044</v>
      </c>
      <c r="I465" t="n">
        <v>0.003</v>
      </c>
    </row>
    <row r="466">
      <c r="A466" s="2" t="n">
        <v>30926</v>
      </c>
      <c r="B466" t="n">
        <v>29.311</v>
      </c>
      <c r="D466" s="2" t="n">
        <v>38961</v>
      </c>
      <c r="E466" s="1" t="n">
        <v>6.21</v>
      </c>
      <c r="G466" s="2" t="n">
        <v>23832</v>
      </c>
      <c r="H466" t="n">
        <v>-0.0134</v>
      </c>
      <c r="I466" t="n">
        <v>0.0036</v>
      </c>
    </row>
    <row r="467">
      <c r="A467" s="2" t="n">
        <v>30956</v>
      </c>
      <c r="B467" t="n">
        <v>28.765</v>
      </c>
      <c r="D467" s="2" t="n">
        <v>38991</v>
      </c>
      <c r="E467" s="1" t="n">
        <v>6.28</v>
      </c>
      <c r="G467" s="2" t="n">
        <v>23862</v>
      </c>
      <c r="H467" t="n">
        <v>0.0311</v>
      </c>
      <c r="I467" t="n">
        <v>0.0031</v>
      </c>
    </row>
    <row r="468">
      <c r="A468" s="2" t="n">
        <v>30987</v>
      </c>
      <c r="B468" t="n">
        <v>28.098</v>
      </c>
      <c r="D468" s="2" t="n">
        <v>39022</v>
      </c>
      <c r="E468" s="1" t="n">
        <v>6.37</v>
      </c>
      <c r="G468" s="2" t="n">
        <v>23890</v>
      </c>
      <c r="H468" t="n">
        <v>-0.0078</v>
      </c>
      <c r="I468" t="n">
        <v>0.0031</v>
      </c>
    </row>
    <row r="469">
      <c r="A469" s="2" t="n">
        <v>31017</v>
      </c>
      <c r="B469" t="n">
        <v>25.429</v>
      </c>
      <c r="D469" s="2" t="n">
        <v>39052</v>
      </c>
      <c r="E469" s="1" t="n">
        <v>6.39</v>
      </c>
      <c r="G469" s="2" t="n">
        <v>23923</v>
      </c>
      <c r="H469" t="n">
        <v>-0.0551</v>
      </c>
      <c r="I469" t="n">
        <v>0.0035</v>
      </c>
    </row>
    <row r="470">
      <c r="A470" s="2" t="n">
        <v>31048</v>
      </c>
      <c r="B470" t="n">
        <v>25.641</v>
      </c>
      <c r="D470" s="2" t="n">
        <v>39083</v>
      </c>
      <c r="E470" s="1" t="n">
        <v>6.43</v>
      </c>
      <c r="G470" s="2" t="n">
        <v>23953</v>
      </c>
      <c r="H470" t="n">
        <v>0.0144</v>
      </c>
      <c r="I470" t="n">
        <v>0.0031</v>
      </c>
    </row>
    <row r="471">
      <c r="A471" s="2" t="n">
        <v>31079</v>
      </c>
      <c r="B471" t="n">
        <v>27.271</v>
      </c>
      <c r="D471" s="2" t="n">
        <v>39114</v>
      </c>
      <c r="E471" s="1" t="n">
        <v>6.37</v>
      </c>
      <c r="G471" s="2" t="n">
        <v>23985</v>
      </c>
      <c r="H471" t="n">
        <v>0.0273</v>
      </c>
      <c r="I471" t="n">
        <v>0.0033</v>
      </c>
    </row>
    <row r="472">
      <c r="A472" s="2" t="n">
        <v>31107</v>
      </c>
      <c r="B472" t="n">
        <v>28.238</v>
      </c>
      <c r="D472" s="2" t="n">
        <v>39142</v>
      </c>
      <c r="E472" s="1" t="n">
        <v>6.43</v>
      </c>
      <c r="G472" s="2" t="n">
        <v>24015</v>
      </c>
      <c r="H472" t="n">
        <v>0.0286</v>
      </c>
      <c r="I472" t="n">
        <v>0.0031</v>
      </c>
    </row>
    <row r="473">
      <c r="A473" s="2" t="n">
        <v>31138</v>
      </c>
      <c r="B473" t="n">
        <v>28.805</v>
      </c>
      <c r="D473" s="2" t="n">
        <v>39173</v>
      </c>
      <c r="E473" s="1" t="n">
        <v>6.48</v>
      </c>
      <c r="G473" s="2" t="n">
        <v>24044</v>
      </c>
      <c r="H473" t="n">
        <v>0.026</v>
      </c>
      <c r="I473" t="n">
        <v>0.0031</v>
      </c>
    </row>
    <row r="474">
      <c r="A474" s="2" t="n">
        <v>31168</v>
      </c>
      <c r="B474" t="n">
        <v>27.623</v>
      </c>
      <c r="D474" s="2" t="n">
        <v>39203</v>
      </c>
      <c r="E474" s="1" t="n">
        <v>6.37</v>
      </c>
      <c r="G474" s="2" t="n">
        <v>24076</v>
      </c>
      <c r="H474" t="n">
        <v>-0.0003</v>
      </c>
      <c r="I474" t="n">
        <v>0.0035</v>
      </c>
    </row>
    <row r="475">
      <c r="A475" s="2" t="n">
        <v>31199</v>
      </c>
      <c r="B475" t="n">
        <v>27.143</v>
      </c>
      <c r="D475" s="2" t="n">
        <v>39234</v>
      </c>
      <c r="E475" s="1" t="n">
        <v>6.42</v>
      </c>
      <c r="G475" s="2" t="n">
        <v>24107</v>
      </c>
      <c r="H475" t="n">
        <v>0.0101</v>
      </c>
      <c r="I475" t="n">
        <v>0.0033</v>
      </c>
    </row>
    <row r="476">
      <c r="A476" s="2" t="n">
        <v>31229</v>
      </c>
      <c r="B476" t="n">
        <v>27.329</v>
      </c>
      <c r="D476" s="2" t="n">
        <v>39264</v>
      </c>
      <c r="E476" s="1" t="n">
        <v>6.47</v>
      </c>
      <c r="G476" s="2" t="n">
        <v>24138</v>
      </c>
      <c r="H476" t="n">
        <v>0.0072</v>
      </c>
      <c r="I476" t="n">
        <v>0.0038</v>
      </c>
    </row>
    <row r="477">
      <c r="A477" s="2" t="n">
        <v>31260</v>
      </c>
      <c r="B477" t="n">
        <v>27.755</v>
      </c>
      <c r="D477" s="2" t="n">
        <v>39295</v>
      </c>
      <c r="E477" s="1" t="n">
        <v>6.75</v>
      </c>
      <c r="G477" s="2" t="n">
        <v>24166</v>
      </c>
      <c r="H477" t="n">
        <v>-0.0121</v>
      </c>
      <c r="I477" t="n">
        <v>0.0035</v>
      </c>
    </row>
    <row r="478">
      <c r="A478" s="2" t="n">
        <v>31291</v>
      </c>
      <c r="B478" t="n">
        <v>28.289</v>
      </c>
      <c r="D478" s="2" t="n">
        <v>39326</v>
      </c>
      <c r="E478" s="1" t="n">
        <v>6.94</v>
      </c>
      <c r="G478" s="2" t="n">
        <v>24197</v>
      </c>
      <c r="H478" t="n">
        <v>-0.0251</v>
      </c>
      <c r="I478" t="n">
        <v>0.0038</v>
      </c>
    </row>
    <row r="479">
      <c r="A479" s="2" t="n">
        <v>31321</v>
      </c>
      <c r="B479" t="n">
        <v>29.538</v>
      </c>
      <c r="D479" s="2" t="n">
        <v>39356</v>
      </c>
      <c r="E479" s="1" t="n">
        <v>6.91</v>
      </c>
      <c r="G479" s="2" t="n">
        <v>24226</v>
      </c>
      <c r="H479" t="n">
        <v>0.0213</v>
      </c>
      <c r="I479" t="n">
        <v>0.0034</v>
      </c>
    </row>
    <row r="480">
      <c r="A480" s="2" t="n">
        <v>31352</v>
      </c>
      <c r="B480" t="n">
        <v>30.813</v>
      </c>
      <c r="D480" s="2" t="n">
        <v>39387</v>
      </c>
      <c r="E480" s="1" t="n">
        <v>7.15</v>
      </c>
      <c r="G480" s="2" t="n">
        <v>24258</v>
      </c>
      <c r="H480" t="n">
        <v>-0.0567</v>
      </c>
      <c r="I480" t="n">
        <v>0.0041</v>
      </c>
    </row>
    <row r="481">
      <c r="A481" s="2" t="n">
        <v>31382</v>
      </c>
      <c r="B481" t="n">
        <v>27.228</v>
      </c>
      <c r="D481" s="2" t="n">
        <v>39417</v>
      </c>
      <c r="E481" s="1" t="n">
        <v>7.29</v>
      </c>
      <c r="G481" s="2" t="n">
        <v>24288</v>
      </c>
      <c r="H481" t="n">
        <v>-0.0144</v>
      </c>
      <c r="I481" t="n">
        <v>0.0038</v>
      </c>
    </row>
    <row r="482">
      <c r="A482" s="2" t="n">
        <v>31413</v>
      </c>
      <c r="B482" t="n">
        <v>22.945</v>
      </c>
      <c r="D482" s="2" t="n">
        <v>39448</v>
      </c>
      <c r="E482" s="1" t="n">
        <v>7.18</v>
      </c>
      <c r="G482" s="2" t="n">
        <v>24317</v>
      </c>
      <c r="H482" t="n">
        <v>-0.0163</v>
      </c>
      <c r="I482" t="n">
        <v>0.0035</v>
      </c>
    </row>
    <row r="483">
      <c r="A483" s="2" t="n">
        <v>31444</v>
      </c>
      <c r="B483" t="n">
        <v>15.442</v>
      </c>
      <c r="D483" s="2" t="n">
        <v>39479</v>
      </c>
      <c r="E483" s="1" t="n">
        <v>7.69</v>
      </c>
      <c r="G483" s="2" t="n">
        <v>24350</v>
      </c>
      <c r="H483" t="n">
        <v>-0.0794</v>
      </c>
      <c r="I483" t="n">
        <v>0.0041</v>
      </c>
    </row>
    <row r="484">
      <c r="A484" s="2" t="n">
        <v>31472</v>
      </c>
      <c r="B484" t="n">
        <v>12.618</v>
      </c>
      <c r="D484" s="2" t="n">
        <v>39508</v>
      </c>
      <c r="E484" s="1" t="n">
        <v>7.9</v>
      </c>
      <c r="G484" s="2" t="n">
        <v>24380</v>
      </c>
      <c r="H484" t="n">
        <v>-0.0106</v>
      </c>
      <c r="I484" t="n">
        <v>0.004</v>
      </c>
    </row>
    <row r="485">
      <c r="A485" s="2" t="n">
        <v>31503</v>
      </c>
      <c r="B485" t="n">
        <v>12.847</v>
      </c>
      <c r="D485" s="2" t="n">
        <v>39539</v>
      </c>
      <c r="E485" s="1" t="n">
        <v>7.84</v>
      </c>
      <c r="G485" s="2" t="n">
        <v>24411</v>
      </c>
      <c r="H485" t="n">
        <v>0.0386</v>
      </c>
      <c r="I485" t="n">
        <v>0.0045</v>
      </c>
    </row>
    <row r="486">
      <c r="A486" s="2" t="n">
        <v>31533</v>
      </c>
      <c r="B486" t="n">
        <v>15.444</v>
      </c>
      <c r="D486" s="2" t="n">
        <v>39569</v>
      </c>
      <c r="E486" s="1" t="n">
        <v>7.75</v>
      </c>
      <c r="G486" s="2" t="n">
        <v>24441</v>
      </c>
      <c r="H486" t="n">
        <v>0.0138</v>
      </c>
      <c r="I486" t="n">
        <v>0.004</v>
      </c>
    </row>
    <row r="487">
      <c r="A487" s="2" t="n">
        <v>31564</v>
      </c>
      <c r="B487" t="n">
        <v>13.469</v>
      </c>
      <c r="D487" s="2" t="n">
        <v>39600</v>
      </c>
      <c r="E487" s="1" t="n">
        <v>7.81</v>
      </c>
      <c r="G487" s="2" t="n">
        <v>24471</v>
      </c>
      <c r="H487" t="n">
        <v>0.0013</v>
      </c>
      <c r="I487" t="n">
        <v>0.004</v>
      </c>
    </row>
    <row r="488">
      <c r="A488" s="2" t="n">
        <v>31594</v>
      </c>
      <c r="B488" t="n">
        <v>11.575</v>
      </c>
      <c r="D488" s="2" t="n">
        <v>39630</v>
      </c>
      <c r="E488" s="1" t="n">
        <v>7.75</v>
      </c>
      <c r="G488" s="2" t="n">
        <v>24503</v>
      </c>
      <c r="H488" t="n">
        <v>0.0815</v>
      </c>
      <c r="I488" t="n">
        <v>0.0043</v>
      </c>
    </row>
    <row r="489">
      <c r="A489" s="2" t="n">
        <v>31625</v>
      </c>
      <c r="B489" t="n">
        <v>15.092</v>
      </c>
      <c r="D489" s="2" t="n">
        <v>39661</v>
      </c>
      <c r="E489" s="1" t="n">
        <v>7.31</v>
      </c>
      <c r="G489" s="2" t="n">
        <v>24531</v>
      </c>
      <c r="H489" t="n">
        <v>0.0077</v>
      </c>
      <c r="I489" t="n">
        <v>0.0036</v>
      </c>
    </row>
    <row r="490">
      <c r="A490" s="2" t="n">
        <v>31656</v>
      </c>
      <c r="B490" t="n">
        <v>14.913</v>
      </c>
      <c r="D490" s="2" t="n">
        <v>39692</v>
      </c>
      <c r="E490" s="1" t="n">
        <v>7.27</v>
      </c>
      <c r="G490" s="2" t="n">
        <v>24562</v>
      </c>
      <c r="H490" t="n">
        <v>0.0399</v>
      </c>
      <c r="I490" t="n">
        <v>0.0039</v>
      </c>
    </row>
    <row r="491">
      <c r="A491" s="2" t="n">
        <v>31686</v>
      </c>
      <c r="B491" t="n">
        <v>14.852</v>
      </c>
      <c r="D491" s="2" t="n">
        <v>39722</v>
      </c>
      <c r="E491" s="1" t="n">
        <v>6.03</v>
      </c>
      <c r="G491" s="2" t="n">
        <v>24590</v>
      </c>
      <c r="H491" t="n">
        <v>0.0389</v>
      </c>
      <c r="I491" t="n">
        <v>0.0032</v>
      </c>
    </row>
    <row r="492">
      <c r="A492" s="2" t="n">
        <v>31717</v>
      </c>
      <c r="B492" t="n">
        <v>15.207</v>
      </c>
      <c r="D492" s="2" t="n">
        <v>39753</v>
      </c>
      <c r="E492" s="1" t="n">
        <v>4.76</v>
      </c>
      <c r="G492" s="2" t="n">
        <v>24623</v>
      </c>
      <c r="H492" t="n">
        <v>-0.0432</v>
      </c>
      <c r="I492" t="n">
        <v>0.0033</v>
      </c>
    </row>
    <row r="493">
      <c r="A493" s="2" t="n">
        <v>31747</v>
      </c>
      <c r="B493" t="n">
        <v>16.076</v>
      </c>
      <c r="D493" s="2" t="n">
        <v>39783</v>
      </c>
      <c r="E493" s="1" t="n">
        <v>4.39</v>
      </c>
      <c r="G493" s="2" t="n">
        <v>24653</v>
      </c>
      <c r="H493" t="n">
        <v>0.0242</v>
      </c>
      <c r="I493" t="n">
        <v>0.0027</v>
      </c>
    </row>
    <row r="494">
      <c r="A494" s="2" t="n">
        <v>31778</v>
      </c>
      <c r="B494" t="n">
        <v>18.656</v>
      </c>
      <c r="D494" s="2" t="n">
        <v>39814</v>
      </c>
      <c r="E494" s="1" t="n">
        <v>3.74</v>
      </c>
      <c r="G494" s="2" t="n">
        <v>24684</v>
      </c>
      <c r="H494" t="n">
        <v>0.0458</v>
      </c>
      <c r="I494" t="n">
        <v>0.0032</v>
      </c>
    </row>
    <row r="495">
      <c r="A495" s="2" t="n">
        <v>31809</v>
      </c>
      <c r="B495" t="n">
        <v>17.726</v>
      </c>
      <c r="D495" s="2" t="n">
        <v>39845</v>
      </c>
      <c r="E495" s="1" t="n">
        <v>3.16</v>
      </c>
      <c r="G495" s="2" t="n">
        <v>24715</v>
      </c>
      <c r="H495" t="n">
        <v>-0.008999999999999999</v>
      </c>
      <c r="I495" t="n">
        <v>0.0031</v>
      </c>
    </row>
    <row r="496">
      <c r="A496" s="2" t="n">
        <v>31837</v>
      </c>
      <c r="B496" t="n">
        <v>18.305</v>
      </c>
      <c r="D496" s="2" t="n">
        <v>39873</v>
      </c>
      <c r="E496" s="1" t="n">
        <v>3.16</v>
      </c>
      <c r="G496" s="2" t="n">
        <v>24744</v>
      </c>
      <c r="H496" t="n">
        <v>0.031</v>
      </c>
      <c r="I496" t="n">
        <v>0.0032</v>
      </c>
    </row>
    <row r="497">
      <c r="A497" s="2" t="n">
        <v>31868</v>
      </c>
      <c r="B497" t="n">
        <v>18.643</v>
      </c>
      <c r="D497" s="2" t="n">
        <v>39904</v>
      </c>
      <c r="E497" s="1" t="n">
        <v>3.1</v>
      </c>
      <c r="G497" s="2" t="n">
        <v>24776</v>
      </c>
      <c r="H497" t="n">
        <v>-0.0308</v>
      </c>
      <c r="I497" t="n">
        <v>0.0039</v>
      </c>
    </row>
    <row r="498">
      <c r="A498" s="2" t="n">
        <v>31898</v>
      </c>
      <c r="B498" t="n">
        <v>19.415</v>
      </c>
      <c r="D498" s="2" t="n">
        <v>39934</v>
      </c>
      <c r="E498" s="1" t="n">
        <v>3.13</v>
      </c>
      <c r="G498" s="2" t="n">
        <v>24806</v>
      </c>
      <c r="H498" t="n">
        <v>0.0037</v>
      </c>
      <c r="I498" t="n">
        <v>0.0036</v>
      </c>
    </row>
    <row r="499">
      <c r="A499" s="2" t="n">
        <v>31929</v>
      </c>
      <c r="B499" t="n">
        <v>20.034</v>
      </c>
      <c r="D499" s="2" t="n">
        <v>39965</v>
      </c>
      <c r="E499" s="1" t="n">
        <v>3.25</v>
      </c>
      <c r="G499" s="2" t="n">
        <v>24835</v>
      </c>
      <c r="H499" t="n">
        <v>0.0305</v>
      </c>
      <c r="I499" t="n">
        <v>0.0033</v>
      </c>
    </row>
    <row r="500">
      <c r="A500" s="2" t="n">
        <v>31959</v>
      </c>
      <c r="B500" t="n">
        <v>21.355</v>
      </c>
      <c r="D500" s="2" t="n">
        <v>39995</v>
      </c>
      <c r="E500" s="1" t="n">
        <v>3.14</v>
      </c>
      <c r="G500" s="2" t="n">
        <v>24868</v>
      </c>
      <c r="H500" t="n">
        <v>-0.0403</v>
      </c>
      <c r="I500" t="n">
        <v>0.004</v>
      </c>
    </row>
    <row r="501">
      <c r="A501" s="2" t="n">
        <v>31990</v>
      </c>
      <c r="B501" t="n">
        <v>20.274</v>
      </c>
      <c r="D501" s="2" t="n">
        <v>40026</v>
      </c>
      <c r="E501" s="1" t="n">
        <v>3.3</v>
      </c>
      <c r="G501" s="2" t="n">
        <v>24897</v>
      </c>
      <c r="H501" t="n">
        <v>-0.0374</v>
      </c>
      <c r="I501" t="n">
        <v>0.0039</v>
      </c>
    </row>
    <row r="502">
      <c r="A502" s="2" t="n">
        <v>32021</v>
      </c>
      <c r="B502" t="n">
        <v>19.526</v>
      </c>
      <c r="D502" s="2" t="n">
        <v>40057</v>
      </c>
      <c r="E502" s="1" t="n">
        <v>3.37</v>
      </c>
      <c r="G502" s="2" t="n">
        <v>24926</v>
      </c>
      <c r="H502" t="n">
        <v>0.0021</v>
      </c>
      <c r="I502" t="n">
        <v>0.0038</v>
      </c>
    </row>
    <row r="503">
      <c r="A503" s="2" t="n">
        <v>32051</v>
      </c>
      <c r="B503" t="n">
        <v>19.848</v>
      </c>
      <c r="D503" s="2" t="n">
        <v>40087</v>
      </c>
      <c r="E503" s="1" t="n">
        <v>3.78</v>
      </c>
      <c r="G503" s="2" t="n">
        <v>24958</v>
      </c>
      <c r="H503" t="n">
        <v>0.0902</v>
      </c>
      <c r="I503" t="n">
        <v>0.0043</v>
      </c>
    </row>
    <row r="504">
      <c r="A504" s="2" t="n">
        <v>32082</v>
      </c>
      <c r="B504" t="n">
        <v>18.92</v>
      </c>
      <c r="D504" s="2" t="n">
        <v>40118</v>
      </c>
      <c r="E504" s="1" t="n">
        <v>3.95</v>
      </c>
      <c r="G504" s="2" t="n">
        <v>24989</v>
      </c>
      <c r="H504" t="n">
        <v>0.0228</v>
      </c>
      <c r="I504" t="n">
        <v>0.0045</v>
      </c>
    </row>
    <row r="505">
      <c r="A505" s="2" t="n">
        <v>32112</v>
      </c>
      <c r="B505" t="n">
        <v>17.241</v>
      </c>
      <c r="D505" s="2" t="n">
        <v>40148</v>
      </c>
      <c r="E505" s="1" t="n">
        <v>4.12904761904762</v>
      </c>
      <c r="G505" s="2" t="n">
        <v>25017</v>
      </c>
      <c r="H505" t="n">
        <v>0.007</v>
      </c>
      <c r="I505" t="n">
        <v>0.0043</v>
      </c>
    </row>
    <row r="506">
      <c r="A506" s="2" t="n">
        <v>32143</v>
      </c>
      <c r="B506" t="n">
        <v>17.16</v>
      </c>
      <c r="D506" s="2" t="n">
        <v>40179</v>
      </c>
      <c r="E506" s="1" t="n">
        <v>4.2025</v>
      </c>
      <c r="G506" s="2" t="n">
        <v>25049</v>
      </c>
      <c r="H506" t="n">
        <v>-0.0269</v>
      </c>
      <c r="I506" t="n">
        <v>0.0048</v>
      </c>
    </row>
    <row r="507">
      <c r="A507" s="2" t="n">
        <v>32174</v>
      </c>
      <c r="B507" t="n">
        <v>16.765</v>
      </c>
      <c r="D507" s="2" t="n">
        <v>40210</v>
      </c>
      <c r="E507" s="1" t="n">
        <v>4.16</v>
      </c>
      <c r="G507" s="2" t="n">
        <v>25080</v>
      </c>
      <c r="H507" t="n">
        <v>0.0135</v>
      </c>
      <c r="I507" t="n">
        <v>0.0042</v>
      </c>
    </row>
    <row r="508">
      <c r="A508" s="2" t="n">
        <v>32203</v>
      </c>
      <c r="B508" t="n">
        <v>16.217</v>
      </c>
      <c r="D508" s="2" t="n">
        <v>40238</v>
      </c>
      <c r="E508" s="1" t="n">
        <v>4.3275</v>
      </c>
      <c r="G508" s="2" t="n">
        <v>25111</v>
      </c>
      <c r="H508" t="n">
        <v>0.0405</v>
      </c>
      <c r="I508" t="n">
        <v>0.0043</v>
      </c>
    </row>
    <row r="509">
      <c r="A509" s="2" t="n">
        <v>32234</v>
      </c>
      <c r="B509" t="n">
        <v>17.875</v>
      </c>
      <c r="D509" s="2" t="n">
        <v>40269</v>
      </c>
      <c r="E509" s="1" t="n">
        <v>4.545</v>
      </c>
      <c r="G509" s="2" t="n">
        <v>25142</v>
      </c>
      <c r="H509" t="n">
        <v>0.0043</v>
      </c>
      <c r="I509" t="n">
        <v>0.0044</v>
      </c>
    </row>
    <row r="510">
      <c r="A510" s="2" t="n">
        <v>32264</v>
      </c>
      <c r="B510" t="n">
        <v>17.438</v>
      </c>
      <c r="D510" s="2" t="n">
        <v>40299</v>
      </c>
      <c r="E510" s="1" t="n">
        <v>4.805</v>
      </c>
      <c r="G510" s="2" t="n">
        <v>25171</v>
      </c>
      <c r="H510" t="n">
        <v>0.0543</v>
      </c>
      <c r="I510" t="n">
        <v>0.0042</v>
      </c>
    </row>
    <row r="511">
      <c r="A511" s="2" t="n">
        <v>32295</v>
      </c>
      <c r="B511" t="n">
        <v>16.53</v>
      </c>
      <c r="D511" s="2" t="n">
        <v>40330</v>
      </c>
      <c r="E511" s="1" t="n">
        <v>4.8875</v>
      </c>
      <c r="G511" s="2" t="n">
        <v>25203</v>
      </c>
      <c r="H511" t="n">
        <v>-0.0393</v>
      </c>
      <c r="I511" t="n">
        <v>0.0043</v>
      </c>
    </row>
    <row r="512">
      <c r="A512" s="2" t="n">
        <v>32325</v>
      </c>
      <c r="B512" t="n">
        <v>15.498</v>
      </c>
      <c r="D512" s="2" t="n">
        <v>40360</v>
      </c>
      <c r="E512" s="1" t="n">
        <v>4.84</v>
      </c>
      <c r="G512" s="2" t="n">
        <v>25234</v>
      </c>
      <c r="H512" t="n">
        <v>-0.0125</v>
      </c>
      <c r="I512" t="n">
        <v>0.0053</v>
      </c>
    </row>
    <row r="513">
      <c r="A513" s="2" t="n">
        <v>32356</v>
      </c>
      <c r="B513" t="n">
        <v>15.524</v>
      </c>
      <c r="D513" s="2" t="n">
        <v>40391</v>
      </c>
      <c r="E513" s="1" t="n">
        <v>4.7425</v>
      </c>
      <c r="G513" s="2" t="n">
        <v>25262</v>
      </c>
      <c r="H513" t="n">
        <v>-0.0586</v>
      </c>
      <c r="I513" t="n">
        <v>0.0046</v>
      </c>
    </row>
    <row r="514">
      <c r="A514" s="2" t="n">
        <v>32387</v>
      </c>
      <c r="B514" t="n">
        <v>14.467</v>
      </c>
      <c r="D514" s="2" t="n">
        <v>40422</v>
      </c>
      <c r="E514" s="1" t="n">
        <v>4.815</v>
      </c>
      <c r="G514" s="2" t="n">
        <v>25290</v>
      </c>
      <c r="H514" t="n">
        <v>0.0266</v>
      </c>
      <c r="I514" t="n">
        <v>0.0046</v>
      </c>
    </row>
    <row r="515">
      <c r="A515" s="2" t="n">
        <v>32417</v>
      </c>
      <c r="B515" t="n">
        <v>13.798</v>
      </c>
      <c r="D515" s="2" t="n">
        <v>40452</v>
      </c>
      <c r="E515" s="1" t="n">
        <v>4.81</v>
      </c>
      <c r="G515" s="2" t="n">
        <v>25323</v>
      </c>
      <c r="H515" t="n">
        <v>0.0146</v>
      </c>
      <c r="I515" t="n">
        <v>0.0053</v>
      </c>
    </row>
    <row r="516">
      <c r="A516" s="2" t="n">
        <v>32448</v>
      </c>
      <c r="B516" t="n">
        <v>13.977</v>
      </c>
      <c r="D516" s="2" t="n">
        <v>40483</v>
      </c>
      <c r="E516" s="1" t="n">
        <v>5.015</v>
      </c>
      <c r="G516" s="2" t="n">
        <v>25352</v>
      </c>
      <c r="H516" t="n">
        <v>-0.0009</v>
      </c>
      <c r="I516" t="n">
        <v>0.0048</v>
      </c>
    </row>
    <row r="517">
      <c r="A517" s="2" t="n">
        <v>32478</v>
      </c>
      <c r="B517" t="n">
        <v>16.266</v>
      </c>
      <c r="D517" s="2" t="n">
        <v>40513</v>
      </c>
      <c r="E517" s="1" t="n">
        <v>5.025</v>
      </c>
      <c r="G517" s="2" t="n">
        <v>25384</v>
      </c>
      <c r="H517" t="n">
        <v>-0.07190000000000001</v>
      </c>
      <c r="I517" t="n">
        <v>0.0051</v>
      </c>
    </row>
    <row r="518">
      <c r="A518" s="2" t="n">
        <v>32509</v>
      </c>
      <c r="B518" t="n">
        <v>17.983</v>
      </c>
      <c r="D518" s="2" t="n">
        <v>40544</v>
      </c>
      <c r="E518" s="1" t="n">
        <v>4.955</v>
      </c>
      <c r="G518" s="2" t="n">
        <v>25415</v>
      </c>
      <c r="H518" t="n">
        <v>-0.07000000000000001</v>
      </c>
      <c r="I518" t="n">
        <v>0.0053</v>
      </c>
    </row>
    <row r="519">
      <c r="A519" s="2" t="n">
        <v>32540</v>
      </c>
      <c r="B519" t="n">
        <v>17.826</v>
      </c>
      <c r="D519" s="2" t="n">
        <v>40575</v>
      </c>
      <c r="E519" s="1" t="n">
        <v>4.9175</v>
      </c>
      <c r="G519" s="2" t="n">
        <v>25444</v>
      </c>
      <c r="H519" t="n">
        <v>0.0469</v>
      </c>
      <c r="I519" t="n">
        <v>0.005</v>
      </c>
    </row>
    <row r="520">
      <c r="A520" s="2" t="n">
        <v>32568</v>
      </c>
      <c r="B520" t="n">
        <v>19.445</v>
      </c>
      <c r="D520" s="2" t="n">
        <v>40603</v>
      </c>
      <c r="E520" s="1" t="n">
        <v>4.92</v>
      </c>
      <c r="G520" s="2" t="n">
        <v>25476</v>
      </c>
      <c r="H520" t="n">
        <v>-0.0297</v>
      </c>
      <c r="I520" t="n">
        <v>0.0062</v>
      </c>
    </row>
    <row r="521">
      <c r="A521" s="2" t="n">
        <v>32599</v>
      </c>
      <c r="B521" t="n">
        <v>21.04</v>
      </c>
      <c r="D521" s="2" t="n">
        <v>40634</v>
      </c>
      <c r="E521" s="1" t="n">
        <v>4.9</v>
      </c>
      <c r="G521" s="2" t="n">
        <v>25507</v>
      </c>
      <c r="H521" t="n">
        <v>0.0506</v>
      </c>
      <c r="I521" t="n">
        <v>0.006</v>
      </c>
    </row>
    <row r="522">
      <c r="A522" s="2" t="n">
        <v>32629</v>
      </c>
      <c r="B522" t="n">
        <v>20.032</v>
      </c>
      <c r="D522" s="2" t="n">
        <v>40664</v>
      </c>
      <c r="E522" s="1" t="n">
        <v>5.0025</v>
      </c>
      <c r="G522" s="2" t="n">
        <v>25535</v>
      </c>
      <c r="H522" t="n">
        <v>-0.038</v>
      </c>
      <c r="I522" t="n">
        <v>0.0052</v>
      </c>
    </row>
    <row r="523">
      <c r="A523" s="2" t="n">
        <v>32660</v>
      </c>
      <c r="B523" t="n">
        <v>20.005</v>
      </c>
      <c r="D523" s="2" t="n">
        <v>40695</v>
      </c>
      <c r="E523" s="1" t="n">
        <v>4.9925</v>
      </c>
      <c r="G523" s="2" t="n">
        <v>25568</v>
      </c>
      <c r="H523" t="n">
        <v>-0.0263</v>
      </c>
      <c r="I523" t="n">
        <v>0.0064</v>
      </c>
    </row>
    <row r="524">
      <c r="A524" s="2" t="n">
        <v>32690</v>
      </c>
      <c r="B524" t="n">
        <v>19.644</v>
      </c>
      <c r="D524" s="2" t="n">
        <v>40725</v>
      </c>
      <c r="E524" s="1" t="n">
        <v>4.955</v>
      </c>
      <c r="G524" s="2" t="n">
        <v>25598</v>
      </c>
      <c r="H524" t="n">
        <v>-0.081</v>
      </c>
      <c r="I524" t="n">
        <v>0.006</v>
      </c>
    </row>
    <row r="525">
      <c r="A525" s="2" t="n">
        <v>32721</v>
      </c>
      <c r="B525" t="n">
        <v>18.522</v>
      </c>
      <c r="D525" s="2" t="n">
        <v>40756</v>
      </c>
      <c r="E525" s="1" t="n">
        <v>4.8575</v>
      </c>
      <c r="G525" s="2" t="n">
        <v>25626</v>
      </c>
      <c r="H525" t="n">
        <v>0.0514</v>
      </c>
      <c r="I525" t="n">
        <v>0.0062</v>
      </c>
    </row>
    <row r="526">
      <c r="A526" s="2" t="n">
        <v>32752</v>
      </c>
      <c r="B526" t="n">
        <v>19.594</v>
      </c>
      <c r="D526" s="2" t="n">
        <v>40787</v>
      </c>
      <c r="E526" s="1" t="n">
        <v>4.81</v>
      </c>
      <c r="G526" s="2" t="n">
        <v>25658</v>
      </c>
      <c r="H526" t="n">
        <v>-0.0106</v>
      </c>
      <c r="I526" t="n">
        <v>0.0057</v>
      </c>
    </row>
    <row r="527">
      <c r="A527" s="2" t="n">
        <v>32782</v>
      </c>
      <c r="B527" t="n">
        <v>20.091</v>
      </c>
      <c r="D527" s="2" t="n">
        <v>40817</v>
      </c>
      <c r="E527" s="1" t="n">
        <v>4.725</v>
      </c>
      <c r="G527" s="2" t="n">
        <v>25688</v>
      </c>
      <c r="H527" t="n">
        <v>-0.1099</v>
      </c>
      <c r="I527" t="n">
        <v>0.005</v>
      </c>
    </row>
    <row r="528">
      <c r="A528" s="2" t="n">
        <v>32813</v>
      </c>
      <c r="B528" t="n">
        <v>19.82</v>
      </c>
      <c r="D528" s="2" t="n">
        <v>40848</v>
      </c>
      <c r="E528" s="1" t="n">
        <v>4.6225</v>
      </c>
      <c r="G528" s="2" t="n">
        <v>25717</v>
      </c>
      <c r="H528" t="n">
        <v>-0.06900000000000001</v>
      </c>
      <c r="I528" t="n">
        <v>0.0053</v>
      </c>
    </row>
    <row r="529">
      <c r="A529" s="2" t="n">
        <v>32843</v>
      </c>
      <c r="B529" t="n">
        <v>21.088</v>
      </c>
      <c r="D529" s="2" t="n">
        <v>40878</v>
      </c>
      <c r="E529" s="1" t="n">
        <v>4.5075</v>
      </c>
      <c r="G529" s="2" t="n">
        <v>25749</v>
      </c>
      <c r="H529" t="n">
        <v>-0.058</v>
      </c>
      <c r="I529" t="n">
        <v>0.0058</v>
      </c>
    </row>
    <row r="530">
      <c r="A530" s="2" t="n">
        <v>32874</v>
      </c>
      <c r="B530" t="n">
        <v>22.641</v>
      </c>
      <c r="D530" s="2" t="n">
        <v>40909</v>
      </c>
      <c r="E530" s="1" t="n">
        <v>4.41</v>
      </c>
      <c r="G530" s="2" t="n">
        <v>25780</v>
      </c>
      <c r="H530" t="n">
        <v>0.0692</v>
      </c>
      <c r="I530" t="n">
        <v>0.0052</v>
      </c>
    </row>
    <row r="531">
      <c r="A531" s="2" t="n">
        <v>32905</v>
      </c>
      <c r="B531" t="n">
        <v>22.108</v>
      </c>
      <c r="D531" s="2" t="n">
        <v>40940</v>
      </c>
      <c r="E531" s="1" t="n">
        <v>4.37</v>
      </c>
      <c r="G531" s="2" t="n">
        <v>25811</v>
      </c>
      <c r="H531" t="n">
        <v>0.045</v>
      </c>
      <c r="I531" t="n">
        <v>0.0053</v>
      </c>
    </row>
    <row r="532">
      <c r="A532" s="2" t="n">
        <v>32933</v>
      </c>
      <c r="B532" t="n">
        <v>20.418</v>
      </c>
      <c r="D532" s="2" t="n">
        <v>40969</v>
      </c>
      <c r="E532" s="1" t="n">
        <v>4.4425</v>
      </c>
      <c r="G532" s="2" t="n">
        <v>25841</v>
      </c>
      <c r="H532" t="n">
        <v>0.0418</v>
      </c>
      <c r="I532" t="n">
        <v>0.0054</v>
      </c>
    </row>
    <row r="533">
      <c r="A533" s="2" t="n">
        <v>32964</v>
      </c>
      <c r="B533" t="n">
        <v>18.582</v>
      </c>
      <c r="D533" s="2" t="n">
        <v>41000</v>
      </c>
      <c r="E533" s="1" t="n">
        <v>4.2025</v>
      </c>
      <c r="G533" s="2" t="n">
        <v>25871</v>
      </c>
      <c r="H533" t="n">
        <v>-0.0227</v>
      </c>
      <c r="I533" t="n">
        <v>0.0046</v>
      </c>
    </row>
    <row r="534">
      <c r="A534" s="2" t="n">
        <v>32994</v>
      </c>
      <c r="B534" t="n">
        <v>18.237</v>
      </c>
      <c r="D534" s="2" t="n">
        <v>41030</v>
      </c>
      <c r="E534" s="1" t="n">
        <v>3.655</v>
      </c>
      <c r="G534" s="2" t="n">
        <v>25902</v>
      </c>
      <c r="H534" t="n">
        <v>0.0462</v>
      </c>
      <c r="I534" t="n">
        <v>0.0046</v>
      </c>
    </row>
    <row r="535">
      <c r="A535" s="2" t="n">
        <v>33025</v>
      </c>
      <c r="B535" t="n">
        <v>16.871</v>
      </c>
      <c r="D535" s="2" t="n">
        <v>41061</v>
      </c>
      <c r="E535" s="1" t="n">
        <v>3.4925</v>
      </c>
      <c r="G535" s="2" t="n">
        <v>25933</v>
      </c>
      <c r="H535" t="n">
        <v>0.0574</v>
      </c>
      <c r="I535" t="n">
        <v>0.0042</v>
      </c>
    </row>
    <row r="536">
      <c r="A536" s="2" t="n">
        <v>33055</v>
      </c>
      <c r="B536" t="n">
        <v>18.638</v>
      </c>
      <c r="D536" s="2" t="n">
        <v>41091</v>
      </c>
      <c r="E536" s="1" t="n">
        <v>3.545</v>
      </c>
      <c r="G536" s="2" t="n">
        <v>25962</v>
      </c>
      <c r="H536" t="n">
        <v>0.0483</v>
      </c>
      <c r="I536" t="n">
        <v>0.0038</v>
      </c>
    </row>
    <row r="537">
      <c r="A537" s="2" t="n">
        <v>33086</v>
      </c>
      <c r="B537" t="n">
        <v>27.174</v>
      </c>
      <c r="D537" s="2" t="n">
        <v>41122</v>
      </c>
      <c r="E537" s="1" t="n">
        <v>3.6175</v>
      </c>
      <c r="G537" s="2" t="n">
        <v>25990</v>
      </c>
      <c r="H537" t="n">
        <v>0.0141</v>
      </c>
      <c r="I537" t="n">
        <v>0.0033</v>
      </c>
    </row>
    <row r="538">
      <c r="A538" s="2" t="n">
        <v>33117</v>
      </c>
      <c r="B538" t="n">
        <v>33.687</v>
      </c>
      <c r="D538" s="2" t="n">
        <v>41153</v>
      </c>
      <c r="E538" s="1" t="n">
        <v>3.49</v>
      </c>
      <c r="G538" s="2" t="n">
        <v>26023</v>
      </c>
      <c r="H538" t="n">
        <v>0.0412</v>
      </c>
      <c r="I538" t="n">
        <v>0.003</v>
      </c>
    </row>
    <row r="539">
      <c r="A539" s="2" t="n">
        <v>33147</v>
      </c>
      <c r="B539" t="n">
        <v>35.922</v>
      </c>
      <c r="D539" s="2" t="n">
        <v>41183</v>
      </c>
      <c r="E539" s="1" t="n">
        <v>3.1625</v>
      </c>
      <c r="G539" s="2" t="n">
        <v>26053</v>
      </c>
      <c r="H539" t="n">
        <v>0.0315</v>
      </c>
      <c r="I539" t="n">
        <v>0.0028</v>
      </c>
    </row>
    <row r="540">
      <c r="A540" s="2" t="n">
        <v>33178</v>
      </c>
      <c r="B540" t="n">
        <v>32.3</v>
      </c>
      <c r="D540" s="2" t="n">
        <v>41214</v>
      </c>
      <c r="E540" s="1" t="n">
        <v>3.2425</v>
      </c>
      <c r="G540" s="2" t="n">
        <v>26081</v>
      </c>
      <c r="H540" t="n">
        <v>-0.0399</v>
      </c>
      <c r="I540" t="n">
        <v>0.0029</v>
      </c>
    </row>
    <row r="541">
      <c r="A541" s="2" t="n">
        <v>33208</v>
      </c>
      <c r="B541" t="n">
        <v>27.337</v>
      </c>
      <c r="D541" s="2" t="n">
        <v>41244</v>
      </c>
      <c r="E541" s="1" t="n">
        <v>3.1125</v>
      </c>
      <c r="G541" s="2" t="n">
        <v>26114</v>
      </c>
      <c r="H541" t="n">
        <v>-0.0009</v>
      </c>
      <c r="I541" t="n">
        <v>0.0037</v>
      </c>
    </row>
    <row r="542">
      <c r="A542" s="2" t="n">
        <v>33239</v>
      </c>
      <c r="B542" t="n">
        <v>24.959</v>
      </c>
      <c r="D542" s="2" t="n">
        <v>41275</v>
      </c>
      <c r="E542" s="1" t="n">
        <v>3</v>
      </c>
      <c r="G542" s="2" t="n">
        <v>26144</v>
      </c>
      <c r="H542" t="n">
        <v>-0.0449</v>
      </c>
      <c r="I542" t="n">
        <v>0.004</v>
      </c>
    </row>
    <row r="543">
      <c r="A543" s="2" t="n">
        <v>33270</v>
      </c>
      <c r="B543" t="n">
        <v>20.523</v>
      </c>
      <c r="D543" s="2" t="n">
        <v>41306</v>
      </c>
      <c r="E543" s="1" t="n">
        <v>2.94</v>
      </c>
      <c r="G543" s="2" t="n">
        <v>26176</v>
      </c>
      <c r="H543" t="n">
        <v>0.0379</v>
      </c>
      <c r="I543" t="n">
        <v>0.0047</v>
      </c>
    </row>
    <row r="544">
      <c r="A544" s="2" t="n">
        <v>33298</v>
      </c>
      <c r="B544" t="n">
        <v>19.86</v>
      </c>
      <c r="D544" s="2" t="n">
        <v>41334</v>
      </c>
      <c r="E544" s="1" t="n">
        <v>3.05</v>
      </c>
      <c r="G544" s="2" t="n">
        <v>26206</v>
      </c>
      <c r="H544" t="n">
        <v>-0.0086</v>
      </c>
      <c r="I544" t="n">
        <v>0.0037</v>
      </c>
    </row>
    <row r="545">
      <c r="A545" s="2" t="n">
        <v>33329</v>
      </c>
      <c r="B545" t="n">
        <v>20.823</v>
      </c>
      <c r="D545" s="2" t="n">
        <v>41365</v>
      </c>
      <c r="E545" s="1" t="n">
        <v>3.02</v>
      </c>
      <c r="G545" s="2" t="n">
        <v>26235</v>
      </c>
      <c r="H545" t="n">
        <v>-0.0442</v>
      </c>
      <c r="I545" t="n">
        <v>0.0037</v>
      </c>
    </row>
    <row r="546">
      <c r="A546" s="2" t="n">
        <v>33359</v>
      </c>
      <c r="B546" t="n">
        <v>21.24</v>
      </c>
      <c r="D546" s="2" t="n">
        <v>41395</v>
      </c>
      <c r="E546" s="1" t="n">
        <v>2.82</v>
      </c>
      <c r="G546" s="2" t="n">
        <v>26267</v>
      </c>
      <c r="H546" t="n">
        <v>-0.0046</v>
      </c>
      <c r="I546" t="n">
        <v>0.0037</v>
      </c>
    </row>
    <row r="547">
      <c r="A547" s="2" t="n">
        <v>33390</v>
      </c>
      <c r="B547" t="n">
        <v>20.195</v>
      </c>
      <c r="D547" s="2" t="n">
        <v>41426</v>
      </c>
      <c r="E547" s="1" t="n">
        <v>2.8</v>
      </c>
      <c r="G547" s="2" t="n">
        <v>26298</v>
      </c>
      <c r="H547" t="n">
        <v>0.0871</v>
      </c>
      <c r="I547" t="n">
        <v>0.0037</v>
      </c>
    </row>
    <row r="548">
      <c r="A548" s="2" t="n">
        <v>33420</v>
      </c>
      <c r="B548" t="n">
        <v>21.42</v>
      </c>
      <c r="D548" s="2" t="n">
        <v>41456</v>
      </c>
      <c r="E548" s="1" t="n">
        <v>2.76</v>
      </c>
      <c r="G548" s="2" t="n">
        <v>26329</v>
      </c>
      <c r="H548" t="n">
        <v>0.0247</v>
      </c>
      <c r="I548" t="n">
        <v>0.0029</v>
      </c>
    </row>
    <row r="549">
      <c r="A549" s="2" t="n">
        <v>33451</v>
      </c>
      <c r="B549" t="n">
        <v>21.688</v>
      </c>
      <c r="D549" s="2" t="n">
        <v>41487</v>
      </c>
      <c r="E549" s="1" t="n">
        <v>2.6</v>
      </c>
      <c r="G549" s="2" t="n">
        <v>26358</v>
      </c>
      <c r="H549" t="n">
        <v>0.0287</v>
      </c>
      <c r="I549" t="n">
        <v>0.0025</v>
      </c>
    </row>
    <row r="550">
      <c r="A550" s="2" t="n">
        <v>33482</v>
      </c>
      <c r="B550" t="n">
        <v>21.857</v>
      </c>
      <c r="D550" s="2" t="n">
        <v>41518</v>
      </c>
      <c r="E550" s="1" t="n">
        <v>2.58</v>
      </c>
      <c r="G550" s="2" t="n">
        <v>26388</v>
      </c>
      <c r="H550" t="n">
        <v>0.0062</v>
      </c>
      <c r="I550" t="n">
        <v>0.0027</v>
      </c>
    </row>
    <row r="551">
      <c r="A551" s="2" t="n">
        <v>33512</v>
      </c>
      <c r="B551" t="n">
        <v>23.228</v>
      </c>
      <c r="D551" s="2" t="n">
        <v>41548</v>
      </c>
      <c r="E551" s="1" t="n">
        <v>2.58</v>
      </c>
      <c r="G551" s="2" t="n">
        <v>26417</v>
      </c>
      <c r="H551" t="n">
        <v>0.0029</v>
      </c>
      <c r="I551" t="n">
        <v>0.0029</v>
      </c>
    </row>
    <row r="552">
      <c r="A552" s="2" t="n">
        <v>33543</v>
      </c>
      <c r="B552" t="n">
        <v>22.465</v>
      </c>
      <c r="D552" s="2" t="n">
        <v>41579</v>
      </c>
      <c r="E552" s="1" t="n">
        <v>2.58</v>
      </c>
      <c r="G552" s="2" t="n">
        <v>26450</v>
      </c>
      <c r="H552" t="n">
        <v>0.0129</v>
      </c>
      <c r="I552" t="n">
        <v>0.003</v>
      </c>
    </row>
    <row r="553">
      <c r="A553" s="2" t="n">
        <v>33573</v>
      </c>
      <c r="B553" t="n">
        <v>19.517</v>
      </c>
      <c r="D553" s="2" t="n">
        <v>41609</v>
      </c>
      <c r="E553" s="1" t="n">
        <v>2.6</v>
      </c>
      <c r="G553" s="2" t="n">
        <v>26480</v>
      </c>
      <c r="H553" t="n">
        <v>-0.0243</v>
      </c>
      <c r="I553" t="n">
        <v>0.0029</v>
      </c>
    </row>
    <row r="554">
      <c r="A554" s="2" t="n">
        <v>33604</v>
      </c>
      <c r="B554" t="n">
        <v>18.82</v>
      </c>
      <c r="D554" s="2" t="n">
        <v>41640</v>
      </c>
      <c r="E554" s="1" t="n">
        <v>2.62</v>
      </c>
      <c r="G554" s="2" t="n">
        <v>26511</v>
      </c>
      <c r="H554" t="n">
        <v>-0.008</v>
      </c>
      <c r="I554" t="n">
        <v>0.0031</v>
      </c>
    </row>
    <row r="555">
      <c r="A555" s="2" t="n">
        <v>33635</v>
      </c>
      <c r="B555" t="n">
        <v>18.995</v>
      </c>
      <c r="D555" s="2" t="n">
        <v>41671</v>
      </c>
      <c r="E555" s="1" t="n">
        <v>2.63</v>
      </c>
      <c r="G555" s="2" t="n">
        <v>26542</v>
      </c>
      <c r="H555" t="n">
        <v>0.0327</v>
      </c>
      <c r="I555" t="n">
        <v>0.0029</v>
      </c>
    </row>
    <row r="556">
      <c r="A556" s="2" t="n">
        <v>33664</v>
      </c>
      <c r="B556" t="n">
        <v>18.916</v>
      </c>
      <c r="D556" s="2" t="n">
        <v>41699</v>
      </c>
      <c r="E556" s="1" t="n">
        <v>2.65</v>
      </c>
      <c r="G556" s="2" t="n">
        <v>26571</v>
      </c>
      <c r="H556" t="n">
        <v>-0.0114</v>
      </c>
      <c r="I556" t="n">
        <v>0.0034</v>
      </c>
    </row>
    <row r="557">
      <c r="A557" s="2" t="n">
        <v>33695</v>
      </c>
      <c r="B557" t="n">
        <v>20.243</v>
      </c>
      <c r="D557" s="2" t="n">
        <v>41730</v>
      </c>
      <c r="E557" s="1" t="n">
        <v>2.68</v>
      </c>
      <c r="G557" s="2" t="n">
        <v>26603</v>
      </c>
      <c r="H557" t="n">
        <v>0.0052</v>
      </c>
      <c r="I557" t="n">
        <v>0.004</v>
      </c>
    </row>
    <row r="558">
      <c r="A558" s="2" t="n">
        <v>33725</v>
      </c>
      <c r="B558" t="n">
        <v>20.94</v>
      </c>
      <c r="D558" s="2" t="n">
        <v>41760</v>
      </c>
      <c r="E558" s="1" t="n">
        <v>2.69</v>
      </c>
      <c r="G558" s="2" t="n">
        <v>26633</v>
      </c>
      <c r="H558" t="n">
        <v>0.046</v>
      </c>
      <c r="I558" t="n">
        <v>0.0037</v>
      </c>
    </row>
    <row r="559">
      <c r="A559" s="2" t="n">
        <v>33756</v>
      </c>
      <c r="B559" t="n">
        <v>22.375</v>
      </c>
      <c r="D559" s="2" t="n">
        <v>41791</v>
      </c>
      <c r="E559" s="1" t="n">
        <v>2.7</v>
      </c>
      <c r="G559" s="2" t="n">
        <v>26662</v>
      </c>
      <c r="H559" t="n">
        <v>0.0062</v>
      </c>
      <c r="I559" t="n">
        <v>0.0037</v>
      </c>
    </row>
    <row r="560">
      <c r="A560" s="2" t="n">
        <v>33786</v>
      </c>
      <c r="B560" t="n">
        <v>21.759</v>
      </c>
      <c r="D560" s="2" t="n">
        <v>41821</v>
      </c>
      <c r="E560" s="1" t="n">
        <v>2.65</v>
      </c>
      <c r="G560" s="2" t="n">
        <v>26695</v>
      </c>
      <c r="H560" t="n">
        <v>-0.0327</v>
      </c>
      <c r="I560" t="n">
        <v>0.0044</v>
      </c>
    </row>
    <row r="561">
      <c r="A561" s="2" t="n">
        <v>33817</v>
      </c>
      <c r="B561" t="n">
        <v>21.35</v>
      </c>
      <c r="D561" s="2" t="n">
        <v>41852</v>
      </c>
      <c r="E561" s="1" t="n">
        <v>2.63</v>
      </c>
      <c r="G561" s="2" t="n">
        <v>26723</v>
      </c>
      <c r="H561" t="n">
        <v>-0.0485</v>
      </c>
      <c r="I561" t="n">
        <v>0.0042</v>
      </c>
    </row>
    <row r="562">
      <c r="A562" s="2" t="n">
        <v>33848</v>
      </c>
      <c r="B562" t="n">
        <v>21.902</v>
      </c>
      <c r="D562" s="2" t="n">
        <v>41883</v>
      </c>
      <c r="E562" s="1" t="n">
        <v>2.66</v>
      </c>
      <c r="G562" s="2" t="n">
        <v>26753</v>
      </c>
      <c r="H562" t="n">
        <v>-0.013</v>
      </c>
      <c r="I562" t="n">
        <v>0.0046</v>
      </c>
    </row>
    <row r="563">
      <c r="A563" s="2" t="n">
        <v>33878</v>
      </c>
      <c r="B563" t="n">
        <v>21.688</v>
      </c>
      <c r="D563" s="2" t="n">
        <v>41913</v>
      </c>
      <c r="E563" s="1" t="n">
        <v>2.72</v>
      </c>
      <c r="G563" s="2" t="n">
        <v>26784</v>
      </c>
      <c r="H563" t="n">
        <v>-0.0568</v>
      </c>
      <c r="I563" t="n">
        <v>0.0052</v>
      </c>
    </row>
    <row r="564">
      <c r="A564" s="2" t="n">
        <v>33909</v>
      </c>
      <c r="B564" t="n">
        <v>20.342</v>
      </c>
      <c r="D564" s="2" t="n">
        <v>41944</v>
      </c>
      <c r="E564" s="1" t="n">
        <v>2.75</v>
      </c>
      <c r="G564" s="2" t="n">
        <v>26815</v>
      </c>
      <c r="H564" t="n">
        <v>-0.0297</v>
      </c>
      <c r="I564" t="n">
        <v>0.0051</v>
      </c>
    </row>
    <row r="565">
      <c r="A565" s="2" t="n">
        <v>33939</v>
      </c>
      <c r="B565" t="n">
        <v>19.407</v>
      </c>
      <c r="D565" s="2" t="n">
        <v>41974</v>
      </c>
      <c r="E565" s="1" t="n">
        <v>2.75</v>
      </c>
      <c r="G565" s="2" t="n">
        <v>26844</v>
      </c>
      <c r="H565" t="n">
        <v>-0.0157</v>
      </c>
      <c r="I565" t="n">
        <v>0.0051</v>
      </c>
    </row>
    <row r="566">
      <c r="A566" s="2" t="n">
        <v>33970</v>
      </c>
      <c r="B566" t="n">
        <v>19.075</v>
      </c>
      <c r="D566" s="2" t="n">
        <v>42005</v>
      </c>
      <c r="E566" s="1" t="n">
        <v>2.7</v>
      </c>
      <c r="G566" s="2" t="n">
        <v>26876</v>
      </c>
      <c r="H566" t="n">
        <v>0.0504</v>
      </c>
      <c r="I566" t="n">
        <v>0.0064</v>
      </c>
    </row>
    <row r="567">
      <c r="A567" s="2" t="n">
        <v>34001</v>
      </c>
      <c r="B567" t="n">
        <v>20.053</v>
      </c>
      <c r="D567" s="2" t="n">
        <v>42036</v>
      </c>
      <c r="E567" s="1" t="n">
        <v>2.36</v>
      </c>
      <c r="G567" s="2" t="n">
        <v>26907</v>
      </c>
      <c r="H567" t="n">
        <v>-0.0382</v>
      </c>
      <c r="I567" t="n">
        <v>0.007</v>
      </c>
    </row>
    <row r="568">
      <c r="A568" s="2" t="n">
        <v>34029</v>
      </c>
      <c r="B568" t="n">
        <v>20.347</v>
      </c>
      <c r="D568" s="2" t="n">
        <v>42064</v>
      </c>
      <c r="E568" s="1" t="n">
        <v>2.3</v>
      </c>
      <c r="G568" s="2" t="n">
        <v>26935</v>
      </c>
      <c r="H568" t="n">
        <v>0.0474</v>
      </c>
      <c r="I568" t="n">
        <v>0.0068</v>
      </c>
    </row>
    <row r="569">
      <c r="A569" s="2" t="n">
        <v>34060</v>
      </c>
      <c r="B569" t="n">
        <v>20.27</v>
      </c>
      <c r="D569" s="2" t="n">
        <v>42095</v>
      </c>
      <c r="E569" s="1" t="n">
        <v>2.25</v>
      </c>
      <c r="G569" s="2" t="n">
        <v>26968</v>
      </c>
      <c r="H569" t="n">
        <v>-0.0083</v>
      </c>
      <c r="I569" t="n">
        <v>0.0065</v>
      </c>
    </row>
    <row r="570">
      <c r="A570" s="2" t="n">
        <v>34090</v>
      </c>
      <c r="B570" t="n">
        <v>19.94</v>
      </c>
      <c r="D570" s="2" t="n">
        <v>42125</v>
      </c>
      <c r="E570" s="1" t="n">
        <v>2.15</v>
      </c>
      <c r="G570" s="2" t="n">
        <v>26998</v>
      </c>
      <c r="H570" t="n">
        <v>-0.1278</v>
      </c>
      <c r="I570" t="n">
        <v>0.0056</v>
      </c>
    </row>
    <row r="571">
      <c r="A571" s="2" t="n">
        <v>34121</v>
      </c>
      <c r="B571" t="n">
        <v>19.07</v>
      </c>
      <c r="D571" s="2" t="n">
        <v>42156</v>
      </c>
      <c r="E571" s="1" t="n">
        <v>2.15</v>
      </c>
      <c r="G571" s="2" t="n">
        <v>27029</v>
      </c>
      <c r="H571" t="n">
        <v>0.0059</v>
      </c>
      <c r="I571" t="n">
        <v>0.0064</v>
      </c>
    </row>
    <row r="572">
      <c r="A572" s="2" t="n">
        <v>34151</v>
      </c>
      <c r="B572" t="n">
        <v>17.866</v>
      </c>
      <c r="D572" s="2" t="n">
        <v>42186</v>
      </c>
      <c r="E572" s="1" t="n">
        <v>2.14</v>
      </c>
      <c r="G572" s="2" t="n">
        <v>27060</v>
      </c>
      <c r="H572" t="n">
        <v>-0.0016</v>
      </c>
      <c r="I572" t="n">
        <v>0.0063</v>
      </c>
    </row>
    <row r="573">
      <c r="A573" s="2" t="n">
        <v>34182</v>
      </c>
      <c r="B573" t="n">
        <v>18.009</v>
      </c>
      <c r="D573" s="2" t="n">
        <v>42217</v>
      </c>
      <c r="E573" s="1" t="n">
        <v>2.14</v>
      </c>
      <c r="G573" s="2" t="n">
        <v>27088</v>
      </c>
      <c r="H573" t="n">
        <v>-0.0046</v>
      </c>
      <c r="I573" t="n">
        <v>0.0058</v>
      </c>
    </row>
    <row r="574">
      <c r="A574" s="2" t="n">
        <v>34213</v>
      </c>
      <c r="B574" t="n">
        <v>17.514</v>
      </c>
      <c r="D574" s="2" t="n">
        <v>42248</v>
      </c>
      <c r="E574" s="1" t="n">
        <v>2.17</v>
      </c>
      <c r="G574" s="2" t="n">
        <v>27117</v>
      </c>
      <c r="H574" t="n">
        <v>-0.0282</v>
      </c>
      <c r="I574" t="n">
        <v>0.0056</v>
      </c>
    </row>
    <row r="575">
      <c r="A575" s="2" t="n">
        <v>34243</v>
      </c>
      <c r="B575" t="n">
        <v>18.145</v>
      </c>
      <c r="D575" s="2" t="n">
        <v>42278</v>
      </c>
      <c r="E575" s="1" t="n">
        <v>2.15</v>
      </c>
      <c r="G575" s="2" t="n">
        <v>27149</v>
      </c>
      <c r="H575" t="n">
        <v>-0.0528</v>
      </c>
      <c r="I575" t="n">
        <v>0.0075</v>
      </c>
    </row>
    <row r="576">
      <c r="A576" s="2" t="n">
        <v>34274</v>
      </c>
      <c r="B576" t="n">
        <v>16.699</v>
      </c>
      <c r="D576" s="2" t="n">
        <v>42309</v>
      </c>
      <c r="E576" s="1" t="n">
        <v>2.22</v>
      </c>
      <c r="G576" s="2" t="n">
        <v>27180</v>
      </c>
      <c r="H576" t="n">
        <v>-0.047</v>
      </c>
      <c r="I576" t="n">
        <v>0.0075</v>
      </c>
    </row>
    <row r="577">
      <c r="A577" s="2" t="n">
        <v>34304</v>
      </c>
      <c r="B577" t="n">
        <v>14.51</v>
      </c>
      <c r="D577" s="2" t="n">
        <v>42339</v>
      </c>
      <c r="E577" s="1" t="n">
        <v>2.34</v>
      </c>
      <c r="G577" s="2" t="n">
        <v>27208</v>
      </c>
      <c r="H577" t="n">
        <v>-0.0284</v>
      </c>
      <c r="I577" t="n">
        <v>0.006</v>
      </c>
    </row>
    <row r="578">
      <c r="A578" s="2" t="n">
        <v>34335</v>
      </c>
      <c r="B578" t="n">
        <v>15</v>
      </c>
      <c r="D578" s="2" t="n">
        <v>42370</v>
      </c>
      <c r="E578" s="1" t="n">
        <v>2.3</v>
      </c>
      <c r="G578" s="2" t="n">
        <v>27241</v>
      </c>
      <c r="H578" t="n">
        <v>-0.0806</v>
      </c>
      <c r="I578" t="n">
        <v>0.007</v>
      </c>
    </row>
    <row r="579">
      <c r="A579" s="2" t="n">
        <v>34366</v>
      </c>
      <c r="B579" t="n">
        <v>14.78</v>
      </c>
      <c r="D579" s="2" t="n">
        <v>42401</v>
      </c>
      <c r="E579" s="1" t="n">
        <v>2.28</v>
      </c>
      <c r="G579" s="2" t="n">
        <v>27271</v>
      </c>
      <c r="H579" t="n">
        <v>-0.0939</v>
      </c>
      <c r="I579" t="n">
        <v>0.006</v>
      </c>
    </row>
    <row r="580">
      <c r="A580" s="2" t="n">
        <v>34394</v>
      </c>
      <c r="B580" t="n">
        <v>14.66</v>
      </c>
      <c r="D580" s="2" t="n">
        <v>42430</v>
      </c>
      <c r="E580" s="1" t="n">
        <v>2.31</v>
      </c>
      <c r="G580" s="2" t="n">
        <v>27302</v>
      </c>
      <c r="H580" t="n">
        <v>-0.1179</v>
      </c>
      <c r="I580" t="n">
        <v>0.0081</v>
      </c>
    </row>
    <row r="581">
      <c r="A581" s="2" t="n">
        <v>34425</v>
      </c>
      <c r="B581" t="n">
        <v>16.38</v>
      </c>
      <c r="D581" s="2" t="n">
        <v>42461</v>
      </c>
      <c r="E581" s="1" t="n">
        <v>2.26</v>
      </c>
      <c r="G581" s="2" t="n">
        <v>27333</v>
      </c>
      <c r="H581" t="n">
        <v>0.1611</v>
      </c>
      <c r="I581" t="n">
        <v>0.0051</v>
      </c>
    </row>
    <row r="582">
      <c r="A582" s="2" t="n">
        <v>34455</v>
      </c>
      <c r="B582" t="n">
        <v>17.88</v>
      </c>
      <c r="D582" s="2" t="n">
        <v>42491</v>
      </c>
      <c r="E582" s="1" t="n">
        <v>2</v>
      </c>
      <c r="G582" s="2" t="n">
        <v>27362</v>
      </c>
      <c r="H582" t="n">
        <v>-0.0453</v>
      </c>
      <c r="I582" t="n">
        <v>0.0054</v>
      </c>
    </row>
    <row r="583">
      <c r="A583" s="2" t="n">
        <v>34486</v>
      </c>
      <c r="B583" t="n">
        <v>19.07</v>
      </c>
      <c r="D583" s="2" t="n">
        <v>42522</v>
      </c>
      <c r="E583" s="1" t="n">
        <v>1.99</v>
      </c>
      <c r="G583" s="2" t="n">
        <v>27394</v>
      </c>
      <c r="H583" t="n">
        <v>-0.0344</v>
      </c>
      <c r="I583" t="n">
        <v>0.007</v>
      </c>
    </row>
    <row r="584">
      <c r="A584" s="2" t="n">
        <v>34516</v>
      </c>
      <c r="B584" t="n">
        <v>19.65</v>
      </c>
      <c r="D584" s="2" t="n">
        <v>42552</v>
      </c>
      <c r="E584" s="1" t="n">
        <v>1.93</v>
      </c>
      <c r="G584" s="2" t="n">
        <v>27425</v>
      </c>
      <c r="H584" t="n">
        <v>0.1367</v>
      </c>
      <c r="I584" t="n">
        <v>0.0058</v>
      </c>
    </row>
    <row r="585">
      <c r="A585" s="2" t="n">
        <v>34547</v>
      </c>
      <c r="B585" t="n">
        <v>18.38</v>
      </c>
      <c r="D585" s="2" t="n">
        <v>42583</v>
      </c>
      <c r="E585" s="1" t="n">
        <v>1.76</v>
      </c>
      <c r="G585" s="2" t="n">
        <v>27453</v>
      </c>
      <c r="H585" t="n">
        <v>0.0556</v>
      </c>
      <c r="I585" t="n">
        <v>0.0043</v>
      </c>
    </row>
    <row r="586">
      <c r="A586" s="2" t="n">
        <v>34578</v>
      </c>
      <c r="B586" t="n">
        <v>17.46</v>
      </c>
      <c r="D586" s="2" t="n">
        <v>42614</v>
      </c>
      <c r="E586" s="1" t="n">
        <v>1.73</v>
      </c>
      <c r="G586" s="2" t="n">
        <v>27484</v>
      </c>
      <c r="H586" t="n">
        <v>0.0266</v>
      </c>
      <c r="I586" t="n">
        <v>0.0041</v>
      </c>
    </row>
    <row r="587">
      <c r="A587" s="2" t="n">
        <v>34608</v>
      </c>
      <c r="B587" t="n">
        <v>17.71</v>
      </c>
      <c r="D587" s="2" t="n">
        <v>42644</v>
      </c>
      <c r="E587" s="1" t="n">
        <v>1.74</v>
      </c>
      <c r="G587" s="2" t="n">
        <v>27514</v>
      </c>
      <c r="H587" t="n">
        <v>0.0422</v>
      </c>
      <c r="I587" t="n">
        <v>0.0044</v>
      </c>
    </row>
    <row r="588">
      <c r="A588" s="2" t="n">
        <v>34639</v>
      </c>
      <c r="B588" t="n">
        <v>18.1</v>
      </c>
      <c r="D588" s="2" t="n">
        <v>42675</v>
      </c>
      <c r="E588" s="1" t="n">
        <v>1.76</v>
      </c>
      <c r="G588" s="2" t="n">
        <v>27544</v>
      </c>
      <c r="H588" t="n">
        <v>0.052</v>
      </c>
      <c r="I588" t="n">
        <v>0.0044</v>
      </c>
    </row>
    <row r="589">
      <c r="A589" s="2" t="n">
        <v>34669</v>
      </c>
      <c r="B589" t="n">
        <v>17.16</v>
      </c>
      <c r="D589" s="2" t="n">
        <v>42705</v>
      </c>
      <c r="E589" s="1" t="n">
        <v>1.78</v>
      </c>
      <c r="G589" s="2" t="n">
        <v>27575</v>
      </c>
      <c r="H589" t="n">
        <v>0.0487</v>
      </c>
      <c r="I589" t="n">
        <v>0.0041</v>
      </c>
    </row>
    <row r="590">
      <c r="A590" s="2" t="n">
        <v>34700</v>
      </c>
      <c r="B590" t="n">
        <v>17.99</v>
      </c>
      <c r="D590" s="2" t="n">
        <v>42736</v>
      </c>
      <c r="E590" s="1" t="n">
        <v>1.78</v>
      </c>
      <c r="G590" s="2" t="n">
        <v>27606</v>
      </c>
      <c r="H590" t="n">
        <v>-0.066</v>
      </c>
      <c r="I590" t="n">
        <v>0.0048</v>
      </c>
    </row>
    <row r="591">
      <c r="A591" s="2" t="n">
        <v>34731</v>
      </c>
      <c r="B591" t="n">
        <v>18.53</v>
      </c>
      <c r="D591" s="2" t="n">
        <v>42767</v>
      </c>
      <c r="E591" s="1" t="n">
        <v>1.78</v>
      </c>
      <c r="G591" s="2" t="n">
        <v>27635</v>
      </c>
      <c r="H591" t="n">
        <v>-0.0284</v>
      </c>
      <c r="I591" t="n">
        <v>0.0048</v>
      </c>
    </row>
    <row r="592">
      <c r="A592" s="2" t="n">
        <v>34759</v>
      </c>
      <c r="B592" t="n">
        <v>18.55</v>
      </c>
      <c r="D592" s="2" t="n">
        <v>42795</v>
      </c>
      <c r="E592" s="1" t="n">
        <v>1.79</v>
      </c>
      <c r="G592" s="2" t="n">
        <v>27667</v>
      </c>
      <c r="H592" t="n">
        <v>-0.0426</v>
      </c>
      <c r="I592" t="n">
        <v>0.0053</v>
      </c>
    </row>
    <row r="593">
      <c r="A593" s="2" t="n">
        <v>34790</v>
      </c>
      <c r="B593" t="n">
        <v>19.87</v>
      </c>
      <c r="D593" s="2" t="n">
        <v>42826</v>
      </c>
      <c r="E593" s="1" t="n">
        <v>1.77</v>
      </c>
      <c r="G593" s="2" t="n">
        <v>27698</v>
      </c>
      <c r="H593" t="n">
        <v>0.0532</v>
      </c>
      <c r="I593" t="n">
        <v>0.0056</v>
      </c>
    </row>
    <row r="594">
      <c r="A594" s="2" t="n">
        <v>34820</v>
      </c>
      <c r="B594" t="n">
        <v>19.74</v>
      </c>
      <c r="D594" s="2" t="n">
        <v>42856</v>
      </c>
      <c r="E594" s="1" t="n">
        <v>1.73</v>
      </c>
      <c r="G594" s="2" t="n">
        <v>27726</v>
      </c>
      <c r="H594" t="n">
        <v>0.0265</v>
      </c>
      <c r="I594" t="n">
        <v>0.0041</v>
      </c>
    </row>
    <row r="595">
      <c r="A595" s="2" t="n">
        <v>34851</v>
      </c>
      <c r="B595" t="n">
        <v>18.42</v>
      </c>
      <c r="D595" s="2" t="n">
        <v>42887</v>
      </c>
      <c r="E595" s="1" t="n">
        <v>1.72</v>
      </c>
      <c r="G595" s="2" t="n">
        <v>27759</v>
      </c>
      <c r="H595" t="n">
        <v>-0.016</v>
      </c>
      <c r="I595" t="n">
        <v>0.0048</v>
      </c>
    </row>
    <row r="596">
      <c r="A596" s="2" t="n">
        <v>34881</v>
      </c>
      <c r="B596" t="n">
        <v>17.3</v>
      </c>
      <c r="D596" s="2" t="n">
        <v>42917</v>
      </c>
      <c r="E596" s="1" t="n">
        <v>1.7</v>
      </c>
      <c r="G596" s="2" t="n">
        <v>27789</v>
      </c>
      <c r="H596" t="n">
        <v>0.1215</v>
      </c>
      <c r="I596" t="n">
        <v>0.0047</v>
      </c>
    </row>
    <row r="597">
      <c r="A597" s="2" t="n">
        <v>34912</v>
      </c>
      <c r="B597" t="n">
        <v>18.03</v>
      </c>
      <c r="D597" s="2" t="n">
        <v>42948</v>
      </c>
      <c r="E597" s="1" t="n">
        <v>1.7</v>
      </c>
      <c r="G597" s="2" t="n">
        <v>27817</v>
      </c>
      <c r="H597" t="n">
        <v>0.0031</v>
      </c>
      <c r="I597" t="n">
        <v>0.0034</v>
      </c>
    </row>
    <row r="598">
      <c r="A598" s="2" t="n">
        <v>34943</v>
      </c>
      <c r="B598" t="n">
        <v>18.23</v>
      </c>
      <c r="D598" s="2" t="n">
        <v>42979</v>
      </c>
      <c r="E598" s="1" t="n">
        <v>1.72</v>
      </c>
      <c r="G598" s="2" t="n">
        <v>27850</v>
      </c>
      <c r="H598" t="n">
        <v>0.0232</v>
      </c>
      <c r="I598" t="n">
        <v>0.004</v>
      </c>
    </row>
    <row r="599">
      <c r="A599" s="2" t="n">
        <v>34973</v>
      </c>
      <c r="B599" t="n">
        <v>17.44</v>
      </c>
      <c r="D599" s="2" t="n">
        <v>43009</v>
      </c>
      <c r="E599" s="1" t="n">
        <v>1.7</v>
      </c>
      <c r="G599" s="2" t="n">
        <v>27880</v>
      </c>
      <c r="H599" t="n">
        <v>-0.0149</v>
      </c>
      <c r="I599" t="n">
        <v>0.0042</v>
      </c>
    </row>
    <row r="600">
      <c r="A600" s="2" t="n">
        <v>35004</v>
      </c>
      <c r="B600" t="n">
        <v>17.99</v>
      </c>
      <c r="D600" s="2" t="n">
        <v>43040</v>
      </c>
      <c r="E600" s="1" t="n">
        <v>1.72</v>
      </c>
      <c r="G600" s="2" t="n">
        <v>27908</v>
      </c>
      <c r="H600" t="n">
        <v>-0.0134</v>
      </c>
      <c r="I600" t="n">
        <v>0.0037</v>
      </c>
    </row>
    <row r="601">
      <c r="A601" s="2" t="n">
        <v>35034</v>
      </c>
      <c r="B601" t="n">
        <v>19.04</v>
      </c>
      <c r="D601" s="2" t="n">
        <v>43070</v>
      </c>
      <c r="E601" s="1" t="n">
        <v>1.77</v>
      </c>
      <c r="G601" s="2" t="n">
        <v>27941</v>
      </c>
      <c r="H601" t="n">
        <v>0.0406</v>
      </c>
      <c r="I601" t="n">
        <v>0.0043</v>
      </c>
    </row>
    <row r="602">
      <c r="A602" s="2" t="n">
        <v>35065</v>
      </c>
      <c r="B602" t="n">
        <v>18.88</v>
      </c>
      <c r="D602" s="2" t="n">
        <v>43101</v>
      </c>
      <c r="E602" s="1" t="n">
        <v>1.79</v>
      </c>
      <c r="G602" s="2" t="n">
        <v>27971</v>
      </c>
      <c r="H602" t="n">
        <v>-0.0106</v>
      </c>
      <c r="I602" t="n">
        <v>0.0047</v>
      </c>
    </row>
    <row r="603">
      <c r="A603" s="2" t="n">
        <v>35096</v>
      </c>
      <c r="B603" t="n">
        <v>19.07</v>
      </c>
      <c r="D603" s="2" t="n">
        <v>43132</v>
      </c>
      <c r="E603" s="1" t="n">
        <v>1.77</v>
      </c>
      <c r="G603" s="2" t="n">
        <v>28003</v>
      </c>
      <c r="H603" t="n">
        <v>-0.0057</v>
      </c>
      <c r="I603" t="n">
        <v>0.0042</v>
      </c>
    </row>
    <row r="604">
      <c r="A604" s="2" t="n">
        <v>35125</v>
      </c>
      <c r="B604" t="n">
        <v>21.36</v>
      </c>
      <c r="D604" s="2" t="n">
        <v>43160</v>
      </c>
      <c r="E604" s="1" t="n">
        <v>1.93</v>
      </c>
      <c r="G604" s="2" t="n">
        <v>28033</v>
      </c>
      <c r="H604" t="n">
        <v>0.0206</v>
      </c>
      <c r="I604" t="n">
        <v>0.0044</v>
      </c>
    </row>
    <row r="605">
      <c r="A605" s="2" t="n">
        <v>35156</v>
      </c>
      <c r="B605" t="n">
        <v>23.57</v>
      </c>
      <c r="D605" s="2" t="n">
        <v>43191</v>
      </c>
      <c r="E605" s="1" t="n">
        <v>2.06</v>
      </c>
      <c r="G605" s="2" t="n">
        <v>28062</v>
      </c>
      <c r="H605" t="n">
        <v>-0.0242</v>
      </c>
      <c r="I605" t="n">
        <v>0.0041</v>
      </c>
    </row>
    <row r="606">
      <c r="A606" s="2" t="n">
        <v>35186</v>
      </c>
      <c r="B606" t="n">
        <v>21.25</v>
      </c>
      <c r="D606" s="2" t="n">
        <v>43221</v>
      </c>
      <c r="E606" s="1" t="n">
        <v>1.96</v>
      </c>
      <c r="G606" s="2" t="n">
        <v>28094</v>
      </c>
      <c r="H606" t="n">
        <v>0.0036</v>
      </c>
      <c r="I606" t="n">
        <v>0.004</v>
      </c>
    </row>
    <row r="607">
      <c r="A607" s="2" t="n">
        <v>35217</v>
      </c>
      <c r="B607" t="n">
        <v>20.45</v>
      </c>
      <c r="D607" s="2" t="n">
        <v>43252</v>
      </c>
      <c r="E607" s="1" t="n">
        <v>2.07</v>
      </c>
      <c r="G607" s="2" t="n">
        <v>28125</v>
      </c>
      <c r="H607" t="n">
        <v>0.0565</v>
      </c>
      <c r="I607" t="n">
        <v>0.004</v>
      </c>
    </row>
    <row r="608">
      <c r="A608" s="2" t="n">
        <v>35247</v>
      </c>
      <c r="B608" t="n">
        <v>21.32</v>
      </c>
      <c r="D608" s="2" t="n">
        <v>43282</v>
      </c>
      <c r="E608" s="1" t="n">
        <v>2.02</v>
      </c>
      <c r="G608" s="2" t="n">
        <v>28156</v>
      </c>
      <c r="H608" t="n">
        <v>-0.0403</v>
      </c>
      <c r="I608" t="n">
        <v>0.0036</v>
      </c>
    </row>
    <row r="609">
      <c r="A609" s="2" t="n">
        <v>35278</v>
      </c>
      <c r="B609" t="n">
        <v>21.96</v>
      </c>
      <c r="D609" s="2" t="n">
        <v>43313</v>
      </c>
      <c r="E609" s="1" t="n">
        <v>1.96</v>
      </c>
      <c r="G609" s="2" t="n">
        <v>28184</v>
      </c>
      <c r="H609" t="n">
        <v>-0.0194</v>
      </c>
      <c r="I609" t="n">
        <v>0.0035</v>
      </c>
    </row>
    <row r="610">
      <c r="A610" s="2" t="n">
        <v>35309</v>
      </c>
      <c r="B610" t="n">
        <v>23.99</v>
      </c>
      <c r="D610" s="2" t="n">
        <v>43344</v>
      </c>
      <c r="E610" s="1" t="n">
        <v>1.93</v>
      </c>
      <c r="G610" s="2" t="n">
        <v>28215</v>
      </c>
      <c r="H610" t="n">
        <v>-0.0135</v>
      </c>
      <c r="I610" t="n">
        <v>0.0038</v>
      </c>
    </row>
    <row r="611">
      <c r="A611" s="2" t="n">
        <v>35339</v>
      </c>
      <c r="B611" t="n">
        <v>24.9</v>
      </c>
      <c r="D611" s="2" t="n">
        <v>43374</v>
      </c>
      <c r="E611" s="1" t="n">
        <v>1.93</v>
      </c>
      <c r="G611" s="2" t="n">
        <v>28244</v>
      </c>
      <c r="H611" t="n">
        <v>0.0015</v>
      </c>
      <c r="I611" t="n">
        <v>0.0038</v>
      </c>
    </row>
    <row r="612">
      <c r="A612" s="2" t="n">
        <v>35370</v>
      </c>
      <c r="B612" t="n">
        <v>23.71</v>
      </c>
      <c r="D612" s="2" t="n">
        <v>43405</v>
      </c>
      <c r="E612" s="1" t="n">
        <v>1.94</v>
      </c>
      <c r="G612" s="2" t="n">
        <v>28276</v>
      </c>
      <c r="H612" t="n">
        <v>-0.0147</v>
      </c>
      <c r="I612" t="n">
        <v>0.0037</v>
      </c>
    </row>
    <row r="613">
      <c r="A613" s="2" t="n">
        <v>35400</v>
      </c>
      <c r="B613" t="n">
        <v>25.39</v>
      </c>
      <c r="D613" s="2" t="n">
        <v>43435</v>
      </c>
      <c r="E613" s="1" t="n">
        <v>2.02</v>
      </c>
      <c r="G613" s="2" t="n">
        <v>28306</v>
      </c>
      <c r="H613" t="n">
        <v>0.0472</v>
      </c>
      <c r="I613" t="n">
        <v>0.004</v>
      </c>
    </row>
    <row r="614">
      <c r="A614" s="2" t="n">
        <v>35431</v>
      </c>
      <c r="B614" t="n">
        <v>25.17</v>
      </c>
      <c r="D614" s="2" t="n">
        <v>43466</v>
      </c>
      <c r="E614" s="1" t="n">
        <v>2.07</v>
      </c>
      <c r="G614" s="2" t="n">
        <v>28335</v>
      </c>
      <c r="H614" t="n">
        <v>-0.0169</v>
      </c>
      <c r="I614" t="n">
        <v>0.0042</v>
      </c>
    </row>
    <row r="615">
      <c r="A615" s="2" t="n">
        <v>35462</v>
      </c>
      <c r="B615" t="n">
        <v>22.21</v>
      </c>
      <c r="D615" s="2" t="n">
        <v>43497</v>
      </c>
      <c r="E615" s="1" t="n">
        <v>1.96</v>
      </c>
      <c r="G615" s="2" t="n">
        <v>28368</v>
      </c>
      <c r="H615" t="n">
        <v>-0.0176</v>
      </c>
      <c r="I615" t="n">
        <v>0.0044</v>
      </c>
    </row>
    <row r="616">
      <c r="A616" s="2" t="n">
        <v>35490</v>
      </c>
      <c r="B616" t="n">
        <v>20.99</v>
      </c>
      <c r="D616" s="2" t="n">
        <v>43525</v>
      </c>
      <c r="E616" s="1" t="n">
        <v>1.83</v>
      </c>
      <c r="G616" s="2" t="n">
        <v>28398</v>
      </c>
      <c r="H616" t="n">
        <v>-0.0027</v>
      </c>
      <c r="I616" t="n">
        <v>0.0043</v>
      </c>
    </row>
    <row r="617">
      <c r="A617" s="2" t="n">
        <v>35521</v>
      </c>
      <c r="B617" t="n">
        <v>19.72</v>
      </c>
      <c r="D617" s="2" t="n">
        <v>43556</v>
      </c>
      <c r="E617" s="1" t="n">
        <v>1.68</v>
      </c>
      <c r="G617" s="2" t="n">
        <v>28429</v>
      </c>
      <c r="H617" t="n">
        <v>-0.0439</v>
      </c>
      <c r="I617" t="n">
        <v>0.0049</v>
      </c>
    </row>
    <row r="618">
      <c r="A618" s="2" t="n">
        <v>35551</v>
      </c>
      <c r="B618" t="n">
        <v>20.83</v>
      </c>
      <c r="D618" s="2" t="n">
        <v>43586</v>
      </c>
      <c r="E618" s="1" t="n">
        <v>1.54</v>
      </c>
      <c r="G618" s="2" t="n">
        <v>28459</v>
      </c>
      <c r="H618" t="n">
        <v>0.04</v>
      </c>
      <c r="I618" t="n">
        <v>0.005</v>
      </c>
    </row>
    <row r="619">
      <c r="A619" s="2" t="n">
        <v>35582</v>
      </c>
      <c r="B619" t="n">
        <v>19.17</v>
      </c>
      <c r="D619" s="2" t="n">
        <v>43617</v>
      </c>
      <c r="E619" s="1" t="n">
        <v>1.29</v>
      </c>
      <c r="G619" s="2" t="n">
        <v>28489</v>
      </c>
      <c r="H619" t="n">
        <v>0.0027</v>
      </c>
      <c r="I619" t="n">
        <v>0.0049</v>
      </c>
    </row>
    <row r="620">
      <c r="A620" s="2" t="n">
        <v>35612</v>
      </c>
      <c r="B620" t="n">
        <v>19.63</v>
      </c>
      <c r="D620" s="2" t="n">
        <v>43647</v>
      </c>
      <c r="E620" s="1" t="n">
        <v>1.11</v>
      </c>
      <c r="G620" s="2" t="n">
        <v>28521</v>
      </c>
      <c r="H620" t="n">
        <v>-0.06</v>
      </c>
      <c r="I620" t="n">
        <v>0.0049</v>
      </c>
    </row>
    <row r="621">
      <c r="A621" s="2" t="n">
        <v>35643</v>
      </c>
      <c r="B621" t="n">
        <v>19.93</v>
      </c>
      <c r="D621" s="2" t="n">
        <v>43678</v>
      </c>
      <c r="E621" s="1" t="n">
        <v>0.98</v>
      </c>
      <c r="G621" s="2" t="n">
        <v>28549</v>
      </c>
      <c r="H621" t="n">
        <v>-0.0139</v>
      </c>
      <c r="I621" t="n">
        <v>0.0046</v>
      </c>
    </row>
    <row r="622">
      <c r="A622" s="2" t="n">
        <v>35674</v>
      </c>
      <c r="B622" t="n">
        <v>19.79</v>
      </c>
      <c r="D622" s="2" t="n">
        <v>43709</v>
      </c>
      <c r="E622" s="1" t="n">
        <v>0.98</v>
      </c>
      <c r="G622" s="2" t="n">
        <v>28580</v>
      </c>
      <c r="H622" t="n">
        <v>0.0285</v>
      </c>
      <c r="I622" t="n">
        <v>0.0053</v>
      </c>
    </row>
    <row r="623">
      <c r="A623" s="2" t="n">
        <v>35704</v>
      </c>
      <c r="B623" t="n">
        <v>21.26</v>
      </c>
      <c r="D623" s="2" t="n">
        <v>43739</v>
      </c>
      <c r="E623" s="1" t="n">
        <v>0.88</v>
      </c>
      <c r="G623" s="2" t="n">
        <v>28608</v>
      </c>
      <c r="H623" t="n">
        <v>0.07870000000000001</v>
      </c>
      <c r="I623" t="n">
        <v>0.0054</v>
      </c>
    </row>
    <row r="624">
      <c r="A624" s="2" t="n">
        <v>35735</v>
      </c>
      <c r="B624" t="n">
        <v>20.17</v>
      </c>
      <c r="D624" s="2" t="n">
        <v>43770</v>
      </c>
      <c r="E624" s="1" t="n">
        <v>0.91</v>
      </c>
      <c r="G624" s="2" t="n">
        <v>28641</v>
      </c>
      <c r="H624" t="n">
        <v>0.0176</v>
      </c>
      <c r="I624" t="n">
        <v>0.0051</v>
      </c>
    </row>
    <row r="625">
      <c r="A625" s="2" t="n">
        <v>35765</v>
      </c>
      <c r="B625" t="n">
        <v>18.32</v>
      </c>
      <c r="D625" s="2" t="n">
        <v>43800</v>
      </c>
      <c r="E625" s="1" t="n">
        <v>0.9</v>
      </c>
      <c r="G625" s="2" t="n">
        <v>28671</v>
      </c>
      <c r="H625" t="n">
        <v>-0.0169</v>
      </c>
      <c r="I625" t="n">
        <v>0.0054</v>
      </c>
    </row>
    <row r="626">
      <c r="A626" s="2" t="n">
        <v>35796</v>
      </c>
      <c r="B626" t="n">
        <v>16.71</v>
      </c>
      <c r="D626" s="2" t="n">
        <v>43831</v>
      </c>
      <c r="E626" s="1" t="n">
        <v>0.89</v>
      </c>
      <c r="G626" s="2" t="n">
        <v>28702</v>
      </c>
      <c r="H626" t="n">
        <v>0.0512</v>
      </c>
      <c r="I626" t="n">
        <v>0.0056</v>
      </c>
    </row>
    <row r="627">
      <c r="A627" s="2" t="n">
        <v>35827</v>
      </c>
      <c r="B627" t="n">
        <v>16.06</v>
      </c>
      <c r="D627" s="2" t="n">
        <v>43862</v>
      </c>
      <c r="E627" s="1" t="n">
        <v>0.89</v>
      </c>
      <c r="G627" s="2" t="n">
        <v>28733</v>
      </c>
      <c r="H627" t="n">
        <v>0.0378</v>
      </c>
      <c r="I627" t="n">
        <v>0.0056</v>
      </c>
    </row>
    <row r="628">
      <c r="A628" s="2" t="n">
        <v>35855</v>
      </c>
      <c r="B628" t="n">
        <v>15.02</v>
      </c>
      <c r="D628" s="2" t="n">
        <v>43891</v>
      </c>
      <c r="E628" s="1" t="n">
        <v>0.53</v>
      </c>
      <c r="G628" s="2" t="n">
        <v>28762</v>
      </c>
      <c r="H628" t="n">
        <v>-0.0144</v>
      </c>
      <c r="I628" t="n">
        <v>0.0062</v>
      </c>
    </row>
    <row r="629">
      <c r="A629" s="2" t="n">
        <v>35886</v>
      </c>
      <c r="B629" t="n">
        <v>15.44</v>
      </c>
      <c r="D629" s="2" t="n">
        <v>43922</v>
      </c>
      <c r="E629" s="1" t="n">
        <v>0.17</v>
      </c>
      <c r="G629" s="2" t="n">
        <v>28794</v>
      </c>
      <c r="H629" t="n">
        <v>-0.119</v>
      </c>
      <c r="I629" t="n">
        <v>0.0068</v>
      </c>
    </row>
    <row r="630">
      <c r="A630" s="2" t="n">
        <v>35916</v>
      </c>
      <c r="B630" t="n">
        <v>14.86</v>
      </c>
      <c r="D630" s="2" t="n">
        <v>43952</v>
      </c>
      <c r="E630" s="1" t="n">
        <v>0.1</v>
      </c>
      <c r="G630" s="2" t="n">
        <v>28824</v>
      </c>
      <c r="H630" t="n">
        <v>0.0271</v>
      </c>
      <c r="I630" t="n">
        <v>0.007</v>
      </c>
    </row>
    <row r="631">
      <c r="A631" s="2" t="n">
        <v>35947</v>
      </c>
      <c r="B631" t="n">
        <v>13.66</v>
      </c>
      <c r="D631" s="2" t="n">
        <v>43983</v>
      </c>
      <c r="E631" s="1" t="n">
        <v>0.1</v>
      </c>
      <c r="G631" s="2" t="n">
        <v>28853</v>
      </c>
      <c r="H631" t="n">
        <v>0.008699999999999999</v>
      </c>
      <c r="I631" t="n">
        <v>0.0078</v>
      </c>
    </row>
    <row r="632">
      <c r="A632" s="2" t="n">
        <v>35977</v>
      </c>
      <c r="B632" t="n">
        <v>14.08</v>
      </c>
      <c r="D632" s="2" t="n">
        <v>44013</v>
      </c>
      <c r="E632" s="1" t="n">
        <v>0.1</v>
      </c>
      <c r="G632" s="2" t="n">
        <v>28886</v>
      </c>
      <c r="H632" t="n">
        <v>0.0422</v>
      </c>
      <c r="I632" t="n">
        <v>0.0077</v>
      </c>
    </row>
    <row r="633">
      <c r="A633" s="2" t="n">
        <v>36008</v>
      </c>
      <c r="B633" t="n">
        <v>13.36</v>
      </c>
      <c r="D633" s="2" t="n">
        <v>44044</v>
      </c>
      <c r="E633" s="1" t="n">
        <v>0.1</v>
      </c>
      <c r="G633" s="2" t="n">
        <v>28914</v>
      </c>
      <c r="H633" t="n">
        <v>-0.0356</v>
      </c>
      <c r="I633" t="n">
        <v>0.0073</v>
      </c>
    </row>
    <row r="634">
      <c r="A634" s="2" t="n">
        <v>36039</v>
      </c>
      <c r="B634" t="n">
        <v>14.95</v>
      </c>
      <c r="D634" s="2" t="n">
        <v>44075</v>
      </c>
      <c r="E634" s="1" t="n">
        <v>0.09</v>
      </c>
      <c r="G634" s="2" t="n">
        <v>28944</v>
      </c>
      <c r="H634" t="n">
        <v>0.0567</v>
      </c>
      <c r="I634" t="n">
        <v>0.0081</v>
      </c>
    </row>
    <row r="635">
      <c r="A635" s="2" t="n">
        <v>36069</v>
      </c>
      <c r="B635" t="n">
        <v>14.39</v>
      </c>
      <c r="D635" s="2" t="n">
        <v>44105</v>
      </c>
      <c r="E635" s="1" t="n">
        <v>0.07000000000000001</v>
      </c>
      <c r="G635" s="2" t="n">
        <v>28975</v>
      </c>
      <c r="H635" t="n">
        <v>-0.0007</v>
      </c>
      <c r="I635" t="n">
        <v>0.008</v>
      </c>
    </row>
    <row r="636">
      <c r="A636" s="2" t="n">
        <v>36100</v>
      </c>
      <c r="B636" t="n">
        <v>12.85</v>
      </c>
      <c r="D636" s="2" t="n">
        <v>44136</v>
      </c>
      <c r="E636" s="1" t="n">
        <v>0.02</v>
      </c>
      <c r="G636" s="2" t="n">
        <v>29006</v>
      </c>
      <c r="H636" t="n">
        <v>-0.022</v>
      </c>
      <c r="I636" t="n">
        <v>0.008200000000000001</v>
      </c>
    </row>
    <row r="637">
      <c r="A637" s="2" t="n">
        <v>36130</v>
      </c>
      <c r="B637" t="n">
        <v>11.28</v>
      </c>
      <c r="D637" s="2" t="n">
        <v>44166</v>
      </c>
      <c r="E637" s="1" t="n">
        <v>0.02</v>
      </c>
      <c r="G637" s="2" t="n">
        <v>29035</v>
      </c>
      <c r="H637" t="n">
        <v>0.0384</v>
      </c>
      <c r="I637" t="n">
        <v>0.0081</v>
      </c>
    </row>
    <row r="638">
      <c r="A638" s="2" t="n">
        <v>36161</v>
      </c>
      <c r="B638" t="n">
        <v>12.47</v>
      </c>
      <c r="D638" s="2" t="n">
        <v>44197</v>
      </c>
      <c r="E638" s="1" t="n">
        <v>0.01</v>
      </c>
      <c r="G638" s="2" t="n">
        <v>29067</v>
      </c>
      <c r="H638" t="n">
        <v>0.0083</v>
      </c>
      <c r="I638" t="n">
        <v>0.0077</v>
      </c>
    </row>
    <row r="639">
      <c r="A639" s="2" t="n">
        <v>36192</v>
      </c>
      <c r="B639" t="n">
        <v>12.01</v>
      </c>
      <c r="D639" s="2" t="n">
        <v>44228</v>
      </c>
      <c r="E639" s="1" t="n">
        <v>0.01</v>
      </c>
      <c r="G639" s="2" t="n">
        <v>29098</v>
      </c>
      <c r="H639" t="n">
        <v>0.0554</v>
      </c>
      <c r="I639" t="n">
        <v>0.0077</v>
      </c>
    </row>
    <row r="640">
      <c r="A640" s="2" t="n">
        <v>36220</v>
      </c>
      <c r="B640" t="n">
        <v>14.66</v>
      </c>
      <c r="D640" s="2" t="n">
        <v>44256</v>
      </c>
      <c r="E640" s="1" t="n">
        <v>0.03</v>
      </c>
      <c r="G640" s="2" t="n">
        <v>29126</v>
      </c>
      <c r="H640" t="n">
        <v>-0.0083</v>
      </c>
      <c r="I640" t="n">
        <v>0.0083</v>
      </c>
    </row>
    <row r="641">
      <c r="A641" s="2" t="n">
        <v>36251</v>
      </c>
      <c r="B641" t="n">
        <v>17.34</v>
      </c>
      <c r="D641" s="2" t="n">
        <v>44287</v>
      </c>
      <c r="E641" s="1" t="n">
        <v>0.04</v>
      </c>
      <c r="G641" s="2" t="n">
        <v>29159</v>
      </c>
      <c r="H641" t="n">
        <v>-0.081</v>
      </c>
      <c r="I641" t="n">
        <v>0.008699999999999999</v>
      </c>
    </row>
    <row r="642">
      <c r="A642" s="2" t="n">
        <v>36281</v>
      </c>
      <c r="B642" t="n">
        <v>17.75</v>
      </c>
      <c r="D642" s="2" t="n">
        <v>44317</v>
      </c>
      <c r="E642" s="1" t="n">
        <v>0.04</v>
      </c>
      <c r="G642" s="2" t="n">
        <v>29189</v>
      </c>
      <c r="H642" t="n">
        <v>0.0522</v>
      </c>
      <c r="I642" t="n">
        <v>0.009900000000000001</v>
      </c>
    </row>
    <row r="643">
      <c r="A643" s="2" t="n">
        <v>36312</v>
      </c>
      <c r="B643" t="n">
        <v>17.89</v>
      </c>
      <c r="D643" s="2" t="n">
        <v>44348</v>
      </c>
      <c r="E643" s="1" t="n">
        <v>0.03</v>
      </c>
      <c r="G643" s="2" t="n">
        <v>29220</v>
      </c>
      <c r="H643" t="n">
        <v>0.0178</v>
      </c>
      <c r="I643" t="n">
        <v>0.0095</v>
      </c>
    </row>
    <row r="644">
      <c r="A644" s="2" t="n">
        <v>36342</v>
      </c>
      <c r="B644" t="n">
        <v>20.07</v>
      </c>
      <c r="D644" s="2" t="n">
        <v>44378</v>
      </c>
      <c r="E644" s="1" t="n">
        <v>0.02</v>
      </c>
      <c r="G644" s="2" t="n">
        <v>29251</v>
      </c>
      <c r="H644" t="n">
        <v>0.055</v>
      </c>
      <c r="I644" t="n">
        <v>0.008</v>
      </c>
    </row>
    <row r="645">
      <c r="A645" s="2" t="n">
        <v>36373</v>
      </c>
      <c r="B645" t="n">
        <v>21.26</v>
      </c>
      <c r="D645" s="2" t="n">
        <v>44409</v>
      </c>
      <c r="E645" s="1" t="n">
        <v>0.01</v>
      </c>
      <c r="G645" s="2" t="n">
        <v>29280</v>
      </c>
      <c r="H645" t="n">
        <v>-0.0123</v>
      </c>
      <c r="I645" t="n">
        <v>0.0089</v>
      </c>
    </row>
    <row r="646">
      <c r="A646" s="2" t="n">
        <v>36404</v>
      </c>
      <c r="B646" t="n">
        <v>23.88</v>
      </c>
      <c r="D646" s="2" t="n">
        <v>44440</v>
      </c>
      <c r="E646" s="1" t="n">
        <v>0.01</v>
      </c>
      <c r="G646" s="2" t="n">
        <v>29311</v>
      </c>
      <c r="H646" t="n">
        <v>-0.129</v>
      </c>
      <c r="I646" t="n">
        <v>0.0121</v>
      </c>
    </row>
    <row r="647">
      <c r="A647" s="2" t="n">
        <v>36434</v>
      </c>
      <c r="B647" t="n">
        <v>22.64</v>
      </c>
      <c r="D647" s="2" t="n">
        <v>44470</v>
      </c>
      <c r="E647" s="1" t="n">
        <v>0.04</v>
      </c>
      <c r="G647" s="2" t="n">
        <v>29341</v>
      </c>
      <c r="H647" t="n">
        <v>0.0395</v>
      </c>
      <c r="I647" t="n">
        <v>0.0126</v>
      </c>
    </row>
    <row r="648">
      <c r="A648" s="2" t="n">
        <v>36465</v>
      </c>
      <c r="B648" t="n">
        <v>24.97</v>
      </c>
      <c r="D648" s="2" t="n">
        <v>44501</v>
      </c>
      <c r="E648" s="1" t="n">
        <v>0.04</v>
      </c>
      <c r="G648" s="2" t="n">
        <v>29371</v>
      </c>
      <c r="H648" t="n">
        <v>0.0526</v>
      </c>
      <c r="I648" t="n">
        <v>0.0081</v>
      </c>
    </row>
    <row r="649">
      <c r="A649" s="2" t="n">
        <v>36495</v>
      </c>
      <c r="B649" t="n">
        <v>26.08</v>
      </c>
      <c r="D649" s="2" t="n">
        <v>44531</v>
      </c>
      <c r="E649" s="1" t="n">
        <v>0.06</v>
      </c>
      <c r="G649" s="2" t="n">
        <v>29402</v>
      </c>
      <c r="H649" t="n">
        <v>0.0298</v>
      </c>
      <c r="I649" t="n">
        <v>0.0061</v>
      </c>
    </row>
    <row r="650">
      <c r="A650" s="2" t="n">
        <v>36526</v>
      </c>
      <c r="B650" t="n">
        <v>27.18</v>
      </c>
      <c r="D650" s="2" t="n">
        <v>44562</v>
      </c>
      <c r="E650" s="1" t="n">
        <v>0.07000000000000001</v>
      </c>
      <c r="G650" s="2" t="n">
        <v>29433</v>
      </c>
      <c r="H650" t="n">
        <v>0.06510000000000001</v>
      </c>
      <c r="I650" t="n">
        <v>0.0053</v>
      </c>
    </row>
    <row r="651">
      <c r="A651" s="2" t="n">
        <v>36557</v>
      </c>
      <c r="B651" t="n">
        <v>29.35</v>
      </c>
      <c r="D651" s="2" t="n">
        <v>44593</v>
      </c>
      <c r="E651" s="1" t="n">
        <v>0.07000000000000001</v>
      </c>
      <c r="G651" s="2" t="n">
        <v>29462</v>
      </c>
      <c r="H651" t="n">
        <v>0.0175</v>
      </c>
      <c r="I651" t="n">
        <v>0.0064</v>
      </c>
    </row>
    <row r="652">
      <c r="A652" s="2" t="n">
        <v>36586</v>
      </c>
      <c r="B652" t="n">
        <v>29.89</v>
      </c>
      <c r="D652" s="2" t="n">
        <v>44621</v>
      </c>
      <c r="E652" s="1" t="n">
        <v>0.17</v>
      </c>
      <c r="G652" s="2" t="n">
        <v>29494</v>
      </c>
      <c r="H652" t="n">
        <v>0.0219</v>
      </c>
      <c r="I652" t="n">
        <v>0.0075</v>
      </c>
    </row>
    <row r="653">
      <c r="A653" s="2" t="n">
        <v>36617</v>
      </c>
      <c r="B653" t="n">
        <v>25.74</v>
      </c>
      <c r="D653" s="2" t="n">
        <v>44652</v>
      </c>
      <c r="E653" s="1" t="n">
        <v>0.41</v>
      </c>
      <c r="G653" s="2" t="n">
        <v>29525</v>
      </c>
      <c r="H653" t="n">
        <v>0.0104</v>
      </c>
      <c r="I653" t="n">
        <v>0.0095</v>
      </c>
    </row>
    <row r="654">
      <c r="A654" s="2" t="n">
        <v>36647</v>
      </c>
      <c r="B654" t="n">
        <v>28.78</v>
      </c>
      <c r="D654" s="2" t="n">
        <v>44682</v>
      </c>
      <c r="E654" s="1" t="n">
        <v>1</v>
      </c>
      <c r="G654" s="2" t="n">
        <v>29553</v>
      </c>
      <c r="H654" t="n">
        <v>0.096</v>
      </c>
      <c r="I654" t="n">
        <v>0.009599999999999999</v>
      </c>
    </row>
    <row r="655">
      <c r="A655" s="2" t="n">
        <v>36678</v>
      </c>
      <c r="B655" t="n">
        <v>31.83</v>
      </c>
      <c r="D655" s="2" t="n">
        <v>44713</v>
      </c>
      <c r="E655" s="1" t="n">
        <v>1.6</v>
      </c>
      <c r="G655" s="2" t="n">
        <v>29586</v>
      </c>
      <c r="H655" t="n">
        <v>-0.0446</v>
      </c>
      <c r="I655" t="n">
        <v>0.0131</v>
      </c>
    </row>
    <row r="656">
      <c r="A656" s="2" t="n">
        <v>36708</v>
      </c>
      <c r="B656" t="n">
        <v>29.77</v>
      </c>
      <c r="D656" s="2" t="n">
        <v>44743</v>
      </c>
      <c r="E656" s="1" t="n">
        <v>2.07</v>
      </c>
      <c r="G656" s="2" t="n">
        <v>29616</v>
      </c>
      <c r="H656" t="n">
        <v>-0.0506</v>
      </c>
      <c r="I656" t="n">
        <v>0.0104</v>
      </c>
    </row>
    <row r="657">
      <c r="A657" s="2" t="n">
        <v>36739</v>
      </c>
      <c r="B657" t="n">
        <v>31.22</v>
      </c>
      <c r="D657" s="2" t="n">
        <v>44774</v>
      </c>
      <c r="E657" s="1" t="n">
        <v>2.31</v>
      </c>
      <c r="G657" s="2" t="n">
        <v>29644</v>
      </c>
      <c r="H657" t="n">
        <v>0.0061</v>
      </c>
      <c r="I657" t="n">
        <v>0.0107</v>
      </c>
    </row>
    <row r="658">
      <c r="A658" s="2" t="n">
        <v>36770</v>
      </c>
      <c r="B658" t="n">
        <v>33.88</v>
      </c>
      <c r="D658" s="2" t="n">
        <v>44805</v>
      </c>
      <c r="E658" s="1" t="n">
        <v>2.76</v>
      </c>
      <c r="G658" s="2" t="n">
        <v>29676</v>
      </c>
      <c r="H658" t="n">
        <v>0.0367</v>
      </c>
      <c r="I658" t="n">
        <v>0.0121</v>
      </c>
    </row>
    <row r="659">
      <c r="A659" s="2" t="n">
        <v>36800</v>
      </c>
      <c r="B659" t="n">
        <v>33.08</v>
      </c>
      <c r="D659" s="2" t="n">
        <v>44835</v>
      </c>
      <c r="E659" s="1" t="n">
        <v>2.95</v>
      </c>
      <c r="G659" s="2" t="n">
        <v>29706</v>
      </c>
      <c r="H659" t="n">
        <v>-0.0216</v>
      </c>
      <c r="I659" t="n">
        <v>0.0108</v>
      </c>
    </row>
    <row r="660">
      <c r="A660" s="2" t="n">
        <v>36831</v>
      </c>
      <c r="B660" t="n">
        <v>34.4</v>
      </c>
      <c r="D660" s="2" t="n">
        <v>44866</v>
      </c>
      <c r="E660" s="1" t="n">
        <v>3.06</v>
      </c>
      <c r="G660" s="2" t="n">
        <v>29735</v>
      </c>
      <c r="H660" t="n">
        <v>0.0013</v>
      </c>
      <c r="I660" t="n">
        <v>0.0115</v>
      </c>
    </row>
    <row r="661">
      <c r="A661" s="2" t="n">
        <v>36861</v>
      </c>
      <c r="B661" t="n">
        <v>28.46</v>
      </c>
      <c r="D661" s="2" t="n">
        <v>44896</v>
      </c>
      <c r="E661" s="1" t="n">
        <v>3.17</v>
      </c>
      <c r="G661" s="2" t="n">
        <v>29767</v>
      </c>
      <c r="H661" t="n">
        <v>-0.0234</v>
      </c>
      <c r="I661" t="n">
        <v>0.0135</v>
      </c>
    </row>
    <row r="662">
      <c r="A662" s="2" t="n">
        <v>36892</v>
      </c>
      <c r="B662" t="n">
        <v>29.58</v>
      </c>
      <c r="D662" s="2" t="n">
        <v>44927</v>
      </c>
      <c r="E662" s="1" t="n">
        <v>3.32</v>
      </c>
      <c r="G662" s="2" t="n">
        <v>29798</v>
      </c>
      <c r="H662" t="n">
        <v>-0.0155</v>
      </c>
      <c r="I662" t="n">
        <v>0.0124</v>
      </c>
    </row>
    <row r="663">
      <c r="A663" s="2" t="n">
        <v>36923</v>
      </c>
      <c r="B663" t="n">
        <v>29.61</v>
      </c>
      <c r="D663" s="2" t="n">
        <v>44958</v>
      </c>
      <c r="E663" s="1" t="n">
        <v>3.46</v>
      </c>
      <c r="G663" s="2" t="n">
        <v>29829</v>
      </c>
      <c r="H663" t="n">
        <v>-0.0702</v>
      </c>
      <c r="I663" t="n">
        <v>0.0128</v>
      </c>
    </row>
    <row r="664">
      <c r="A664" s="2" t="n">
        <v>36951</v>
      </c>
      <c r="B664" t="n">
        <v>27.24</v>
      </c>
      <c r="D664" s="2" t="n">
        <v>44986</v>
      </c>
      <c r="E664" s="1" t="n">
        <v>3.64</v>
      </c>
      <c r="G664" s="2" t="n">
        <v>29859</v>
      </c>
      <c r="H664" t="n">
        <v>-0.07190000000000001</v>
      </c>
      <c r="I664" t="n">
        <v>0.0124</v>
      </c>
    </row>
    <row r="665">
      <c r="A665" s="2" t="n">
        <v>36982</v>
      </c>
      <c r="B665" t="n">
        <v>27.41</v>
      </c>
      <c r="D665" s="2" t="n">
        <v>45017</v>
      </c>
      <c r="E665" s="1" t="n">
        <v>3.66</v>
      </c>
      <c r="G665" s="2" t="n">
        <v>29889</v>
      </c>
      <c r="H665" t="n">
        <v>0.0492</v>
      </c>
      <c r="I665" t="n">
        <v>0.0121</v>
      </c>
    </row>
    <row r="666">
      <c r="A666" s="2" t="n">
        <v>37012</v>
      </c>
      <c r="B666" t="n">
        <v>28.64</v>
      </c>
      <c r="D666" s="2" t="n">
        <v>45047</v>
      </c>
      <c r="E666" s="1" t="n">
        <v>3.9</v>
      </c>
      <c r="G666" s="2" t="n">
        <v>29920</v>
      </c>
      <c r="H666" t="n">
        <v>0.034</v>
      </c>
      <c r="I666" t="n">
        <v>0.0107</v>
      </c>
    </row>
    <row r="667">
      <c r="A667" s="2" t="n">
        <v>37043</v>
      </c>
      <c r="B667" t="n">
        <v>27.6</v>
      </c>
      <c r="D667" s="2" t="n">
        <v>45078</v>
      </c>
      <c r="E667" s="1" t="n">
        <v>4.25</v>
      </c>
      <c r="G667" s="2" t="n">
        <v>29951</v>
      </c>
      <c r="H667" t="n">
        <v>-0.0363</v>
      </c>
      <c r="I667" t="n">
        <v>0.008699999999999999</v>
      </c>
    </row>
    <row r="668">
      <c r="A668" s="2" t="n">
        <v>37073</v>
      </c>
      <c r="B668" t="n">
        <v>26.45</v>
      </c>
      <c r="D668" s="2" t="n">
        <v>45108</v>
      </c>
      <c r="E668" s="1" t="n">
        <v>4.3</v>
      </c>
      <c r="G668" s="2" t="n">
        <v>29980</v>
      </c>
      <c r="H668" t="n">
        <v>-0.0323</v>
      </c>
      <c r="I668" t="n">
        <v>0.008</v>
      </c>
    </row>
    <row r="669">
      <c r="A669" s="2" t="n">
        <v>37104</v>
      </c>
      <c r="B669" t="n">
        <v>27.47</v>
      </c>
      <c r="D669" s="2" t="n">
        <v>45139</v>
      </c>
      <c r="E669" s="1" t="n">
        <v>4.15</v>
      </c>
      <c r="G669" s="2" t="n">
        <v>30008</v>
      </c>
      <c r="H669" t="n">
        <v>-0.0586</v>
      </c>
      <c r="I669" t="n">
        <v>0.0092</v>
      </c>
    </row>
    <row r="670">
      <c r="A670" s="2" t="n">
        <v>37135</v>
      </c>
      <c r="B670" t="n">
        <v>25.88</v>
      </c>
      <c r="D670" s="2" t="n">
        <v>45170</v>
      </c>
      <c r="E670" s="1" t="n">
        <v>4.13</v>
      </c>
      <c r="G670" s="2" t="n">
        <v>30041</v>
      </c>
      <c r="H670" t="n">
        <v>-0.0182</v>
      </c>
      <c r="I670" t="n">
        <v>0.0098</v>
      </c>
    </row>
    <row r="671">
      <c r="A671" s="2" t="n">
        <v>37165</v>
      </c>
      <c r="B671" t="n">
        <v>22.21</v>
      </c>
      <c r="D671" s="2" t="n">
        <v>45200</v>
      </c>
      <c r="E671" s="1" t="n">
        <v>4.21</v>
      </c>
      <c r="G671" s="2" t="n">
        <v>30071</v>
      </c>
      <c r="H671" t="n">
        <v>0.0324</v>
      </c>
      <c r="I671" t="n">
        <v>0.0113</v>
      </c>
    </row>
    <row r="672">
      <c r="A672" s="2" t="n">
        <v>37196</v>
      </c>
      <c r="B672" t="n">
        <v>19.67</v>
      </c>
      <c r="D672" s="2" t="n">
        <v>45231</v>
      </c>
      <c r="E672" s="1" t="n">
        <v>4.38</v>
      </c>
      <c r="G672" s="2" t="n">
        <v>30099</v>
      </c>
      <c r="H672" t="n">
        <v>-0.0393</v>
      </c>
      <c r="I672" t="n">
        <v>0.0106</v>
      </c>
    </row>
    <row r="673">
      <c r="A673" s="2" t="n">
        <v>37226</v>
      </c>
      <c r="B673" t="n">
        <v>19.33</v>
      </c>
      <c r="D673" s="2" t="n">
        <v>45261</v>
      </c>
      <c r="E673" s="1" t="n">
        <v>4.35</v>
      </c>
      <c r="G673" s="2" t="n">
        <v>30132</v>
      </c>
      <c r="H673" t="n">
        <v>-0.0308</v>
      </c>
      <c r="I673" t="n">
        <v>0.009599999999999999</v>
      </c>
    </row>
    <row r="674">
      <c r="A674" s="2" t="n">
        <v>37257</v>
      </c>
      <c r="B674" t="n">
        <v>19.67</v>
      </c>
      <c r="D674" s="2" t="n">
        <v>45292</v>
      </c>
      <c r="E674" s="1" t="n">
        <v>4.35</v>
      </c>
      <c r="G674" s="2" t="n">
        <v>30162</v>
      </c>
      <c r="H674" t="n">
        <v>-0.032</v>
      </c>
      <c r="I674" t="n">
        <v>0.0105</v>
      </c>
    </row>
    <row r="675">
      <c r="A675" s="2" t="n">
        <v>37288</v>
      </c>
      <c r="B675" t="n">
        <v>20.74</v>
      </c>
      <c r="D675" s="2" t="n">
        <v>45323</v>
      </c>
      <c r="E675" s="1" t="n">
        <v>4.34</v>
      </c>
      <c r="G675" s="2" t="n">
        <v>30194</v>
      </c>
      <c r="H675" t="n">
        <v>0.1123</v>
      </c>
      <c r="I675" t="n">
        <v>0.0076</v>
      </c>
    </row>
    <row r="676">
      <c r="A676" s="2" t="n">
        <v>37316</v>
      </c>
      <c r="B676" t="n">
        <v>24.42</v>
      </c>
      <c r="D676" s="2" t="n">
        <v>45352</v>
      </c>
      <c r="E676" s="1" t="n">
        <v>4.35</v>
      </c>
      <c r="G676" s="2" t="n">
        <v>30224</v>
      </c>
      <c r="H676" t="n">
        <v>0.0131</v>
      </c>
      <c r="I676" t="n">
        <v>0.0051</v>
      </c>
    </row>
    <row r="677">
      <c r="A677" s="2" t="n">
        <v>37347</v>
      </c>
      <c r="B677" t="n">
        <v>26.27</v>
      </c>
      <c r="D677" s="2" t="n">
        <v>45383</v>
      </c>
      <c r="E677" s="1" t="n">
        <v>4.37</v>
      </c>
      <c r="G677" s="2" t="n">
        <v>30253</v>
      </c>
      <c r="H677" t="n">
        <v>0.113</v>
      </c>
      <c r="I677" t="n">
        <v>0.0059</v>
      </c>
    </row>
    <row r="678">
      <c r="A678" s="2" t="n">
        <v>37377</v>
      </c>
      <c r="B678" t="n">
        <v>27.02</v>
      </c>
      <c r="D678" s="2" t="n">
        <v>45413</v>
      </c>
      <c r="E678" s="1" t="n">
        <v>4.36</v>
      </c>
      <c r="G678" s="2" t="n">
        <v>30285</v>
      </c>
      <c r="H678" t="n">
        <v>0.0468</v>
      </c>
      <c r="I678" t="n">
        <v>0.0063</v>
      </c>
    </row>
    <row r="679">
      <c r="A679" s="2" t="n">
        <v>37408</v>
      </c>
      <c r="B679" t="n">
        <v>25.52</v>
      </c>
      <c r="D679" s="2" t="n">
        <v>45444</v>
      </c>
      <c r="E679" s="1" t="n">
        <v>4.39</v>
      </c>
      <c r="G679" s="2" t="n">
        <v>30316</v>
      </c>
      <c r="H679" t="n">
        <v>0.0056</v>
      </c>
      <c r="I679" t="n">
        <v>0.0067</v>
      </c>
    </row>
    <row r="680">
      <c r="A680" s="2" t="n">
        <v>37438</v>
      </c>
      <c r="B680" t="n">
        <v>26.94</v>
      </c>
      <c r="D680" s="2" t="n">
        <v>45474</v>
      </c>
      <c r="E680" s="1" t="n">
        <v>4.46</v>
      </c>
      <c r="G680" s="2" t="n">
        <v>30347</v>
      </c>
      <c r="H680" t="n">
        <v>0.0359</v>
      </c>
      <c r="I680" t="n">
        <v>0.0069</v>
      </c>
    </row>
    <row r="681">
      <c r="A681" s="2" t="n">
        <v>37469</v>
      </c>
      <c r="B681" t="n">
        <v>28.38</v>
      </c>
      <c r="D681" s="2" t="n">
        <v>45505</v>
      </c>
      <c r="E681" s="1" t="n">
        <v>4.38</v>
      </c>
      <c r="G681" s="2" t="n">
        <v>30375</v>
      </c>
      <c r="H681" t="n">
        <v>0.0259</v>
      </c>
      <c r="I681" t="n">
        <v>0.0062</v>
      </c>
    </row>
    <row r="682">
      <c r="A682" s="2" t="n">
        <v>37500</v>
      </c>
      <c r="B682" t="n">
        <v>29.67</v>
      </c>
      <c r="D682" s="2" t="n">
        <v>45536</v>
      </c>
      <c r="E682" s="1" t="n">
        <v>4.42</v>
      </c>
      <c r="G682" s="2" t="n">
        <v>30406</v>
      </c>
      <c r="H682" t="n">
        <v>0.0281</v>
      </c>
      <c r="I682" t="n">
        <v>0.0063</v>
      </c>
    </row>
    <row r="683">
      <c r="A683" s="2" t="n">
        <v>37530</v>
      </c>
      <c r="B683" t="n">
        <v>28.85</v>
      </c>
      <c r="D683" s="2" t="n">
        <v>45566</v>
      </c>
      <c r="E683" s="1" t="n">
        <v>4.41</v>
      </c>
      <c r="G683" s="2" t="n">
        <v>30435</v>
      </c>
      <c r="H683" t="n">
        <v>0.06660000000000001</v>
      </c>
      <c r="I683" t="n">
        <v>0.0071</v>
      </c>
    </row>
    <row r="684">
      <c r="A684" s="2" t="n">
        <v>37561</v>
      </c>
      <c r="B684" t="n">
        <v>26.27</v>
      </c>
      <c r="D684" s="2" t="n">
        <v>45597</v>
      </c>
      <c r="E684" s="1" t="n">
        <v>4.42</v>
      </c>
      <c r="G684" s="2" t="n">
        <v>30467</v>
      </c>
      <c r="H684" t="n">
        <v>0.0051</v>
      </c>
      <c r="I684" t="n">
        <v>0.0069</v>
      </c>
    </row>
    <row r="685">
      <c r="A685" s="2" t="n">
        <v>37591</v>
      </c>
      <c r="B685" t="n">
        <v>29.42</v>
      </c>
      <c r="D685" s="2" t="n">
        <v>45627</v>
      </c>
      <c r="E685" s="1" t="n">
        <v>4.44</v>
      </c>
      <c r="G685" s="2" t="n">
        <v>30497</v>
      </c>
      <c r="H685" t="n">
        <v>0.0307</v>
      </c>
      <c r="I685" t="n">
        <v>0.0067</v>
      </c>
    </row>
    <row r="686">
      <c r="A686" s="2" t="n">
        <v>37622</v>
      </c>
      <c r="B686" t="n">
        <v>32.94</v>
      </c>
      <c r="D686" s="2" t="n">
        <v>45658</v>
      </c>
      <c r="E686" s="1" t="n">
        <v>4.33</v>
      </c>
      <c r="G686" s="2" t="n">
        <v>30526</v>
      </c>
      <c r="H686" t="n">
        <v>-0.0406</v>
      </c>
      <c r="I686" t="n">
        <v>0.0074</v>
      </c>
    </row>
    <row r="687">
      <c r="A687" s="2" t="n">
        <v>37653</v>
      </c>
      <c r="B687" t="n">
        <v>35.87</v>
      </c>
      <c r="D687" s="2" t="n">
        <v>45689</v>
      </c>
      <c r="E687" s="1" t="n">
        <v>4.17</v>
      </c>
      <c r="G687" s="2" t="n">
        <v>30559</v>
      </c>
      <c r="H687" t="n">
        <v>-0.005</v>
      </c>
      <c r="I687" t="n">
        <v>0.0076</v>
      </c>
    </row>
    <row r="688">
      <c r="A688" s="2" t="n">
        <v>37681</v>
      </c>
      <c r="B688" t="n">
        <v>33.55</v>
      </c>
      <c r="D688" s="2" t="n">
        <v>45717</v>
      </c>
      <c r="E688" s="1" t="n">
        <v>4.12</v>
      </c>
      <c r="G688" s="2" t="n">
        <v>30589</v>
      </c>
      <c r="H688" t="n">
        <v>0.0092</v>
      </c>
      <c r="I688" t="n">
        <v>0.0076</v>
      </c>
    </row>
    <row r="689">
      <c r="A689" s="2" t="n">
        <v>37712</v>
      </c>
      <c r="B689" t="n">
        <v>28.25</v>
      </c>
      <c r="D689" s="2" t="n">
        <v>45748</v>
      </c>
      <c r="E689" s="1" t="n">
        <v>4.02</v>
      </c>
      <c r="G689" s="2" t="n">
        <v>30620</v>
      </c>
      <c r="H689" t="n">
        <v>-0.0343</v>
      </c>
      <c r="I689" t="n">
        <v>0.0076</v>
      </c>
    </row>
    <row r="690">
      <c r="A690" s="2" t="n">
        <v>37742</v>
      </c>
      <c r="B690" t="n">
        <v>28.14</v>
      </c>
      <c r="D690" s="2" t="n">
        <v>45778</v>
      </c>
      <c r="E690" s="1" t="n">
        <v>3.78</v>
      </c>
      <c r="G690" s="2" t="n">
        <v>30650</v>
      </c>
      <c r="H690" t="n">
        <v>0.0217</v>
      </c>
      <c r="I690" t="n">
        <v>0.007</v>
      </c>
    </row>
    <row r="691">
      <c r="A691" s="2" t="n">
        <v>37773</v>
      </c>
      <c r="B691" t="n">
        <v>30.72</v>
      </c>
      <c r="D691" s="2" t="n">
        <v>45809</v>
      </c>
      <c r="E691" s="1" t="n">
        <v>3.69</v>
      </c>
      <c r="G691" s="2" t="n">
        <v>30680</v>
      </c>
      <c r="H691" t="n">
        <v>-0.0177</v>
      </c>
      <c r="I691" t="n">
        <v>0.0073</v>
      </c>
    </row>
    <row r="692">
      <c r="A692" s="2" t="n">
        <v>37803</v>
      </c>
      <c r="B692" t="n">
        <v>30.76</v>
      </c>
      <c r="D692" s="2" t="n">
        <v>45839</v>
      </c>
      <c r="E692" s="1" t="n">
        <v>3.68</v>
      </c>
      <c r="G692" s="2" t="n">
        <v>30712</v>
      </c>
      <c r="H692" t="n">
        <v>-0.0192</v>
      </c>
      <c r="I692" t="n">
        <v>0.0076</v>
      </c>
    </row>
    <row r="693">
      <c r="A693" s="2" t="n">
        <v>37834</v>
      </c>
      <c r="B693" t="n">
        <v>31.59</v>
      </c>
      <c r="D693" s="2" t="n">
        <v>45870</v>
      </c>
      <c r="E693" s="1" t="n">
        <v>3.61</v>
      </c>
      <c r="G693" s="2" t="n">
        <v>30741</v>
      </c>
      <c r="H693" t="n">
        <v>-0.0477</v>
      </c>
      <c r="I693" t="n">
        <v>0.0071</v>
      </c>
    </row>
    <row r="694">
      <c r="A694" s="2" t="n">
        <v>37865</v>
      </c>
      <c r="B694" t="n">
        <v>28.29</v>
      </c>
      <c r="D694" s="2" t="n">
        <v>45901</v>
      </c>
      <c r="E694" s="1" t="n">
        <v>3.58</v>
      </c>
      <c r="G694" s="2" t="n">
        <v>30771</v>
      </c>
      <c r="H694" t="n">
        <v>0.0065</v>
      </c>
      <c r="I694" t="n">
        <v>0.0073</v>
      </c>
    </row>
    <row r="695">
      <c r="A695" s="2" t="n">
        <v>37895</v>
      </c>
      <c r="B695" t="n">
        <v>30.33</v>
      </c>
      <c r="D695" s="2" t="n">
        <v>45931</v>
      </c>
      <c r="E695" s="1" t="n">
        <v>3.56</v>
      </c>
      <c r="G695" s="2" t="n">
        <v>30802</v>
      </c>
      <c r="H695" t="n">
        <v>-0.0051</v>
      </c>
      <c r="I695" t="n">
        <v>0.0081</v>
      </c>
    </row>
    <row r="696">
      <c r="A696" s="2" t="n">
        <v>37926</v>
      </c>
      <c r="B696" t="n">
        <v>31.09</v>
      </c>
      <c r="D696" s="2" t="n">
        <v>45962</v>
      </c>
      <c r="E696" s="1" t="n">
        <v>3.65</v>
      </c>
      <c r="G696" s="2" t="n">
        <v>30833</v>
      </c>
      <c r="H696" t="n">
        <v>-0.0598</v>
      </c>
      <c r="I696" t="n">
        <v>0.0078</v>
      </c>
    </row>
    <row r="697">
      <c r="A697" s="2" t="n">
        <v>37956</v>
      </c>
      <c r="B697" t="n">
        <v>32.15</v>
      </c>
      <c r="D697" s="2" t="n">
        <v>45992</v>
      </c>
      <c r="E697" s="1" t="n">
        <v>3.71</v>
      </c>
      <c r="G697" s="2" t="n">
        <v>30862</v>
      </c>
      <c r="H697" t="n">
        <v>0.0181</v>
      </c>
      <c r="I697" t="n">
        <v>0.0075</v>
      </c>
    </row>
    <row r="698">
      <c r="A698" s="2" t="n">
        <v>37987</v>
      </c>
      <c r="B698" t="n">
        <v>34.27</v>
      </c>
      <c r="D698" s="2" t="n">
        <v>46023</v>
      </c>
      <c r="E698" s="1" t="n">
        <v>3.77</v>
      </c>
      <c r="G698" s="2" t="n">
        <v>30894</v>
      </c>
      <c r="H698" t="n">
        <v>-0.0272</v>
      </c>
      <c r="I698" t="n">
        <v>0.008200000000000001</v>
      </c>
    </row>
    <row r="699">
      <c r="A699" s="2" t="n">
        <v>38018</v>
      </c>
      <c r="B699" t="n">
        <v>34.74</v>
      </c>
      <c r="D699" s="2" t="n">
        <v>46054</v>
      </c>
      <c r="E699" s="1" t="n">
        <v>3.96</v>
      </c>
      <c r="G699" s="2" t="n">
        <v>30925</v>
      </c>
      <c r="H699" t="n">
        <v>0.1027</v>
      </c>
      <c r="I699" t="n">
        <v>0.0083</v>
      </c>
    </row>
    <row r="700">
      <c r="A700" s="2" t="n">
        <v>38047</v>
      </c>
      <c r="B700" t="n">
        <v>36.76</v>
      </c>
      <c r="G700" s="2" t="n">
        <v>30953</v>
      </c>
      <c r="H700" t="n">
        <v>-0.008</v>
      </c>
      <c r="I700" t="n">
        <v>0.0086</v>
      </c>
    </row>
    <row r="701">
      <c r="A701" s="2" t="n">
        <v>38078</v>
      </c>
      <c r="B701" t="n">
        <v>36.69</v>
      </c>
      <c r="G701" s="2" t="n">
        <v>30986</v>
      </c>
      <c r="H701" t="n">
        <v>-0.008399999999999999</v>
      </c>
      <c r="I701" t="n">
        <v>0.01</v>
      </c>
    </row>
    <row r="702">
      <c r="A702" s="2" t="n">
        <v>38108</v>
      </c>
      <c r="B702" t="n">
        <v>40.28</v>
      </c>
      <c r="G702" s="2" t="n">
        <v>31016</v>
      </c>
      <c r="H702" t="n">
        <v>-0.0177</v>
      </c>
      <c r="I702" t="n">
        <v>0.0073</v>
      </c>
    </row>
    <row r="703">
      <c r="A703" s="2" t="n">
        <v>38139</v>
      </c>
      <c r="B703" t="n">
        <v>38.02</v>
      </c>
      <c r="G703" s="2" t="n">
        <v>31047</v>
      </c>
      <c r="H703" t="n">
        <v>0.0185</v>
      </c>
      <c r="I703" t="n">
        <v>0.0064</v>
      </c>
    </row>
    <row r="704">
      <c r="A704" s="2" t="n">
        <v>38169</v>
      </c>
      <c r="B704" t="n">
        <v>40.69</v>
      </c>
      <c r="G704" s="2" t="n">
        <v>31078</v>
      </c>
      <c r="H704" t="n">
        <v>0.07969999999999999</v>
      </c>
      <c r="I704" t="n">
        <v>0.0065</v>
      </c>
    </row>
    <row r="705">
      <c r="A705" s="2" t="n">
        <v>38200</v>
      </c>
      <c r="B705" t="n">
        <v>44.94</v>
      </c>
      <c r="G705" s="2" t="n">
        <v>31106</v>
      </c>
      <c r="H705" t="n">
        <v>0.0122</v>
      </c>
      <c r="I705" t="n">
        <v>0.0058</v>
      </c>
    </row>
    <row r="706">
      <c r="A706" s="2" t="n">
        <v>38231</v>
      </c>
      <c r="B706" t="n">
        <v>45.95</v>
      </c>
      <c r="G706" s="2" t="n">
        <v>31135</v>
      </c>
      <c r="H706" t="n">
        <v>-0.0083</v>
      </c>
      <c r="I706" t="n">
        <v>0.0062</v>
      </c>
    </row>
    <row r="707">
      <c r="A707" s="2" t="n">
        <v>38261</v>
      </c>
      <c r="B707" t="n">
        <v>53.13</v>
      </c>
      <c r="G707" s="2" t="n">
        <v>31167</v>
      </c>
      <c r="H707" t="n">
        <v>-0.009599999999999999</v>
      </c>
      <c r="I707" t="n">
        <v>0.0072</v>
      </c>
    </row>
    <row r="708">
      <c r="A708" s="2" t="n">
        <v>38292</v>
      </c>
      <c r="B708" t="n">
        <v>48.46</v>
      </c>
      <c r="G708" s="2" t="n">
        <v>31198</v>
      </c>
      <c r="H708" t="n">
        <v>0.0507</v>
      </c>
      <c r="I708" t="n">
        <v>0.0066</v>
      </c>
    </row>
    <row r="709">
      <c r="A709" s="2" t="n">
        <v>38322</v>
      </c>
      <c r="B709" t="n">
        <v>43.33</v>
      </c>
      <c r="G709" s="2" t="n">
        <v>31226</v>
      </c>
      <c r="H709" t="n">
        <v>0.0127</v>
      </c>
      <c r="I709" t="n">
        <v>0.0055</v>
      </c>
    </row>
    <row r="710">
      <c r="A710" s="2" t="n">
        <v>38353</v>
      </c>
      <c r="B710" t="n">
        <v>46.84</v>
      </c>
      <c r="G710" s="2" t="n">
        <v>31259</v>
      </c>
      <c r="H710" t="n">
        <v>-0.0072</v>
      </c>
      <c r="I710" t="n">
        <v>0.0062</v>
      </c>
    </row>
    <row r="711">
      <c r="A711" s="2" t="n">
        <v>38384</v>
      </c>
      <c r="B711" t="n">
        <v>47.97</v>
      </c>
      <c r="G711" s="2" t="n">
        <v>31289</v>
      </c>
      <c r="H711" t="n">
        <v>-0.0101</v>
      </c>
      <c r="I711" t="n">
        <v>0.0055</v>
      </c>
    </row>
    <row r="712">
      <c r="A712" s="2" t="n">
        <v>38412</v>
      </c>
      <c r="B712" t="n">
        <v>54.31</v>
      </c>
      <c r="G712" s="2" t="n">
        <v>31320</v>
      </c>
      <c r="H712" t="n">
        <v>-0.0451</v>
      </c>
      <c r="I712" t="n">
        <v>0.006</v>
      </c>
    </row>
    <row r="713">
      <c r="A713" s="2" t="n">
        <v>38443</v>
      </c>
      <c r="B713" t="n">
        <v>53.04</v>
      </c>
      <c r="G713" s="2" t="n">
        <v>31351</v>
      </c>
      <c r="H713" t="n">
        <v>0.04</v>
      </c>
      <c r="I713" t="n">
        <v>0.0065</v>
      </c>
    </row>
    <row r="714">
      <c r="A714" s="2" t="n">
        <v>38473</v>
      </c>
      <c r="B714" t="n">
        <v>49.83</v>
      </c>
      <c r="G714" s="2" t="n">
        <v>31380</v>
      </c>
      <c r="H714" t="n">
        <v>0.0646</v>
      </c>
      <c r="I714" t="n">
        <v>0.0061</v>
      </c>
    </row>
    <row r="715">
      <c r="A715" s="2" t="n">
        <v>38504</v>
      </c>
      <c r="B715" t="n">
        <v>56.26</v>
      </c>
      <c r="G715" s="2" t="n">
        <v>31412</v>
      </c>
      <c r="H715" t="n">
        <v>0.0388</v>
      </c>
      <c r="I715" t="n">
        <v>0.0065</v>
      </c>
    </row>
    <row r="716">
      <c r="A716" s="2" t="n">
        <v>38534</v>
      </c>
      <c r="B716" t="n">
        <v>58.7</v>
      </c>
      <c r="G716" s="2" t="n">
        <v>31443</v>
      </c>
      <c r="H716" t="n">
        <v>0.0065</v>
      </c>
      <c r="I716" t="n">
        <v>0.0056</v>
      </c>
    </row>
    <row r="717">
      <c r="A717" s="2" t="n">
        <v>38565</v>
      </c>
      <c r="B717" t="n">
        <v>64.97</v>
      </c>
      <c r="G717" s="2" t="n">
        <v>31471</v>
      </c>
      <c r="H717" t="n">
        <v>0.07140000000000001</v>
      </c>
      <c r="I717" t="n">
        <v>0.0053</v>
      </c>
    </row>
    <row r="718">
      <c r="A718" s="2" t="n">
        <v>38596</v>
      </c>
      <c r="B718" t="n">
        <v>65.56999999999999</v>
      </c>
      <c r="G718" s="2" t="n">
        <v>31502</v>
      </c>
      <c r="H718" t="n">
        <v>0.0491</v>
      </c>
      <c r="I718" t="n">
        <v>0.006</v>
      </c>
    </row>
    <row r="719">
      <c r="A719" s="2" t="n">
        <v>38626</v>
      </c>
      <c r="B719" t="n">
        <v>62.37</v>
      </c>
      <c r="G719" s="2" t="n">
        <v>31532</v>
      </c>
      <c r="H719" t="n">
        <v>-0.0128</v>
      </c>
      <c r="I719" t="n">
        <v>0.0052</v>
      </c>
    </row>
    <row r="720">
      <c r="A720" s="2" t="n">
        <v>38657</v>
      </c>
      <c r="B720" t="n">
        <v>58.3</v>
      </c>
      <c r="G720" s="2" t="n">
        <v>31562</v>
      </c>
      <c r="H720" t="n">
        <v>0.0462</v>
      </c>
      <c r="I720" t="n">
        <v>0.0049</v>
      </c>
    </row>
    <row r="721">
      <c r="A721" s="2" t="n">
        <v>38687</v>
      </c>
      <c r="B721" t="n">
        <v>59.43</v>
      </c>
      <c r="G721" s="2" t="n">
        <v>31593</v>
      </c>
      <c r="H721" t="n">
        <v>0.0106</v>
      </c>
      <c r="I721" t="n">
        <v>0.0052</v>
      </c>
    </row>
    <row r="722">
      <c r="A722" s="2" t="n">
        <v>38718</v>
      </c>
      <c r="B722" t="n">
        <v>65.51000000000001</v>
      </c>
      <c r="G722" s="2" t="n">
        <v>31624</v>
      </c>
      <c r="H722" t="n">
        <v>-0.0643</v>
      </c>
      <c r="I722" t="n">
        <v>0.0052</v>
      </c>
    </row>
    <row r="723">
      <c r="A723" s="2" t="n">
        <v>38749</v>
      </c>
      <c r="B723" t="n">
        <v>61.63</v>
      </c>
      <c r="G723" s="2" t="n">
        <v>31653</v>
      </c>
      <c r="H723" t="n">
        <v>0.0607</v>
      </c>
      <c r="I723" t="n">
        <v>0.0046</v>
      </c>
    </row>
    <row r="724">
      <c r="A724" s="2" t="n">
        <v>38777</v>
      </c>
      <c r="B724" t="n">
        <v>62.9</v>
      </c>
      <c r="G724" s="2" t="n">
        <v>31685</v>
      </c>
      <c r="H724" t="n">
        <v>-0.0859</v>
      </c>
      <c r="I724" t="n">
        <v>0.0045</v>
      </c>
    </row>
    <row r="725">
      <c r="A725" s="2" t="n">
        <v>38808</v>
      </c>
      <c r="B725" t="n">
        <v>69.69</v>
      </c>
      <c r="G725" s="2" t="n">
        <v>31716</v>
      </c>
      <c r="H725" t="n">
        <v>0.0464</v>
      </c>
      <c r="I725" t="n">
        <v>0.0046</v>
      </c>
    </row>
    <row r="726">
      <c r="A726" s="2" t="n">
        <v>38838</v>
      </c>
      <c r="B726" t="n">
        <v>70.94</v>
      </c>
      <c r="G726" s="2" t="n">
        <v>31744</v>
      </c>
      <c r="H726" t="n">
        <v>0.0117</v>
      </c>
      <c r="I726" t="n">
        <v>0.0039</v>
      </c>
    </row>
    <row r="727">
      <c r="A727" s="2" t="n">
        <v>38869</v>
      </c>
      <c r="B727" t="n">
        <v>70.95999999999999</v>
      </c>
      <c r="G727" s="2" t="n">
        <v>31777</v>
      </c>
      <c r="H727" t="n">
        <v>-0.0326</v>
      </c>
      <c r="I727" t="n">
        <v>0.0049</v>
      </c>
    </row>
    <row r="728">
      <c r="A728" s="2" t="n">
        <v>38899</v>
      </c>
      <c r="B728" t="n">
        <v>74.41</v>
      </c>
      <c r="G728" s="2" t="n">
        <v>31807</v>
      </c>
      <c r="H728" t="n">
        <v>0.1245</v>
      </c>
      <c r="I728" t="n">
        <v>0.0042</v>
      </c>
    </row>
    <row r="729">
      <c r="A729" s="2" t="n">
        <v>38930</v>
      </c>
      <c r="B729" t="n">
        <v>73.05</v>
      </c>
      <c r="G729" s="2" t="n">
        <v>31835</v>
      </c>
      <c r="H729" t="n">
        <v>0.0438</v>
      </c>
      <c r="I729" t="n">
        <v>0.0043</v>
      </c>
    </row>
    <row r="730">
      <c r="A730" s="2" t="n">
        <v>38961</v>
      </c>
      <c r="B730" t="n">
        <v>63.87</v>
      </c>
      <c r="G730" s="2" t="n">
        <v>31867</v>
      </c>
      <c r="H730" t="n">
        <v>0.0163</v>
      </c>
      <c r="I730" t="n">
        <v>0.0047</v>
      </c>
    </row>
    <row r="731">
      <c r="A731" s="2" t="n">
        <v>38991</v>
      </c>
      <c r="B731" t="n">
        <v>58.88</v>
      </c>
      <c r="G731" s="2" t="n">
        <v>31897</v>
      </c>
      <c r="H731" t="n">
        <v>-0.0209</v>
      </c>
      <c r="I731" t="n">
        <v>0.0044</v>
      </c>
    </row>
    <row r="732">
      <c r="A732" s="2" t="n">
        <v>39022</v>
      </c>
      <c r="B732" t="n">
        <v>59.37</v>
      </c>
      <c r="G732" s="2" t="n">
        <v>31926</v>
      </c>
      <c r="H732" t="n">
        <v>0.0011</v>
      </c>
      <c r="I732" t="n">
        <v>0.0038</v>
      </c>
    </row>
    <row r="733">
      <c r="A733" s="2" t="n">
        <v>39052</v>
      </c>
      <c r="B733" t="n">
        <v>62.03</v>
      </c>
      <c r="G733" s="2" t="n">
        <v>31958</v>
      </c>
      <c r="H733" t="n">
        <v>0.0391</v>
      </c>
      <c r="I733" t="n">
        <v>0.0048</v>
      </c>
    </row>
    <row r="734">
      <c r="A734" s="2" t="n">
        <v>39083</v>
      </c>
      <c r="B734" t="n">
        <v>54.57</v>
      </c>
      <c r="G734" s="2" t="n">
        <v>31989</v>
      </c>
      <c r="H734" t="n">
        <v>0.0384</v>
      </c>
      <c r="I734" t="n">
        <v>0.0046</v>
      </c>
    </row>
    <row r="735">
      <c r="A735" s="2" t="n">
        <v>39114</v>
      </c>
      <c r="B735" t="n">
        <v>59.26</v>
      </c>
      <c r="G735" s="2" t="n">
        <v>32020</v>
      </c>
      <c r="H735" t="n">
        <v>0.0352</v>
      </c>
      <c r="I735" t="n">
        <v>0.0047</v>
      </c>
    </row>
    <row r="736">
      <c r="A736" s="2" t="n">
        <v>39142</v>
      </c>
      <c r="B736" t="n">
        <v>60.56</v>
      </c>
      <c r="G736" s="2" t="n">
        <v>32050</v>
      </c>
      <c r="H736" t="n">
        <v>-0.0258</v>
      </c>
      <c r="I736" t="n">
        <v>0.0045</v>
      </c>
    </row>
    <row r="737">
      <c r="A737" s="2" t="n">
        <v>39173</v>
      </c>
      <c r="B737" t="n">
        <v>63.97</v>
      </c>
      <c r="G737" s="2" t="n">
        <v>32080</v>
      </c>
      <c r="H737" t="n">
        <v>-0.2319</v>
      </c>
      <c r="I737" t="n">
        <v>0.006</v>
      </c>
    </row>
    <row r="738">
      <c r="A738" s="2" t="n">
        <v>39203</v>
      </c>
      <c r="B738" t="n">
        <v>63.46</v>
      </c>
      <c r="G738" s="2" t="n">
        <v>32111</v>
      </c>
      <c r="H738" t="n">
        <v>-0.0776</v>
      </c>
      <c r="I738" t="n">
        <v>0.0035</v>
      </c>
    </row>
    <row r="739">
      <c r="A739" s="2" t="n">
        <v>39234</v>
      </c>
      <c r="B739" t="n">
        <v>67.48</v>
      </c>
      <c r="G739" s="2" t="n">
        <v>32142</v>
      </c>
      <c r="H739" t="n">
        <v>0.0682</v>
      </c>
      <c r="I739" t="n">
        <v>0.0039</v>
      </c>
    </row>
    <row r="740">
      <c r="A740" s="2" t="n">
        <v>39264</v>
      </c>
      <c r="B740" t="n">
        <v>74.18000000000001</v>
      </c>
      <c r="G740" s="2" t="n">
        <v>32171</v>
      </c>
      <c r="H740" t="n">
        <v>0.0421</v>
      </c>
      <c r="I740" t="n">
        <v>0.0029</v>
      </c>
    </row>
    <row r="741">
      <c r="A741" s="2" t="n">
        <v>39295</v>
      </c>
      <c r="B741" t="n">
        <v>72.39</v>
      </c>
      <c r="G741" s="2" t="n">
        <v>32202</v>
      </c>
      <c r="H741" t="n">
        <v>0.0477</v>
      </c>
      <c r="I741" t="n">
        <v>0.0046</v>
      </c>
    </row>
    <row r="742">
      <c r="A742" s="2" t="n">
        <v>39326</v>
      </c>
      <c r="B742" t="n">
        <v>79.93000000000001</v>
      </c>
      <c r="G742" s="2" t="n">
        <v>32233</v>
      </c>
      <c r="H742" t="n">
        <v>-0.0226</v>
      </c>
      <c r="I742" t="n">
        <v>0.0044</v>
      </c>
    </row>
    <row r="743">
      <c r="A743" s="2" t="n">
        <v>39356</v>
      </c>
      <c r="B743" t="n">
        <v>86.2</v>
      </c>
      <c r="G743" s="2" t="n">
        <v>32262</v>
      </c>
      <c r="H743" t="n">
        <v>0.0057</v>
      </c>
      <c r="I743" t="n">
        <v>0.0046</v>
      </c>
    </row>
    <row r="744">
      <c r="A744" s="2" t="n">
        <v>39387</v>
      </c>
      <c r="B744" t="n">
        <v>94.62</v>
      </c>
      <c r="G744" s="2" t="n">
        <v>32294</v>
      </c>
      <c r="H744" t="n">
        <v>-0.0027</v>
      </c>
      <c r="I744" t="n">
        <v>0.0051</v>
      </c>
    </row>
    <row r="745">
      <c r="A745" s="2" t="n">
        <v>39417</v>
      </c>
      <c r="B745" t="n">
        <v>91.73</v>
      </c>
      <c r="G745" s="2" t="n">
        <v>32324</v>
      </c>
      <c r="H745" t="n">
        <v>0.0478</v>
      </c>
      <c r="I745" t="n">
        <v>0.0049</v>
      </c>
    </row>
    <row r="746">
      <c r="A746" s="2" t="n">
        <v>39448</v>
      </c>
      <c r="B746" t="n">
        <v>92.95</v>
      </c>
      <c r="G746" s="2" t="n">
        <v>32353</v>
      </c>
      <c r="H746" t="n">
        <v>-0.0125</v>
      </c>
      <c r="I746" t="n">
        <v>0.0051</v>
      </c>
    </row>
    <row r="747">
      <c r="A747" s="2" t="n">
        <v>39479</v>
      </c>
      <c r="B747" t="n">
        <v>95.34999999999999</v>
      </c>
      <c r="G747" s="2" t="n">
        <v>32386</v>
      </c>
      <c r="H747" t="n">
        <v>-0.0331</v>
      </c>
      <c r="I747" t="n">
        <v>0.0059</v>
      </c>
    </row>
    <row r="748">
      <c r="A748" s="2" t="n">
        <v>39508</v>
      </c>
      <c r="B748" t="n">
        <v>105.56</v>
      </c>
      <c r="G748" s="2" t="n">
        <v>32416</v>
      </c>
      <c r="H748" t="n">
        <v>0.0331</v>
      </c>
      <c r="I748" t="n">
        <v>0.0062</v>
      </c>
    </row>
    <row r="749">
      <c r="A749" s="2" t="n">
        <v>39539</v>
      </c>
      <c r="B749" t="n">
        <v>112.57</v>
      </c>
      <c r="G749" s="2" t="n">
        <v>32447</v>
      </c>
      <c r="H749" t="n">
        <v>0.0116</v>
      </c>
      <c r="I749" t="n">
        <v>0.0061</v>
      </c>
    </row>
    <row r="750">
      <c r="A750" s="2" t="n">
        <v>39569</v>
      </c>
      <c r="B750" t="n">
        <v>125.39</v>
      </c>
      <c r="G750" s="2" t="n">
        <v>32477</v>
      </c>
      <c r="H750" t="n">
        <v>-0.0227</v>
      </c>
      <c r="I750" t="n">
        <v>0.0057</v>
      </c>
    </row>
    <row r="751">
      <c r="A751" s="2" t="n">
        <v>39600</v>
      </c>
      <c r="B751" t="n">
        <v>133.93</v>
      </c>
      <c r="G751" s="2" t="n">
        <v>32507</v>
      </c>
      <c r="H751" t="n">
        <v>0.0148</v>
      </c>
      <c r="I751" t="n">
        <v>0.0063</v>
      </c>
    </row>
    <row r="752">
      <c r="A752" s="2" t="n">
        <v>39630</v>
      </c>
      <c r="B752" t="n">
        <v>133.44</v>
      </c>
      <c r="G752" s="2" t="n">
        <v>32539</v>
      </c>
      <c r="H752" t="n">
        <v>0.0607</v>
      </c>
      <c r="I752" t="n">
        <v>0.0055</v>
      </c>
    </row>
    <row r="753">
      <c r="A753" s="2" t="n">
        <v>39661</v>
      </c>
      <c r="B753" t="n">
        <v>116.61</v>
      </c>
      <c r="G753" s="2" t="n">
        <v>32567</v>
      </c>
      <c r="H753" t="n">
        <v>-0.0223</v>
      </c>
      <c r="I753" t="n">
        <v>0.0061</v>
      </c>
    </row>
    <row r="754">
      <c r="A754" s="2" t="n">
        <v>39692</v>
      </c>
      <c r="B754" t="n">
        <v>103.9</v>
      </c>
      <c r="G754" s="2" t="n">
        <v>32598</v>
      </c>
      <c r="H754" t="n">
        <v>0.0157</v>
      </c>
      <c r="I754" t="n">
        <v>0.0067</v>
      </c>
    </row>
    <row r="755">
      <c r="A755" s="2" t="n">
        <v>39722</v>
      </c>
      <c r="B755" t="n">
        <v>76.65000000000001</v>
      </c>
      <c r="G755" s="2" t="n">
        <v>32626</v>
      </c>
      <c r="H755" t="n">
        <v>0.0435</v>
      </c>
      <c r="I755" t="n">
        <v>0.0067</v>
      </c>
    </row>
    <row r="756">
      <c r="A756" s="2" t="n">
        <v>39753</v>
      </c>
      <c r="B756" t="n">
        <v>57.44</v>
      </c>
      <c r="G756" s="2" t="n">
        <v>32659</v>
      </c>
      <c r="H756" t="n">
        <v>0.0328</v>
      </c>
      <c r="I756" t="n">
        <v>0.007900000000000001</v>
      </c>
    </row>
    <row r="757">
      <c r="A757" s="2" t="n">
        <v>39783</v>
      </c>
      <c r="B757" t="n">
        <v>41.02</v>
      </c>
      <c r="G757" s="2" t="n">
        <v>32689</v>
      </c>
      <c r="H757" t="n">
        <v>-0.0133</v>
      </c>
      <c r="I757" t="n">
        <v>0.0071</v>
      </c>
    </row>
    <row r="758">
      <c r="A758" s="2" t="n">
        <v>39814</v>
      </c>
      <c r="B758" t="n">
        <v>41.74</v>
      </c>
      <c r="G758" s="2" t="n">
        <v>32720</v>
      </c>
      <c r="H758" t="n">
        <v>0.0718</v>
      </c>
      <c r="I758" t="n">
        <v>0.007</v>
      </c>
    </row>
    <row r="759">
      <c r="A759" s="2" t="n">
        <v>39845</v>
      </c>
      <c r="B759" t="n">
        <v>39.16</v>
      </c>
      <c r="G759" s="2" t="n">
        <v>32751</v>
      </c>
      <c r="H759" t="n">
        <v>0.0143</v>
      </c>
      <c r="I759" t="n">
        <v>0.0074</v>
      </c>
    </row>
    <row r="760">
      <c r="A760" s="2" t="n">
        <v>39873</v>
      </c>
      <c r="B760" t="n">
        <v>47.98</v>
      </c>
      <c r="G760" s="2" t="n">
        <v>32780</v>
      </c>
      <c r="H760" t="n">
        <v>-0.0076</v>
      </c>
      <c r="I760" t="n">
        <v>0.0065</v>
      </c>
    </row>
    <row r="761">
      <c r="A761" s="2" t="n">
        <v>39904</v>
      </c>
      <c r="B761" t="n">
        <v>49.79</v>
      </c>
      <c r="G761" s="2" t="n">
        <v>32812</v>
      </c>
      <c r="H761" t="n">
        <v>-0.0365</v>
      </c>
      <c r="I761" t="n">
        <v>0.0068</v>
      </c>
    </row>
    <row r="762">
      <c r="A762" s="2" t="n">
        <v>39934</v>
      </c>
      <c r="B762" t="n">
        <v>59.16</v>
      </c>
      <c r="G762" s="2" t="n">
        <v>32842</v>
      </c>
      <c r="H762" t="n">
        <v>0.0104</v>
      </c>
      <c r="I762" t="n">
        <v>0.0069</v>
      </c>
    </row>
    <row r="763">
      <c r="A763" s="2" t="n">
        <v>39965</v>
      </c>
      <c r="B763" t="n">
        <v>69.68000000000001</v>
      </c>
      <c r="G763" s="2" t="n">
        <v>32871</v>
      </c>
      <c r="H763" t="n">
        <v>0.0118</v>
      </c>
      <c r="I763" t="n">
        <v>0.0061</v>
      </c>
    </row>
    <row r="764">
      <c r="A764" s="2" t="n">
        <v>39995</v>
      </c>
      <c r="B764" t="n">
        <v>64.09</v>
      </c>
      <c r="G764" s="2" t="n">
        <v>32904</v>
      </c>
      <c r="H764" t="n">
        <v>-0.078</v>
      </c>
      <c r="I764" t="n">
        <v>0.0057</v>
      </c>
    </row>
    <row r="765">
      <c r="A765" s="2" t="n">
        <v>40026</v>
      </c>
      <c r="B765" t="n">
        <v>71.06</v>
      </c>
      <c r="G765" s="2" t="n">
        <v>32932</v>
      </c>
      <c r="H765" t="n">
        <v>0.0112</v>
      </c>
      <c r="I765" t="n">
        <v>0.0057</v>
      </c>
    </row>
    <row r="766">
      <c r="A766" s="2" t="n">
        <v>40057</v>
      </c>
      <c r="B766" t="n">
        <v>69.45999999999999</v>
      </c>
      <c r="G766" s="2" t="n">
        <v>32962</v>
      </c>
      <c r="H766" t="n">
        <v>0.0183</v>
      </c>
      <c r="I766" t="n">
        <v>0.0064</v>
      </c>
    </row>
    <row r="767">
      <c r="A767" s="2" t="n">
        <v>40087</v>
      </c>
      <c r="B767" t="n">
        <v>75.81999999999999</v>
      </c>
      <c r="G767" s="2" t="n">
        <v>32993</v>
      </c>
      <c r="H767" t="n">
        <v>-0.0336</v>
      </c>
      <c r="I767" t="n">
        <v>0.0069</v>
      </c>
    </row>
    <row r="768">
      <c r="A768" s="2" t="n">
        <v>40118</v>
      </c>
      <c r="B768" t="n">
        <v>78.08</v>
      </c>
      <c r="G768" s="2" t="n">
        <v>33024</v>
      </c>
      <c r="H768" t="n">
        <v>0.0843</v>
      </c>
      <c r="I768" t="n">
        <v>0.0068</v>
      </c>
    </row>
    <row r="769">
      <c r="A769" s="2" t="n">
        <v>40148</v>
      </c>
      <c r="B769" t="n">
        <v>74.3</v>
      </c>
      <c r="G769" s="2" t="n">
        <v>33053</v>
      </c>
      <c r="H769" t="n">
        <v>-0.0109</v>
      </c>
      <c r="I769" t="n">
        <v>0.0063</v>
      </c>
    </row>
    <row r="770">
      <c r="A770" s="2" t="n">
        <v>40179</v>
      </c>
      <c r="B770" t="n">
        <v>78.22</v>
      </c>
      <c r="G770" s="2" t="n">
        <v>33085</v>
      </c>
      <c r="H770" t="n">
        <v>-0.019</v>
      </c>
      <c r="I770" t="n">
        <v>0.0068</v>
      </c>
    </row>
    <row r="771">
      <c r="A771" s="2" t="n">
        <v>40210</v>
      </c>
      <c r="B771" t="n">
        <v>76.42</v>
      </c>
      <c r="G771" s="2" t="n">
        <v>33116</v>
      </c>
      <c r="H771" t="n">
        <v>-0.1012</v>
      </c>
      <c r="I771" t="n">
        <v>0.0066</v>
      </c>
    </row>
    <row r="772">
      <c r="A772" s="2" t="n">
        <v>40238</v>
      </c>
      <c r="B772" t="n">
        <v>81.23999999999999</v>
      </c>
      <c r="G772" s="2" t="n">
        <v>33144</v>
      </c>
      <c r="H772" t="n">
        <v>-0.0611</v>
      </c>
      <c r="I772" t="n">
        <v>0.006</v>
      </c>
    </row>
    <row r="773">
      <c r="A773" s="2" t="n">
        <v>40269</v>
      </c>
      <c r="B773" t="n">
        <v>84.48</v>
      </c>
      <c r="G773" s="2" t="n">
        <v>33177</v>
      </c>
      <c r="H773" t="n">
        <v>-0.0192</v>
      </c>
      <c r="I773" t="n">
        <v>0.0068</v>
      </c>
    </row>
    <row r="774">
      <c r="A774" s="2" t="n">
        <v>40299</v>
      </c>
      <c r="B774" t="n">
        <v>73.84</v>
      </c>
      <c r="G774" s="2" t="n">
        <v>33207</v>
      </c>
      <c r="H774" t="n">
        <v>0.0635</v>
      </c>
      <c r="I774" t="n">
        <v>0.0057</v>
      </c>
    </row>
    <row r="775">
      <c r="A775" s="2" t="n">
        <v>40330</v>
      </c>
      <c r="B775" t="n">
        <v>75.34999999999999</v>
      </c>
      <c r="G775" s="2" t="n">
        <v>33238</v>
      </c>
      <c r="H775" t="n">
        <v>0.0246</v>
      </c>
      <c r="I775" t="n">
        <v>0.006</v>
      </c>
    </row>
    <row r="776">
      <c r="A776" s="2" t="n">
        <v>40360</v>
      </c>
      <c r="B776" t="n">
        <v>76.37</v>
      </c>
      <c r="G776" s="2" t="n">
        <v>33269</v>
      </c>
      <c r="H776" t="n">
        <v>0.0469</v>
      </c>
      <c r="I776" t="n">
        <v>0.0052</v>
      </c>
    </row>
    <row r="777">
      <c r="A777" s="2" t="n">
        <v>40391</v>
      </c>
      <c r="B777" t="n">
        <v>76.81999999999999</v>
      </c>
      <c r="G777" s="2" t="n">
        <v>33297</v>
      </c>
      <c r="H777" t="n">
        <v>0.07190000000000001</v>
      </c>
      <c r="I777" t="n">
        <v>0.0048</v>
      </c>
    </row>
    <row r="778">
      <c r="A778" s="2" t="n">
        <v>40422</v>
      </c>
      <c r="B778" t="n">
        <v>75.31</v>
      </c>
      <c r="G778" s="2" t="n">
        <v>33325</v>
      </c>
      <c r="H778" t="n">
        <v>0.0266</v>
      </c>
      <c r="I778" t="n">
        <v>0.0044</v>
      </c>
    </row>
    <row r="779">
      <c r="A779" s="2" t="n">
        <v>40452</v>
      </c>
      <c r="B779" t="n">
        <v>81.90000000000001</v>
      </c>
      <c r="G779" s="2" t="n">
        <v>33358</v>
      </c>
      <c r="H779" t="n">
        <v>-0.0028</v>
      </c>
      <c r="I779" t="n">
        <v>0.0053</v>
      </c>
    </row>
    <row r="780">
      <c r="A780" s="2" t="n">
        <v>40483</v>
      </c>
      <c r="B780" t="n">
        <v>84.14</v>
      </c>
      <c r="G780" s="2" t="n">
        <v>33389</v>
      </c>
      <c r="H780" t="n">
        <v>0.0366</v>
      </c>
      <c r="I780" t="n">
        <v>0.0047</v>
      </c>
    </row>
    <row r="781">
      <c r="A781" s="2" t="n">
        <v>40513</v>
      </c>
      <c r="B781" t="n">
        <v>89.04000000000001</v>
      </c>
      <c r="G781" s="2" t="n">
        <v>33417</v>
      </c>
      <c r="H781" t="n">
        <v>-0.0494</v>
      </c>
      <c r="I781" t="n">
        <v>0.0042</v>
      </c>
    </row>
    <row r="782">
      <c r="A782" s="2" t="n">
        <v>40544</v>
      </c>
      <c r="B782" t="n">
        <v>89.42</v>
      </c>
      <c r="G782" s="2" t="n">
        <v>33450</v>
      </c>
      <c r="H782" t="n">
        <v>0.0424</v>
      </c>
      <c r="I782" t="n">
        <v>0.0049</v>
      </c>
    </row>
    <row r="783">
      <c r="A783" s="2" t="n">
        <v>40575</v>
      </c>
      <c r="B783" t="n">
        <v>89.58</v>
      </c>
      <c r="G783" s="2" t="n">
        <v>33480</v>
      </c>
      <c r="H783" t="n">
        <v>0.0232</v>
      </c>
      <c r="I783" t="n">
        <v>0.0046</v>
      </c>
    </row>
    <row r="784">
      <c r="A784" s="2" t="n">
        <v>40603</v>
      </c>
      <c r="B784" t="n">
        <v>102.94</v>
      </c>
      <c r="G784" s="2" t="n">
        <v>33511</v>
      </c>
      <c r="H784" t="n">
        <v>-0.0159</v>
      </c>
      <c r="I784" t="n">
        <v>0.0046</v>
      </c>
    </row>
    <row r="785">
      <c r="A785" s="2" t="n">
        <v>40634</v>
      </c>
      <c r="B785" t="n">
        <v>110.04</v>
      </c>
      <c r="G785" s="2" t="n">
        <v>33542</v>
      </c>
      <c r="H785" t="n">
        <v>0.0129</v>
      </c>
      <c r="I785" t="n">
        <v>0.0042</v>
      </c>
    </row>
    <row r="786">
      <c r="A786" s="2" t="n">
        <v>40664</v>
      </c>
      <c r="B786" t="n">
        <v>101.33</v>
      </c>
      <c r="G786" s="2" t="n">
        <v>33571</v>
      </c>
      <c r="H786" t="n">
        <v>-0.042</v>
      </c>
      <c r="I786" t="n">
        <v>0.0039</v>
      </c>
    </row>
    <row r="787">
      <c r="A787" s="2" t="n">
        <v>40695</v>
      </c>
      <c r="B787" t="n">
        <v>96.29000000000001</v>
      </c>
      <c r="G787" s="2" t="n">
        <v>33603</v>
      </c>
      <c r="H787" t="n">
        <v>0.1085</v>
      </c>
      <c r="I787" t="n">
        <v>0.0038</v>
      </c>
    </row>
    <row r="788">
      <c r="A788" s="2" t="n">
        <v>40725</v>
      </c>
      <c r="B788" t="n">
        <v>97.19</v>
      </c>
      <c r="G788" s="2" t="n">
        <v>33634</v>
      </c>
      <c r="H788" t="n">
        <v>-0.0059</v>
      </c>
      <c r="I788" t="n">
        <v>0.0034</v>
      </c>
    </row>
    <row r="789">
      <c r="A789" s="2" t="n">
        <v>40756</v>
      </c>
      <c r="B789" t="n">
        <v>86.33</v>
      </c>
      <c r="G789" s="2" t="n">
        <v>33662</v>
      </c>
      <c r="H789" t="n">
        <v>0.0108</v>
      </c>
      <c r="I789" t="n">
        <v>0.0028</v>
      </c>
    </row>
    <row r="790">
      <c r="A790" s="2" t="n">
        <v>40787</v>
      </c>
      <c r="B790" t="n">
        <v>85.61</v>
      </c>
      <c r="G790" s="2" t="n">
        <v>33694</v>
      </c>
      <c r="H790" t="n">
        <v>-0.0265</v>
      </c>
      <c r="I790" t="n">
        <v>0.0034</v>
      </c>
    </row>
    <row r="791">
      <c r="A791" s="2" t="n">
        <v>40817</v>
      </c>
      <c r="B791" t="n">
        <v>86.41</v>
      </c>
      <c r="G791" s="2" t="n">
        <v>33724</v>
      </c>
      <c r="H791" t="n">
        <v>0.0109</v>
      </c>
      <c r="I791" t="n">
        <v>0.0032</v>
      </c>
    </row>
    <row r="792">
      <c r="A792" s="2" t="n">
        <v>40848</v>
      </c>
      <c r="B792" t="n">
        <v>97.20999999999999</v>
      </c>
      <c r="G792" s="2" t="n">
        <v>33753</v>
      </c>
      <c r="H792" t="n">
        <v>0.003</v>
      </c>
      <c r="I792" t="n">
        <v>0.0028</v>
      </c>
    </row>
    <row r="793">
      <c r="A793" s="2" t="n">
        <v>40878</v>
      </c>
      <c r="B793" t="n">
        <v>98.56999999999999</v>
      </c>
      <c r="G793" s="2" t="n">
        <v>33785</v>
      </c>
      <c r="H793" t="n">
        <v>-0.0233</v>
      </c>
      <c r="I793" t="n">
        <v>0.0032</v>
      </c>
    </row>
    <row r="794">
      <c r="A794" s="2" t="n">
        <v>40909</v>
      </c>
      <c r="B794" t="n">
        <v>100.24</v>
      </c>
      <c r="G794" s="2" t="n">
        <v>33816</v>
      </c>
      <c r="H794" t="n">
        <v>0.0378</v>
      </c>
      <c r="I794" t="n">
        <v>0.0031</v>
      </c>
    </row>
    <row r="795">
      <c r="A795" s="2" t="n">
        <v>40940</v>
      </c>
      <c r="B795" t="n">
        <v>102.25</v>
      </c>
      <c r="G795" s="2" t="n">
        <v>33847</v>
      </c>
      <c r="H795" t="n">
        <v>-0.0238</v>
      </c>
      <c r="I795" t="n">
        <v>0.0026</v>
      </c>
    </row>
    <row r="796">
      <c r="A796" s="2" t="n">
        <v>40969</v>
      </c>
      <c r="B796" t="n">
        <v>106.19</v>
      </c>
      <c r="G796" s="2" t="n">
        <v>33877</v>
      </c>
      <c r="H796" t="n">
        <v>0.0119</v>
      </c>
      <c r="I796" t="n">
        <v>0.0026</v>
      </c>
    </row>
    <row r="797">
      <c r="A797" s="2" t="n">
        <v>41000</v>
      </c>
      <c r="B797" t="n">
        <v>103.33</v>
      </c>
      <c r="G797" s="2" t="n">
        <v>33907</v>
      </c>
      <c r="H797" t="n">
        <v>0.0102</v>
      </c>
      <c r="I797" t="n">
        <v>0.0023</v>
      </c>
    </row>
    <row r="798">
      <c r="A798" s="2" t="n">
        <v>41030</v>
      </c>
      <c r="B798" t="n">
        <v>94.7</v>
      </c>
      <c r="G798" s="2" t="n">
        <v>33938</v>
      </c>
      <c r="H798" t="n">
        <v>0.0414</v>
      </c>
      <c r="I798" t="n">
        <v>0.0023</v>
      </c>
    </row>
    <row r="799">
      <c r="A799" s="2" t="n">
        <v>41061</v>
      </c>
      <c r="B799" t="n">
        <v>82.41</v>
      </c>
      <c r="G799" s="2" t="n">
        <v>33969</v>
      </c>
      <c r="H799" t="n">
        <v>0.0153</v>
      </c>
      <c r="I799" t="n">
        <v>0.0028</v>
      </c>
    </row>
    <row r="800">
      <c r="A800" s="2" t="n">
        <v>41091</v>
      </c>
      <c r="B800" t="n">
        <v>87.93000000000001</v>
      </c>
      <c r="G800" s="2" t="n">
        <v>33998</v>
      </c>
      <c r="H800" t="n">
        <v>0.009299999999999999</v>
      </c>
      <c r="I800" t="n">
        <v>0.0023</v>
      </c>
    </row>
    <row r="801">
      <c r="A801" s="2" t="n">
        <v>41122</v>
      </c>
      <c r="B801" t="n">
        <v>94.16</v>
      </c>
      <c r="G801" s="2" t="n">
        <v>34026</v>
      </c>
      <c r="H801" t="n">
        <v>0.0012</v>
      </c>
      <c r="I801" t="n">
        <v>0.0022</v>
      </c>
    </row>
    <row r="802">
      <c r="A802" s="2" t="n">
        <v>41153</v>
      </c>
      <c r="B802" t="n">
        <v>94.72</v>
      </c>
      <c r="G802" s="2" t="n">
        <v>34059</v>
      </c>
      <c r="H802" t="n">
        <v>0.0232</v>
      </c>
      <c r="I802" t="n">
        <v>0.0025</v>
      </c>
    </row>
    <row r="803">
      <c r="A803" s="2" t="n">
        <v>41183</v>
      </c>
      <c r="B803" t="n">
        <v>89.56999999999999</v>
      </c>
      <c r="G803" s="2" t="n">
        <v>34089</v>
      </c>
      <c r="H803" t="n">
        <v>-0.0305</v>
      </c>
      <c r="I803" t="n">
        <v>0.0024</v>
      </c>
    </row>
    <row r="804">
      <c r="A804" s="2" t="n">
        <v>41214</v>
      </c>
      <c r="B804" t="n">
        <v>86.66</v>
      </c>
      <c r="G804" s="2" t="n">
        <v>34117</v>
      </c>
      <c r="H804" t="n">
        <v>0.0289</v>
      </c>
      <c r="I804" t="n">
        <v>0.0022</v>
      </c>
    </row>
    <row r="805">
      <c r="A805" s="2" t="n">
        <v>41244</v>
      </c>
      <c r="B805" t="n">
        <v>88.25</v>
      </c>
      <c r="G805" s="2" t="n">
        <v>34150</v>
      </c>
      <c r="H805" t="n">
        <v>0.003</v>
      </c>
      <c r="I805" t="n">
        <v>0.0025</v>
      </c>
    </row>
    <row r="806">
      <c r="A806" s="2" t="n">
        <v>41275</v>
      </c>
      <c r="B806" t="n">
        <v>94.69</v>
      </c>
      <c r="G806" s="2" t="n">
        <v>34180</v>
      </c>
      <c r="H806" t="n">
        <v>-0.0034</v>
      </c>
      <c r="I806" t="n">
        <v>0.0024</v>
      </c>
    </row>
    <row r="807">
      <c r="A807" s="2" t="n">
        <v>41306</v>
      </c>
      <c r="B807" t="n">
        <v>95.31999999999999</v>
      </c>
      <c r="G807" s="2" t="n">
        <v>34212</v>
      </c>
      <c r="H807" t="n">
        <v>0.0372</v>
      </c>
      <c r="I807" t="n">
        <v>0.0025</v>
      </c>
    </row>
    <row r="808">
      <c r="A808" s="2" t="n">
        <v>41334</v>
      </c>
      <c r="B808" t="n">
        <v>93.05</v>
      </c>
      <c r="G808" s="2" t="n">
        <v>34242</v>
      </c>
      <c r="H808" t="n">
        <v>-0.0012</v>
      </c>
      <c r="I808" t="n">
        <v>0.0026</v>
      </c>
    </row>
    <row r="809">
      <c r="A809" s="2" t="n">
        <v>41365</v>
      </c>
      <c r="B809" t="n">
        <v>92.06999999999999</v>
      </c>
      <c r="G809" s="2" t="n">
        <v>34271</v>
      </c>
      <c r="H809" t="n">
        <v>0.0142</v>
      </c>
      <c r="I809" t="n">
        <v>0.0022</v>
      </c>
    </row>
    <row r="810">
      <c r="A810" s="2" t="n">
        <v>41395</v>
      </c>
      <c r="B810" t="n">
        <v>94.8</v>
      </c>
      <c r="G810" s="2" t="n">
        <v>34303</v>
      </c>
      <c r="H810" t="n">
        <v>-0.0187</v>
      </c>
      <c r="I810" t="n">
        <v>0.0025</v>
      </c>
    </row>
    <row r="811">
      <c r="A811" s="2" t="n">
        <v>41426</v>
      </c>
      <c r="B811" t="n">
        <v>95.8</v>
      </c>
      <c r="G811" s="2" t="n">
        <v>34334</v>
      </c>
      <c r="H811" t="n">
        <v>0.0165</v>
      </c>
      <c r="I811" t="n">
        <v>0.0023</v>
      </c>
    </row>
    <row r="812">
      <c r="A812" s="2" t="n">
        <v>41456</v>
      </c>
      <c r="B812" t="n">
        <v>104.61</v>
      </c>
      <c r="G812" s="2" t="n">
        <v>34365</v>
      </c>
      <c r="H812" t="n">
        <v>0.0287</v>
      </c>
      <c r="I812" t="n">
        <v>0.0025</v>
      </c>
    </row>
    <row r="813">
      <c r="A813" s="2" t="n">
        <v>41487</v>
      </c>
      <c r="B813" t="n">
        <v>106.57</v>
      </c>
      <c r="G813" s="2" t="n">
        <v>34393</v>
      </c>
      <c r="H813" t="n">
        <v>-0.0255</v>
      </c>
      <c r="I813" t="n">
        <v>0.0021</v>
      </c>
    </row>
    <row r="814">
      <c r="A814" s="2" t="n">
        <v>41518</v>
      </c>
      <c r="B814" t="n">
        <v>106.29</v>
      </c>
      <c r="G814" s="2" t="n">
        <v>34424</v>
      </c>
      <c r="H814" t="n">
        <v>-0.0479</v>
      </c>
      <c r="I814" t="n">
        <v>0.0027</v>
      </c>
    </row>
    <row r="815">
      <c r="A815" s="2" t="n">
        <v>41548</v>
      </c>
      <c r="B815" t="n">
        <v>100.54</v>
      </c>
      <c r="G815" s="2" t="n">
        <v>34453</v>
      </c>
      <c r="H815" t="n">
        <v>0.0068</v>
      </c>
      <c r="I815" t="n">
        <v>0.0027</v>
      </c>
    </row>
    <row r="816">
      <c r="A816" s="2" t="n">
        <v>41579</v>
      </c>
      <c r="B816" t="n">
        <v>93.86</v>
      </c>
      <c r="G816" s="2" t="n">
        <v>34485</v>
      </c>
      <c r="H816" t="n">
        <v>0.0058</v>
      </c>
      <c r="I816" t="n">
        <v>0.0032</v>
      </c>
    </row>
    <row r="817">
      <c r="A817" s="2" t="n">
        <v>41609</v>
      </c>
      <c r="B817" t="n">
        <v>97.63</v>
      </c>
      <c r="G817" s="2" t="n">
        <v>34515</v>
      </c>
      <c r="H817" t="n">
        <v>-0.0304</v>
      </c>
      <c r="I817" t="n">
        <v>0.0031</v>
      </c>
    </row>
    <row r="818">
      <c r="A818" s="2" t="n">
        <v>41640</v>
      </c>
      <c r="B818" t="n">
        <v>94.62</v>
      </c>
      <c r="G818" s="2" t="n">
        <v>34544</v>
      </c>
      <c r="H818" t="n">
        <v>0.0282</v>
      </c>
      <c r="I818" t="n">
        <v>0.0028</v>
      </c>
    </row>
    <row r="819">
      <c r="A819" s="2" t="n">
        <v>41671</v>
      </c>
      <c r="B819" t="n">
        <v>100.82</v>
      </c>
      <c r="G819" s="2" t="n">
        <v>34577</v>
      </c>
      <c r="H819" t="n">
        <v>0.0402</v>
      </c>
      <c r="I819" t="n">
        <v>0.0037</v>
      </c>
    </row>
    <row r="820">
      <c r="A820" s="2" t="n">
        <v>41699</v>
      </c>
      <c r="B820" t="n">
        <v>100.8</v>
      </c>
      <c r="G820" s="2" t="n">
        <v>34607</v>
      </c>
      <c r="H820" t="n">
        <v>-0.0228</v>
      </c>
      <c r="I820" t="n">
        <v>0.0037</v>
      </c>
    </row>
    <row r="821">
      <c r="A821" s="2" t="n">
        <v>41730</v>
      </c>
      <c r="B821" t="n">
        <v>102.07</v>
      </c>
      <c r="G821" s="2" t="n">
        <v>34638</v>
      </c>
      <c r="H821" t="n">
        <v>0.0135</v>
      </c>
      <c r="I821" t="n">
        <v>0.0038</v>
      </c>
    </row>
    <row r="822">
      <c r="A822" s="2" t="n">
        <v>41760</v>
      </c>
      <c r="B822" t="n">
        <v>102.18</v>
      </c>
      <c r="G822" s="2" t="n">
        <v>34668</v>
      </c>
      <c r="H822" t="n">
        <v>-0.0403</v>
      </c>
      <c r="I822" t="n">
        <v>0.0037</v>
      </c>
    </row>
    <row r="823">
      <c r="A823" s="2" t="n">
        <v>41791</v>
      </c>
      <c r="B823" t="n">
        <v>105.79</v>
      </c>
      <c r="G823" s="2" t="n">
        <v>34698</v>
      </c>
      <c r="H823" t="n">
        <v>0.0086</v>
      </c>
      <c r="I823" t="n">
        <v>0.0044</v>
      </c>
    </row>
    <row r="824">
      <c r="A824" s="2" t="n">
        <v>41821</v>
      </c>
      <c r="B824" t="n">
        <v>103.59</v>
      </c>
      <c r="G824" s="2" t="n">
        <v>34730</v>
      </c>
      <c r="H824" t="n">
        <v>0.018</v>
      </c>
      <c r="I824" t="n">
        <v>0.0042</v>
      </c>
    </row>
    <row r="825">
      <c r="A825" s="2" t="n">
        <v>41852</v>
      </c>
      <c r="B825" t="n">
        <v>96.54000000000001</v>
      </c>
      <c r="G825" s="2" t="n">
        <v>34758</v>
      </c>
      <c r="H825" t="n">
        <v>0.0363</v>
      </c>
      <c r="I825" t="n">
        <v>0.004</v>
      </c>
    </row>
    <row r="826">
      <c r="A826" s="2" t="n">
        <v>41883</v>
      </c>
      <c r="B826" t="n">
        <v>93.20999999999999</v>
      </c>
      <c r="G826" s="2" t="n">
        <v>34789</v>
      </c>
      <c r="H826" t="n">
        <v>0.0219</v>
      </c>
      <c r="I826" t="n">
        <v>0.0046</v>
      </c>
    </row>
    <row r="827">
      <c r="A827" s="2" t="n">
        <v>41913</v>
      </c>
      <c r="B827" t="n">
        <v>84.40000000000001</v>
      </c>
      <c r="G827" s="2" t="n">
        <v>34817</v>
      </c>
      <c r="H827" t="n">
        <v>0.0211</v>
      </c>
      <c r="I827" t="n">
        <v>0.0044</v>
      </c>
    </row>
    <row r="828">
      <c r="A828" s="2" t="n">
        <v>41944</v>
      </c>
      <c r="B828" t="n">
        <v>75.79000000000001</v>
      </c>
      <c r="G828" s="2" t="n">
        <v>34850</v>
      </c>
      <c r="H828" t="n">
        <v>0.029</v>
      </c>
      <c r="I828" t="n">
        <v>0.0054</v>
      </c>
    </row>
    <row r="829">
      <c r="A829" s="2" t="n">
        <v>41974</v>
      </c>
      <c r="B829" t="n">
        <v>59.29</v>
      </c>
      <c r="G829" s="2" t="n">
        <v>34880</v>
      </c>
      <c r="H829" t="n">
        <v>0.0272</v>
      </c>
      <c r="I829" t="n">
        <v>0.0047</v>
      </c>
    </row>
    <row r="830">
      <c r="A830" s="2" t="n">
        <v>42005</v>
      </c>
      <c r="B830" t="n">
        <v>47.22</v>
      </c>
      <c r="G830" s="2" t="n">
        <v>34911</v>
      </c>
      <c r="H830" t="n">
        <v>0.0371</v>
      </c>
      <c r="I830" t="n">
        <v>0.0045</v>
      </c>
    </row>
    <row r="831">
      <c r="A831" s="2" t="n">
        <v>42036</v>
      </c>
      <c r="B831" t="n">
        <v>50.58</v>
      </c>
      <c r="G831" s="2" t="n">
        <v>34942</v>
      </c>
      <c r="H831" t="n">
        <v>0.0055</v>
      </c>
      <c r="I831" t="n">
        <v>0.0047</v>
      </c>
    </row>
    <row r="832">
      <c r="A832" s="2" t="n">
        <v>42064</v>
      </c>
      <c r="B832" t="n">
        <v>47.82</v>
      </c>
      <c r="G832" s="2" t="n">
        <v>34971</v>
      </c>
      <c r="H832" t="n">
        <v>0.0336</v>
      </c>
      <c r="I832" t="n">
        <v>0.0043</v>
      </c>
    </row>
    <row r="833">
      <c r="A833" s="2" t="n">
        <v>42095</v>
      </c>
      <c r="B833" t="n">
        <v>54.45</v>
      </c>
      <c r="G833" s="2" t="n">
        <v>35003</v>
      </c>
      <c r="H833" t="n">
        <v>-0.0151</v>
      </c>
      <c r="I833" t="n">
        <v>0.0047</v>
      </c>
    </row>
    <row r="834">
      <c r="A834" s="2" t="n">
        <v>42125</v>
      </c>
      <c r="B834" t="n">
        <v>59.27</v>
      </c>
      <c r="G834" s="2" t="n">
        <v>35033</v>
      </c>
      <c r="H834" t="n">
        <v>0.0396</v>
      </c>
      <c r="I834" t="n">
        <v>0.0042</v>
      </c>
    </row>
    <row r="835">
      <c r="A835" s="2" t="n">
        <v>42156</v>
      </c>
      <c r="B835" t="n">
        <v>59.82</v>
      </c>
      <c r="G835" s="2" t="n">
        <v>35062</v>
      </c>
      <c r="H835" t="n">
        <v>0.0104</v>
      </c>
      <c r="I835" t="n">
        <v>0.0049</v>
      </c>
    </row>
    <row r="836">
      <c r="A836" s="2" t="n">
        <v>42186</v>
      </c>
      <c r="B836" t="n">
        <v>50.9</v>
      </c>
      <c r="G836" s="2" t="n">
        <v>35095</v>
      </c>
      <c r="H836" t="n">
        <v>0.0226</v>
      </c>
      <c r="I836" t="n">
        <v>0.0043</v>
      </c>
    </row>
    <row r="837">
      <c r="A837" s="2" t="n">
        <v>42217</v>
      </c>
      <c r="B837" t="n">
        <v>42.87</v>
      </c>
      <c r="G837" s="2" t="n">
        <v>35124</v>
      </c>
      <c r="H837" t="n">
        <v>0.0133</v>
      </c>
      <c r="I837" t="n">
        <v>0.0039</v>
      </c>
    </row>
    <row r="838">
      <c r="A838" s="2" t="n">
        <v>42248</v>
      </c>
      <c r="B838" t="n">
        <v>45.48</v>
      </c>
      <c r="G838" s="2" t="n">
        <v>35153</v>
      </c>
      <c r="H838" t="n">
        <v>0.0074</v>
      </c>
      <c r="I838" t="n">
        <v>0.0039</v>
      </c>
    </row>
    <row r="839">
      <c r="A839" s="2" t="n">
        <v>42278</v>
      </c>
      <c r="B839" t="n">
        <v>46.22</v>
      </c>
      <c r="G839" s="2" t="n">
        <v>35185</v>
      </c>
      <c r="H839" t="n">
        <v>0.0206</v>
      </c>
      <c r="I839" t="n">
        <v>0.0046</v>
      </c>
    </row>
    <row r="840">
      <c r="A840" s="2" t="n">
        <v>42309</v>
      </c>
      <c r="B840" t="n">
        <v>42.44</v>
      </c>
      <c r="G840" s="2" t="n">
        <v>35216</v>
      </c>
      <c r="H840" t="n">
        <v>0.0236</v>
      </c>
      <c r="I840" t="n">
        <v>0.0042</v>
      </c>
    </row>
    <row r="841">
      <c r="A841" s="2" t="n">
        <v>42339</v>
      </c>
      <c r="B841" t="n">
        <v>37.19</v>
      </c>
      <c r="G841" s="2" t="n">
        <v>35244</v>
      </c>
      <c r="H841" t="n">
        <v>-0.0113</v>
      </c>
      <c r="I841" t="n">
        <v>0.004</v>
      </c>
    </row>
    <row r="842">
      <c r="A842" s="2" t="n">
        <v>42370</v>
      </c>
      <c r="B842" t="n">
        <v>31.68</v>
      </c>
      <c r="G842" s="2" t="n">
        <v>35277</v>
      </c>
      <c r="H842" t="n">
        <v>-0.0596</v>
      </c>
      <c r="I842" t="n">
        <v>0.0045</v>
      </c>
    </row>
    <row r="843">
      <c r="A843" s="2" t="n">
        <v>42401</v>
      </c>
      <c r="B843" t="n">
        <v>30.32</v>
      </c>
      <c r="G843" s="2" t="n">
        <v>35307</v>
      </c>
      <c r="H843" t="n">
        <v>0.0277</v>
      </c>
      <c r="I843" t="n">
        <v>0.0041</v>
      </c>
    </row>
    <row r="844">
      <c r="A844" s="2" t="n">
        <v>42430</v>
      </c>
      <c r="B844" t="n">
        <v>37.55</v>
      </c>
      <c r="G844" s="2" t="n">
        <v>35338</v>
      </c>
      <c r="H844" t="n">
        <v>0.0501</v>
      </c>
      <c r="I844" t="n">
        <v>0.0044</v>
      </c>
    </row>
    <row r="845">
      <c r="A845" s="2" t="n">
        <v>42461</v>
      </c>
      <c r="B845" t="n">
        <v>40.75</v>
      </c>
      <c r="G845" s="2" t="n">
        <v>35369</v>
      </c>
      <c r="H845" t="n">
        <v>0.008699999999999999</v>
      </c>
      <c r="I845" t="n">
        <v>0.0042</v>
      </c>
    </row>
    <row r="846">
      <c r="A846" s="2" t="n">
        <v>42491</v>
      </c>
      <c r="B846" t="n">
        <v>46.71</v>
      </c>
      <c r="G846" s="2" t="n">
        <v>35398</v>
      </c>
      <c r="H846" t="n">
        <v>0.0625</v>
      </c>
      <c r="I846" t="n">
        <v>0.0041</v>
      </c>
    </row>
    <row r="847">
      <c r="A847" s="2" t="n">
        <v>42522</v>
      </c>
      <c r="B847" t="n">
        <v>48.76</v>
      </c>
      <c r="G847" s="2" t="n">
        <v>35430</v>
      </c>
      <c r="H847" t="n">
        <v>-0.017</v>
      </c>
      <c r="I847" t="n">
        <v>0.0046</v>
      </c>
    </row>
    <row r="848">
      <c r="A848" s="2" t="n">
        <v>42552</v>
      </c>
      <c r="B848" t="n">
        <v>44.65</v>
      </c>
      <c r="G848" s="2" t="n">
        <v>35461</v>
      </c>
      <c r="H848" t="n">
        <v>0.0496</v>
      </c>
      <c r="I848" t="n">
        <v>0.0045</v>
      </c>
    </row>
    <row r="849">
      <c r="A849" s="2" t="n">
        <v>42583</v>
      </c>
      <c r="B849" t="n">
        <v>44.72</v>
      </c>
      <c r="G849" s="2" t="n">
        <v>35489</v>
      </c>
      <c r="H849" t="n">
        <v>-0.0048</v>
      </c>
      <c r="I849" t="n">
        <v>0.0039</v>
      </c>
    </row>
    <row r="850">
      <c r="A850" s="2" t="n">
        <v>42614</v>
      </c>
      <c r="B850" t="n">
        <v>45.18</v>
      </c>
      <c r="G850" s="2" t="n">
        <v>35520</v>
      </c>
      <c r="H850" t="n">
        <v>-0.0502</v>
      </c>
      <c r="I850" t="n">
        <v>0.0043</v>
      </c>
    </row>
    <row r="851">
      <c r="A851" s="2" t="n">
        <v>42644</v>
      </c>
      <c r="B851" t="n">
        <v>49.78</v>
      </c>
      <c r="G851" s="2" t="n">
        <v>35550</v>
      </c>
      <c r="H851" t="n">
        <v>0.0404</v>
      </c>
      <c r="I851" t="n">
        <v>0.0043</v>
      </c>
    </row>
    <row r="852">
      <c r="A852" s="2" t="n">
        <v>42675</v>
      </c>
      <c r="B852" t="n">
        <v>45.66</v>
      </c>
      <c r="G852" s="2" t="n">
        <v>35580</v>
      </c>
      <c r="H852" t="n">
        <v>0.0673</v>
      </c>
      <c r="I852" t="n">
        <v>0.0049</v>
      </c>
    </row>
    <row r="853">
      <c r="A853" s="2" t="n">
        <v>42705</v>
      </c>
      <c r="B853" t="n">
        <v>51.97</v>
      </c>
      <c r="G853" s="2" t="n">
        <v>35611</v>
      </c>
      <c r="H853" t="n">
        <v>0.041</v>
      </c>
      <c r="I853" t="n">
        <v>0.0037</v>
      </c>
    </row>
    <row r="854">
      <c r="A854" s="2" t="n">
        <v>42736</v>
      </c>
      <c r="B854" t="n">
        <v>52.5</v>
      </c>
      <c r="G854" s="2" t="n">
        <v>35642</v>
      </c>
      <c r="H854" t="n">
        <v>0.0731</v>
      </c>
      <c r="I854" t="n">
        <v>0.0043</v>
      </c>
    </row>
    <row r="855">
      <c r="A855" s="2" t="n">
        <v>42767</v>
      </c>
      <c r="B855" t="n">
        <v>53.47</v>
      </c>
      <c r="G855" s="2" t="n">
        <v>35671</v>
      </c>
      <c r="H855" t="n">
        <v>-0.041</v>
      </c>
      <c r="I855" t="n">
        <v>0.0041</v>
      </c>
    </row>
    <row r="856">
      <c r="A856" s="2" t="n">
        <v>42795</v>
      </c>
      <c r="B856" t="n">
        <v>49.33</v>
      </c>
      <c r="G856" s="2" t="n">
        <v>35703</v>
      </c>
      <c r="H856" t="n">
        <v>0.0534</v>
      </c>
      <c r="I856" t="n">
        <v>0.0044</v>
      </c>
    </row>
    <row r="857">
      <c r="A857" s="2" t="n">
        <v>42826</v>
      </c>
      <c r="B857" t="n">
        <v>51.06</v>
      </c>
      <c r="G857" s="2" t="n">
        <v>35734</v>
      </c>
      <c r="H857" t="n">
        <v>-0.038</v>
      </c>
      <c r="I857" t="n">
        <v>0.0042</v>
      </c>
    </row>
    <row r="858">
      <c r="A858" s="2" t="n">
        <v>42856</v>
      </c>
      <c r="B858" t="n">
        <v>48.48</v>
      </c>
      <c r="G858" s="2" t="n">
        <v>35762</v>
      </c>
      <c r="H858" t="n">
        <v>0.0299</v>
      </c>
      <c r="I858" t="n">
        <v>0.0039</v>
      </c>
    </row>
    <row r="859">
      <c r="A859" s="2" t="n">
        <v>42887</v>
      </c>
      <c r="B859" t="n">
        <v>45.18</v>
      </c>
      <c r="G859" s="2" t="n">
        <v>35795</v>
      </c>
      <c r="H859" t="n">
        <v>0.0133</v>
      </c>
      <c r="I859" t="n">
        <v>0.0048</v>
      </c>
    </row>
    <row r="860">
      <c r="A860" s="2" t="n">
        <v>42917</v>
      </c>
      <c r="B860" t="n">
        <v>46.63</v>
      </c>
      <c r="G860" s="2" t="n">
        <v>35825</v>
      </c>
      <c r="H860" t="n">
        <v>0.0015</v>
      </c>
      <c r="I860" t="n">
        <v>0.0043</v>
      </c>
    </row>
    <row r="861">
      <c r="A861" s="2" t="n">
        <v>42948</v>
      </c>
      <c r="B861" t="n">
        <v>48.04</v>
      </c>
      <c r="G861" s="2" t="n">
        <v>35853</v>
      </c>
      <c r="H861" t="n">
        <v>0.0703</v>
      </c>
      <c r="I861" t="n">
        <v>0.0039</v>
      </c>
    </row>
    <row r="862">
      <c r="A862" s="2" t="n">
        <v>42979</v>
      </c>
      <c r="B862" t="n">
        <v>49.82</v>
      </c>
      <c r="G862" s="2" t="n">
        <v>35885</v>
      </c>
      <c r="H862" t="n">
        <v>0.0476</v>
      </c>
      <c r="I862" t="n">
        <v>0.0039</v>
      </c>
    </row>
    <row r="863">
      <c r="A863" s="2" t="n">
        <v>43009</v>
      </c>
      <c r="B863" t="n">
        <v>51.58</v>
      </c>
      <c r="G863" s="2" t="n">
        <v>35915</v>
      </c>
      <c r="H863" t="n">
        <v>0.0074</v>
      </c>
      <c r="I863" t="n">
        <v>0.0043</v>
      </c>
    </row>
    <row r="864">
      <c r="A864" s="2" t="n">
        <v>43040</v>
      </c>
      <c r="B864" t="n">
        <v>56.64</v>
      </c>
      <c r="G864" s="2" t="n">
        <v>35944</v>
      </c>
      <c r="H864" t="n">
        <v>-0.0307</v>
      </c>
      <c r="I864" t="n">
        <v>0.004</v>
      </c>
    </row>
    <row r="865">
      <c r="A865" s="2" t="n">
        <v>43070</v>
      </c>
      <c r="B865" t="n">
        <v>57.88</v>
      </c>
      <c r="G865" s="2" t="n">
        <v>35976</v>
      </c>
      <c r="H865" t="n">
        <v>0.0319</v>
      </c>
      <c r="I865" t="n">
        <v>0.0041</v>
      </c>
    </row>
    <row r="866">
      <c r="A866" s="2" t="n">
        <v>43101</v>
      </c>
      <c r="B866" t="n">
        <v>63.7</v>
      </c>
      <c r="G866" s="2" t="n">
        <v>36007</v>
      </c>
      <c r="H866" t="n">
        <v>-0.0242</v>
      </c>
      <c r="I866" t="n">
        <v>0.004</v>
      </c>
    </row>
    <row r="867">
      <c r="A867" s="2" t="n">
        <v>43132</v>
      </c>
      <c r="B867" t="n">
        <v>62.23</v>
      </c>
      <c r="G867" s="2" t="n">
        <v>36038</v>
      </c>
      <c r="H867" t="n">
        <v>-0.1605</v>
      </c>
      <c r="I867" t="n">
        <v>0.0043</v>
      </c>
    </row>
    <row r="868">
      <c r="A868" s="2" t="n">
        <v>43160</v>
      </c>
      <c r="B868" t="n">
        <v>62.73</v>
      </c>
      <c r="G868" s="2" t="n">
        <v>36068</v>
      </c>
      <c r="H868" t="n">
        <v>0.0619</v>
      </c>
      <c r="I868" t="n">
        <v>0.0046</v>
      </c>
    </row>
    <row r="869">
      <c r="A869" s="2" t="n">
        <v>43191</v>
      </c>
      <c r="B869" t="n">
        <v>66.25</v>
      </c>
      <c r="G869" s="2" t="n">
        <v>36098</v>
      </c>
      <c r="H869" t="n">
        <v>0.0698</v>
      </c>
      <c r="I869" t="n">
        <v>0.0032</v>
      </c>
    </row>
    <row r="870">
      <c r="A870" s="2" t="n">
        <v>43221</v>
      </c>
      <c r="B870" t="n">
        <v>69.98</v>
      </c>
      <c r="G870" s="2" t="n">
        <v>36129</v>
      </c>
      <c r="H870" t="n">
        <v>0.0607</v>
      </c>
      <c r="I870" t="n">
        <v>0.0031</v>
      </c>
    </row>
    <row r="871">
      <c r="A871" s="2" t="n">
        <v>43252</v>
      </c>
      <c r="B871" t="n">
        <v>67.87</v>
      </c>
      <c r="G871" s="2" t="n">
        <v>36160</v>
      </c>
      <c r="H871" t="n">
        <v>0.0615</v>
      </c>
      <c r="I871" t="n">
        <v>0.0038</v>
      </c>
    </row>
    <row r="872">
      <c r="A872" s="2" t="n">
        <v>43282</v>
      </c>
      <c r="B872" t="n">
        <v>70.98</v>
      </c>
      <c r="G872" s="2" t="n">
        <v>36189</v>
      </c>
      <c r="H872" t="n">
        <v>0.0348</v>
      </c>
      <c r="I872" t="n">
        <v>0.0035</v>
      </c>
    </row>
    <row r="873">
      <c r="A873" s="2" t="n">
        <v>43313</v>
      </c>
      <c r="B873" t="n">
        <v>68.06</v>
      </c>
      <c r="G873" s="2" t="n">
        <v>36217</v>
      </c>
      <c r="H873" t="n">
        <v>-0.0408</v>
      </c>
      <c r="I873" t="n">
        <v>0.0035</v>
      </c>
    </row>
    <row r="874">
      <c r="A874" s="2" t="n">
        <v>43344</v>
      </c>
      <c r="B874" t="n">
        <v>70.23</v>
      </c>
      <c r="G874" s="2" t="n">
        <v>36250</v>
      </c>
      <c r="H874" t="n">
        <v>0.0348</v>
      </c>
      <c r="I874" t="n">
        <v>0.0043</v>
      </c>
    </row>
    <row r="875">
      <c r="A875" s="2" t="n">
        <v>43374</v>
      </c>
      <c r="B875" t="n">
        <v>70.75</v>
      </c>
      <c r="G875" s="2" t="n">
        <v>36280</v>
      </c>
      <c r="H875" t="n">
        <v>0.0434</v>
      </c>
      <c r="I875" t="n">
        <v>0.0037</v>
      </c>
    </row>
    <row r="876">
      <c r="A876" s="2" t="n">
        <v>43405</v>
      </c>
      <c r="B876" t="n">
        <v>56.96</v>
      </c>
      <c r="G876" s="2" t="n">
        <v>36308</v>
      </c>
      <c r="H876" t="n">
        <v>-0.0246</v>
      </c>
      <c r="I876" t="n">
        <v>0.0034</v>
      </c>
    </row>
    <row r="877">
      <c r="A877" s="2" t="n">
        <v>43435</v>
      </c>
      <c r="B877" t="n">
        <v>49.52</v>
      </c>
      <c r="G877" s="2" t="n">
        <v>36341</v>
      </c>
      <c r="H877" t="n">
        <v>0.0477</v>
      </c>
      <c r="I877" t="n">
        <v>0.004</v>
      </c>
    </row>
    <row r="878">
      <c r="A878" s="2" t="n">
        <v>43466</v>
      </c>
      <c r="B878" t="n">
        <v>51.38</v>
      </c>
      <c r="G878" s="2" t="n">
        <v>36371</v>
      </c>
      <c r="H878" t="n">
        <v>-0.0349</v>
      </c>
      <c r="I878" t="n">
        <v>0.0038</v>
      </c>
    </row>
    <row r="879">
      <c r="A879" s="2" t="n">
        <v>43497</v>
      </c>
      <c r="B879" t="n">
        <v>54.95</v>
      </c>
      <c r="G879" s="2" t="n">
        <v>36403</v>
      </c>
      <c r="H879" t="n">
        <v>-0.0137</v>
      </c>
      <c r="I879" t="n">
        <v>0.0039</v>
      </c>
    </row>
    <row r="880">
      <c r="A880" s="2" t="n">
        <v>43525</v>
      </c>
      <c r="B880" t="n">
        <v>58.15</v>
      </c>
      <c r="G880" s="2" t="n">
        <v>36433</v>
      </c>
      <c r="H880" t="n">
        <v>-0.0277</v>
      </c>
      <c r="I880" t="n">
        <v>0.0039</v>
      </c>
    </row>
    <row r="881">
      <c r="A881" s="2" t="n">
        <v>43556</v>
      </c>
      <c r="B881" t="n">
        <v>63.86</v>
      </c>
      <c r="G881" s="2" t="n">
        <v>36462</v>
      </c>
      <c r="H881" t="n">
        <v>0.0609</v>
      </c>
      <c r="I881" t="n">
        <v>0.0039</v>
      </c>
    </row>
    <row r="882">
      <c r="A882" s="2" t="n">
        <v>43586</v>
      </c>
      <c r="B882" t="n">
        <v>60.83</v>
      </c>
      <c r="G882" s="2" t="n">
        <v>36494</v>
      </c>
      <c r="H882" t="n">
        <v>0.0341</v>
      </c>
      <c r="I882" t="n">
        <v>0.0036</v>
      </c>
    </row>
    <row r="883">
      <c r="A883" s="2" t="n">
        <v>43617</v>
      </c>
      <c r="B883" t="n">
        <v>54.66</v>
      </c>
      <c r="G883" s="2" t="n">
        <v>36525</v>
      </c>
      <c r="H883" t="n">
        <v>0.0766</v>
      </c>
      <c r="I883" t="n">
        <v>0.0044</v>
      </c>
    </row>
    <row r="884">
      <c r="A884" s="2" t="n">
        <v>43647</v>
      </c>
      <c r="B884" t="n">
        <v>57.35</v>
      </c>
      <c r="G884" s="2" t="n">
        <v>36556</v>
      </c>
      <c r="H884" t="n">
        <v>-0.0474</v>
      </c>
      <c r="I884" t="n">
        <v>0.0041</v>
      </c>
    </row>
    <row r="885">
      <c r="A885" s="2" t="n">
        <v>43678</v>
      </c>
      <c r="B885" t="n">
        <v>54.81</v>
      </c>
      <c r="G885" s="2" t="n">
        <v>36585</v>
      </c>
      <c r="H885" t="n">
        <v>0.0246</v>
      </c>
      <c r="I885" t="n">
        <v>0.0043</v>
      </c>
    </row>
    <row r="886">
      <c r="A886" s="2" t="n">
        <v>43709</v>
      </c>
      <c r="B886" t="n">
        <v>56.95</v>
      </c>
      <c r="G886" s="2" t="n">
        <v>36616</v>
      </c>
      <c r="H886" t="n">
        <v>0.0521</v>
      </c>
      <c r="I886" t="n">
        <v>0.0047</v>
      </c>
    </row>
    <row r="887">
      <c r="A887" s="2" t="n">
        <v>43739</v>
      </c>
      <c r="B887" t="n">
        <v>53.96</v>
      </c>
      <c r="G887" s="2" t="n">
        <v>36644</v>
      </c>
      <c r="H887" t="n">
        <v>-0.0639</v>
      </c>
      <c r="I887" t="n">
        <v>0.0046</v>
      </c>
    </row>
    <row r="888">
      <c r="A888" s="2" t="n">
        <v>43770</v>
      </c>
      <c r="B888" t="n">
        <v>57.03</v>
      </c>
      <c r="G888" s="2" t="n">
        <v>36677</v>
      </c>
      <c r="H888" t="n">
        <v>-0.0439</v>
      </c>
      <c r="I888" t="n">
        <v>0.005</v>
      </c>
    </row>
    <row r="889">
      <c r="A889" s="2" t="n">
        <v>43800</v>
      </c>
      <c r="B889" t="n">
        <v>59.88</v>
      </c>
      <c r="G889" s="2" t="n">
        <v>36707</v>
      </c>
      <c r="H889" t="n">
        <v>0.0468</v>
      </c>
      <c r="I889" t="n">
        <v>0.004</v>
      </c>
    </row>
    <row r="890">
      <c r="A890" s="2" t="n">
        <v>43831</v>
      </c>
      <c r="B890" t="n">
        <v>57.52</v>
      </c>
      <c r="G890" s="2" t="n">
        <v>36738</v>
      </c>
      <c r="H890" t="n">
        <v>-0.0248</v>
      </c>
      <c r="I890" t="n">
        <v>0.0048</v>
      </c>
    </row>
    <row r="891">
      <c r="A891" s="2" t="n">
        <v>43862</v>
      </c>
      <c r="B891" t="n">
        <v>50.54</v>
      </c>
      <c r="G891" s="2" t="n">
        <v>36769</v>
      </c>
      <c r="H891" t="n">
        <v>0.0703</v>
      </c>
      <c r="I891" t="n">
        <v>0.005</v>
      </c>
    </row>
    <row r="892">
      <c r="A892" s="2" t="n">
        <v>43891</v>
      </c>
      <c r="B892" t="n">
        <v>29.21</v>
      </c>
      <c r="G892" s="2" t="n">
        <v>36798</v>
      </c>
      <c r="H892" t="n">
        <v>-0.0544</v>
      </c>
      <c r="I892" t="n">
        <v>0.0051</v>
      </c>
    </row>
    <row r="893">
      <c r="A893" s="2" t="n">
        <v>43922</v>
      </c>
      <c r="B893" t="n">
        <v>16.55</v>
      </c>
      <c r="G893" s="2" t="n">
        <v>36830</v>
      </c>
      <c r="H893" t="n">
        <v>-0.0278</v>
      </c>
      <c r="I893" t="n">
        <v>0.0056</v>
      </c>
    </row>
    <row r="894">
      <c r="A894" s="2" t="n">
        <v>43952</v>
      </c>
      <c r="B894" t="n">
        <v>28.56</v>
      </c>
      <c r="G894" s="2" t="n">
        <v>36860</v>
      </c>
      <c r="H894" t="n">
        <v>-0.107</v>
      </c>
      <c r="I894" t="n">
        <v>0.0051</v>
      </c>
    </row>
    <row r="895">
      <c r="A895" s="2" t="n">
        <v>43983</v>
      </c>
      <c r="B895" t="n">
        <v>38.31</v>
      </c>
      <c r="G895" s="2" t="n">
        <v>36889</v>
      </c>
      <c r="H895" t="n">
        <v>0.0118</v>
      </c>
      <c r="I895" t="n">
        <v>0.005</v>
      </c>
    </row>
    <row r="896">
      <c r="A896" s="2" t="n">
        <v>44013</v>
      </c>
      <c r="B896" t="n">
        <v>40.71</v>
      </c>
      <c r="G896" s="2" t="n">
        <v>36922</v>
      </c>
      <c r="H896" t="n">
        <v>0.0325</v>
      </c>
      <c r="I896" t="n">
        <v>0.0054</v>
      </c>
    </row>
    <row r="897">
      <c r="A897" s="2" t="n">
        <v>44044</v>
      </c>
      <c r="B897" t="n">
        <v>42.34</v>
      </c>
      <c r="G897" s="2" t="n">
        <v>36950</v>
      </c>
      <c r="H897" t="n">
        <v>-0.1003</v>
      </c>
      <c r="I897" t="n">
        <v>0.0038</v>
      </c>
    </row>
    <row r="898">
      <c r="A898" s="2" t="n">
        <v>44075</v>
      </c>
      <c r="B898" t="n">
        <v>39.63</v>
      </c>
      <c r="G898" s="2" t="n">
        <v>36980</v>
      </c>
      <c r="H898" t="n">
        <v>-0.0725</v>
      </c>
      <c r="I898" t="n">
        <v>0.0042</v>
      </c>
    </row>
    <row r="899">
      <c r="A899" s="2" t="n">
        <v>44105</v>
      </c>
      <c r="B899" t="n">
        <v>39.4</v>
      </c>
      <c r="G899" s="2" t="n">
        <v>37011</v>
      </c>
      <c r="H899" t="n">
        <v>0.0793</v>
      </c>
      <c r="I899" t="n">
        <v>0.0039</v>
      </c>
    </row>
    <row r="900">
      <c r="A900" s="2" t="n">
        <v>44136</v>
      </c>
      <c r="B900" t="n">
        <v>40.94</v>
      </c>
      <c r="G900" s="2" t="n">
        <v>37042</v>
      </c>
      <c r="H900" t="n">
        <v>0.0068</v>
      </c>
      <c r="I900" t="n">
        <v>0.0032</v>
      </c>
    </row>
    <row r="901">
      <c r="A901" s="2" t="n">
        <v>44166</v>
      </c>
      <c r="B901" t="n">
        <v>47.02</v>
      </c>
      <c r="G901" s="2" t="n">
        <v>37071</v>
      </c>
      <c r="H901" t="n">
        <v>-0.0194</v>
      </c>
      <c r="I901" t="n">
        <v>0.0028</v>
      </c>
    </row>
    <row r="902">
      <c r="A902" s="2" t="n">
        <v>44197</v>
      </c>
      <c r="B902" t="n">
        <v>52</v>
      </c>
      <c r="G902" s="2" t="n">
        <v>37103</v>
      </c>
      <c r="H902" t="n">
        <v>-0.0213</v>
      </c>
      <c r="I902" t="n">
        <v>0.003</v>
      </c>
    </row>
    <row r="903">
      <c r="A903" s="2" t="n">
        <v>44228</v>
      </c>
      <c r="B903" t="n">
        <v>59.04</v>
      </c>
      <c r="G903" s="2" t="n">
        <v>37134</v>
      </c>
      <c r="H903" t="n">
        <v>-0.064</v>
      </c>
      <c r="I903" t="n">
        <v>0.0031</v>
      </c>
    </row>
    <row r="904">
      <c r="A904" s="2" t="n">
        <v>44256</v>
      </c>
      <c r="B904" t="n">
        <v>62.33</v>
      </c>
      <c r="G904" s="2" t="n">
        <v>37162</v>
      </c>
      <c r="H904" t="n">
        <v>-0.0924</v>
      </c>
      <c r="I904" t="n">
        <v>0.0028</v>
      </c>
    </row>
    <row r="905">
      <c r="A905" s="2" t="n">
        <v>44287</v>
      </c>
      <c r="B905" t="n">
        <v>61.72</v>
      </c>
      <c r="G905" s="2" t="n">
        <v>37195</v>
      </c>
      <c r="H905" t="n">
        <v>0.0248</v>
      </c>
      <c r="I905" t="n">
        <v>0.0022</v>
      </c>
    </row>
    <row r="906">
      <c r="A906" s="2" t="n">
        <v>44317</v>
      </c>
      <c r="B906" t="n">
        <v>65.17</v>
      </c>
      <c r="G906" s="2" t="n">
        <v>37225</v>
      </c>
      <c r="H906" t="n">
        <v>0.07530000000000001</v>
      </c>
      <c r="I906" t="n">
        <v>0.0017</v>
      </c>
    </row>
    <row r="907">
      <c r="A907" s="2" t="n">
        <v>44348</v>
      </c>
      <c r="B907" t="n">
        <v>71.38</v>
      </c>
      <c r="G907" s="2" t="n">
        <v>37256</v>
      </c>
      <c r="H907" t="n">
        <v>0.0161</v>
      </c>
      <c r="I907" t="n">
        <v>0.0015</v>
      </c>
    </row>
    <row r="908">
      <c r="A908" s="2" t="n">
        <v>44378</v>
      </c>
      <c r="B908" t="n">
        <v>72.48999999999999</v>
      </c>
      <c r="G908" s="2" t="n">
        <v>37287</v>
      </c>
      <c r="H908" t="n">
        <v>-0.0144</v>
      </c>
      <c r="I908" t="n">
        <v>0.0014</v>
      </c>
    </row>
    <row r="909">
      <c r="A909" s="2" t="n">
        <v>44409</v>
      </c>
      <c r="B909" t="n">
        <v>67.73</v>
      </c>
      <c r="G909" s="2" t="n">
        <v>37315</v>
      </c>
      <c r="H909" t="n">
        <v>-0.023</v>
      </c>
      <c r="I909" t="n">
        <v>0.0013</v>
      </c>
    </row>
    <row r="910">
      <c r="A910" s="2" t="n">
        <v>44440</v>
      </c>
      <c r="B910" t="n">
        <v>71.65000000000001</v>
      </c>
      <c r="G910" s="2" t="n">
        <v>37343</v>
      </c>
      <c r="H910" t="n">
        <v>0.0424</v>
      </c>
      <c r="I910" t="n">
        <v>0.0013</v>
      </c>
    </row>
    <row r="911">
      <c r="A911" s="2" t="n">
        <v>44470</v>
      </c>
      <c r="B911" t="n">
        <v>81.48</v>
      </c>
      <c r="G911" s="2" t="n">
        <v>37376</v>
      </c>
      <c r="H911" t="n">
        <v>-0.0521</v>
      </c>
      <c r="I911" t="n">
        <v>0.0015</v>
      </c>
    </row>
    <row r="912">
      <c r="A912" s="2" t="n">
        <v>44501</v>
      </c>
      <c r="B912" t="n">
        <v>79.15000000000001</v>
      </c>
      <c r="G912" s="2" t="n">
        <v>37407</v>
      </c>
      <c r="H912" t="n">
        <v>-0.0136</v>
      </c>
      <c r="I912" t="n">
        <v>0.0014</v>
      </c>
    </row>
    <row r="913">
      <c r="A913" s="2" t="n">
        <v>44531</v>
      </c>
      <c r="B913" t="n">
        <v>71.70999999999999</v>
      </c>
      <c r="G913" s="2" t="n">
        <v>37435</v>
      </c>
      <c r="H913" t="n">
        <v>-0.0723</v>
      </c>
      <c r="I913" t="n">
        <v>0.0013</v>
      </c>
    </row>
    <row r="914">
      <c r="A914" s="2" t="n">
        <v>44562</v>
      </c>
      <c r="B914" t="n">
        <v>83.22</v>
      </c>
      <c r="G914" s="2" t="n">
        <v>37468</v>
      </c>
      <c r="H914" t="n">
        <v>-0.0819</v>
      </c>
      <c r="I914" t="n">
        <v>0.0015</v>
      </c>
    </row>
    <row r="915">
      <c r="A915" s="2" t="n">
        <v>44593</v>
      </c>
      <c r="B915" t="n">
        <v>91.64</v>
      </c>
      <c r="G915" s="2" t="n">
        <v>37498</v>
      </c>
      <c r="H915" t="n">
        <v>0.005</v>
      </c>
      <c r="I915" t="n">
        <v>0.0014</v>
      </c>
    </row>
    <row r="916">
      <c r="A916" s="2" t="n">
        <v>44621</v>
      </c>
      <c r="B916" t="n">
        <v>108.5</v>
      </c>
      <c r="G916" s="2" t="n">
        <v>37529</v>
      </c>
      <c r="H916" t="n">
        <v>-0.1034</v>
      </c>
      <c r="I916" t="n">
        <v>0.0014</v>
      </c>
    </row>
    <row r="917">
      <c r="A917" s="2" t="n">
        <v>44652</v>
      </c>
      <c r="B917" t="n">
        <v>101.78</v>
      </c>
      <c r="G917" s="2" t="n">
        <v>37560</v>
      </c>
      <c r="H917" t="n">
        <v>0.0784</v>
      </c>
      <c r="I917" t="n">
        <v>0.0014</v>
      </c>
    </row>
    <row r="918">
      <c r="A918" s="2" t="n">
        <v>44682</v>
      </c>
      <c r="B918" t="n">
        <v>109.55</v>
      </c>
      <c r="G918" s="2" t="n">
        <v>37589</v>
      </c>
      <c r="H918" t="n">
        <v>0.0596</v>
      </c>
      <c r="I918" t="n">
        <v>0.0012</v>
      </c>
    </row>
    <row r="919">
      <c r="A919" s="2" t="n">
        <v>44713</v>
      </c>
      <c r="B919" t="n">
        <v>114.84</v>
      </c>
      <c r="G919" s="2" t="n">
        <v>37621</v>
      </c>
      <c r="H919" t="n">
        <v>-0.0576</v>
      </c>
      <c r="I919" t="n">
        <v>0.0011</v>
      </c>
    </row>
    <row r="920">
      <c r="A920" s="2" t="n">
        <v>44743</v>
      </c>
      <c r="B920" t="n">
        <v>101.62</v>
      </c>
      <c r="G920" s="2" t="n">
        <v>37652</v>
      </c>
      <c r="H920" t="n">
        <v>-0.0257</v>
      </c>
      <c r="I920" t="n">
        <v>0.001</v>
      </c>
    </row>
    <row r="921">
      <c r="A921" s="2" t="n">
        <v>44774</v>
      </c>
      <c r="B921" t="n">
        <v>93.67</v>
      </c>
      <c r="G921" s="2" t="n">
        <v>37680</v>
      </c>
      <c r="H921" t="n">
        <v>-0.0188</v>
      </c>
      <c r="I921" t="n">
        <v>0.0009</v>
      </c>
    </row>
    <row r="922">
      <c r="A922" s="2" t="n">
        <v>44805</v>
      </c>
      <c r="B922" t="n">
        <v>84.26000000000001</v>
      </c>
      <c r="G922" s="2" t="n">
        <v>37711</v>
      </c>
      <c r="H922" t="n">
        <v>0.0109</v>
      </c>
      <c r="I922" t="n">
        <v>0.001</v>
      </c>
    </row>
    <row r="923">
      <c r="A923" s="2" t="n">
        <v>44835</v>
      </c>
      <c r="B923" t="n">
        <v>87.55</v>
      </c>
      <c r="G923" s="2" t="n">
        <v>37741</v>
      </c>
      <c r="H923" t="n">
        <v>0.0818</v>
      </c>
      <c r="I923" t="n">
        <v>0.001</v>
      </c>
    </row>
    <row r="924">
      <c r="A924" s="2" t="n">
        <v>44866</v>
      </c>
      <c r="B924" t="n">
        <v>84.37</v>
      </c>
      <c r="G924" s="2" t="n">
        <v>37771</v>
      </c>
      <c r="H924" t="n">
        <v>0.0605</v>
      </c>
      <c r="I924" t="n">
        <v>0.0009</v>
      </c>
    </row>
    <row r="925">
      <c r="A925" s="2" t="n">
        <v>44896</v>
      </c>
      <c r="B925" t="n">
        <v>76.44</v>
      </c>
      <c r="G925" s="2" t="n">
        <v>37802</v>
      </c>
      <c r="H925" t="n">
        <v>0.0142</v>
      </c>
      <c r="I925" t="n">
        <v>0.001</v>
      </c>
    </row>
    <row r="926">
      <c r="A926" s="2" t="n">
        <v>44927</v>
      </c>
      <c r="B926" t="n">
        <v>78.12</v>
      </c>
      <c r="G926" s="2" t="n">
        <v>37833</v>
      </c>
      <c r="H926" t="n">
        <v>0.0233</v>
      </c>
      <c r="I926" t="n">
        <v>0.0007</v>
      </c>
    </row>
    <row r="927">
      <c r="A927" s="2" t="n">
        <v>44958</v>
      </c>
      <c r="B927" t="n">
        <v>76.83</v>
      </c>
      <c r="G927" s="2" t="n">
        <v>37862</v>
      </c>
      <c r="H927" t="n">
        <v>0.0233</v>
      </c>
      <c r="I927" t="n">
        <v>0.0007</v>
      </c>
    </row>
    <row r="928">
      <c r="A928" s="2" t="n">
        <v>44986</v>
      </c>
      <c r="B928" t="n">
        <v>73.28</v>
      </c>
      <c r="G928" s="2" t="n">
        <v>37894</v>
      </c>
      <c r="H928" t="n">
        <v>-0.0124</v>
      </c>
      <c r="I928" t="n">
        <v>0.0008</v>
      </c>
    </row>
    <row r="929">
      <c r="A929" s="2" t="n">
        <v>45017</v>
      </c>
      <c r="B929" t="n">
        <v>79.45</v>
      </c>
      <c r="G929" s="2" t="n">
        <v>37925</v>
      </c>
      <c r="H929" t="n">
        <v>0.0608</v>
      </c>
      <c r="I929" t="n">
        <v>0.0007</v>
      </c>
    </row>
    <row r="930">
      <c r="A930" s="2" t="n">
        <v>45047</v>
      </c>
      <c r="B930" t="n">
        <v>71.58</v>
      </c>
      <c r="G930" s="2" t="n">
        <v>37953</v>
      </c>
      <c r="H930" t="n">
        <v>0.0135</v>
      </c>
      <c r="I930" t="n">
        <v>0.0007</v>
      </c>
    </row>
    <row r="931">
      <c r="A931" s="2" t="n">
        <v>45078</v>
      </c>
      <c r="B931" t="n">
        <v>70.25</v>
      </c>
      <c r="G931" s="2" t="n">
        <v>37986</v>
      </c>
      <c r="H931" t="n">
        <v>0.0429</v>
      </c>
      <c r="I931" t="n">
        <v>0.0008</v>
      </c>
    </row>
    <row r="932">
      <c r="A932" s="2" t="n">
        <v>45108</v>
      </c>
      <c r="B932" t="n">
        <v>76.06999999999999</v>
      </c>
      <c r="G932" s="2" t="n">
        <v>38016</v>
      </c>
      <c r="H932" t="n">
        <v>0.0215</v>
      </c>
      <c r="I932" t="n">
        <v>0.0007</v>
      </c>
    </row>
    <row r="933">
      <c r="A933" s="2" t="n">
        <v>45139</v>
      </c>
      <c r="B933" t="n">
        <v>81.39</v>
      </c>
      <c r="G933" s="2" t="n">
        <v>38044</v>
      </c>
      <c r="H933" t="n">
        <v>0.014</v>
      </c>
      <c r="I933" t="n">
        <v>0.0005999999999999999</v>
      </c>
    </row>
    <row r="934">
      <c r="A934" s="2" t="n">
        <v>45170</v>
      </c>
      <c r="B934" t="n">
        <v>89.43000000000001</v>
      </c>
      <c r="G934" s="2" t="n">
        <v>38077</v>
      </c>
      <c r="H934" t="n">
        <v>-0.0132</v>
      </c>
      <c r="I934" t="n">
        <v>0.0009</v>
      </c>
    </row>
    <row r="935">
      <c r="A935" s="2" t="n">
        <v>45200</v>
      </c>
      <c r="B935" t="n">
        <v>85.64</v>
      </c>
      <c r="G935" s="2" t="n">
        <v>38107</v>
      </c>
      <c r="H935" t="n">
        <v>-0.0181</v>
      </c>
      <c r="I935" t="n">
        <v>0.0008</v>
      </c>
    </row>
    <row r="936">
      <c r="A936" s="2" t="n">
        <v>45231</v>
      </c>
      <c r="B936" t="n">
        <v>77.69</v>
      </c>
      <c r="G936" s="2" t="n">
        <v>38135</v>
      </c>
      <c r="H936" t="n">
        <v>0.0118</v>
      </c>
      <c r="I936" t="n">
        <v>0.0005999999999999999</v>
      </c>
    </row>
    <row r="937">
      <c r="A937" s="2" t="n">
        <v>45261</v>
      </c>
      <c r="B937" t="n">
        <v>71.90000000000001</v>
      </c>
      <c r="G937" s="2" t="n">
        <v>38168</v>
      </c>
      <c r="H937" t="n">
        <v>0.0185</v>
      </c>
      <c r="I937" t="n">
        <v>0.0008</v>
      </c>
    </row>
    <row r="938">
      <c r="A938" s="2" t="n">
        <v>45292</v>
      </c>
      <c r="B938" t="n">
        <v>74.15000000000001</v>
      </c>
      <c r="G938" s="2" t="n">
        <v>38198</v>
      </c>
      <c r="H938" t="n">
        <v>-0.0404</v>
      </c>
      <c r="I938" t="n">
        <v>0.001</v>
      </c>
    </row>
    <row r="939">
      <c r="A939" s="2" t="n">
        <v>45323</v>
      </c>
      <c r="B939" t="n">
        <v>77.25</v>
      </c>
      <c r="G939" s="2" t="n">
        <v>38230</v>
      </c>
      <c r="H939" t="n">
        <v>0.0007</v>
      </c>
      <c r="I939" t="n">
        <v>0.0011</v>
      </c>
    </row>
    <row r="940">
      <c r="A940" s="2" t="n">
        <v>45352</v>
      </c>
      <c r="B940" t="n">
        <v>81.28</v>
      </c>
      <c r="G940" s="2" t="n">
        <v>38260</v>
      </c>
      <c r="H940" t="n">
        <v>0.016</v>
      </c>
      <c r="I940" t="n">
        <v>0.0011</v>
      </c>
    </row>
    <row r="941">
      <c r="A941" s="2" t="n">
        <v>45383</v>
      </c>
      <c r="B941" t="n">
        <v>85.34999999999999</v>
      </c>
      <c r="G941" s="2" t="n">
        <v>38289</v>
      </c>
      <c r="H941" t="n">
        <v>0.0142</v>
      </c>
      <c r="I941" t="n">
        <v>0.0011</v>
      </c>
    </row>
    <row r="942">
      <c r="A942" s="2" t="n">
        <v>45413</v>
      </c>
      <c r="B942" t="n">
        <v>80.02</v>
      </c>
      <c r="G942" s="2" t="n">
        <v>38321</v>
      </c>
      <c r="H942" t="n">
        <v>0.0453</v>
      </c>
      <c r="I942" t="n">
        <v>0.0015</v>
      </c>
    </row>
    <row r="943">
      <c r="A943" s="2" t="n">
        <v>45444</v>
      </c>
      <c r="B943" t="n">
        <v>79.77</v>
      </c>
      <c r="G943" s="2" t="n">
        <v>38352</v>
      </c>
      <c r="H943" t="n">
        <v>0.0342</v>
      </c>
      <c r="I943" t="n">
        <v>0.0016</v>
      </c>
    </row>
    <row r="944">
      <c r="A944" s="2" t="n">
        <v>45474</v>
      </c>
      <c r="B944" t="n">
        <v>81.8</v>
      </c>
      <c r="G944" s="2" t="n">
        <v>38383</v>
      </c>
      <c r="H944" t="n">
        <v>-0.0275</v>
      </c>
      <c r="I944" t="n">
        <v>0.0016</v>
      </c>
    </row>
    <row r="945">
      <c r="A945" s="2" t="n">
        <v>45505</v>
      </c>
      <c r="B945" t="n">
        <v>76.68000000000001</v>
      </c>
      <c r="G945" s="2" t="n">
        <v>38411</v>
      </c>
      <c r="H945" t="n">
        <v>0.0188</v>
      </c>
      <c r="I945" t="n">
        <v>0.0016</v>
      </c>
    </row>
    <row r="946">
      <c r="A946" s="2" t="n">
        <v>45536</v>
      </c>
      <c r="B946" t="n">
        <v>70.23999999999999</v>
      </c>
      <c r="G946" s="2" t="n">
        <v>38442</v>
      </c>
      <c r="H946" t="n">
        <v>-0.0194</v>
      </c>
      <c r="I946" t="n">
        <v>0.0021</v>
      </c>
    </row>
    <row r="947">
      <c r="A947" s="2" t="n">
        <v>45566</v>
      </c>
      <c r="B947" t="n">
        <v>71.98999999999999</v>
      </c>
      <c r="G947" s="2" t="n">
        <v>38471</v>
      </c>
      <c r="H947" t="n">
        <v>-0.0261</v>
      </c>
      <c r="I947" t="n">
        <v>0.0021</v>
      </c>
    </row>
    <row r="948">
      <c r="A948" s="2" t="n">
        <v>45597</v>
      </c>
      <c r="B948" t="n">
        <v>69.95</v>
      </c>
      <c r="G948" s="2" t="n">
        <v>38503</v>
      </c>
      <c r="H948" t="n">
        <v>0.0365</v>
      </c>
      <c r="I948" t="n">
        <v>0.0024</v>
      </c>
    </row>
    <row r="949">
      <c r="A949" s="2" t="n">
        <v>45627</v>
      </c>
      <c r="B949" t="n">
        <v>70.12</v>
      </c>
      <c r="G949" s="2" t="n">
        <v>38533</v>
      </c>
      <c r="H949" t="n">
        <v>0.0058</v>
      </c>
      <c r="I949" t="n">
        <v>0.0023</v>
      </c>
    </row>
    <row r="950">
      <c r="A950" s="2" t="n">
        <v>45658</v>
      </c>
      <c r="B950" t="n">
        <v>75.73999999999999</v>
      </c>
      <c r="G950" s="2" t="n">
        <v>38562</v>
      </c>
      <c r="H950" t="n">
        <v>0.0392</v>
      </c>
      <c r="I950" t="n">
        <v>0.0024</v>
      </c>
    </row>
    <row r="951">
      <c r="A951" s="2" t="n">
        <v>45689</v>
      </c>
      <c r="B951" t="n">
        <v>71.53</v>
      </c>
      <c r="G951" s="2" t="n">
        <v>38595</v>
      </c>
      <c r="H951" t="n">
        <v>-0.012</v>
      </c>
      <c r="I951" t="n">
        <v>0.003</v>
      </c>
    </row>
    <row r="952">
      <c r="A952" s="2" t="n">
        <v>45717</v>
      </c>
      <c r="B952" t="n">
        <v>68.23999999999999</v>
      </c>
      <c r="G952" s="2" t="n">
        <v>38625</v>
      </c>
      <c r="H952" t="n">
        <v>0.0048</v>
      </c>
      <c r="I952" t="n">
        <v>0.0029</v>
      </c>
    </row>
    <row r="953">
      <c r="A953" s="2" t="n">
        <v>45748</v>
      </c>
      <c r="B953" t="n">
        <v>63.54</v>
      </c>
      <c r="G953" s="2" t="n">
        <v>38656</v>
      </c>
      <c r="H953" t="n">
        <v>-0.0204</v>
      </c>
      <c r="I953" t="n">
        <v>0.0027</v>
      </c>
    </row>
    <row r="954">
      <c r="A954" s="2" t="n">
        <v>45778</v>
      </c>
      <c r="B954" t="n">
        <v>62.17</v>
      </c>
      <c r="G954" s="2" t="n">
        <v>38686</v>
      </c>
      <c r="H954" t="n">
        <v>0.0361</v>
      </c>
      <c r="I954" t="n">
        <v>0.0031</v>
      </c>
    </row>
    <row r="955">
      <c r="A955" s="2" t="n">
        <v>45809</v>
      </c>
      <c r="B955" t="n">
        <v>68.17</v>
      </c>
      <c r="G955" s="2" t="n">
        <v>38716</v>
      </c>
      <c r="H955" t="n">
        <v>-0.0024</v>
      </c>
      <c r="I955" t="n">
        <v>0.0032</v>
      </c>
    </row>
    <row r="956">
      <c r="A956" s="2" t="n">
        <v>45839</v>
      </c>
      <c r="B956" t="n">
        <v>68.39</v>
      </c>
      <c r="G956" s="2" t="n">
        <v>38748</v>
      </c>
      <c r="H956" t="n">
        <v>0.0303</v>
      </c>
      <c r="I956" t="n">
        <v>0.0035</v>
      </c>
    </row>
    <row r="957">
      <c r="A957" s="2" t="n">
        <v>45870</v>
      </c>
      <c r="B957" t="n">
        <v>64.86</v>
      </c>
      <c r="G957" s="2" t="n">
        <v>38776</v>
      </c>
      <c r="H957" t="n">
        <v>-0.003</v>
      </c>
      <c r="I957" t="n">
        <v>0.0034</v>
      </c>
    </row>
    <row r="958">
      <c r="A958" s="2" t="n">
        <v>45901</v>
      </c>
      <c r="B958" t="n">
        <v>63.96</v>
      </c>
      <c r="G958" s="2" t="n">
        <v>38807</v>
      </c>
      <c r="H958" t="n">
        <v>0.0147</v>
      </c>
      <c r="I958" t="n">
        <v>0.0037</v>
      </c>
    </row>
    <row r="959">
      <c r="A959" s="2" t="n">
        <v>45931</v>
      </c>
      <c r="B959" t="n">
        <v>60.89</v>
      </c>
      <c r="G959" s="2" t="n">
        <v>38835</v>
      </c>
      <c r="H959" t="n">
        <v>0.0073</v>
      </c>
      <c r="I959" t="n">
        <v>0.0036</v>
      </c>
    </row>
    <row r="960">
      <c r="A960" s="2" t="n">
        <v>45962</v>
      </c>
      <c r="B960" t="n">
        <v>60.06</v>
      </c>
      <c r="G960" s="2" t="n">
        <v>38868</v>
      </c>
      <c r="H960" t="n">
        <v>-0.0356</v>
      </c>
      <c r="I960" t="n">
        <v>0.0043</v>
      </c>
    </row>
    <row r="961">
      <c r="A961" s="2" t="n">
        <v>45992</v>
      </c>
      <c r="B961" t="n">
        <v>57.97</v>
      </c>
      <c r="G961" s="2" t="n">
        <v>38898</v>
      </c>
      <c r="H961" t="n">
        <v>-0.0035</v>
      </c>
      <c r="I961" t="n">
        <v>0.004</v>
      </c>
    </row>
    <row r="962">
      <c r="A962" s="2" t="n">
        <v>46023</v>
      </c>
      <c r="B962" t="n">
        <v>60.04</v>
      </c>
      <c r="G962" s="2" t="n">
        <v>38929</v>
      </c>
      <c r="H962" t="n">
        <v>-0.0077</v>
      </c>
      <c r="I962" t="n">
        <v>0.004</v>
      </c>
    </row>
    <row r="963">
      <c r="A963" s="2" t="n">
        <v>46054</v>
      </c>
      <c r="B963" t="n">
        <v>64.51000000000001</v>
      </c>
      <c r="G963" s="2" t="n">
        <v>38960</v>
      </c>
      <c r="H963" t="n">
        <v>0.0203</v>
      </c>
      <c r="I963" t="n">
        <v>0.0042</v>
      </c>
    </row>
    <row r="964">
      <c r="A964" s="2" t="n">
        <v>46082</v>
      </c>
      <c r="B964" t="n">
        <v>71.23</v>
      </c>
      <c r="G964" s="2" t="n">
        <v>38989</v>
      </c>
      <c r="H964" t="n">
        <v>0.0184</v>
      </c>
      <c r="I964" t="n">
        <v>0.0041</v>
      </c>
    </row>
    <row r="965">
      <c r="A965" s="2" t="n">
        <v>46113</v>
      </c>
      <c r="B965" t="n">
        <v>102.95</v>
      </c>
      <c r="G965" s="2" t="n">
        <v>39021</v>
      </c>
      <c r="H965" t="n">
        <v>0.0322</v>
      </c>
      <c r="I965" t="n">
        <v>0.0041</v>
      </c>
    </row>
    <row r="966">
      <c r="G966" s="2" t="n">
        <v>39051</v>
      </c>
      <c r="H966" t="n">
        <v>0.017</v>
      </c>
      <c r="I966" t="n">
        <v>0.0042</v>
      </c>
    </row>
    <row r="967">
      <c r="G967" s="2" t="n">
        <v>39080</v>
      </c>
      <c r="H967" t="n">
        <v>0.008500000000000001</v>
      </c>
      <c r="I967" t="n">
        <v>0.004</v>
      </c>
    </row>
    <row r="968">
      <c r="G968" s="2" t="n">
        <v>39113</v>
      </c>
      <c r="H968" t="n">
        <v>0.0138</v>
      </c>
      <c r="I968" t="n">
        <v>0.0044</v>
      </c>
    </row>
    <row r="969">
      <c r="G969" s="2" t="n">
        <v>39141</v>
      </c>
      <c r="H969" t="n">
        <v>-0.0196</v>
      </c>
      <c r="I969" t="n">
        <v>0.0038</v>
      </c>
    </row>
    <row r="970">
      <c r="G970" s="2" t="n">
        <v>39171</v>
      </c>
      <c r="H970" t="n">
        <v>0.0071</v>
      </c>
      <c r="I970" t="n">
        <v>0.0043</v>
      </c>
    </row>
    <row r="971">
      <c r="G971" s="2" t="n">
        <v>39202</v>
      </c>
      <c r="H971" t="n">
        <v>0.0349</v>
      </c>
      <c r="I971" t="n">
        <v>0.0044</v>
      </c>
    </row>
    <row r="972">
      <c r="G972" s="2" t="n">
        <v>39233</v>
      </c>
      <c r="H972" t="n">
        <v>0.0323</v>
      </c>
      <c r="I972" t="n">
        <v>0.0041</v>
      </c>
    </row>
    <row r="973">
      <c r="G973" s="2" t="n">
        <v>39262</v>
      </c>
      <c r="H973" t="n">
        <v>-0.0196</v>
      </c>
      <c r="I973" t="n">
        <v>0.004</v>
      </c>
    </row>
    <row r="974">
      <c r="G974" s="2" t="n">
        <v>39294</v>
      </c>
      <c r="H974" t="n">
        <v>-0.0372</v>
      </c>
      <c r="I974" t="n">
        <v>0.004</v>
      </c>
    </row>
    <row r="975">
      <c r="G975" s="2" t="n">
        <v>39325</v>
      </c>
      <c r="H975" t="n">
        <v>0.0094</v>
      </c>
      <c r="I975" t="n">
        <v>0.0042</v>
      </c>
    </row>
    <row r="976">
      <c r="G976" s="2" t="n">
        <v>39353</v>
      </c>
      <c r="H976" t="n">
        <v>0.0322</v>
      </c>
      <c r="I976" t="n">
        <v>0.0032</v>
      </c>
    </row>
    <row r="977">
      <c r="G977" s="2" t="n">
        <v>39386</v>
      </c>
      <c r="H977" t="n">
        <v>0.0179</v>
      </c>
      <c r="I977" t="n">
        <v>0.0032</v>
      </c>
    </row>
    <row r="978">
      <c r="G978" s="2" t="n">
        <v>39416</v>
      </c>
      <c r="H978" t="n">
        <v>-0.048</v>
      </c>
      <c r="I978" t="n">
        <v>0.0034</v>
      </c>
    </row>
    <row r="979">
      <c r="G979" s="2" t="n">
        <v>39447</v>
      </c>
      <c r="H979" t="n">
        <v>-0.008699999999999999</v>
      </c>
      <c r="I979" t="n">
        <v>0.0027</v>
      </c>
    </row>
    <row r="980">
      <c r="G980" s="2" t="n">
        <v>39478</v>
      </c>
      <c r="H980" t="n">
        <v>-0.0633</v>
      </c>
      <c r="I980" t="n">
        <v>0.0021</v>
      </c>
    </row>
    <row r="981">
      <c r="G981" s="2" t="n">
        <v>39507</v>
      </c>
      <c r="H981" t="n">
        <v>-0.0309</v>
      </c>
      <c r="I981" t="n">
        <v>0.0013</v>
      </c>
    </row>
    <row r="982">
      <c r="G982" s="2" t="n">
        <v>39538</v>
      </c>
      <c r="H982" t="n">
        <v>-0.0094</v>
      </c>
      <c r="I982" t="n">
        <v>0.0017</v>
      </c>
    </row>
    <row r="983">
      <c r="G983" s="2" t="n">
        <v>39568</v>
      </c>
      <c r="H983" t="n">
        <v>0.0461</v>
      </c>
      <c r="I983" t="n">
        <v>0.0018</v>
      </c>
    </row>
    <row r="984">
      <c r="G984" s="2" t="n">
        <v>39598</v>
      </c>
      <c r="H984" t="n">
        <v>0.0187</v>
      </c>
      <c r="I984" t="n">
        <v>0.0018</v>
      </c>
    </row>
    <row r="985">
      <c r="G985" s="2" t="n">
        <v>39629</v>
      </c>
      <c r="H985" t="n">
        <v>-0.0843</v>
      </c>
      <c r="I985" t="n">
        <v>0.0017</v>
      </c>
    </row>
    <row r="986">
      <c r="G986" s="2" t="n">
        <v>39660</v>
      </c>
      <c r="H986" t="n">
        <v>-0.0075</v>
      </c>
      <c r="I986" t="n">
        <v>0.0015</v>
      </c>
    </row>
    <row r="987">
      <c r="G987" s="2" t="n">
        <v>39689</v>
      </c>
      <c r="H987" t="n">
        <v>0.0153</v>
      </c>
      <c r="I987" t="n">
        <v>0.0013</v>
      </c>
    </row>
    <row r="988">
      <c r="G988" s="2" t="n">
        <v>39721</v>
      </c>
      <c r="H988" t="n">
        <v>-0.0935</v>
      </c>
      <c r="I988" t="n">
        <v>0.0015</v>
      </c>
    </row>
    <row r="989">
      <c r="G989" s="2" t="n">
        <v>39752</v>
      </c>
      <c r="H989" t="n">
        <v>-0.172</v>
      </c>
      <c r="I989" t="n">
        <v>0.0008</v>
      </c>
    </row>
    <row r="990">
      <c r="G990" s="2" t="n">
        <v>39780</v>
      </c>
      <c r="H990" t="n">
        <v>-0.0774</v>
      </c>
      <c r="I990" t="n">
        <v>0.0003</v>
      </c>
    </row>
    <row r="991">
      <c r="G991" s="2" t="n">
        <v>39813</v>
      </c>
      <c r="H991" t="n">
        <v>0.0177</v>
      </c>
      <c r="I991" t="n">
        <v>0</v>
      </c>
    </row>
    <row r="992">
      <c r="G992" s="2" t="n">
        <v>39843</v>
      </c>
      <c r="H992" t="n">
        <v>-0.0809</v>
      </c>
      <c r="I992" t="n">
        <v>0</v>
      </c>
    </row>
    <row r="993">
      <c r="G993" s="2" t="n">
        <v>39871</v>
      </c>
      <c r="H993" t="n">
        <v>-0.1014</v>
      </c>
      <c r="I993" t="n">
        <v>0.0001</v>
      </c>
    </row>
    <row r="994">
      <c r="G994" s="2" t="n">
        <v>39903</v>
      </c>
      <c r="H994" t="n">
        <v>0.0901</v>
      </c>
      <c r="I994" t="n">
        <v>0.0002</v>
      </c>
    </row>
    <row r="995">
      <c r="G995" s="2" t="n">
        <v>39933</v>
      </c>
      <c r="H995" t="n">
        <v>0.1017</v>
      </c>
      <c r="I995" t="n">
        <v>0.0001</v>
      </c>
    </row>
    <row r="996">
      <c r="G996" s="2" t="n">
        <v>39962</v>
      </c>
      <c r="H996" t="n">
        <v>0.0521</v>
      </c>
      <c r="I996" t="n">
        <v>0</v>
      </c>
    </row>
    <row r="997">
      <c r="G997" s="2" t="n">
        <v>39994</v>
      </c>
      <c r="H997" t="n">
        <v>0.0042</v>
      </c>
      <c r="I997" t="n">
        <v>0.0001</v>
      </c>
    </row>
    <row r="998">
      <c r="G998" s="2" t="n">
        <v>40025</v>
      </c>
      <c r="H998" t="n">
        <v>0.0774</v>
      </c>
      <c r="I998" t="n">
        <v>0.0001</v>
      </c>
    </row>
    <row r="999">
      <c r="G999" s="2" t="n">
        <v>40056</v>
      </c>
      <c r="H999" t="n">
        <v>0.0333</v>
      </c>
      <c r="I999" t="n">
        <v>0.0001</v>
      </c>
    </row>
    <row r="1000">
      <c r="G1000" s="2" t="n">
        <v>40086</v>
      </c>
      <c r="H1000" t="n">
        <v>0.0408</v>
      </c>
      <c r="I1000" t="n">
        <v>0.0001</v>
      </c>
    </row>
    <row r="1001">
      <c r="G1001" s="2" t="n">
        <v>40116</v>
      </c>
      <c r="H1001" t="n">
        <v>-0.0253</v>
      </c>
      <c r="I1001" t="n">
        <v>0</v>
      </c>
    </row>
    <row r="1002">
      <c r="G1002" s="2" t="n">
        <v>40147</v>
      </c>
      <c r="H1002" t="n">
        <v>0.0563</v>
      </c>
      <c r="I1002" t="n">
        <v>0</v>
      </c>
    </row>
    <row r="1003">
      <c r="G1003" s="2" t="n">
        <v>40178</v>
      </c>
      <c r="H1003" t="n">
        <v>0.028</v>
      </c>
      <c r="I1003" t="n">
        <v>0.0001</v>
      </c>
    </row>
    <row r="1004">
      <c r="G1004" s="2" t="n">
        <v>40207</v>
      </c>
      <c r="H1004" t="n">
        <v>-0.0335</v>
      </c>
      <c r="I1004" t="n">
        <v>0</v>
      </c>
    </row>
    <row r="1005">
      <c r="G1005" s="2" t="n">
        <v>40235</v>
      </c>
      <c r="H1005" t="n">
        <v>0.0339</v>
      </c>
      <c r="I1005" t="n">
        <v>0</v>
      </c>
    </row>
    <row r="1006">
      <c r="G1006" s="2" t="n">
        <v>40268</v>
      </c>
      <c r="H1006" t="n">
        <v>0.063</v>
      </c>
      <c r="I1006" t="n">
        <v>0.0001</v>
      </c>
    </row>
    <row r="1007">
      <c r="G1007" s="2" t="n">
        <v>40298</v>
      </c>
      <c r="H1007" t="n">
        <v>0.0199</v>
      </c>
      <c r="I1007" t="n">
        <v>0.0001</v>
      </c>
    </row>
    <row r="1008">
      <c r="G1008" s="2" t="n">
        <v>40326</v>
      </c>
      <c r="H1008" t="n">
        <v>-0.079</v>
      </c>
      <c r="I1008" t="n">
        <v>0.0001</v>
      </c>
    </row>
    <row r="1009">
      <c r="G1009" s="2" t="n">
        <v>40359</v>
      </c>
      <c r="H1009" t="n">
        <v>-0.0556</v>
      </c>
      <c r="I1009" t="n">
        <v>0.0001</v>
      </c>
    </row>
    <row r="1010">
      <c r="G1010" s="2" t="n">
        <v>40389</v>
      </c>
      <c r="H1010" t="n">
        <v>0.0692</v>
      </c>
      <c r="I1010" t="n">
        <v>0.0001</v>
      </c>
    </row>
    <row r="1011">
      <c r="G1011" s="2" t="n">
        <v>40421</v>
      </c>
      <c r="H1011" t="n">
        <v>-0.0478</v>
      </c>
      <c r="I1011" t="n">
        <v>0.0001</v>
      </c>
    </row>
    <row r="1012">
      <c r="G1012" s="2" t="n">
        <v>40451</v>
      </c>
      <c r="H1012" t="n">
        <v>0.0955</v>
      </c>
      <c r="I1012" t="n">
        <v>0.0001</v>
      </c>
    </row>
    <row r="1013">
      <c r="G1013" s="2" t="n">
        <v>40480</v>
      </c>
      <c r="H1013" t="n">
        <v>0.0387</v>
      </c>
      <c r="I1013" t="n">
        <v>0.0001</v>
      </c>
    </row>
    <row r="1014">
      <c r="G1014" s="2" t="n">
        <v>40512</v>
      </c>
      <c r="H1014" t="n">
        <v>0.0059</v>
      </c>
      <c r="I1014" t="n">
        <v>0.0001</v>
      </c>
    </row>
    <row r="1015">
      <c r="G1015" s="2" t="n">
        <v>40543</v>
      </c>
      <c r="H1015" t="n">
        <v>0.0682</v>
      </c>
      <c r="I1015" t="n">
        <v>0.0001</v>
      </c>
    </row>
    <row r="1016">
      <c r="G1016" s="2" t="n">
        <v>40574</v>
      </c>
      <c r="H1016" t="n">
        <v>0.0198</v>
      </c>
      <c r="I1016" t="n">
        <v>0.0001</v>
      </c>
    </row>
    <row r="1017">
      <c r="G1017" s="2" t="n">
        <v>40602</v>
      </c>
      <c r="H1017" t="n">
        <v>0.0348</v>
      </c>
      <c r="I1017" t="n">
        <v>0.0001</v>
      </c>
    </row>
    <row r="1018">
      <c r="G1018" s="2" t="n">
        <v>40633</v>
      </c>
      <c r="H1018" t="n">
        <v>0.0045</v>
      </c>
      <c r="I1018" t="n">
        <v>0.0001</v>
      </c>
    </row>
    <row r="1019">
      <c r="G1019" s="2" t="n">
        <v>40662</v>
      </c>
      <c r="H1019" t="n">
        <v>0.029</v>
      </c>
      <c r="I1019" t="n">
        <v>0</v>
      </c>
    </row>
    <row r="1020">
      <c r="G1020" s="2" t="n">
        <v>40694</v>
      </c>
      <c r="H1020" t="n">
        <v>-0.0127</v>
      </c>
      <c r="I1020" t="n">
        <v>0</v>
      </c>
    </row>
    <row r="1021">
      <c r="G1021" s="2" t="n">
        <v>40724</v>
      </c>
      <c r="H1021" t="n">
        <v>-0.0174</v>
      </c>
      <c r="I1021" t="n">
        <v>0</v>
      </c>
    </row>
    <row r="1022">
      <c r="G1022" s="2" t="n">
        <v>40753</v>
      </c>
      <c r="H1022" t="n">
        <v>-0.0235</v>
      </c>
      <c r="I1022" t="n">
        <v>0</v>
      </c>
    </row>
    <row r="1023">
      <c r="G1023" s="2" t="n">
        <v>40786</v>
      </c>
      <c r="H1023" t="n">
        <v>-0.0596</v>
      </c>
      <c r="I1023" t="n">
        <v>0.0001</v>
      </c>
    </row>
    <row r="1024">
      <c r="G1024" s="2" t="n">
        <v>40816</v>
      </c>
      <c r="H1024" t="n">
        <v>-0.07580000000000001</v>
      </c>
      <c r="I1024" t="n">
        <v>0</v>
      </c>
    </row>
    <row r="1025">
      <c r="G1025" s="2" t="n">
        <v>40847</v>
      </c>
      <c r="H1025" t="n">
        <v>0.1133</v>
      </c>
      <c r="I1025" t="n">
        <v>0</v>
      </c>
    </row>
    <row r="1026">
      <c r="G1026" s="2" t="n">
        <v>40877</v>
      </c>
      <c r="H1026" t="n">
        <v>-0.0027</v>
      </c>
      <c r="I1026" t="n">
        <v>0</v>
      </c>
    </row>
    <row r="1027">
      <c r="G1027" s="2" t="n">
        <v>40907</v>
      </c>
      <c r="H1027" t="n">
        <v>0.0075</v>
      </c>
      <c r="I1027" t="n">
        <v>0</v>
      </c>
    </row>
    <row r="1028">
      <c r="G1028" s="2" t="n">
        <v>40939</v>
      </c>
      <c r="H1028" t="n">
        <v>0.0505</v>
      </c>
      <c r="I1028" t="n">
        <v>0</v>
      </c>
    </row>
    <row r="1029">
      <c r="G1029" s="2" t="n">
        <v>40968</v>
      </c>
      <c r="H1029" t="n">
        <v>0.0442</v>
      </c>
      <c r="I1029" t="n">
        <v>0</v>
      </c>
    </row>
    <row r="1030">
      <c r="G1030" s="2" t="n">
        <v>40998</v>
      </c>
      <c r="H1030" t="n">
        <v>0.0312</v>
      </c>
      <c r="I1030" t="n">
        <v>0</v>
      </c>
    </row>
    <row r="1031">
      <c r="G1031" s="2" t="n">
        <v>41029</v>
      </c>
      <c r="H1031" t="n">
        <v>-0.008500000000000001</v>
      </c>
      <c r="I1031" t="n">
        <v>0</v>
      </c>
    </row>
    <row r="1032">
      <c r="G1032" s="2" t="n">
        <v>41060</v>
      </c>
      <c r="H1032" t="n">
        <v>-0.0617</v>
      </c>
      <c r="I1032" t="n">
        <v>0.0001</v>
      </c>
    </row>
    <row r="1033">
      <c r="G1033" s="2" t="n">
        <v>41089</v>
      </c>
      <c r="H1033" t="n">
        <v>0.0389</v>
      </c>
      <c r="I1033" t="n">
        <v>0</v>
      </c>
    </row>
    <row r="1034">
      <c r="G1034" s="2" t="n">
        <v>41121</v>
      </c>
      <c r="H1034" t="n">
        <v>0.007900000000000001</v>
      </c>
      <c r="I1034" t="n">
        <v>0</v>
      </c>
    </row>
    <row r="1035">
      <c r="G1035" s="2" t="n">
        <v>41152</v>
      </c>
      <c r="H1035" t="n">
        <v>0.0254</v>
      </c>
      <c r="I1035" t="n">
        <v>0.0001</v>
      </c>
    </row>
    <row r="1036">
      <c r="G1036" s="2" t="n">
        <v>41180</v>
      </c>
      <c r="H1036" t="n">
        <v>0.0273</v>
      </c>
      <c r="I1036" t="n">
        <v>0.0001</v>
      </c>
    </row>
    <row r="1037">
      <c r="G1037" s="2" t="n">
        <v>41213</v>
      </c>
      <c r="H1037" t="n">
        <v>-0.0176</v>
      </c>
      <c r="I1037" t="n">
        <v>0.0001</v>
      </c>
    </row>
    <row r="1038">
      <c r="G1038" s="2" t="n">
        <v>41243</v>
      </c>
      <c r="H1038" t="n">
        <v>0.0078</v>
      </c>
      <c r="I1038" t="n">
        <v>0.0001</v>
      </c>
    </row>
    <row r="1039">
      <c r="G1039" s="2" t="n">
        <v>41274</v>
      </c>
      <c r="H1039" t="n">
        <v>0.0118</v>
      </c>
      <c r="I1039" t="n">
        <v>0.0001</v>
      </c>
    </row>
    <row r="1040">
      <c r="G1040" s="2" t="n">
        <v>41305</v>
      </c>
      <c r="H1040" t="n">
        <v>0.0557</v>
      </c>
      <c r="I1040" t="n">
        <v>0</v>
      </c>
    </row>
    <row r="1041">
      <c r="G1041" s="2" t="n">
        <v>41333</v>
      </c>
      <c r="H1041" t="n">
        <v>0.0128</v>
      </c>
      <c r="I1041" t="n">
        <v>0</v>
      </c>
    </row>
    <row r="1042">
      <c r="G1042" s="2" t="n">
        <v>41361</v>
      </c>
      <c r="H1042" t="n">
        <v>0.0404</v>
      </c>
      <c r="I1042" t="n">
        <v>0</v>
      </c>
    </row>
    <row r="1043">
      <c r="G1043" s="2" t="n">
        <v>41394</v>
      </c>
      <c r="H1043" t="n">
        <v>0.0156</v>
      </c>
      <c r="I1043" t="n">
        <v>0</v>
      </c>
    </row>
    <row r="1044">
      <c r="G1044" s="2" t="n">
        <v>41425</v>
      </c>
      <c r="H1044" t="n">
        <v>0.028</v>
      </c>
      <c r="I1044" t="n">
        <v>0</v>
      </c>
    </row>
    <row r="1045">
      <c r="G1045" s="2" t="n">
        <v>41453</v>
      </c>
      <c r="H1045" t="n">
        <v>-0.012</v>
      </c>
      <c r="I1045" t="n">
        <v>0</v>
      </c>
    </row>
    <row r="1046">
      <c r="G1046" s="2" t="n">
        <v>41486</v>
      </c>
      <c r="H1046" t="n">
        <v>0.0565</v>
      </c>
      <c r="I1046" t="n">
        <v>0</v>
      </c>
    </row>
    <row r="1047">
      <c r="G1047" s="2" t="n">
        <v>41516</v>
      </c>
      <c r="H1047" t="n">
        <v>-0.0271</v>
      </c>
      <c r="I1047" t="n">
        <v>0</v>
      </c>
    </row>
    <row r="1048">
      <c r="G1048" s="2" t="n">
        <v>41547</v>
      </c>
      <c r="H1048" t="n">
        <v>0.0377</v>
      </c>
      <c r="I1048" t="n">
        <v>0</v>
      </c>
    </row>
    <row r="1049">
      <c r="G1049" s="2" t="n">
        <v>41578</v>
      </c>
      <c r="H1049" t="n">
        <v>0.0417</v>
      </c>
      <c r="I1049" t="n">
        <v>0</v>
      </c>
    </row>
    <row r="1050">
      <c r="G1050" s="2" t="n">
        <v>41607</v>
      </c>
      <c r="H1050" t="n">
        <v>0.0311</v>
      </c>
      <c r="I1050" t="n">
        <v>0</v>
      </c>
    </row>
    <row r="1051">
      <c r="G1051" s="2" t="n">
        <v>41639</v>
      </c>
      <c r="H1051" t="n">
        <v>0.0281</v>
      </c>
      <c r="I1051" t="n">
        <v>0</v>
      </c>
    </row>
    <row r="1052">
      <c r="G1052" s="2" t="n">
        <v>41670</v>
      </c>
      <c r="H1052" t="n">
        <v>-0.0332</v>
      </c>
      <c r="I1052" t="n">
        <v>0</v>
      </c>
    </row>
    <row r="1053">
      <c r="G1053" s="2" t="n">
        <v>41698</v>
      </c>
      <c r="H1053" t="n">
        <v>0.0466</v>
      </c>
      <c r="I1053" t="n">
        <v>0</v>
      </c>
    </row>
    <row r="1054">
      <c r="G1054" s="2" t="n">
        <v>41729</v>
      </c>
      <c r="H1054" t="n">
        <v>0.0043</v>
      </c>
      <c r="I1054" t="n">
        <v>0</v>
      </c>
    </row>
    <row r="1055">
      <c r="G1055" s="2" t="n">
        <v>41759</v>
      </c>
      <c r="H1055" t="n">
        <v>-0.0018</v>
      </c>
      <c r="I1055" t="n">
        <v>0</v>
      </c>
    </row>
    <row r="1056">
      <c r="G1056" s="2" t="n">
        <v>41789</v>
      </c>
      <c r="H1056" t="n">
        <v>0.0205</v>
      </c>
      <c r="I1056" t="n">
        <v>0</v>
      </c>
    </row>
    <row r="1057">
      <c r="G1057" s="2" t="n">
        <v>41820</v>
      </c>
      <c r="H1057" t="n">
        <v>0.026</v>
      </c>
      <c r="I1057" t="n">
        <v>0</v>
      </c>
    </row>
    <row r="1058">
      <c r="G1058" s="2" t="n">
        <v>41851</v>
      </c>
      <c r="H1058" t="n">
        <v>-0.0203</v>
      </c>
      <c r="I1058" t="n">
        <v>0</v>
      </c>
    </row>
    <row r="1059">
      <c r="G1059" s="2" t="n">
        <v>41880</v>
      </c>
      <c r="H1059" t="n">
        <v>0.0424</v>
      </c>
      <c r="I1059" t="n">
        <v>0</v>
      </c>
    </row>
    <row r="1060">
      <c r="G1060" s="2" t="n">
        <v>41912</v>
      </c>
      <c r="H1060" t="n">
        <v>-0.0196</v>
      </c>
      <c r="I1060" t="n">
        <v>0</v>
      </c>
    </row>
    <row r="1061">
      <c r="G1061" s="2" t="n">
        <v>41943</v>
      </c>
      <c r="H1061" t="n">
        <v>0.0251</v>
      </c>
      <c r="I1061" t="n">
        <v>0</v>
      </c>
    </row>
    <row r="1062">
      <c r="G1062" s="2" t="n">
        <v>41971</v>
      </c>
      <c r="H1062" t="n">
        <v>0.0256</v>
      </c>
      <c r="I1062" t="n">
        <v>0</v>
      </c>
    </row>
    <row r="1063">
      <c r="G1063" s="2" t="n">
        <v>42004</v>
      </c>
      <c r="H1063" t="n">
        <v>-0.0005</v>
      </c>
      <c r="I1063" t="n">
        <v>0</v>
      </c>
    </row>
    <row r="1064">
      <c r="G1064" s="2" t="n">
        <v>42034</v>
      </c>
      <c r="H1064" t="n">
        <v>-0.031</v>
      </c>
      <c r="I1064" t="n">
        <v>0</v>
      </c>
    </row>
    <row r="1065">
      <c r="G1065" s="2" t="n">
        <v>42062</v>
      </c>
      <c r="H1065" t="n">
        <v>0.0613</v>
      </c>
      <c r="I1065" t="n">
        <v>0</v>
      </c>
    </row>
    <row r="1066">
      <c r="G1066" s="2" t="n">
        <v>42094</v>
      </c>
      <c r="H1066" t="n">
        <v>-0.0111</v>
      </c>
      <c r="I1066" t="n">
        <v>0</v>
      </c>
    </row>
    <row r="1067">
      <c r="G1067" s="2" t="n">
        <v>42124</v>
      </c>
      <c r="H1067" t="n">
        <v>0.0059</v>
      </c>
      <c r="I1067" t="n">
        <v>0</v>
      </c>
    </row>
    <row r="1068">
      <c r="G1068" s="2" t="n">
        <v>42153</v>
      </c>
      <c r="H1068" t="n">
        <v>0.0137</v>
      </c>
      <c r="I1068" t="n">
        <v>0</v>
      </c>
    </row>
    <row r="1069">
      <c r="G1069" s="2" t="n">
        <v>42185</v>
      </c>
      <c r="H1069" t="n">
        <v>-0.0152</v>
      </c>
      <c r="I1069" t="n">
        <v>0</v>
      </c>
    </row>
    <row r="1070">
      <c r="G1070" s="2" t="n">
        <v>42216</v>
      </c>
      <c r="H1070" t="n">
        <v>0.0157</v>
      </c>
      <c r="I1070" t="n">
        <v>0</v>
      </c>
    </row>
    <row r="1071">
      <c r="G1071" s="2" t="n">
        <v>42247</v>
      </c>
      <c r="H1071" t="n">
        <v>-0.0602</v>
      </c>
      <c r="I1071" t="n">
        <v>0</v>
      </c>
    </row>
    <row r="1072">
      <c r="G1072" s="2" t="n">
        <v>42277</v>
      </c>
      <c r="H1072" t="n">
        <v>-0.0306</v>
      </c>
      <c r="I1072" t="n">
        <v>0</v>
      </c>
    </row>
    <row r="1073">
      <c r="G1073" s="2" t="n">
        <v>42307</v>
      </c>
      <c r="H1073" t="n">
        <v>0.0775</v>
      </c>
      <c r="I1073" t="n">
        <v>0</v>
      </c>
    </row>
    <row r="1074">
      <c r="G1074" s="2" t="n">
        <v>42338</v>
      </c>
      <c r="H1074" t="n">
        <v>0.0057</v>
      </c>
      <c r="I1074" t="n">
        <v>0</v>
      </c>
    </row>
    <row r="1075">
      <c r="G1075" s="2" t="n">
        <v>42369</v>
      </c>
      <c r="H1075" t="n">
        <v>-0.0215</v>
      </c>
      <c r="I1075" t="n">
        <v>0.0001</v>
      </c>
    </row>
    <row r="1076">
      <c r="G1076" s="2" t="n">
        <v>42398</v>
      </c>
      <c r="H1076" t="n">
        <v>-0.0574</v>
      </c>
      <c r="I1076" t="n">
        <v>0.0001</v>
      </c>
    </row>
    <row r="1077">
      <c r="G1077" s="2" t="n">
        <v>42429</v>
      </c>
      <c r="H1077" t="n">
        <v>-0.0005999999999999999</v>
      </c>
      <c r="I1077" t="n">
        <v>0.0002</v>
      </c>
    </row>
    <row r="1078">
      <c r="G1078" s="2" t="n">
        <v>42460</v>
      </c>
      <c r="H1078" t="n">
        <v>0.06950000000000001</v>
      </c>
      <c r="I1078" t="n">
        <v>0.0002</v>
      </c>
    </row>
    <row r="1079">
      <c r="G1079" s="2" t="n">
        <v>42489</v>
      </c>
      <c r="H1079" t="n">
        <v>0.0092</v>
      </c>
      <c r="I1079" t="n">
        <v>0.0001</v>
      </c>
    </row>
    <row r="1080">
      <c r="G1080" s="2" t="n">
        <v>42521</v>
      </c>
      <c r="H1080" t="n">
        <v>0.0178</v>
      </c>
      <c r="I1080" t="n">
        <v>0.0001</v>
      </c>
    </row>
    <row r="1081">
      <c r="G1081" s="2" t="n">
        <v>42551</v>
      </c>
      <c r="H1081" t="n">
        <v>-0.0003</v>
      </c>
      <c r="I1081" t="n">
        <v>0.0002</v>
      </c>
    </row>
    <row r="1082">
      <c r="G1082" s="2" t="n">
        <v>42580</v>
      </c>
      <c r="H1082" t="n">
        <v>0.0394</v>
      </c>
      <c r="I1082" t="n">
        <v>0.0002</v>
      </c>
    </row>
    <row r="1083">
      <c r="G1083" s="2" t="n">
        <v>42613</v>
      </c>
      <c r="H1083" t="n">
        <v>0.0049</v>
      </c>
      <c r="I1083" t="n">
        <v>0.0002</v>
      </c>
    </row>
    <row r="1084">
      <c r="G1084" s="2" t="n">
        <v>42643</v>
      </c>
      <c r="H1084" t="n">
        <v>0.0027</v>
      </c>
      <c r="I1084" t="n">
        <v>0.0002</v>
      </c>
    </row>
    <row r="1085">
      <c r="G1085" s="2" t="n">
        <v>42674</v>
      </c>
      <c r="H1085" t="n">
        <v>-0.0201</v>
      </c>
      <c r="I1085" t="n">
        <v>0.0002</v>
      </c>
    </row>
    <row r="1086">
      <c r="G1086" s="2" t="n">
        <v>42704</v>
      </c>
      <c r="H1086" t="n">
        <v>0.0486</v>
      </c>
      <c r="I1086" t="n">
        <v>0.0001</v>
      </c>
    </row>
    <row r="1087">
      <c r="G1087" s="2" t="n">
        <v>42734</v>
      </c>
      <c r="H1087" t="n">
        <v>0.0181</v>
      </c>
      <c r="I1087" t="n">
        <v>0.0003</v>
      </c>
    </row>
    <row r="1088">
      <c r="G1088" s="2" t="n">
        <v>42766</v>
      </c>
      <c r="H1088" t="n">
        <v>0.0194</v>
      </c>
      <c r="I1088" t="n">
        <v>0.0004</v>
      </c>
    </row>
    <row r="1089">
      <c r="G1089" s="2" t="n">
        <v>42794</v>
      </c>
      <c r="H1089" t="n">
        <v>0.0355</v>
      </c>
      <c r="I1089" t="n">
        <v>0.0004</v>
      </c>
    </row>
    <row r="1090">
      <c r="G1090" s="2" t="n">
        <v>42825</v>
      </c>
      <c r="H1090" t="n">
        <v>0.0017</v>
      </c>
      <c r="I1090" t="n">
        <v>0.0003</v>
      </c>
    </row>
    <row r="1091">
      <c r="G1091" s="2" t="n">
        <v>42853</v>
      </c>
      <c r="H1091" t="n">
        <v>0.0108</v>
      </c>
      <c r="I1091" t="n">
        <v>0.0005</v>
      </c>
    </row>
    <row r="1092">
      <c r="G1092" s="2" t="n">
        <v>42886</v>
      </c>
      <c r="H1092" t="n">
        <v>0.0107</v>
      </c>
      <c r="I1092" t="n">
        <v>0.0005999999999999999</v>
      </c>
    </row>
    <row r="1093">
      <c r="G1093" s="2" t="n">
        <v>42916</v>
      </c>
      <c r="H1093" t="n">
        <v>0.007900000000000001</v>
      </c>
      <c r="I1093" t="n">
        <v>0.0005999999999999999</v>
      </c>
    </row>
    <row r="1094">
      <c r="G1094" s="2" t="n">
        <v>42947</v>
      </c>
      <c r="H1094" t="n">
        <v>0.0188</v>
      </c>
      <c r="I1094" t="n">
        <v>0.0007</v>
      </c>
    </row>
    <row r="1095">
      <c r="G1095" s="2" t="n">
        <v>42978</v>
      </c>
      <c r="H1095" t="n">
        <v>0.0018</v>
      </c>
      <c r="I1095" t="n">
        <v>0.0009</v>
      </c>
    </row>
    <row r="1096">
      <c r="G1096" s="2" t="n">
        <v>43007</v>
      </c>
      <c r="H1096" t="n">
        <v>0.0249</v>
      </c>
      <c r="I1096" t="n">
        <v>0.0009</v>
      </c>
    </row>
    <row r="1097">
      <c r="G1097" s="2" t="n">
        <v>43039</v>
      </c>
      <c r="H1097" t="n">
        <v>0.0226</v>
      </c>
      <c r="I1097" t="n">
        <v>0.0009</v>
      </c>
    </row>
    <row r="1098">
      <c r="G1098" s="2" t="n">
        <v>43069</v>
      </c>
      <c r="H1098" t="n">
        <v>0.0312</v>
      </c>
      <c r="I1098" t="n">
        <v>0.0008</v>
      </c>
    </row>
    <row r="1099">
      <c r="G1099" s="2" t="n">
        <v>43098</v>
      </c>
      <c r="H1099" t="n">
        <v>0.0106</v>
      </c>
      <c r="I1099" t="n">
        <v>0.0009</v>
      </c>
    </row>
    <row r="1100">
      <c r="G1100" s="2" t="n">
        <v>43131</v>
      </c>
      <c r="H1100" t="n">
        <v>0.0558</v>
      </c>
      <c r="I1100" t="n">
        <v>0.0011</v>
      </c>
    </row>
    <row r="1101">
      <c r="G1101" s="2" t="n">
        <v>43159</v>
      </c>
      <c r="H1101" t="n">
        <v>-0.0364</v>
      </c>
      <c r="I1101" t="n">
        <v>0.0011</v>
      </c>
    </row>
    <row r="1102">
      <c r="G1102" s="2" t="n">
        <v>43188</v>
      </c>
      <c r="H1102" t="n">
        <v>-0.0235</v>
      </c>
      <c r="I1102" t="n">
        <v>0.0012</v>
      </c>
    </row>
    <row r="1103">
      <c r="G1103" s="2" t="n">
        <v>43220</v>
      </c>
      <c r="H1103" t="n">
        <v>0.0027</v>
      </c>
      <c r="I1103" t="n">
        <v>0.0014</v>
      </c>
    </row>
    <row r="1104">
      <c r="G1104" s="2" t="n">
        <v>43251</v>
      </c>
      <c r="H1104" t="n">
        <v>0.0266</v>
      </c>
      <c r="I1104" t="n">
        <v>0.0014</v>
      </c>
    </row>
    <row r="1105">
      <c r="G1105" s="2" t="n">
        <v>43280</v>
      </c>
      <c r="H1105" t="n">
        <v>0.0049</v>
      </c>
      <c r="I1105" t="n">
        <v>0.0014</v>
      </c>
    </row>
    <row r="1106">
      <c r="G1106" s="2" t="n">
        <v>43312</v>
      </c>
      <c r="H1106" t="n">
        <v>0.032</v>
      </c>
      <c r="I1106" t="n">
        <v>0.0016</v>
      </c>
    </row>
    <row r="1107">
      <c r="G1107" s="2" t="n">
        <v>43343</v>
      </c>
      <c r="H1107" t="n">
        <v>0.0345</v>
      </c>
      <c r="I1107" t="n">
        <v>0.0016</v>
      </c>
    </row>
    <row r="1108">
      <c r="G1108" s="2" t="n">
        <v>43371</v>
      </c>
      <c r="H1108" t="n">
        <v>0.0005999999999999999</v>
      </c>
      <c r="I1108" t="n">
        <v>0.0015</v>
      </c>
    </row>
    <row r="1109">
      <c r="G1109" s="2" t="n">
        <v>43404</v>
      </c>
      <c r="H1109" t="n">
        <v>-0.0765</v>
      </c>
      <c r="I1109" t="n">
        <v>0.0019</v>
      </c>
    </row>
    <row r="1110">
      <c r="G1110" s="2" t="n">
        <v>43434</v>
      </c>
      <c r="H1110" t="n">
        <v>0.0171</v>
      </c>
      <c r="I1110" t="n">
        <v>0.0018</v>
      </c>
    </row>
    <row r="1111">
      <c r="G1111" s="2" t="n">
        <v>43465</v>
      </c>
      <c r="H1111" t="n">
        <v>-0.0955</v>
      </c>
      <c r="I1111" t="n">
        <v>0.0019</v>
      </c>
    </row>
    <row r="1112">
      <c r="G1112" s="2" t="n">
        <v>43496</v>
      </c>
      <c r="H1112" t="n">
        <v>0.0837</v>
      </c>
      <c r="I1112" t="n">
        <v>0.0021</v>
      </c>
    </row>
    <row r="1113">
      <c r="G1113" s="2" t="n">
        <v>43524</v>
      </c>
      <c r="H1113" t="n">
        <v>0.0342</v>
      </c>
      <c r="I1113" t="n">
        <v>0.0018</v>
      </c>
    </row>
    <row r="1114">
      <c r="G1114" s="2" t="n">
        <v>43553</v>
      </c>
      <c r="H1114" t="n">
        <v>0.011</v>
      </c>
      <c r="I1114" t="n">
        <v>0.0019</v>
      </c>
    </row>
    <row r="1115">
      <c r="G1115" s="2" t="n">
        <v>43585</v>
      </c>
      <c r="H1115" t="n">
        <v>0.0397</v>
      </c>
      <c r="I1115" t="n">
        <v>0.0021</v>
      </c>
    </row>
    <row r="1116">
      <c r="G1116" s="2" t="n">
        <v>43616</v>
      </c>
      <c r="H1116" t="n">
        <v>-0.0692</v>
      </c>
      <c r="I1116" t="n">
        <v>0.0021</v>
      </c>
    </row>
    <row r="1117">
      <c r="G1117" s="2" t="n">
        <v>43644</v>
      </c>
      <c r="H1117" t="n">
        <v>0.0699</v>
      </c>
      <c r="I1117" t="n">
        <v>0.0018</v>
      </c>
    </row>
    <row r="1118">
      <c r="G1118" s="2" t="n">
        <v>43677</v>
      </c>
      <c r="H1118" t="n">
        <v>0.0123</v>
      </c>
      <c r="I1118" t="n">
        <v>0.0019</v>
      </c>
    </row>
    <row r="1119">
      <c r="G1119" s="2" t="n">
        <v>43707</v>
      </c>
      <c r="H1119" t="n">
        <v>-0.0255</v>
      </c>
      <c r="I1119" t="n">
        <v>0.0016</v>
      </c>
    </row>
    <row r="1120">
      <c r="G1120" s="2" t="n">
        <v>43738</v>
      </c>
      <c r="H1120" t="n">
        <v>0.0141</v>
      </c>
      <c r="I1120" t="n">
        <v>0.0018</v>
      </c>
    </row>
    <row r="1121">
      <c r="G1121" s="2" t="n">
        <v>43769</v>
      </c>
      <c r="H1121" t="n">
        <v>0.0207</v>
      </c>
      <c r="I1121" t="n">
        <v>0.0015</v>
      </c>
    </row>
    <row r="1122">
      <c r="G1122" s="2" t="n">
        <v>43798</v>
      </c>
      <c r="H1122" t="n">
        <v>0.0387</v>
      </c>
      <c r="I1122" t="n">
        <v>0.0012</v>
      </c>
    </row>
    <row r="1123">
      <c r="G1123" s="2" t="n">
        <v>43830</v>
      </c>
      <c r="H1123" t="n">
        <v>0.0277</v>
      </c>
      <c r="I1123" t="n">
        <v>0.0014</v>
      </c>
    </row>
    <row r="1124">
      <c r="G1124" s="2" t="n">
        <v>43861</v>
      </c>
      <c r="H1124" t="n">
        <v>-0.0011</v>
      </c>
      <c r="I1124" t="n">
        <v>0.0013</v>
      </c>
    </row>
    <row r="1125">
      <c r="G1125" s="2" t="n">
        <v>43889</v>
      </c>
      <c r="H1125" t="n">
        <v>-0.0815</v>
      </c>
      <c r="I1125" t="n">
        <v>0.0012</v>
      </c>
    </row>
    <row r="1126">
      <c r="G1126" s="2" t="n">
        <v>43921</v>
      </c>
      <c r="H1126" t="n">
        <v>-0.1337</v>
      </c>
      <c r="I1126" t="n">
        <v>0.0012</v>
      </c>
    </row>
    <row r="1127">
      <c r="G1127" s="2" t="n">
        <v>43951</v>
      </c>
      <c r="H1127" t="n">
        <v>0.136</v>
      </c>
      <c r="I1127" t="n">
        <v>0</v>
      </c>
    </row>
    <row r="1128">
      <c r="G1128" s="2" t="n">
        <v>43980</v>
      </c>
      <c r="H1128" t="n">
        <v>0.0557</v>
      </c>
      <c r="I1128" t="n">
        <v>0.0001</v>
      </c>
    </row>
    <row r="1129">
      <c r="G1129" s="2" t="n">
        <v>44012</v>
      </c>
      <c r="H1129" t="n">
        <v>0.0245</v>
      </c>
      <c r="I1129" t="n">
        <v>0.0001</v>
      </c>
    </row>
    <row r="1130">
      <c r="G1130" s="2" t="n">
        <v>44043</v>
      </c>
      <c r="H1130" t="n">
        <v>0.0583</v>
      </c>
      <c r="I1130" t="n">
        <v>0.0001</v>
      </c>
    </row>
    <row r="1131">
      <c r="G1131" s="2" t="n">
        <v>44074</v>
      </c>
      <c r="H1131" t="n">
        <v>0.0762</v>
      </c>
      <c r="I1131" t="n">
        <v>0.0001</v>
      </c>
    </row>
    <row r="1132">
      <c r="G1132" s="2" t="n">
        <v>44104</v>
      </c>
      <c r="H1132" t="n">
        <v>-0.0364</v>
      </c>
      <c r="I1132" t="n">
        <v>0.0001</v>
      </c>
    </row>
    <row r="1133">
      <c r="G1133" s="2" t="n">
        <v>44134</v>
      </c>
      <c r="H1133" t="n">
        <v>-0.0208</v>
      </c>
      <c r="I1133" t="n">
        <v>0.0001</v>
      </c>
    </row>
    <row r="1134">
      <c r="G1134" s="2" t="n">
        <v>44165</v>
      </c>
      <c r="H1134" t="n">
        <v>0.1245</v>
      </c>
      <c r="I1134" t="n">
        <v>0.0001</v>
      </c>
    </row>
    <row r="1135">
      <c r="G1135" s="2" t="n">
        <v>44196</v>
      </c>
      <c r="H1135" t="n">
        <v>0.0463</v>
      </c>
      <c r="I1135" t="n">
        <v>0.0001</v>
      </c>
    </row>
    <row r="1136">
      <c r="G1136" s="2" t="n">
        <v>44225</v>
      </c>
      <c r="H1136" t="n">
        <v>-0.0007</v>
      </c>
      <c r="I1136" t="n">
        <v>0</v>
      </c>
    </row>
    <row r="1137">
      <c r="G1137" s="2" t="n">
        <v>44253</v>
      </c>
      <c r="H1137" t="n">
        <v>0.0281</v>
      </c>
      <c r="I1137" t="n">
        <v>0</v>
      </c>
    </row>
    <row r="1138">
      <c r="G1138" s="2" t="n">
        <v>44286</v>
      </c>
      <c r="H1138" t="n">
        <v>0.0316</v>
      </c>
      <c r="I1138" t="n">
        <v>0</v>
      </c>
    </row>
    <row r="1139">
      <c r="G1139" s="2" t="n">
        <v>44316</v>
      </c>
      <c r="H1139" t="n">
        <v>0.0495</v>
      </c>
      <c r="I1139" t="n">
        <v>0</v>
      </c>
    </row>
    <row r="1140">
      <c r="G1140" s="2" t="n">
        <v>44344</v>
      </c>
      <c r="H1140" t="n">
        <v>0.003</v>
      </c>
      <c r="I1140" t="n">
        <v>0</v>
      </c>
    </row>
    <row r="1141">
      <c r="G1141" s="2" t="n">
        <v>44377</v>
      </c>
      <c r="H1141" t="n">
        <v>0.0274</v>
      </c>
      <c r="I1141" t="n">
        <v>0</v>
      </c>
    </row>
    <row r="1142">
      <c r="G1142" s="2" t="n">
        <v>44407</v>
      </c>
      <c r="H1142" t="n">
        <v>0.0134</v>
      </c>
      <c r="I1142" t="n">
        <v>0</v>
      </c>
    </row>
    <row r="1143">
      <c r="G1143" s="2" t="n">
        <v>44439</v>
      </c>
      <c r="H1143" t="n">
        <v>0.0294</v>
      </c>
      <c r="I1143" t="n">
        <v>0</v>
      </c>
    </row>
    <row r="1144">
      <c r="G1144" s="2" t="n">
        <v>44469</v>
      </c>
      <c r="H1144" t="n">
        <v>-0.044</v>
      </c>
      <c r="I1144" t="n">
        <v>0</v>
      </c>
    </row>
    <row r="1145">
      <c r="G1145" s="2" t="n">
        <v>44498</v>
      </c>
      <c r="H1145" t="n">
        <v>0.0663</v>
      </c>
      <c r="I1145" t="n">
        <v>0</v>
      </c>
    </row>
    <row r="1146">
      <c r="G1146" s="2" t="n">
        <v>44530</v>
      </c>
      <c r="H1146" t="n">
        <v>-0.0158</v>
      </c>
      <c r="I1146" t="n">
        <v>0</v>
      </c>
    </row>
    <row r="1147">
      <c r="G1147" s="2" t="n">
        <v>44561</v>
      </c>
      <c r="H1147" t="n">
        <v>0.0323</v>
      </c>
      <c r="I1147" t="n">
        <v>0.0001</v>
      </c>
    </row>
    <row r="1148">
      <c r="G1148" s="2" t="n">
        <v>44592</v>
      </c>
      <c r="H1148" t="n">
        <v>-0.0616</v>
      </c>
      <c r="I1148" t="n">
        <v>0</v>
      </c>
    </row>
    <row r="1149">
      <c r="G1149" s="2" t="n">
        <v>44620</v>
      </c>
      <c r="H1149" t="n">
        <v>-0.0228</v>
      </c>
      <c r="I1149" t="n">
        <v>0</v>
      </c>
    </row>
    <row r="1150">
      <c r="G1150" s="2" t="n">
        <v>44651</v>
      </c>
      <c r="H1150" t="n">
        <v>0.0308</v>
      </c>
      <c r="I1150" t="n">
        <v>0</v>
      </c>
    </row>
    <row r="1151">
      <c r="G1151" s="2" t="n">
        <v>44680</v>
      </c>
      <c r="H1151" t="n">
        <v>-0.0941</v>
      </c>
      <c r="I1151" t="n">
        <v>0</v>
      </c>
    </row>
    <row r="1152">
      <c r="G1152" s="2" t="n">
        <v>44712</v>
      </c>
      <c r="H1152" t="n">
        <v>-0.0034</v>
      </c>
      <c r="I1152" t="n">
        <v>0.0003</v>
      </c>
    </row>
    <row r="1153">
      <c r="G1153" s="2" t="n">
        <v>44742</v>
      </c>
      <c r="H1153" t="n">
        <v>-0.08400000000000001</v>
      </c>
      <c r="I1153" t="n">
        <v>0.0005999999999999999</v>
      </c>
    </row>
    <row r="1154">
      <c r="G1154" s="2" t="n">
        <v>44771</v>
      </c>
      <c r="H1154" t="n">
        <v>0.09569999999999999</v>
      </c>
      <c r="I1154" t="n">
        <v>0.0008</v>
      </c>
    </row>
    <row r="1155">
      <c r="G1155" s="2" t="n">
        <v>44804</v>
      </c>
      <c r="H1155" t="n">
        <v>-0.0377</v>
      </c>
      <c r="I1155" t="n">
        <v>0.0019</v>
      </c>
    </row>
    <row r="1156">
      <c r="G1156" s="2" t="n">
        <v>44834</v>
      </c>
      <c r="H1156" t="n">
        <v>-0.0934</v>
      </c>
      <c r="I1156" t="n">
        <v>0.0019</v>
      </c>
    </row>
    <row r="1157">
      <c r="G1157" s="2" t="n">
        <v>44865</v>
      </c>
      <c r="H1157" t="n">
        <v>0.0785</v>
      </c>
      <c r="I1157" t="n">
        <v>0.0023</v>
      </c>
    </row>
    <row r="1158">
      <c r="G1158" s="2" t="n">
        <v>44895</v>
      </c>
      <c r="H1158" t="n">
        <v>0.0465</v>
      </c>
      <c r="I1158" t="n">
        <v>0.0029</v>
      </c>
    </row>
    <row r="1159">
      <c r="G1159" s="2" t="n">
        <v>44925</v>
      </c>
      <c r="H1159" t="n">
        <v>-0.0638</v>
      </c>
      <c r="I1159" t="n">
        <v>0.0033</v>
      </c>
    </row>
    <row r="1160">
      <c r="G1160" s="2" t="n">
        <v>44957</v>
      </c>
      <c r="H1160" t="n">
        <v>0.06610000000000001</v>
      </c>
      <c r="I1160" t="n">
        <v>0.0035</v>
      </c>
    </row>
    <row r="1161">
      <c r="G1161" s="2" t="n">
        <v>44985</v>
      </c>
      <c r="H1161" t="n">
        <v>-0.0257</v>
      </c>
      <c r="I1161" t="n">
        <v>0.0034</v>
      </c>
    </row>
    <row r="1162">
      <c r="G1162" s="2" t="n">
        <v>45016</v>
      </c>
      <c r="H1162" t="n">
        <v>0.0248</v>
      </c>
      <c r="I1162" t="n">
        <v>0.0036</v>
      </c>
    </row>
    <row r="1163">
      <c r="G1163" s="2" t="n">
        <v>45044</v>
      </c>
      <c r="H1163" t="n">
        <v>0.0062</v>
      </c>
      <c r="I1163" t="n">
        <v>0.0035</v>
      </c>
    </row>
    <row r="1164">
      <c r="G1164" s="2" t="n">
        <v>45077</v>
      </c>
      <c r="H1164" t="n">
        <v>0.0034</v>
      </c>
      <c r="I1164" t="n">
        <v>0.0036</v>
      </c>
    </row>
    <row r="1165">
      <c r="G1165" s="2" t="n">
        <v>45107</v>
      </c>
      <c r="H1165" t="n">
        <v>0.0646</v>
      </c>
      <c r="I1165" t="n">
        <v>0.004</v>
      </c>
    </row>
    <row r="1166">
      <c r="G1166" s="2" t="n">
        <v>45138</v>
      </c>
      <c r="H1166" t="n">
        <v>0.0321</v>
      </c>
      <c r="I1166" t="n">
        <v>0.0045</v>
      </c>
    </row>
    <row r="1167">
      <c r="G1167" s="2" t="n">
        <v>45169</v>
      </c>
      <c r="H1167" t="n">
        <v>-0.0236</v>
      </c>
      <c r="I1167" t="n">
        <v>0.0045</v>
      </c>
    </row>
    <row r="1168">
      <c r="G1168" s="2" t="n">
        <v>45198</v>
      </c>
      <c r="H1168" t="n">
        <v>-0.0523</v>
      </c>
      <c r="I1168" t="n">
        <v>0.0043</v>
      </c>
    </row>
    <row r="1169">
      <c r="G1169" s="2" t="n">
        <v>45230</v>
      </c>
      <c r="H1169" t="n">
        <v>-0.0315</v>
      </c>
      <c r="I1169" t="n">
        <v>0.0047</v>
      </c>
    </row>
    <row r="1170">
      <c r="G1170" s="2" t="n">
        <v>45260</v>
      </c>
      <c r="H1170" t="n">
        <v>0.0888</v>
      </c>
      <c r="I1170" t="n">
        <v>0.0044</v>
      </c>
    </row>
    <row r="1171">
      <c r="G1171" s="2" t="n">
        <v>45289</v>
      </c>
      <c r="H1171" t="n">
        <v>0.0485</v>
      </c>
      <c r="I1171" t="n">
        <v>0.0043</v>
      </c>
    </row>
    <row r="1172">
      <c r="G1172" s="2" t="n">
        <v>45322</v>
      </c>
      <c r="H1172" t="n">
        <v>0.0073</v>
      </c>
      <c r="I1172" t="n">
        <v>0.0047</v>
      </c>
    </row>
    <row r="1173">
      <c r="G1173" s="2" t="n">
        <v>45351</v>
      </c>
      <c r="H1173" t="n">
        <v>0.0507</v>
      </c>
      <c r="I1173" t="n">
        <v>0.0042</v>
      </c>
    </row>
    <row r="1174">
      <c r="G1174" s="2" t="n">
        <v>45379</v>
      </c>
      <c r="H1174" t="n">
        <v>0.0284</v>
      </c>
      <c r="I1174" t="n">
        <v>0.0043</v>
      </c>
    </row>
    <row r="1175">
      <c r="G1175" s="2" t="n">
        <v>45412</v>
      </c>
      <c r="H1175" t="n">
        <v>-0.0465</v>
      </c>
      <c r="I1175" t="n">
        <v>0.0047</v>
      </c>
    </row>
    <row r="1176">
      <c r="G1176" s="2" t="n">
        <v>45443</v>
      </c>
      <c r="H1176" t="n">
        <v>0.0433</v>
      </c>
      <c r="I1176" t="n">
        <v>0.0044</v>
      </c>
    </row>
    <row r="1177">
      <c r="G1177" s="2" t="n">
        <v>45471</v>
      </c>
      <c r="H1177" t="n">
        <v>0.028</v>
      </c>
      <c r="I1177" t="n">
        <v>0.0041</v>
      </c>
    </row>
    <row r="1178">
      <c r="G1178" s="2" t="n">
        <v>45504</v>
      </c>
      <c r="H1178" t="n">
        <v>0.0122</v>
      </c>
      <c r="I1178" t="n">
        <v>0.0045</v>
      </c>
    </row>
    <row r="1179">
      <c r="G1179" s="2" t="n">
        <v>45534</v>
      </c>
      <c r="H1179" t="n">
        <v>0.016</v>
      </c>
      <c r="I1179" t="n">
        <v>0.0048</v>
      </c>
    </row>
    <row r="1180">
      <c r="G1180" s="2" t="n">
        <v>45565</v>
      </c>
      <c r="H1180" t="n">
        <v>0.0172</v>
      </c>
      <c r="I1180" t="n">
        <v>0.004</v>
      </c>
    </row>
    <row r="1181">
      <c r="G1181" s="2" t="n">
        <v>45596</v>
      </c>
      <c r="H1181" t="n">
        <v>-0.01</v>
      </c>
      <c r="I1181" t="n">
        <v>0.0039</v>
      </c>
    </row>
    <row r="1182">
      <c r="G1182" s="2" t="n">
        <v>45625</v>
      </c>
      <c r="H1182" t="n">
        <v>0.0649</v>
      </c>
      <c r="I1182" t="n">
        <v>0.004</v>
      </c>
    </row>
    <row r="1183">
      <c r="G1183" s="2" t="n">
        <v>45657</v>
      </c>
      <c r="H1183" t="n">
        <v>-0.0317</v>
      </c>
      <c r="I1183" t="n">
        <v>0.0037</v>
      </c>
    </row>
    <row r="1184">
      <c r="G1184" s="2" t="n">
        <v>45688</v>
      </c>
      <c r="H1184" t="n">
        <v>0.028</v>
      </c>
      <c r="I1184" t="n">
        <v>0.0037</v>
      </c>
    </row>
    <row r="1185">
      <c r="G1185" s="2" t="n">
        <v>45716</v>
      </c>
      <c r="H1185" t="n">
        <v>-0.0244</v>
      </c>
      <c r="I1185" t="n">
        <v>0.0033</v>
      </c>
    </row>
    <row r="1186">
      <c r="G1186" s="2" t="n">
        <v>45747</v>
      </c>
      <c r="H1186" t="n">
        <v>-0.0639</v>
      </c>
      <c r="I1186" t="n">
        <v>0.0034</v>
      </c>
    </row>
    <row r="1187">
      <c r="G1187" s="2" t="n">
        <v>45777</v>
      </c>
      <c r="H1187" t="n">
        <v>-0.008399999999999999</v>
      </c>
      <c r="I1187" t="n">
        <v>0.0035</v>
      </c>
    </row>
    <row r="1188">
      <c r="G1188" s="2" t="n">
        <v>45807</v>
      </c>
      <c r="H1188" t="n">
        <v>0.0606</v>
      </c>
      <c r="I1188" t="n">
        <v>0.0038</v>
      </c>
    </row>
    <row r="1189">
      <c r="G1189" s="2" t="n">
        <v>45838</v>
      </c>
      <c r="H1189" t="n">
        <v>0.0486</v>
      </c>
      <c r="I1189" t="n">
        <v>0.0034</v>
      </c>
    </row>
    <row r="1190">
      <c r="G1190" s="2" t="n">
        <v>45869</v>
      </c>
      <c r="H1190" t="n">
        <v>0.0198</v>
      </c>
      <c r="I1190" t="n">
        <v>0.0034</v>
      </c>
    </row>
    <row r="1191">
      <c r="G1191" s="2" t="n">
        <v>45898</v>
      </c>
      <c r="H1191" t="n">
        <v>0.0184</v>
      </c>
      <c r="I1191" t="n">
        <v>0.0038</v>
      </c>
    </row>
    <row r="1192">
      <c r="G1192" s="2" t="n">
        <v>45930</v>
      </c>
      <c r="H1192" t="n">
        <v>0.0339</v>
      </c>
      <c r="I1192" t="n">
        <v>0.0033</v>
      </c>
    </row>
    <row r="1193">
      <c r="G1193" s="2" t="n">
        <v>45961</v>
      </c>
      <c r="H1193" t="n">
        <v>0.0196</v>
      </c>
      <c r="I1193" t="n">
        <v>0.0037</v>
      </c>
    </row>
    <row r="1194">
      <c r="G1194" s="2" t="n">
        <v>45989</v>
      </c>
      <c r="H1194" t="n">
        <v>-0.0013</v>
      </c>
      <c r="I1194" t="n">
        <v>0.003</v>
      </c>
    </row>
    <row r="1195">
      <c r="G1195" s="2" t="n">
        <v>46022</v>
      </c>
      <c r="H1195" t="n">
        <v>-0.0036</v>
      </c>
      <c r="I1195" t="n">
        <v>0.0034</v>
      </c>
    </row>
    <row r="1196">
      <c r="G1196" s="2" t="n">
        <v>46052</v>
      </c>
      <c r="H1196" t="n">
        <v>0.0102</v>
      </c>
      <c r="I1196" t="n">
        <v>0.003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Zhang</dc:creator>
  <cp:lastModifiedBy>Callum Baran</cp:lastModifiedBy>
  <dcterms:created xsi:type="dcterms:W3CDTF">2026-04-01T02:35:47Z</dcterms:created>
  <dcterms:modified xsi:type="dcterms:W3CDTF">2026-10-04T12:36:17Z</dcterms:modified>
</cp:coreProperties>
</file>